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defaultThemeVersion="124226"/>
  <mc:AlternateContent xmlns:mc="http://schemas.openxmlformats.org/markup-compatibility/2006">
    <mc:Choice Requires="x15">
      <x15ac:absPath xmlns:x15ac="http://schemas.microsoft.com/office/spreadsheetml/2010/11/ac" url="V:\SG 22-LQE\LQE\KITA\2022\Datenblätter 2022\"/>
    </mc:Choice>
  </mc:AlternateContent>
  <workbookProtection workbookAlgorithmName="SHA-512" workbookHashValue="41dSGCVpDK1QWC+kOJPzo7TV/hop/Bq89/VsY0BflzoTeo3a8TlK7RqGRYzLsYE/gT4e8sKNaQbCuf3MIPkVFQ==" workbookSaltValue="ndoshzN7EhZqMg241wmYFA==" workbookSpinCount="100000" lockStructure="1"/>
  <bookViews>
    <workbookView xWindow="-105" yWindow="5310" windowWidth="28800" windowHeight="6990" tabRatio="908"/>
  </bookViews>
  <sheets>
    <sheet name="Grundlagen" sheetId="34" r:id="rId1"/>
    <sheet name="Belegung" sheetId="35" r:id="rId2"/>
    <sheet name="päd Personal" sheetId="36" r:id="rId3"/>
    <sheet name="techn Personal" sheetId="37" r:id="rId4"/>
    <sheet name="Kostenplan" sheetId="38" r:id="rId5"/>
    <sheet name="INTERN Personalstunden" sheetId="39" state="hidden" r:id="rId6"/>
    <sheet name="INTERN Kostenrechnung" sheetId="40" state="hidden" r:id="rId7"/>
    <sheet name="INTERN Personal- und Sachkosten" sheetId="41" state="hidden" r:id="rId8"/>
    <sheet name="Platzkosten" sheetId="42" state="hidden" r:id="rId9"/>
    <sheet name="Zusatzplatzkosten" sheetId="43" state="hidden" r:id="rId10"/>
    <sheet name="päd.Personal - Leitung" sheetId="1" r:id="rId11"/>
    <sheet name="päd.Personal - Erzieher" sheetId="2" r:id="rId12"/>
    <sheet name="päd.Personal - Hilfskraft" sheetId="4" r:id="rId13"/>
    <sheet name="päd.Personal - ATZ aktiv,passiv" sheetId="13" r:id="rId14"/>
    <sheet name="päd.Personal - Auszubildende" sheetId="20" r:id="rId15"/>
    <sheet name="päd.Personal - Praktikant" sheetId="5" r:id="rId16"/>
    <sheet name="päd.Personal - unentgeltlich" sheetId="23" r:id="rId17"/>
    <sheet name="päd.Personal - BFD, FSJ" sheetId="19" r:id="rId18"/>
    <sheet name="päd.Personal - Heilpäd.FK" sheetId="14" r:id="rId19"/>
    <sheet name="päd.Personal - sonst.geringfüg." sheetId="15" r:id="rId20"/>
    <sheet name="päd.Personal - § 23" sheetId="21" r:id="rId21"/>
    <sheet name="techn.Personal - Hausmeister" sheetId="6" r:id="rId22"/>
    <sheet name="techn.Personal - Reinigungskr." sheetId="7" r:id="rId23"/>
    <sheet name="techn.Personal - Wirtschaftskr." sheetId="8" r:id="rId24"/>
    <sheet name="techn.Personal - sonst.gering" sheetId="17" r:id="rId25"/>
    <sheet name="freigegeben (sonstiges)" sheetId="22" r:id="rId26"/>
  </sheets>
  <definedNames>
    <definedName name="_xlnm._FilterDatabase" localSheetId="0" hidden="1">Grundlagen!$G$53:$G$54</definedName>
    <definedName name="_xlnm._FilterDatabase" localSheetId="4" hidden="1">Kostenplan!$A$109:$J$111</definedName>
    <definedName name="Anlage">Grundlagen!$G$82:$G$85</definedName>
    <definedName name="beantragt">Grundlagen!$G$53:$G$54</definedName>
    <definedName name="_xlnm.Print_Titles" localSheetId="1">Belegung!$1:$3</definedName>
    <definedName name="_xlnm.Print_Titles" localSheetId="6">'INTERN Kostenrechnung'!$5:$7</definedName>
    <definedName name="_xlnm.Print_Titles" localSheetId="4">Kostenplan!$8:$12</definedName>
    <definedName name="_xlnm.Print_Titles" localSheetId="2">'päd Personal'!$8:$13</definedName>
    <definedName name="_xlnm.Print_Titles" localSheetId="3">'techn Personal'!$8:$13</definedName>
  </definedNames>
  <calcPr calcId="162913"/>
</workbook>
</file>

<file path=xl/calcChain.xml><?xml version="1.0" encoding="utf-8"?>
<calcChain xmlns="http://schemas.openxmlformats.org/spreadsheetml/2006/main">
  <c r="I28" i="39" l="1"/>
  <c r="C28" i="39"/>
  <c r="E169" i="5" l="1"/>
  <c r="B169" i="5"/>
  <c r="E168" i="5"/>
  <c r="B168" i="5"/>
  <c r="E167" i="5"/>
  <c r="B167" i="5"/>
  <c r="D167" i="5" s="1"/>
  <c r="E166" i="5"/>
  <c r="B166" i="5"/>
  <c r="E165" i="5"/>
  <c r="B165" i="5"/>
  <c r="E164" i="5"/>
  <c r="B164" i="5"/>
  <c r="E163" i="5"/>
  <c r="B163" i="5"/>
  <c r="E162" i="5"/>
  <c r="B162" i="5"/>
  <c r="E161" i="5"/>
  <c r="B161" i="5"/>
  <c r="E160" i="5"/>
  <c r="B160" i="5"/>
  <c r="E159" i="5"/>
  <c r="B159" i="5"/>
  <c r="D159" i="5" s="1"/>
  <c r="E158" i="5"/>
  <c r="B158" i="5"/>
  <c r="E125" i="5"/>
  <c r="B125" i="5"/>
  <c r="E124" i="5"/>
  <c r="B124" i="5"/>
  <c r="E123" i="5"/>
  <c r="B123" i="5"/>
  <c r="D123" i="5" s="1"/>
  <c r="E122" i="5"/>
  <c r="B122" i="5"/>
  <c r="E121" i="5"/>
  <c r="B121" i="5"/>
  <c r="E120" i="5"/>
  <c r="B120" i="5"/>
  <c r="D120" i="5" s="1"/>
  <c r="E119" i="5"/>
  <c r="B119" i="5"/>
  <c r="D119" i="5" s="1"/>
  <c r="E118" i="5"/>
  <c r="B118" i="5"/>
  <c r="D118" i="5" s="1"/>
  <c r="E117" i="5"/>
  <c r="B117" i="5"/>
  <c r="E116" i="5"/>
  <c r="B116" i="5"/>
  <c r="E115" i="5"/>
  <c r="B115" i="5"/>
  <c r="D115" i="5" s="1"/>
  <c r="E114" i="5"/>
  <c r="B114" i="5"/>
  <c r="E81" i="5"/>
  <c r="B81" i="5"/>
  <c r="E80" i="5"/>
  <c r="B80" i="5"/>
  <c r="E79" i="5"/>
  <c r="B79" i="5"/>
  <c r="D79" i="5" s="1"/>
  <c r="E78" i="5"/>
  <c r="B78" i="5"/>
  <c r="E77" i="5"/>
  <c r="B77" i="5"/>
  <c r="E76" i="5"/>
  <c r="B76" i="5"/>
  <c r="E75" i="5"/>
  <c r="B75" i="5"/>
  <c r="D75" i="5" s="1"/>
  <c r="E74" i="5"/>
  <c r="B74" i="5"/>
  <c r="E73" i="5"/>
  <c r="B73" i="5"/>
  <c r="E72" i="5"/>
  <c r="B72" i="5"/>
  <c r="E71" i="5"/>
  <c r="B71" i="5"/>
  <c r="D71" i="5" s="1"/>
  <c r="E70" i="5"/>
  <c r="B70" i="5"/>
  <c r="E26" i="5"/>
  <c r="B26" i="5"/>
  <c r="D26" i="5" s="1"/>
  <c r="P130" i="17"/>
  <c r="P129" i="17"/>
  <c r="P128" i="17"/>
  <c r="P86" i="17"/>
  <c r="P85" i="17"/>
  <c r="P84" i="17"/>
  <c r="P42" i="17"/>
  <c r="P41" i="17"/>
  <c r="P40" i="17"/>
  <c r="B125" i="17"/>
  <c r="B124" i="17"/>
  <c r="B123" i="17"/>
  <c r="B122" i="17"/>
  <c r="F121" i="17"/>
  <c r="E121" i="17"/>
  <c r="D121" i="17"/>
  <c r="B121" i="17"/>
  <c r="B120" i="17"/>
  <c r="B119" i="17"/>
  <c r="B118" i="17"/>
  <c r="B117" i="17"/>
  <c r="F116" i="17"/>
  <c r="E116" i="17"/>
  <c r="D116" i="17"/>
  <c r="B116" i="17"/>
  <c r="D115" i="17"/>
  <c r="B115" i="17"/>
  <c r="B114" i="17"/>
  <c r="B81" i="17"/>
  <c r="B80" i="17"/>
  <c r="B79" i="17"/>
  <c r="B78" i="17"/>
  <c r="F77" i="17"/>
  <c r="E77" i="17"/>
  <c r="D77" i="17"/>
  <c r="L77" i="17" s="1"/>
  <c r="B77" i="17"/>
  <c r="B76" i="17"/>
  <c r="B75" i="17"/>
  <c r="B74" i="17"/>
  <c r="B73" i="17"/>
  <c r="F72" i="17"/>
  <c r="E72" i="17"/>
  <c r="D72" i="17"/>
  <c r="B72" i="17"/>
  <c r="B71" i="17"/>
  <c r="B70" i="17"/>
  <c r="B37" i="17"/>
  <c r="B36" i="17"/>
  <c r="D36" i="17" s="1"/>
  <c r="B35" i="17"/>
  <c r="B34" i="17"/>
  <c r="F33" i="17"/>
  <c r="E33" i="17"/>
  <c r="K33" i="17" s="1"/>
  <c r="D33" i="17"/>
  <c r="B33" i="17"/>
  <c r="B32" i="17"/>
  <c r="B31" i="17"/>
  <c r="E31" i="17" s="1"/>
  <c r="B30" i="17"/>
  <c r="B29" i="17"/>
  <c r="F28" i="17"/>
  <c r="E28" i="17"/>
  <c r="K28" i="17" s="1"/>
  <c r="D28" i="17"/>
  <c r="B28" i="17"/>
  <c r="B27" i="17"/>
  <c r="F26" i="17"/>
  <c r="E26" i="17"/>
  <c r="D26" i="17"/>
  <c r="B26" i="17"/>
  <c r="F389" i="8"/>
  <c r="B389" i="8"/>
  <c r="E389" i="8" s="1"/>
  <c r="F388" i="8"/>
  <c r="B388" i="8"/>
  <c r="E388" i="8" s="1"/>
  <c r="F387" i="8"/>
  <c r="B387" i="8"/>
  <c r="F386" i="8"/>
  <c r="B386" i="8"/>
  <c r="F385" i="8"/>
  <c r="B385" i="8"/>
  <c r="F384" i="8"/>
  <c r="B384" i="8"/>
  <c r="F383" i="8"/>
  <c r="B383" i="8"/>
  <c r="E383" i="8" s="1"/>
  <c r="F382" i="8"/>
  <c r="B382" i="8"/>
  <c r="F381" i="8"/>
  <c r="B381" i="8"/>
  <c r="E381" i="8" s="1"/>
  <c r="F380" i="8"/>
  <c r="B380" i="8"/>
  <c r="F379" i="8"/>
  <c r="B379" i="8"/>
  <c r="E379" i="8" s="1"/>
  <c r="F378" i="8"/>
  <c r="B378" i="8"/>
  <c r="F345" i="8"/>
  <c r="B345" i="8"/>
  <c r="F344" i="8"/>
  <c r="B344" i="8"/>
  <c r="D344" i="8" s="1"/>
  <c r="F343" i="8"/>
  <c r="B343" i="8"/>
  <c r="F342" i="8"/>
  <c r="B342" i="8"/>
  <c r="F341" i="8"/>
  <c r="B341" i="8"/>
  <c r="E341" i="8" s="1"/>
  <c r="F340" i="8"/>
  <c r="B340" i="8"/>
  <c r="F339" i="8"/>
  <c r="B339" i="8"/>
  <c r="E339" i="8" s="1"/>
  <c r="F338" i="8"/>
  <c r="B338" i="8"/>
  <c r="F337" i="8"/>
  <c r="B337" i="8"/>
  <c r="E337" i="8" s="1"/>
  <c r="F336" i="8"/>
  <c r="B336" i="8"/>
  <c r="F335" i="8"/>
  <c r="B335" i="8"/>
  <c r="F334" i="8"/>
  <c r="B334" i="8"/>
  <c r="F521" i="7"/>
  <c r="B521" i="7"/>
  <c r="D521" i="7" s="1"/>
  <c r="F520" i="7"/>
  <c r="B520" i="7"/>
  <c r="F519" i="7"/>
  <c r="B519" i="7"/>
  <c r="E519" i="7" s="1"/>
  <c r="F518" i="7"/>
  <c r="B518" i="7"/>
  <c r="E518" i="7" s="1"/>
  <c r="F517" i="7"/>
  <c r="B517" i="7"/>
  <c r="F516" i="7"/>
  <c r="B516" i="7"/>
  <c r="F515" i="7"/>
  <c r="B515" i="7"/>
  <c r="E515" i="7" s="1"/>
  <c r="F514" i="7"/>
  <c r="B514" i="7"/>
  <c r="E514" i="7" s="1"/>
  <c r="F513" i="7"/>
  <c r="B513" i="7"/>
  <c r="E513" i="7" s="1"/>
  <c r="F512" i="7"/>
  <c r="B512" i="7"/>
  <c r="F511" i="7"/>
  <c r="B511" i="7"/>
  <c r="E511" i="7" s="1"/>
  <c r="F510" i="7"/>
  <c r="B510" i="7"/>
  <c r="F477" i="7"/>
  <c r="B477" i="7"/>
  <c r="D477" i="7" s="1"/>
  <c r="F476" i="7"/>
  <c r="B476" i="7"/>
  <c r="F475" i="7"/>
  <c r="B475" i="7"/>
  <c r="F474" i="7"/>
  <c r="B474" i="7"/>
  <c r="F473" i="7"/>
  <c r="B473" i="7"/>
  <c r="F472" i="7"/>
  <c r="B472" i="7"/>
  <c r="D472" i="7" s="1"/>
  <c r="F471" i="7"/>
  <c r="B471" i="7"/>
  <c r="E471" i="7" s="1"/>
  <c r="F470" i="7"/>
  <c r="B470" i="7"/>
  <c r="E470" i="7" s="1"/>
  <c r="F469" i="7"/>
  <c r="B469" i="7"/>
  <c r="F468" i="7"/>
  <c r="B468" i="7"/>
  <c r="F467" i="7"/>
  <c r="B467" i="7"/>
  <c r="E467" i="7" s="1"/>
  <c r="F466" i="7"/>
  <c r="B466" i="7"/>
  <c r="D466" i="7" s="1"/>
  <c r="F301" i="6"/>
  <c r="B301" i="6"/>
  <c r="D301" i="6" s="1"/>
  <c r="F300" i="6"/>
  <c r="B300" i="6"/>
  <c r="E300" i="6" s="1"/>
  <c r="F299" i="6"/>
  <c r="B299" i="6"/>
  <c r="F298" i="6"/>
  <c r="B298" i="6"/>
  <c r="D298" i="6" s="1"/>
  <c r="F297" i="6"/>
  <c r="B297" i="6"/>
  <c r="D297" i="6" s="1"/>
  <c r="F296" i="6"/>
  <c r="B296" i="6"/>
  <c r="F295" i="6"/>
  <c r="B295" i="6"/>
  <c r="E295" i="6" s="1"/>
  <c r="F294" i="6"/>
  <c r="B294" i="6"/>
  <c r="E294" i="6" s="1"/>
  <c r="N294" i="6" s="1"/>
  <c r="F293" i="6"/>
  <c r="B293" i="6"/>
  <c r="E293" i="6" s="1"/>
  <c r="F292" i="6"/>
  <c r="B292" i="6"/>
  <c r="F291" i="6"/>
  <c r="B291" i="6"/>
  <c r="E291" i="6" s="1"/>
  <c r="F290" i="6"/>
  <c r="B290" i="6"/>
  <c r="D290" i="6" s="1"/>
  <c r="F257" i="6"/>
  <c r="B257" i="6"/>
  <c r="D257" i="6" s="1"/>
  <c r="F256" i="6"/>
  <c r="B256" i="6"/>
  <c r="F255" i="6"/>
  <c r="B255" i="6"/>
  <c r="F254" i="6"/>
  <c r="B254" i="6"/>
  <c r="E254" i="6" s="1"/>
  <c r="F253" i="6"/>
  <c r="B253" i="6"/>
  <c r="F252" i="6"/>
  <c r="B252" i="6"/>
  <c r="D252" i="6" s="1"/>
  <c r="F251" i="6"/>
  <c r="B251" i="6"/>
  <c r="E251" i="6" s="1"/>
  <c r="N251" i="6" s="1"/>
  <c r="F250" i="6"/>
  <c r="B250" i="6"/>
  <c r="F249" i="6"/>
  <c r="B249" i="6"/>
  <c r="F248" i="6"/>
  <c r="B248" i="6"/>
  <c r="F247" i="6"/>
  <c r="B247" i="6"/>
  <c r="E247" i="6" s="1"/>
  <c r="F246" i="6"/>
  <c r="B246" i="6"/>
  <c r="F257" i="8"/>
  <c r="B257" i="8"/>
  <c r="D257" i="8" s="1"/>
  <c r="F256" i="8"/>
  <c r="B256" i="8"/>
  <c r="F255" i="8"/>
  <c r="B255" i="8"/>
  <c r="F254" i="8"/>
  <c r="B254" i="8"/>
  <c r="F253" i="8"/>
  <c r="B253" i="8"/>
  <c r="F252" i="8"/>
  <c r="B252" i="8"/>
  <c r="F251" i="8"/>
  <c r="B251" i="8"/>
  <c r="E251" i="8" s="1"/>
  <c r="F250" i="8"/>
  <c r="B250" i="8"/>
  <c r="E250" i="8" s="1"/>
  <c r="F249" i="8"/>
  <c r="B249" i="8"/>
  <c r="F248" i="8"/>
  <c r="B248" i="8"/>
  <c r="F247" i="8"/>
  <c r="B247" i="8"/>
  <c r="F246" i="8"/>
  <c r="B246" i="8"/>
  <c r="F301" i="8"/>
  <c r="B301" i="8"/>
  <c r="D301" i="8" s="1"/>
  <c r="F300" i="8"/>
  <c r="B300" i="8"/>
  <c r="E300" i="8" s="1"/>
  <c r="F299" i="8"/>
  <c r="B299" i="8"/>
  <c r="F298" i="8"/>
  <c r="B298" i="8"/>
  <c r="D298" i="8" s="1"/>
  <c r="F297" i="8"/>
  <c r="B297" i="8"/>
  <c r="F296" i="8"/>
  <c r="B296" i="8"/>
  <c r="D296" i="8" s="1"/>
  <c r="F295" i="8"/>
  <c r="B295" i="8"/>
  <c r="E295" i="8" s="1"/>
  <c r="F294" i="8"/>
  <c r="B294" i="8"/>
  <c r="E294" i="8" s="1"/>
  <c r="F293" i="8"/>
  <c r="B293" i="8"/>
  <c r="F292" i="8"/>
  <c r="B292" i="8"/>
  <c r="F291" i="8"/>
  <c r="B291" i="8"/>
  <c r="E291" i="8" s="1"/>
  <c r="F290" i="8"/>
  <c r="B290" i="8"/>
  <c r="F389" i="7"/>
  <c r="B389" i="7"/>
  <c r="D389" i="7" s="1"/>
  <c r="F388" i="7"/>
  <c r="B388" i="7"/>
  <c r="F387" i="7"/>
  <c r="B387" i="7"/>
  <c r="F386" i="7"/>
  <c r="B386" i="7"/>
  <c r="E386" i="7" s="1"/>
  <c r="F385" i="7"/>
  <c r="B385" i="7"/>
  <c r="F384" i="7"/>
  <c r="B384" i="7"/>
  <c r="F383" i="7"/>
  <c r="B383" i="7"/>
  <c r="E383" i="7" s="1"/>
  <c r="N383" i="7" s="1"/>
  <c r="F382" i="7"/>
  <c r="B382" i="7"/>
  <c r="E382" i="7" s="1"/>
  <c r="F381" i="7"/>
  <c r="B381" i="7"/>
  <c r="F380" i="7"/>
  <c r="B380" i="7"/>
  <c r="F379" i="7"/>
  <c r="B379" i="7"/>
  <c r="E379" i="7" s="1"/>
  <c r="F378" i="7"/>
  <c r="B378" i="7"/>
  <c r="F433" i="7"/>
  <c r="B433" i="7"/>
  <c r="D433" i="7" s="1"/>
  <c r="F432" i="7"/>
  <c r="B432" i="7"/>
  <c r="E432" i="7" s="1"/>
  <c r="F431" i="7"/>
  <c r="B431" i="7"/>
  <c r="F430" i="7"/>
  <c r="B430" i="7"/>
  <c r="F429" i="7"/>
  <c r="B429" i="7"/>
  <c r="F428" i="7"/>
  <c r="B428" i="7"/>
  <c r="E428" i="7" s="1"/>
  <c r="F427" i="7"/>
  <c r="B427" i="7"/>
  <c r="E427" i="7" s="1"/>
  <c r="N427" i="7" s="1"/>
  <c r="F426" i="7"/>
  <c r="B426" i="7"/>
  <c r="E426" i="7" s="1"/>
  <c r="F425" i="7"/>
  <c r="B425" i="7"/>
  <c r="F424" i="7"/>
  <c r="B424" i="7"/>
  <c r="F423" i="7"/>
  <c r="B423" i="7"/>
  <c r="D423" i="7" s="1"/>
  <c r="F422" i="7"/>
  <c r="B422" i="7"/>
  <c r="F213" i="6"/>
  <c r="B213" i="6"/>
  <c r="E213" i="6" s="1"/>
  <c r="F212" i="6"/>
  <c r="B212" i="6"/>
  <c r="F211" i="6"/>
  <c r="B211" i="6"/>
  <c r="F210" i="6"/>
  <c r="B210" i="6"/>
  <c r="F209" i="6"/>
  <c r="B209" i="6"/>
  <c r="F208" i="6"/>
  <c r="B208" i="6"/>
  <c r="D208" i="6" s="1"/>
  <c r="F207" i="6"/>
  <c r="B207" i="6"/>
  <c r="E207" i="6" s="1"/>
  <c r="F206" i="6"/>
  <c r="B206" i="6"/>
  <c r="E206" i="6" s="1"/>
  <c r="F205" i="6"/>
  <c r="B205" i="6"/>
  <c r="F204" i="6"/>
  <c r="B204" i="6"/>
  <c r="F203" i="6"/>
  <c r="B203" i="6"/>
  <c r="F202" i="6"/>
  <c r="B202" i="6"/>
  <c r="F169" i="6"/>
  <c r="B169" i="6"/>
  <c r="D169" i="6" s="1"/>
  <c r="F168" i="6"/>
  <c r="B168" i="6"/>
  <c r="F167" i="6"/>
  <c r="B167" i="6"/>
  <c r="F166" i="6"/>
  <c r="B166" i="6"/>
  <c r="D166" i="6" s="1"/>
  <c r="F165" i="6"/>
  <c r="B165" i="6"/>
  <c r="F164" i="6"/>
  <c r="B164" i="6"/>
  <c r="F163" i="6"/>
  <c r="B163" i="6"/>
  <c r="E163" i="6" s="1"/>
  <c r="F162" i="6"/>
  <c r="B162" i="6"/>
  <c r="E162" i="6" s="1"/>
  <c r="F161" i="6"/>
  <c r="B161" i="6"/>
  <c r="E161" i="6" s="1"/>
  <c r="F160" i="6"/>
  <c r="B160" i="6"/>
  <c r="F159" i="6"/>
  <c r="B159" i="6"/>
  <c r="F158" i="6"/>
  <c r="B158" i="6"/>
  <c r="P42" i="6"/>
  <c r="P41" i="6"/>
  <c r="P40" i="6"/>
  <c r="F213" i="8"/>
  <c r="B213" i="8"/>
  <c r="F212" i="8"/>
  <c r="B212" i="8"/>
  <c r="D212" i="8" s="1"/>
  <c r="F211" i="8"/>
  <c r="B211" i="8"/>
  <c r="F210" i="8"/>
  <c r="B210" i="8"/>
  <c r="F209" i="8"/>
  <c r="B209" i="8"/>
  <c r="F208" i="8"/>
  <c r="B208" i="8"/>
  <c r="F207" i="8"/>
  <c r="B207" i="8"/>
  <c r="E207" i="8" s="1"/>
  <c r="F206" i="8"/>
  <c r="B206" i="8"/>
  <c r="F205" i="8"/>
  <c r="B205" i="8"/>
  <c r="E205" i="8" s="1"/>
  <c r="F204" i="8"/>
  <c r="B204" i="8"/>
  <c r="D204" i="8" s="1"/>
  <c r="F203" i="8"/>
  <c r="B203" i="8"/>
  <c r="E203" i="8" s="1"/>
  <c r="F202" i="8"/>
  <c r="B202" i="8"/>
  <c r="F169" i="8"/>
  <c r="B169" i="8"/>
  <c r="F168" i="8"/>
  <c r="B168" i="8"/>
  <c r="D168" i="8" s="1"/>
  <c r="F167" i="8"/>
  <c r="B167" i="8"/>
  <c r="F166" i="8"/>
  <c r="B166" i="8"/>
  <c r="F165" i="8"/>
  <c r="B165" i="8"/>
  <c r="E165" i="8" s="1"/>
  <c r="F164" i="8"/>
  <c r="B164" i="8"/>
  <c r="F163" i="8"/>
  <c r="B163" i="8"/>
  <c r="E163" i="8" s="1"/>
  <c r="F162" i="8"/>
  <c r="B162" i="8"/>
  <c r="F161" i="8"/>
  <c r="B161" i="8"/>
  <c r="D161" i="8" s="1"/>
  <c r="F160" i="8"/>
  <c r="B160" i="8"/>
  <c r="F159" i="8"/>
  <c r="B159" i="8"/>
  <c r="F158" i="8"/>
  <c r="B158" i="8"/>
  <c r="F125" i="8"/>
  <c r="B125" i="8"/>
  <c r="F124" i="8"/>
  <c r="B124" i="8"/>
  <c r="D124" i="8" s="1"/>
  <c r="F123" i="8"/>
  <c r="B123" i="8"/>
  <c r="F122" i="8"/>
  <c r="B122" i="8"/>
  <c r="F121" i="8"/>
  <c r="B121" i="8"/>
  <c r="F120" i="8"/>
  <c r="B120" i="8"/>
  <c r="F119" i="8"/>
  <c r="B119" i="8"/>
  <c r="E119" i="8" s="1"/>
  <c r="F118" i="8"/>
  <c r="B118" i="8"/>
  <c r="D118" i="8" s="1"/>
  <c r="F117" i="8"/>
  <c r="B117" i="8"/>
  <c r="E117" i="8" s="1"/>
  <c r="F116" i="8"/>
  <c r="B116" i="8"/>
  <c r="F115" i="8"/>
  <c r="B115" i="8"/>
  <c r="F114" i="8"/>
  <c r="B114" i="8"/>
  <c r="D114" i="8" s="1"/>
  <c r="F81" i="8"/>
  <c r="B81" i="8"/>
  <c r="F80" i="8"/>
  <c r="B80" i="8"/>
  <c r="D80" i="8" s="1"/>
  <c r="F79" i="8"/>
  <c r="B79" i="8"/>
  <c r="F78" i="8"/>
  <c r="B78" i="8"/>
  <c r="F77" i="8"/>
  <c r="B77" i="8"/>
  <c r="F76" i="8"/>
  <c r="B76" i="8"/>
  <c r="F75" i="8"/>
  <c r="B75" i="8"/>
  <c r="D75" i="8" s="1"/>
  <c r="F74" i="8"/>
  <c r="B74" i="8"/>
  <c r="F73" i="8"/>
  <c r="B73" i="8"/>
  <c r="F72" i="8"/>
  <c r="B72" i="8"/>
  <c r="F71" i="8"/>
  <c r="B71" i="8"/>
  <c r="D71" i="8" s="1"/>
  <c r="F70" i="8"/>
  <c r="B70" i="8"/>
  <c r="D70" i="8" s="1"/>
  <c r="F37" i="8"/>
  <c r="B37" i="8"/>
  <c r="F36" i="8"/>
  <c r="B36" i="8"/>
  <c r="E36" i="8" s="1"/>
  <c r="F35" i="8"/>
  <c r="B35" i="8"/>
  <c r="F34" i="8"/>
  <c r="B34" i="8"/>
  <c r="D34" i="8" s="1"/>
  <c r="F33" i="8"/>
  <c r="B33" i="8"/>
  <c r="F32" i="8"/>
  <c r="B32" i="8"/>
  <c r="F31" i="8"/>
  <c r="B31" i="8"/>
  <c r="E31" i="8" s="1"/>
  <c r="F30" i="8"/>
  <c r="B30" i="8"/>
  <c r="F29" i="8"/>
  <c r="B29" i="8"/>
  <c r="D29" i="8" s="1"/>
  <c r="F28" i="8"/>
  <c r="B28" i="8"/>
  <c r="F27" i="8"/>
  <c r="B27" i="8"/>
  <c r="E27" i="8" s="1"/>
  <c r="F26" i="8"/>
  <c r="B26" i="8"/>
  <c r="F339" i="7"/>
  <c r="B338" i="7"/>
  <c r="F345" i="7"/>
  <c r="B345" i="7"/>
  <c r="F344" i="7"/>
  <c r="B344" i="7"/>
  <c r="D344" i="7" s="1"/>
  <c r="F343" i="7"/>
  <c r="B343" i="7"/>
  <c r="F342" i="7"/>
  <c r="B342" i="7"/>
  <c r="F341" i="7"/>
  <c r="B341" i="7"/>
  <c r="F340" i="7"/>
  <c r="B340" i="7"/>
  <c r="B339" i="7"/>
  <c r="E339" i="7" s="1"/>
  <c r="F338" i="7"/>
  <c r="F337" i="7"/>
  <c r="B337" i="7"/>
  <c r="E337" i="7" s="1"/>
  <c r="F336" i="7"/>
  <c r="B336" i="7"/>
  <c r="E336" i="7" s="1"/>
  <c r="F335" i="7"/>
  <c r="B335" i="7"/>
  <c r="F334" i="7"/>
  <c r="B334" i="7"/>
  <c r="F301" i="7"/>
  <c r="B301" i="7"/>
  <c r="F300" i="7"/>
  <c r="B300" i="7"/>
  <c r="D300" i="7" s="1"/>
  <c r="F299" i="7"/>
  <c r="B299" i="7"/>
  <c r="F298" i="7"/>
  <c r="B298" i="7"/>
  <c r="F297" i="7"/>
  <c r="B297" i="7"/>
  <c r="F296" i="7"/>
  <c r="B296" i="7"/>
  <c r="F295" i="7"/>
  <c r="B295" i="7"/>
  <c r="E295" i="7" s="1"/>
  <c r="F294" i="7"/>
  <c r="B294" i="7"/>
  <c r="F293" i="7"/>
  <c r="B293" i="7"/>
  <c r="F292" i="7"/>
  <c r="B292" i="7"/>
  <c r="D292" i="7" s="1"/>
  <c r="F291" i="7"/>
  <c r="B291" i="7"/>
  <c r="E291" i="7" s="1"/>
  <c r="F290" i="7"/>
  <c r="B290" i="7"/>
  <c r="F257" i="7"/>
  <c r="B257" i="7"/>
  <c r="F256" i="7"/>
  <c r="B256" i="7"/>
  <c r="F255" i="7"/>
  <c r="B255" i="7"/>
  <c r="F254" i="7"/>
  <c r="B254" i="7"/>
  <c r="F253" i="7"/>
  <c r="B253" i="7"/>
  <c r="F252" i="7"/>
  <c r="B252" i="7"/>
  <c r="F251" i="7"/>
  <c r="B251" i="7"/>
  <c r="E251" i="7" s="1"/>
  <c r="F250" i="7"/>
  <c r="B250" i="7"/>
  <c r="D250" i="7" s="1"/>
  <c r="F249" i="7"/>
  <c r="B249" i="7"/>
  <c r="D249" i="7" s="1"/>
  <c r="F248" i="7"/>
  <c r="B248" i="7"/>
  <c r="F247" i="7"/>
  <c r="B247" i="7"/>
  <c r="F246" i="7"/>
  <c r="B246" i="7"/>
  <c r="D246" i="7" s="1"/>
  <c r="F213" i="7"/>
  <c r="B213" i="7"/>
  <c r="F212" i="7"/>
  <c r="B212" i="7"/>
  <c r="E212" i="7" s="1"/>
  <c r="F211" i="7"/>
  <c r="B211" i="7"/>
  <c r="F210" i="7"/>
  <c r="B210" i="7"/>
  <c r="F209" i="7"/>
  <c r="B209" i="7"/>
  <c r="F208" i="7"/>
  <c r="B208" i="7"/>
  <c r="F207" i="7"/>
  <c r="B207" i="7"/>
  <c r="E207" i="7" s="1"/>
  <c r="F206" i="7"/>
  <c r="B206" i="7"/>
  <c r="F205" i="7"/>
  <c r="B205" i="7"/>
  <c r="F204" i="7"/>
  <c r="B204" i="7"/>
  <c r="F203" i="7"/>
  <c r="B203" i="7"/>
  <c r="F202" i="7"/>
  <c r="B202" i="7"/>
  <c r="F169" i="7"/>
  <c r="B169" i="7"/>
  <c r="F168" i="7"/>
  <c r="B168" i="7"/>
  <c r="D168" i="7" s="1"/>
  <c r="F167" i="7"/>
  <c r="B167" i="7"/>
  <c r="F166" i="7"/>
  <c r="B166" i="7"/>
  <c r="F165" i="7"/>
  <c r="B165" i="7"/>
  <c r="E165" i="7" s="1"/>
  <c r="F164" i="7"/>
  <c r="B164" i="7"/>
  <c r="F163" i="7"/>
  <c r="B163" i="7"/>
  <c r="E163" i="7" s="1"/>
  <c r="F162" i="7"/>
  <c r="B162" i="7"/>
  <c r="F161" i="7"/>
  <c r="B161" i="7"/>
  <c r="D161" i="7" s="1"/>
  <c r="F160" i="7"/>
  <c r="B160" i="7"/>
  <c r="F159" i="7"/>
  <c r="B159" i="7"/>
  <c r="F158" i="7"/>
  <c r="B158" i="7"/>
  <c r="F125" i="7"/>
  <c r="B125" i="7"/>
  <c r="F124" i="7"/>
  <c r="B124" i="7"/>
  <c r="E124" i="7" s="1"/>
  <c r="F123" i="7"/>
  <c r="B123" i="7"/>
  <c r="F122" i="7"/>
  <c r="B122" i="7"/>
  <c r="D122" i="7" s="1"/>
  <c r="F121" i="7"/>
  <c r="B121" i="7"/>
  <c r="F120" i="7"/>
  <c r="B120" i="7"/>
  <c r="F119" i="7"/>
  <c r="B119" i="7"/>
  <c r="E119" i="7" s="1"/>
  <c r="F118" i="7"/>
  <c r="B118" i="7"/>
  <c r="F117" i="7"/>
  <c r="B117" i="7"/>
  <c r="E117" i="7" s="1"/>
  <c r="F116" i="7"/>
  <c r="B116" i="7"/>
  <c r="F115" i="7"/>
  <c r="B115" i="7"/>
  <c r="D115" i="7" s="1"/>
  <c r="F114" i="7"/>
  <c r="B114" i="7"/>
  <c r="F81" i="7"/>
  <c r="B81" i="7"/>
  <c r="F80" i="7"/>
  <c r="B80" i="7"/>
  <c r="F79" i="7"/>
  <c r="B79" i="7"/>
  <c r="F78" i="7"/>
  <c r="B78" i="7"/>
  <c r="F77" i="7"/>
  <c r="B77" i="7"/>
  <c r="F76" i="7"/>
  <c r="B76" i="7"/>
  <c r="F75" i="7"/>
  <c r="B75" i="7"/>
  <c r="E75" i="7" s="1"/>
  <c r="F74" i="7"/>
  <c r="B74" i="7"/>
  <c r="D74" i="7" s="1"/>
  <c r="F73" i="7"/>
  <c r="B73" i="7"/>
  <c r="E73" i="7" s="1"/>
  <c r="F72" i="7"/>
  <c r="B72" i="7"/>
  <c r="F71" i="7"/>
  <c r="B71" i="7"/>
  <c r="F70" i="7"/>
  <c r="B70" i="7"/>
  <c r="F37" i="7"/>
  <c r="B37" i="7"/>
  <c r="F36" i="7"/>
  <c r="B36" i="7"/>
  <c r="F35" i="7"/>
  <c r="B35" i="7"/>
  <c r="F34" i="7"/>
  <c r="B34" i="7"/>
  <c r="F33" i="7"/>
  <c r="B33" i="7"/>
  <c r="F32" i="7"/>
  <c r="B32" i="7"/>
  <c r="F31" i="7"/>
  <c r="B31" i="7"/>
  <c r="E31" i="7" s="1"/>
  <c r="F30" i="7"/>
  <c r="B30" i="7"/>
  <c r="F29" i="7"/>
  <c r="B29" i="7"/>
  <c r="E29" i="7" s="1"/>
  <c r="F28" i="7"/>
  <c r="B28" i="7"/>
  <c r="F27" i="7"/>
  <c r="B27" i="7"/>
  <c r="E27" i="7" s="1"/>
  <c r="F26" i="7"/>
  <c r="B26" i="7"/>
  <c r="F125" i="6"/>
  <c r="B125" i="6"/>
  <c r="F124" i="6"/>
  <c r="B124" i="6"/>
  <c r="D124" i="6" s="1"/>
  <c r="F123" i="6"/>
  <c r="B123" i="6"/>
  <c r="F122" i="6"/>
  <c r="B122" i="6"/>
  <c r="F121" i="6"/>
  <c r="B121" i="6"/>
  <c r="F120" i="6"/>
  <c r="B120" i="6"/>
  <c r="F119" i="6"/>
  <c r="B119" i="6"/>
  <c r="D119" i="6" s="1"/>
  <c r="F118" i="6"/>
  <c r="B118" i="6"/>
  <c r="D118" i="6" s="1"/>
  <c r="F117" i="6"/>
  <c r="B117" i="6"/>
  <c r="E117" i="6" s="1"/>
  <c r="F116" i="6"/>
  <c r="B116" i="6"/>
  <c r="F115" i="6"/>
  <c r="B115" i="6"/>
  <c r="F114" i="6"/>
  <c r="B114" i="6"/>
  <c r="F81" i="6"/>
  <c r="B81" i="6"/>
  <c r="F80" i="6"/>
  <c r="B80" i="6"/>
  <c r="F79" i="6"/>
  <c r="B79" i="6"/>
  <c r="F78" i="6"/>
  <c r="B78" i="6"/>
  <c r="F77" i="6"/>
  <c r="B77" i="6"/>
  <c r="D77" i="6" s="1"/>
  <c r="F76" i="6"/>
  <c r="B76" i="6"/>
  <c r="F75" i="6"/>
  <c r="B75" i="6"/>
  <c r="D75" i="6" s="1"/>
  <c r="F74" i="6"/>
  <c r="B74" i="6"/>
  <c r="D74" i="6" s="1"/>
  <c r="F73" i="6"/>
  <c r="B73" i="6"/>
  <c r="D73" i="6" s="1"/>
  <c r="F72" i="6"/>
  <c r="B72" i="6"/>
  <c r="F71" i="6"/>
  <c r="B71" i="6"/>
  <c r="F70" i="6"/>
  <c r="B70" i="6"/>
  <c r="D70" i="6" s="1"/>
  <c r="F37" i="6"/>
  <c r="B37" i="6"/>
  <c r="F36" i="6"/>
  <c r="B36" i="6"/>
  <c r="F35" i="6"/>
  <c r="B35" i="6"/>
  <c r="F34" i="6"/>
  <c r="B34" i="6"/>
  <c r="F33" i="6"/>
  <c r="B33" i="6"/>
  <c r="F32" i="6"/>
  <c r="B32" i="6"/>
  <c r="F31" i="6"/>
  <c r="B31" i="6"/>
  <c r="D31" i="6" s="1"/>
  <c r="F30" i="6"/>
  <c r="B30" i="6"/>
  <c r="D30" i="6" s="1"/>
  <c r="F29" i="6"/>
  <c r="B29" i="6"/>
  <c r="E29" i="6" s="1"/>
  <c r="F28" i="6"/>
  <c r="B28" i="6"/>
  <c r="F27" i="6"/>
  <c r="B27" i="6"/>
  <c r="D27" i="6" s="1"/>
  <c r="F26" i="6"/>
  <c r="B26" i="6"/>
  <c r="D26" i="6" s="1"/>
  <c r="F125" i="21"/>
  <c r="B125" i="21"/>
  <c r="F124" i="21"/>
  <c r="B124" i="21"/>
  <c r="F123" i="21"/>
  <c r="B123" i="21"/>
  <c r="F122" i="21"/>
  <c r="B122" i="21"/>
  <c r="F121" i="21"/>
  <c r="B121" i="21"/>
  <c r="E121" i="21" s="1"/>
  <c r="F120" i="21"/>
  <c r="B120" i="21"/>
  <c r="F119" i="21"/>
  <c r="B119" i="21"/>
  <c r="D119" i="21" s="1"/>
  <c r="F118" i="21"/>
  <c r="B118" i="21"/>
  <c r="F117" i="21"/>
  <c r="B117" i="21"/>
  <c r="E117" i="21" s="1"/>
  <c r="F116" i="21"/>
  <c r="B116" i="21"/>
  <c r="D116" i="21" s="1"/>
  <c r="F115" i="21"/>
  <c r="B115" i="21"/>
  <c r="D115" i="21" s="1"/>
  <c r="F114" i="21"/>
  <c r="B114" i="21"/>
  <c r="F81" i="21"/>
  <c r="B81" i="21"/>
  <c r="F80" i="21"/>
  <c r="B80" i="21"/>
  <c r="F79" i="21"/>
  <c r="B79" i="21"/>
  <c r="F78" i="21"/>
  <c r="B78" i="21"/>
  <c r="F77" i="21"/>
  <c r="B77" i="21"/>
  <c r="F76" i="21"/>
  <c r="B76" i="21"/>
  <c r="F75" i="21"/>
  <c r="B75" i="21"/>
  <c r="E75" i="21" s="1"/>
  <c r="F74" i="21"/>
  <c r="B74" i="21"/>
  <c r="D74" i="21" s="1"/>
  <c r="F73" i="21"/>
  <c r="B73" i="21"/>
  <c r="F72" i="21"/>
  <c r="B72" i="21"/>
  <c r="F71" i="21"/>
  <c r="B71" i="21"/>
  <c r="F70" i="21"/>
  <c r="B70" i="21"/>
  <c r="B26" i="21"/>
  <c r="D26" i="21" s="1"/>
  <c r="F37" i="21"/>
  <c r="B37" i="21"/>
  <c r="F36" i="21"/>
  <c r="B36" i="21"/>
  <c r="D36" i="21" s="1"/>
  <c r="F35" i="21"/>
  <c r="B35" i="21"/>
  <c r="F34" i="21"/>
  <c r="B34" i="21"/>
  <c r="F33" i="21"/>
  <c r="B33" i="21"/>
  <c r="F32" i="21"/>
  <c r="B32" i="21"/>
  <c r="F31" i="21"/>
  <c r="B31" i="21"/>
  <c r="E31" i="21" s="1"/>
  <c r="F30" i="21"/>
  <c r="B30" i="21"/>
  <c r="D30" i="21" s="1"/>
  <c r="F29" i="21"/>
  <c r="B29" i="21"/>
  <c r="E29" i="21" s="1"/>
  <c r="F28" i="21"/>
  <c r="B28" i="21"/>
  <c r="F27" i="21"/>
  <c r="B27" i="21"/>
  <c r="E27" i="21" s="1"/>
  <c r="F26" i="21"/>
  <c r="P130" i="15"/>
  <c r="P129" i="15"/>
  <c r="P128" i="15"/>
  <c r="P86" i="15"/>
  <c r="P85" i="15"/>
  <c r="P84" i="15"/>
  <c r="O125" i="15"/>
  <c r="O124" i="15"/>
  <c r="O123" i="15"/>
  <c r="O122" i="15"/>
  <c r="O121" i="15"/>
  <c r="O120" i="15"/>
  <c r="O119" i="15"/>
  <c r="O118" i="15"/>
  <c r="O117" i="15"/>
  <c r="O116" i="15"/>
  <c r="O115" i="15"/>
  <c r="O114" i="15"/>
  <c r="O81" i="15"/>
  <c r="O80" i="15"/>
  <c r="O79" i="15"/>
  <c r="O78" i="15"/>
  <c r="O77" i="15"/>
  <c r="O76" i="15"/>
  <c r="O75" i="15"/>
  <c r="O74" i="15"/>
  <c r="O73" i="15"/>
  <c r="O72" i="15"/>
  <c r="O71" i="15"/>
  <c r="O70" i="15"/>
  <c r="F125" i="15"/>
  <c r="B125" i="15"/>
  <c r="E125" i="15" s="1"/>
  <c r="H125" i="15" s="1"/>
  <c r="B124" i="15"/>
  <c r="F124" i="15" s="1"/>
  <c r="B123" i="15"/>
  <c r="F123" i="15" s="1"/>
  <c r="B122" i="15"/>
  <c r="F122" i="15" s="1"/>
  <c r="B121" i="15"/>
  <c r="F121" i="15" s="1"/>
  <c r="E120" i="15"/>
  <c r="K120" i="15" s="1"/>
  <c r="B120" i="15"/>
  <c r="F120" i="15" s="1"/>
  <c r="F119" i="15"/>
  <c r="E119" i="15"/>
  <c r="I119" i="15" s="1"/>
  <c r="D119" i="15"/>
  <c r="B119" i="15"/>
  <c r="F118" i="15"/>
  <c r="B118" i="15"/>
  <c r="E118" i="15" s="1"/>
  <c r="M118" i="15" s="1"/>
  <c r="B117" i="15"/>
  <c r="F117" i="15" s="1"/>
  <c r="E116" i="15"/>
  <c r="M116" i="15" s="1"/>
  <c r="B116" i="15"/>
  <c r="F116" i="15" s="1"/>
  <c r="B115" i="15"/>
  <c r="F115" i="15" s="1"/>
  <c r="B114" i="15"/>
  <c r="F114" i="15" s="1"/>
  <c r="B81" i="15"/>
  <c r="F81" i="15" s="1"/>
  <c r="B80" i="15"/>
  <c r="F80" i="15" s="1"/>
  <c r="B79" i="15"/>
  <c r="F79" i="15" s="1"/>
  <c r="B78" i="15"/>
  <c r="F78" i="15" s="1"/>
  <c r="F77" i="15"/>
  <c r="E77" i="15"/>
  <c r="M77" i="15" s="1"/>
  <c r="D77" i="15"/>
  <c r="B77" i="15"/>
  <c r="B76" i="15"/>
  <c r="F76" i="15" s="1"/>
  <c r="F75" i="15"/>
  <c r="E75" i="15"/>
  <c r="I75" i="15" s="1"/>
  <c r="B75" i="15"/>
  <c r="D75" i="15" s="1"/>
  <c r="B74" i="15"/>
  <c r="F74" i="15" s="1"/>
  <c r="B73" i="15"/>
  <c r="D73" i="15" s="1"/>
  <c r="B72" i="15"/>
  <c r="F72" i="15" s="1"/>
  <c r="B71" i="15"/>
  <c r="E71" i="15" s="1"/>
  <c r="M71" i="15" s="1"/>
  <c r="F70" i="15"/>
  <c r="B70" i="15"/>
  <c r="E70" i="15" s="1"/>
  <c r="J70" i="15" s="1"/>
  <c r="P42" i="15"/>
  <c r="P41" i="15"/>
  <c r="P40" i="15"/>
  <c r="O37" i="15"/>
  <c r="O36" i="15"/>
  <c r="O35" i="15"/>
  <c r="O34" i="15"/>
  <c r="O33" i="15"/>
  <c r="O32" i="15"/>
  <c r="O31" i="15"/>
  <c r="O30" i="15"/>
  <c r="O29" i="15"/>
  <c r="O28" i="15"/>
  <c r="O27" i="15"/>
  <c r="O26" i="15"/>
  <c r="F37" i="15"/>
  <c r="F36" i="15"/>
  <c r="F35" i="15"/>
  <c r="F34" i="15"/>
  <c r="F33" i="15"/>
  <c r="F32" i="15"/>
  <c r="F31" i="15"/>
  <c r="F30" i="15"/>
  <c r="F29" i="15"/>
  <c r="F28" i="15"/>
  <c r="F27" i="15"/>
  <c r="F26" i="15"/>
  <c r="E37" i="15"/>
  <c r="K37" i="15" s="1"/>
  <c r="E36" i="15"/>
  <c r="K36" i="15" s="1"/>
  <c r="E35" i="15"/>
  <c r="I35" i="15" s="1"/>
  <c r="E34" i="15"/>
  <c r="I34" i="15" s="1"/>
  <c r="E33" i="15"/>
  <c r="I33" i="15" s="1"/>
  <c r="E32" i="15"/>
  <c r="I32" i="15" s="1"/>
  <c r="E31" i="15"/>
  <c r="L31" i="15" s="1"/>
  <c r="E30" i="15"/>
  <c r="L30" i="15" s="1"/>
  <c r="E29" i="15"/>
  <c r="L29" i="15" s="1"/>
  <c r="E28" i="15"/>
  <c r="L28" i="15" s="1"/>
  <c r="E27" i="15"/>
  <c r="L27" i="15" s="1"/>
  <c r="E26" i="15"/>
  <c r="L26" i="15" s="1"/>
  <c r="D37" i="15"/>
  <c r="D36" i="15"/>
  <c r="D35" i="15"/>
  <c r="D34" i="15"/>
  <c r="D33" i="15"/>
  <c r="D32" i="15"/>
  <c r="D31" i="15"/>
  <c r="D30" i="15"/>
  <c r="D29" i="15"/>
  <c r="D28" i="15"/>
  <c r="D27" i="15"/>
  <c r="D26" i="15"/>
  <c r="B37" i="15"/>
  <c r="B36" i="15"/>
  <c r="B35" i="15"/>
  <c r="B34" i="15"/>
  <c r="B33" i="15"/>
  <c r="B32" i="15"/>
  <c r="B31" i="15"/>
  <c r="B30" i="15"/>
  <c r="B29" i="15"/>
  <c r="B28" i="15"/>
  <c r="B27" i="15"/>
  <c r="B26" i="15"/>
  <c r="M165" i="19"/>
  <c r="M164" i="19"/>
  <c r="M163" i="19"/>
  <c r="M162" i="19"/>
  <c r="M161" i="19"/>
  <c r="M160" i="19"/>
  <c r="M159" i="19"/>
  <c r="M158" i="19"/>
  <c r="M157" i="19"/>
  <c r="M156" i="19"/>
  <c r="M155" i="19"/>
  <c r="M154" i="19"/>
  <c r="M122" i="19"/>
  <c r="M121" i="19"/>
  <c r="M120" i="19"/>
  <c r="M119" i="19"/>
  <c r="M118" i="19"/>
  <c r="M117" i="19"/>
  <c r="M116" i="19"/>
  <c r="M115" i="19"/>
  <c r="M114" i="19"/>
  <c r="M113" i="19"/>
  <c r="M112" i="19"/>
  <c r="M111" i="19"/>
  <c r="M79" i="19"/>
  <c r="M78" i="19"/>
  <c r="M77" i="19"/>
  <c r="M76" i="19"/>
  <c r="M75" i="19"/>
  <c r="M74" i="19"/>
  <c r="M73" i="19"/>
  <c r="M72" i="19"/>
  <c r="M71" i="19"/>
  <c r="M70" i="19"/>
  <c r="M69" i="19"/>
  <c r="M68" i="19"/>
  <c r="D162" i="5" l="1"/>
  <c r="D165" i="5"/>
  <c r="D160" i="5"/>
  <c r="D168" i="5"/>
  <c r="D163" i="5"/>
  <c r="D158" i="5"/>
  <c r="D166" i="5"/>
  <c r="D161" i="5"/>
  <c r="D169" i="5"/>
  <c r="D164" i="5"/>
  <c r="D121" i="5"/>
  <c r="D116" i="5"/>
  <c r="D124" i="5"/>
  <c r="D114" i="5"/>
  <c r="D122" i="5"/>
  <c r="D117" i="5"/>
  <c r="D125" i="5"/>
  <c r="D74" i="5"/>
  <c r="D77" i="5"/>
  <c r="D72" i="5"/>
  <c r="D80" i="5"/>
  <c r="D70" i="5"/>
  <c r="D78" i="5"/>
  <c r="D73" i="5"/>
  <c r="D81" i="5"/>
  <c r="D76" i="5"/>
  <c r="N339" i="8"/>
  <c r="N163" i="6"/>
  <c r="N295" i="8"/>
  <c r="N471" i="7"/>
  <c r="N519" i="7"/>
  <c r="L116" i="17"/>
  <c r="L33" i="17"/>
  <c r="N295" i="6"/>
  <c r="N341" i="8"/>
  <c r="L72" i="17"/>
  <c r="N207" i="6"/>
  <c r="N251" i="8"/>
  <c r="N515" i="7"/>
  <c r="L28" i="17"/>
  <c r="M34" i="15"/>
  <c r="M35" i="15"/>
  <c r="M37" i="15"/>
  <c r="L75" i="15"/>
  <c r="M75" i="15"/>
  <c r="J75" i="15"/>
  <c r="M36" i="15"/>
  <c r="H75" i="15"/>
  <c r="K75" i="15"/>
  <c r="M31" i="15"/>
  <c r="M32" i="15"/>
  <c r="M33" i="15"/>
  <c r="N383" i="8"/>
  <c r="K119" i="15"/>
  <c r="H33" i="15"/>
  <c r="H120" i="15"/>
  <c r="H34" i="15"/>
  <c r="I120" i="15"/>
  <c r="H35" i="15"/>
  <c r="J120" i="15"/>
  <c r="H36" i="15"/>
  <c r="L70" i="15"/>
  <c r="H37" i="15"/>
  <c r="M70" i="15"/>
  <c r="I36" i="15"/>
  <c r="L119" i="15"/>
  <c r="I37" i="15"/>
  <c r="M119" i="15"/>
  <c r="M30" i="15"/>
  <c r="M28" i="15"/>
  <c r="D124" i="7"/>
  <c r="L121" i="17"/>
  <c r="E75" i="8"/>
  <c r="D29" i="6"/>
  <c r="K31" i="15"/>
  <c r="D251" i="8"/>
  <c r="K32" i="15"/>
  <c r="H116" i="15"/>
  <c r="K33" i="15"/>
  <c r="I116" i="15"/>
  <c r="L32" i="15"/>
  <c r="J116" i="15"/>
  <c r="D389" i="8"/>
  <c r="J31" i="15"/>
  <c r="L33" i="15"/>
  <c r="K116" i="15"/>
  <c r="D31" i="8"/>
  <c r="E75" i="6"/>
  <c r="J29" i="15"/>
  <c r="J32" i="15"/>
  <c r="K27" i="15"/>
  <c r="H27" i="15"/>
  <c r="L34" i="15"/>
  <c r="L116" i="15"/>
  <c r="J28" i="15"/>
  <c r="H28" i="15"/>
  <c r="L35" i="15"/>
  <c r="J33" i="15"/>
  <c r="K28" i="15"/>
  <c r="H29" i="15"/>
  <c r="L36" i="15"/>
  <c r="K30" i="15"/>
  <c r="H30" i="15"/>
  <c r="L37" i="15"/>
  <c r="H70" i="15"/>
  <c r="E119" i="6"/>
  <c r="E119" i="21"/>
  <c r="H31" i="15"/>
  <c r="M26" i="15"/>
  <c r="I70" i="15"/>
  <c r="J30" i="15"/>
  <c r="J34" i="15"/>
  <c r="J35" i="15"/>
  <c r="J36" i="15"/>
  <c r="J37" i="15"/>
  <c r="K29" i="15"/>
  <c r="H32" i="15"/>
  <c r="M27" i="15"/>
  <c r="K70" i="15"/>
  <c r="J119" i="15"/>
  <c r="D121" i="21"/>
  <c r="D75" i="21"/>
  <c r="D251" i="6"/>
  <c r="J26" i="15"/>
  <c r="J27" i="15"/>
  <c r="D295" i="8"/>
  <c r="D379" i="8"/>
  <c r="M29" i="15"/>
  <c r="L120" i="15"/>
  <c r="I125" i="15"/>
  <c r="D295" i="7"/>
  <c r="H26" i="15"/>
  <c r="M120" i="15"/>
  <c r="J125" i="15"/>
  <c r="D383" i="7"/>
  <c r="K125" i="15"/>
  <c r="D427" i="7"/>
  <c r="L125" i="15"/>
  <c r="D251" i="7"/>
  <c r="M125" i="15"/>
  <c r="D207" i="7"/>
  <c r="K26" i="15"/>
  <c r="H71" i="15"/>
  <c r="D36" i="8"/>
  <c r="D207" i="6"/>
  <c r="I71" i="15"/>
  <c r="J71" i="15"/>
  <c r="D117" i="7"/>
  <c r="E385" i="7"/>
  <c r="N385" i="7" s="1"/>
  <c r="K71" i="15"/>
  <c r="E429" i="7"/>
  <c r="N429" i="7" s="1"/>
  <c r="E31" i="6"/>
  <c r="L71" i="15"/>
  <c r="D27" i="7"/>
  <c r="D163" i="7"/>
  <c r="D163" i="6"/>
  <c r="D339" i="7"/>
  <c r="D383" i="8"/>
  <c r="D339" i="8"/>
  <c r="I26" i="15"/>
  <c r="K34" i="15"/>
  <c r="D119" i="7"/>
  <c r="I27" i="15"/>
  <c r="K35" i="15"/>
  <c r="H118" i="15"/>
  <c r="D207" i="8"/>
  <c r="I28" i="15"/>
  <c r="H77" i="15"/>
  <c r="I118" i="15"/>
  <c r="D29" i="7"/>
  <c r="D165" i="7"/>
  <c r="D163" i="8"/>
  <c r="D515" i="7"/>
  <c r="I29" i="15"/>
  <c r="I77" i="15"/>
  <c r="J118" i="15"/>
  <c r="D117" i="21"/>
  <c r="D212" i="7"/>
  <c r="D432" i="7"/>
  <c r="E248" i="6"/>
  <c r="N248" i="6" s="1"/>
  <c r="E385" i="8"/>
  <c r="N385" i="8" s="1"/>
  <c r="I30" i="15"/>
  <c r="J77" i="15"/>
  <c r="K118" i="15"/>
  <c r="D75" i="7"/>
  <c r="I31" i="15"/>
  <c r="K77" i="15"/>
  <c r="L118" i="15"/>
  <c r="N382" i="7"/>
  <c r="L77" i="15"/>
  <c r="D119" i="8"/>
  <c r="D213" i="6"/>
  <c r="D471" i="7"/>
  <c r="H119" i="15"/>
  <c r="D31" i="7"/>
  <c r="D291" i="7"/>
  <c r="D336" i="7"/>
  <c r="D165" i="8"/>
  <c r="D295" i="6"/>
  <c r="D114" i="17"/>
  <c r="E114" i="17"/>
  <c r="K114" i="17" s="1"/>
  <c r="K116" i="17"/>
  <c r="D119" i="17"/>
  <c r="F114" i="17"/>
  <c r="E119" i="17"/>
  <c r="K121" i="17"/>
  <c r="D124" i="17"/>
  <c r="F119" i="17"/>
  <c r="E124" i="17"/>
  <c r="F124" i="17"/>
  <c r="D117" i="17"/>
  <c r="E117" i="17"/>
  <c r="L117" i="17" s="1"/>
  <c r="D122" i="17"/>
  <c r="F117" i="17"/>
  <c r="E122" i="17"/>
  <c r="K122" i="17" s="1"/>
  <c r="F122" i="17"/>
  <c r="E115" i="17"/>
  <c r="K115" i="17" s="1"/>
  <c r="D120" i="17"/>
  <c r="F115" i="17"/>
  <c r="E120" i="17"/>
  <c r="L120" i="17" s="1"/>
  <c r="D125" i="17"/>
  <c r="F120" i="17"/>
  <c r="E125" i="17"/>
  <c r="K125" i="17" s="1"/>
  <c r="F125" i="17"/>
  <c r="D118" i="17"/>
  <c r="E118" i="17"/>
  <c r="D123" i="17"/>
  <c r="F118" i="17"/>
  <c r="E123" i="17"/>
  <c r="F123" i="17"/>
  <c r="D70" i="17"/>
  <c r="E70" i="17"/>
  <c r="K70" i="17" s="1"/>
  <c r="K72" i="17"/>
  <c r="D75" i="17"/>
  <c r="F70" i="17"/>
  <c r="E75" i="17"/>
  <c r="K77" i="17"/>
  <c r="D80" i="17"/>
  <c r="F75" i="17"/>
  <c r="E80" i="17"/>
  <c r="F80" i="17"/>
  <c r="D73" i="17"/>
  <c r="E73" i="17"/>
  <c r="D78" i="17"/>
  <c r="F73" i="17"/>
  <c r="E78" i="17"/>
  <c r="K78" i="17" s="1"/>
  <c r="F78" i="17"/>
  <c r="D71" i="17"/>
  <c r="E71" i="17"/>
  <c r="L71" i="17" s="1"/>
  <c r="D76" i="17"/>
  <c r="F71" i="17"/>
  <c r="E76" i="17"/>
  <c r="L76" i="17" s="1"/>
  <c r="D81" i="17"/>
  <c r="F76" i="17"/>
  <c r="E81" i="17"/>
  <c r="K81" i="17" s="1"/>
  <c r="F81" i="17"/>
  <c r="D74" i="17"/>
  <c r="E74" i="17"/>
  <c r="D79" i="17"/>
  <c r="F74" i="17"/>
  <c r="E79" i="17"/>
  <c r="F79" i="17"/>
  <c r="F31" i="17"/>
  <c r="E36" i="17"/>
  <c r="K36" i="17" s="1"/>
  <c r="F36" i="17"/>
  <c r="K26" i="17"/>
  <c r="D29" i="17"/>
  <c r="L26" i="17"/>
  <c r="E29" i="17"/>
  <c r="L29" i="17" s="1"/>
  <c r="K31" i="17"/>
  <c r="D34" i="17"/>
  <c r="F29" i="17"/>
  <c r="L31" i="17"/>
  <c r="E34" i="17"/>
  <c r="L34" i="17" s="1"/>
  <c r="F34" i="17"/>
  <c r="D27" i="17"/>
  <c r="D31" i="17"/>
  <c r="E27" i="17"/>
  <c r="L27" i="17" s="1"/>
  <c r="D32" i="17"/>
  <c r="F27" i="17"/>
  <c r="E32" i="17"/>
  <c r="L32" i="17" s="1"/>
  <c r="D37" i="17"/>
  <c r="F32" i="17"/>
  <c r="E37" i="17"/>
  <c r="L37" i="17" s="1"/>
  <c r="F37" i="17"/>
  <c r="D30" i="17"/>
  <c r="E30" i="17"/>
  <c r="D35" i="17"/>
  <c r="F30" i="17"/>
  <c r="E35" i="17"/>
  <c r="F35" i="17"/>
  <c r="D381" i="8"/>
  <c r="D388" i="8"/>
  <c r="D386" i="8"/>
  <c r="E386" i="8"/>
  <c r="N386" i="8" s="1"/>
  <c r="N381" i="8"/>
  <c r="D384" i="8"/>
  <c r="E384" i="8"/>
  <c r="N384" i="8" s="1"/>
  <c r="N388" i="8"/>
  <c r="N379" i="8"/>
  <c r="D382" i="8"/>
  <c r="E382" i="8"/>
  <c r="N382" i="8" s="1"/>
  <c r="D380" i="8"/>
  <c r="E380" i="8"/>
  <c r="N380" i="8" s="1"/>
  <c r="D387" i="8"/>
  <c r="E387" i="8"/>
  <c r="N387" i="8" s="1"/>
  <c r="D378" i="8"/>
  <c r="E378" i="8"/>
  <c r="N378" i="8" s="1"/>
  <c r="D385" i="8"/>
  <c r="N389" i="8"/>
  <c r="D337" i="8"/>
  <c r="E344" i="8"/>
  <c r="N344" i="8" s="1"/>
  <c r="D335" i="8"/>
  <c r="E335" i="8"/>
  <c r="N335" i="8" s="1"/>
  <c r="D342" i="8"/>
  <c r="E342" i="8"/>
  <c r="N342" i="8" s="1"/>
  <c r="N337" i="8"/>
  <c r="D340" i="8"/>
  <c r="E340" i="8"/>
  <c r="N340" i="8" s="1"/>
  <c r="D338" i="8"/>
  <c r="E338" i="8"/>
  <c r="N338" i="8" s="1"/>
  <c r="D345" i="8"/>
  <c r="E345" i="8"/>
  <c r="N345" i="8" s="1"/>
  <c r="D336" i="8"/>
  <c r="E336" i="8"/>
  <c r="N336" i="8" s="1"/>
  <c r="D343" i="8"/>
  <c r="E343" i="8"/>
  <c r="N343" i="8" s="1"/>
  <c r="D334" i="8"/>
  <c r="E334" i="8"/>
  <c r="N334" i="8" s="1"/>
  <c r="D341" i="8"/>
  <c r="D513" i="7"/>
  <c r="D518" i="7"/>
  <c r="E516" i="7"/>
  <c r="N516" i="7" s="1"/>
  <c r="N511" i="7"/>
  <c r="D514" i="7"/>
  <c r="N513" i="7"/>
  <c r="N518" i="7"/>
  <c r="E521" i="7"/>
  <c r="N521" i="7" s="1"/>
  <c r="E520" i="7"/>
  <c r="N520" i="7" s="1"/>
  <c r="D516" i="7"/>
  <c r="D512" i="7"/>
  <c r="E512" i="7"/>
  <c r="N512" i="7" s="1"/>
  <c r="D519" i="7"/>
  <c r="D520" i="7"/>
  <c r="D511" i="7"/>
  <c r="D510" i="7"/>
  <c r="E510" i="7"/>
  <c r="N510" i="7" s="1"/>
  <c r="N514" i="7"/>
  <c r="D517" i="7"/>
  <c r="E517" i="7"/>
  <c r="N517" i="7" s="1"/>
  <c r="D469" i="7"/>
  <c r="N467" i="7"/>
  <c r="D470" i="7"/>
  <c r="D474" i="7"/>
  <c r="E477" i="7"/>
  <c r="N477" i="7" s="1"/>
  <c r="D468" i="7"/>
  <c r="D476" i="7"/>
  <c r="D467" i="7"/>
  <c r="E468" i="7"/>
  <c r="N468" i="7" s="1"/>
  <c r="D475" i="7"/>
  <c r="E469" i="7"/>
  <c r="N469" i="7" s="1"/>
  <c r="E474" i="7"/>
  <c r="N474" i="7" s="1"/>
  <c r="E475" i="7"/>
  <c r="N475" i="7" s="1"/>
  <c r="E466" i="7"/>
  <c r="N466" i="7" s="1"/>
  <c r="E476" i="7"/>
  <c r="N476" i="7" s="1"/>
  <c r="N470" i="7"/>
  <c r="D473" i="7"/>
  <c r="E472" i="7"/>
  <c r="N472" i="7" s="1"/>
  <c r="E473" i="7"/>
  <c r="N473" i="7" s="1"/>
  <c r="N300" i="6"/>
  <c r="D293" i="6"/>
  <c r="N293" i="6"/>
  <c r="D296" i="6"/>
  <c r="E296" i="6"/>
  <c r="N296" i="6" s="1"/>
  <c r="N291" i="6"/>
  <c r="D294" i="6"/>
  <c r="E301" i="6"/>
  <c r="N301" i="6" s="1"/>
  <c r="D292" i="6"/>
  <c r="E292" i="6"/>
  <c r="N292" i="6" s="1"/>
  <c r="D300" i="6"/>
  <c r="D291" i="6"/>
  <c r="D299" i="6"/>
  <c r="E299" i="6"/>
  <c r="N299" i="6" s="1"/>
  <c r="E290" i="6"/>
  <c r="N290" i="6" s="1"/>
  <c r="E298" i="6"/>
  <c r="N298" i="6" s="1"/>
  <c r="E297" i="6"/>
  <c r="N297" i="6" s="1"/>
  <c r="D249" i="6"/>
  <c r="D247" i="6"/>
  <c r="D254" i="6"/>
  <c r="E252" i="6"/>
  <c r="N252" i="6" s="1"/>
  <c r="N247" i="6"/>
  <c r="D250" i="6"/>
  <c r="E250" i="6"/>
  <c r="N250" i="6" s="1"/>
  <c r="N254" i="6"/>
  <c r="E256" i="6"/>
  <c r="N256" i="6" s="1"/>
  <c r="E257" i="6"/>
  <c r="N257" i="6" s="1"/>
  <c r="D248" i="6"/>
  <c r="D255" i="6"/>
  <c r="E255" i="6"/>
  <c r="N255" i="6" s="1"/>
  <c r="D246" i="6"/>
  <c r="E249" i="6"/>
  <c r="N249" i="6" s="1"/>
  <c r="E246" i="6"/>
  <c r="N246" i="6" s="1"/>
  <c r="D256" i="6"/>
  <c r="D253" i="6"/>
  <c r="E253" i="6"/>
  <c r="N253" i="6" s="1"/>
  <c r="D256" i="8"/>
  <c r="E252" i="8"/>
  <c r="N252" i="8" s="1"/>
  <c r="D250" i="8"/>
  <c r="E249" i="8"/>
  <c r="N249" i="8" s="1"/>
  <c r="E256" i="8"/>
  <c r="N256" i="8" s="1"/>
  <c r="E254" i="8"/>
  <c r="N254" i="8" s="1"/>
  <c r="D247" i="8"/>
  <c r="E257" i="8"/>
  <c r="N257" i="8" s="1"/>
  <c r="D254" i="8"/>
  <c r="D248" i="8"/>
  <c r="D252" i="8"/>
  <c r="E248" i="8"/>
  <c r="N248" i="8" s="1"/>
  <c r="D255" i="8"/>
  <c r="D249" i="8"/>
  <c r="E247" i="8"/>
  <c r="N247" i="8" s="1"/>
  <c r="E255" i="8"/>
  <c r="N255" i="8" s="1"/>
  <c r="D246" i="8"/>
  <c r="E246" i="8"/>
  <c r="N246" i="8" s="1"/>
  <c r="N250" i="8"/>
  <c r="D253" i="8"/>
  <c r="E253" i="8"/>
  <c r="N253" i="8" s="1"/>
  <c r="E298" i="8"/>
  <c r="N298" i="8" s="1"/>
  <c r="N300" i="8"/>
  <c r="E296" i="8"/>
  <c r="N296" i="8" s="1"/>
  <c r="N291" i="8"/>
  <c r="D294" i="8"/>
  <c r="D293" i="8"/>
  <c r="D300" i="8"/>
  <c r="D291" i="8"/>
  <c r="E301" i="8"/>
  <c r="N301" i="8" s="1"/>
  <c r="D292" i="8"/>
  <c r="E292" i="8"/>
  <c r="N292" i="8" s="1"/>
  <c r="D299" i="8"/>
  <c r="E293" i="8"/>
  <c r="N293" i="8" s="1"/>
  <c r="E299" i="8"/>
  <c r="N299" i="8" s="1"/>
  <c r="D290" i="8"/>
  <c r="E290" i="8"/>
  <c r="N290" i="8" s="1"/>
  <c r="N294" i="8"/>
  <c r="D297" i="8"/>
  <c r="E297" i="8"/>
  <c r="N297" i="8" s="1"/>
  <c r="D381" i="7"/>
  <c r="D386" i="7"/>
  <c r="E384" i="7"/>
  <c r="N384" i="7" s="1"/>
  <c r="N379" i="7"/>
  <c r="D382" i="7"/>
  <c r="D379" i="7"/>
  <c r="D384" i="7"/>
  <c r="N386" i="7"/>
  <c r="E388" i="7"/>
  <c r="N388" i="7" s="1"/>
  <c r="E389" i="7"/>
  <c r="N389" i="7" s="1"/>
  <c r="D380" i="7"/>
  <c r="E381" i="7"/>
  <c r="N381" i="7" s="1"/>
  <c r="E380" i="7"/>
  <c r="N380" i="7" s="1"/>
  <c r="D387" i="7"/>
  <c r="E387" i="7"/>
  <c r="N387" i="7" s="1"/>
  <c r="D378" i="7"/>
  <c r="E378" i="7"/>
  <c r="N378" i="7" s="1"/>
  <c r="D388" i="7"/>
  <c r="D385" i="7"/>
  <c r="D425" i="7"/>
  <c r="N432" i="7"/>
  <c r="E423" i="7"/>
  <c r="N423" i="7" s="1"/>
  <c r="D426" i="7"/>
  <c r="E430" i="7"/>
  <c r="N430" i="7" s="1"/>
  <c r="E433" i="7"/>
  <c r="N433" i="7" s="1"/>
  <c r="D430" i="7"/>
  <c r="D424" i="7"/>
  <c r="E424" i="7"/>
  <c r="N424" i="7" s="1"/>
  <c r="N428" i="7"/>
  <c r="D431" i="7"/>
  <c r="D428" i="7"/>
  <c r="E431" i="7"/>
  <c r="N431" i="7" s="1"/>
  <c r="D422" i="7"/>
  <c r="E422" i="7"/>
  <c r="N422" i="7" s="1"/>
  <c r="N426" i="7"/>
  <c r="D429" i="7"/>
  <c r="E425" i="7"/>
  <c r="N425" i="7" s="1"/>
  <c r="E205" i="6"/>
  <c r="N205" i="6" s="1"/>
  <c r="D210" i="6"/>
  <c r="E208" i="6"/>
  <c r="N208" i="6" s="1"/>
  <c r="D206" i="6"/>
  <c r="D205" i="6"/>
  <c r="E212" i="6"/>
  <c r="N212" i="6" s="1"/>
  <c r="D212" i="6"/>
  <c r="D204" i="6"/>
  <c r="E204" i="6"/>
  <c r="N204" i="6" s="1"/>
  <c r="D211" i="6"/>
  <c r="D203" i="6"/>
  <c r="E210" i="6"/>
  <c r="N210" i="6" s="1"/>
  <c r="E211" i="6"/>
  <c r="N211" i="6" s="1"/>
  <c r="D202" i="6"/>
  <c r="E202" i="6"/>
  <c r="N202" i="6" s="1"/>
  <c r="N206" i="6"/>
  <c r="D209" i="6"/>
  <c r="E203" i="6"/>
  <c r="N203" i="6" s="1"/>
  <c r="E209" i="6"/>
  <c r="N209" i="6" s="1"/>
  <c r="N213" i="6"/>
  <c r="E159" i="6"/>
  <c r="N159" i="6" s="1"/>
  <c r="N161" i="6"/>
  <c r="E164" i="6"/>
  <c r="N164" i="6" s="1"/>
  <c r="D162" i="6"/>
  <c r="D164" i="6"/>
  <c r="E169" i="6"/>
  <c r="N169" i="6" s="1"/>
  <c r="D168" i="6"/>
  <c r="D160" i="6"/>
  <c r="E168" i="6"/>
  <c r="N168" i="6" s="1"/>
  <c r="E160" i="6"/>
  <c r="N160" i="6" s="1"/>
  <c r="D161" i="6"/>
  <c r="D159" i="6"/>
  <c r="E166" i="6"/>
  <c r="N166" i="6" s="1"/>
  <c r="D167" i="6"/>
  <c r="E167" i="6"/>
  <c r="N167" i="6" s="1"/>
  <c r="D158" i="6"/>
  <c r="E158" i="6"/>
  <c r="N158" i="6" s="1"/>
  <c r="N162" i="6"/>
  <c r="D165" i="6"/>
  <c r="E165" i="6"/>
  <c r="N165" i="6" s="1"/>
  <c r="D205" i="8"/>
  <c r="E212" i="8"/>
  <c r="D210" i="8"/>
  <c r="E210" i="8"/>
  <c r="D208" i="8"/>
  <c r="E208" i="8"/>
  <c r="D203" i="8"/>
  <c r="D206" i="8"/>
  <c r="E206" i="8"/>
  <c r="D213" i="8"/>
  <c r="E213" i="8"/>
  <c r="E204" i="8"/>
  <c r="D211" i="8"/>
  <c r="E211" i="8"/>
  <c r="D202" i="8"/>
  <c r="E202" i="8"/>
  <c r="D209" i="8"/>
  <c r="E209" i="8"/>
  <c r="E161" i="8"/>
  <c r="E168" i="8"/>
  <c r="D159" i="8"/>
  <c r="E159" i="8"/>
  <c r="D166" i="8"/>
  <c r="E166" i="8"/>
  <c r="D164" i="8"/>
  <c r="E164" i="8"/>
  <c r="D162" i="8"/>
  <c r="E162" i="8"/>
  <c r="D169" i="8"/>
  <c r="E169" i="8"/>
  <c r="D160" i="8"/>
  <c r="E160" i="8"/>
  <c r="D167" i="8"/>
  <c r="E167" i="8"/>
  <c r="D158" i="8"/>
  <c r="E158" i="8"/>
  <c r="D117" i="8"/>
  <c r="E124" i="8"/>
  <c r="D115" i="8"/>
  <c r="E115" i="8"/>
  <c r="D122" i="8"/>
  <c r="E122" i="8"/>
  <c r="D120" i="8"/>
  <c r="E120" i="8"/>
  <c r="E118" i="8"/>
  <c r="D125" i="8"/>
  <c r="E125" i="8"/>
  <c r="D116" i="8"/>
  <c r="E116" i="8"/>
  <c r="D123" i="8"/>
  <c r="E123" i="8"/>
  <c r="E114" i="8"/>
  <c r="D121" i="8"/>
  <c r="E121" i="8"/>
  <c r="D73" i="8"/>
  <c r="E73" i="8"/>
  <c r="E80" i="8"/>
  <c r="E71" i="8"/>
  <c r="D78" i="8"/>
  <c r="E78" i="8"/>
  <c r="D76" i="8"/>
  <c r="E76" i="8"/>
  <c r="D74" i="8"/>
  <c r="E74" i="8"/>
  <c r="D81" i="8"/>
  <c r="E81" i="8"/>
  <c r="D72" i="8"/>
  <c r="E72" i="8"/>
  <c r="D79" i="8"/>
  <c r="E79" i="8"/>
  <c r="E70" i="8"/>
  <c r="D77" i="8"/>
  <c r="E77" i="8"/>
  <c r="E29" i="8"/>
  <c r="E34" i="8"/>
  <c r="D32" i="8"/>
  <c r="E32" i="8"/>
  <c r="D30" i="8"/>
  <c r="D27" i="8"/>
  <c r="E30" i="8"/>
  <c r="D37" i="8"/>
  <c r="E37" i="8"/>
  <c r="D28" i="8"/>
  <c r="E28" i="8"/>
  <c r="D35" i="8"/>
  <c r="E35" i="8"/>
  <c r="D26" i="8"/>
  <c r="E26" i="8"/>
  <c r="D33" i="8"/>
  <c r="E33" i="8"/>
  <c r="D337" i="7"/>
  <c r="E344" i="7"/>
  <c r="D335" i="7"/>
  <c r="E335" i="7"/>
  <c r="D342" i="7"/>
  <c r="E342" i="7"/>
  <c r="D340" i="7"/>
  <c r="E340" i="7"/>
  <c r="D338" i="7"/>
  <c r="E338" i="7"/>
  <c r="D345" i="7"/>
  <c r="E345" i="7"/>
  <c r="D343" i="7"/>
  <c r="E343" i="7"/>
  <c r="D334" i="7"/>
  <c r="E334" i="7"/>
  <c r="D341" i="7"/>
  <c r="E341" i="7"/>
  <c r="D293" i="7"/>
  <c r="E293" i="7"/>
  <c r="E300" i="7"/>
  <c r="D298" i="7"/>
  <c r="E298" i="7"/>
  <c r="D296" i="7"/>
  <c r="E296" i="7"/>
  <c r="D294" i="7"/>
  <c r="E294" i="7"/>
  <c r="D301" i="7"/>
  <c r="E301" i="7"/>
  <c r="E292" i="7"/>
  <c r="D299" i="7"/>
  <c r="E299" i="7"/>
  <c r="D290" i="7"/>
  <c r="E290" i="7"/>
  <c r="D297" i="7"/>
  <c r="E297" i="7"/>
  <c r="E249" i="7"/>
  <c r="D256" i="7"/>
  <c r="E256" i="7"/>
  <c r="D247" i="7"/>
  <c r="E247" i="7"/>
  <c r="D254" i="7"/>
  <c r="E254" i="7"/>
  <c r="D252" i="7"/>
  <c r="E252" i="7"/>
  <c r="E250" i="7"/>
  <c r="D257" i="7"/>
  <c r="E257" i="7"/>
  <c r="D248" i="7"/>
  <c r="E248" i="7"/>
  <c r="D255" i="7"/>
  <c r="E255" i="7"/>
  <c r="E246" i="7"/>
  <c r="D253" i="7"/>
  <c r="E253" i="7"/>
  <c r="D205" i="7"/>
  <c r="D203" i="7"/>
  <c r="E203" i="7"/>
  <c r="D210" i="7"/>
  <c r="E210" i="7"/>
  <c r="D208" i="7"/>
  <c r="E208" i="7"/>
  <c r="D206" i="7"/>
  <c r="E206" i="7"/>
  <c r="D213" i="7"/>
  <c r="E213" i="7"/>
  <c r="E205" i="7"/>
  <c r="D204" i="7"/>
  <c r="E204" i="7"/>
  <c r="D211" i="7"/>
  <c r="E211" i="7"/>
  <c r="D202" i="7"/>
  <c r="E202" i="7"/>
  <c r="D209" i="7"/>
  <c r="E209" i="7"/>
  <c r="E168" i="7"/>
  <c r="D159" i="7"/>
  <c r="E159" i="7"/>
  <c r="D166" i="7"/>
  <c r="E161" i="7"/>
  <c r="E166" i="7"/>
  <c r="D164" i="7"/>
  <c r="E164" i="7"/>
  <c r="D162" i="7"/>
  <c r="E162" i="7"/>
  <c r="D169" i="7"/>
  <c r="E169" i="7"/>
  <c r="D160" i="7"/>
  <c r="E160" i="7"/>
  <c r="D167" i="7"/>
  <c r="E167" i="7"/>
  <c r="D158" i="7"/>
  <c r="E158" i="7"/>
  <c r="E122" i="7"/>
  <c r="D120" i="7"/>
  <c r="E120" i="7"/>
  <c r="D118" i="7"/>
  <c r="E118" i="7"/>
  <c r="D125" i="7"/>
  <c r="E115" i="7"/>
  <c r="E125" i="7"/>
  <c r="D116" i="7"/>
  <c r="E116" i="7"/>
  <c r="D123" i="7"/>
  <c r="E123" i="7"/>
  <c r="D114" i="7"/>
  <c r="E114" i="7"/>
  <c r="D121" i="7"/>
  <c r="E121" i="7"/>
  <c r="D73" i="7"/>
  <c r="D80" i="7"/>
  <c r="E80" i="7"/>
  <c r="D71" i="7"/>
  <c r="E71" i="7"/>
  <c r="D78" i="7"/>
  <c r="E78" i="7"/>
  <c r="D76" i="7"/>
  <c r="E76" i="7"/>
  <c r="E74" i="7"/>
  <c r="D81" i="7"/>
  <c r="E81" i="7"/>
  <c r="D72" i="7"/>
  <c r="E72" i="7"/>
  <c r="D79" i="7"/>
  <c r="E79" i="7"/>
  <c r="D70" i="7"/>
  <c r="E70" i="7"/>
  <c r="D77" i="7"/>
  <c r="E77" i="7"/>
  <c r="D36" i="7"/>
  <c r="E36" i="7"/>
  <c r="D34" i="7"/>
  <c r="E34" i="7"/>
  <c r="D32" i="7"/>
  <c r="E32" i="7"/>
  <c r="D30" i="7"/>
  <c r="E30" i="7"/>
  <c r="D37" i="7"/>
  <c r="E37" i="7"/>
  <c r="D28" i="7"/>
  <c r="E28" i="7"/>
  <c r="D35" i="7"/>
  <c r="E35" i="7"/>
  <c r="D26" i="7"/>
  <c r="E26" i="7"/>
  <c r="D33" i="7"/>
  <c r="E33" i="7"/>
  <c r="D117" i="6"/>
  <c r="E124" i="6"/>
  <c r="D115" i="6"/>
  <c r="E115" i="6"/>
  <c r="D122" i="6"/>
  <c r="E122" i="6"/>
  <c r="D120" i="6"/>
  <c r="E120" i="6"/>
  <c r="E118" i="6"/>
  <c r="D125" i="6"/>
  <c r="E125" i="6"/>
  <c r="D116" i="6"/>
  <c r="E116" i="6"/>
  <c r="D123" i="6"/>
  <c r="E123" i="6"/>
  <c r="D114" i="6"/>
  <c r="E114" i="6"/>
  <c r="D121" i="6"/>
  <c r="E121" i="6"/>
  <c r="E73" i="6"/>
  <c r="D80" i="6"/>
  <c r="E80" i="6"/>
  <c r="D71" i="6"/>
  <c r="E71" i="6"/>
  <c r="D78" i="6"/>
  <c r="E78" i="6"/>
  <c r="D76" i="6"/>
  <c r="E76" i="6"/>
  <c r="E74" i="6"/>
  <c r="D81" i="6"/>
  <c r="E81" i="6"/>
  <c r="D72" i="6"/>
  <c r="E72" i="6"/>
  <c r="D79" i="6"/>
  <c r="E79" i="6"/>
  <c r="E70" i="6"/>
  <c r="E77" i="6"/>
  <c r="D36" i="6"/>
  <c r="E36" i="6"/>
  <c r="E27" i="6"/>
  <c r="D34" i="6"/>
  <c r="E34" i="6"/>
  <c r="D32" i="6"/>
  <c r="E32" i="6"/>
  <c r="E30" i="6"/>
  <c r="D37" i="6"/>
  <c r="E37" i="6"/>
  <c r="D28" i="6"/>
  <c r="E28" i="6"/>
  <c r="D35" i="6"/>
  <c r="E35" i="6"/>
  <c r="E26" i="6"/>
  <c r="D33" i="6"/>
  <c r="E33" i="6"/>
  <c r="D124" i="21"/>
  <c r="E124" i="21"/>
  <c r="E115" i="21"/>
  <c r="D122" i="21"/>
  <c r="E122" i="21"/>
  <c r="D120" i="21"/>
  <c r="E120" i="21"/>
  <c r="D118" i="21"/>
  <c r="E118" i="21"/>
  <c r="D125" i="21"/>
  <c r="E125" i="21"/>
  <c r="E116" i="21"/>
  <c r="D123" i="21"/>
  <c r="E123" i="21"/>
  <c r="D114" i="21"/>
  <c r="E114" i="21"/>
  <c r="D73" i="21"/>
  <c r="E73" i="21"/>
  <c r="D80" i="21"/>
  <c r="E80" i="21"/>
  <c r="D71" i="21"/>
  <c r="E71" i="21"/>
  <c r="D78" i="21"/>
  <c r="E78" i="21"/>
  <c r="D76" i="21"/>
  <c r="E76" i="21"/>
  <c r="E74" i="21"/>
  <c r="D81" i="21"/>
  <c r="E81" i="21"/>
  <c r="D72" i="21"/>
  <c r="E72" i="21"/>
  <c r="D79" i="21"/>
  <c r="E79" i="21"/>
  <c r="D70" i="21"/>
  <c r="E70" i="21"/>
  <c r="D77" i="21"/>
  <c r="E77" i="21"/>
  <c r="D29" i="21"/>
  <c r="D31" i="21"/>
  <c r="E36" i="21"/>
  <c r="D27" i="21"/>
  <c r="D34" i="21"/>
  <c r="E34" i="21"/>
  <c r="D32" i="21"/>
  <c r="E32" i="21"/>
  <c r="E30" i="21"/>
  <c r="D37" i="21"/>
  <c r="E37" i="21"/>
  <c r="D28" i="21"/>
  <c r="E28" i="21"/>
  <c r="D35" i="21"/>
  <c r="E35" i="21"/>
  <c r="E26" i="21"/>
  <c r="D33" i="21"/>
  <c r="E33" i="21"/>
  <c r="D120" i="15"/>
  <c r="D114" i="15"/>
  <c r="E114" i="15"/>
  <c r="D121" i="15"/>
  <c r="E121" i="15"/>
  <c r="D115" i="15"/>
  <c r="E115" i="15"/>
  <c r="D122" i="15"/>
  <c r="E122" i="15"/>
  <c r="D116" i="15"/>
  <c r="D123" i="15"/>
  <c r="E123" i="15"/>
  <c r="D117" i="15"/>
  <c r="E117" i="15"/>
  <c r="D124" i="15"/>
  <c r="E124" i="15"/>
  <c r="D118" i="15"/>
  <c r="D125" i="15"/>
  <c r="D76" i="15"/>
  <c r="E76" i="15"/>
  <c r="D70" i="15"/>
  <c r="D78" i="15"/>
  <c r="E78" i="15"/>
  <c r="D72" i="15"/>
  <c r="E72" i="15"/>
  <c r="D79" i="15"/>
  <c r="E79" i="15"/>
  <c r="E73" i="15"/>
  <c r="D71" i="15"/>
  <c r="F71" i="15"/>
  <c r="F73" i="15"/>
  <c r="D80" i="15"/>
  <c r="E80" i="15"/>
  <c r="D74" i="15"/>
  <c r="E74" i="15"/>
  <c r="D81" i="15"/>
  <c r="E81" i="15"/>
  <c r="F27" i="20"/>
  <c r="F26" i="20"/>
  <c r="B26" i="20"/>
  <c r="E26" i="20" s="1"/>
  <c r="F169" i="20"/>
  <c r="B169" i="20"/>
  <c r="E169" i="20" s="1"/>
  <c r="F168" i="20"/>
  <c r="B168" i="20"/>
  <c r="E168" i="20" s="1"/>
  <c r="F167" i="20"/>
  <c r="B167" i="20"/>
  <c r="E167" i="20" s="1"/>
  <c r="F166" i="20"/>
  <c r="B166" i="20"/>
  <c r="E166" i="20" s="1"/>
  <c r="F165" i="20"/>
  <c r="B165" i="20"/>
  <c r="E165" i="20" s="1"/>
  <c r="F164" i="20"/>
  <c r="B164" i="20"/>
  <c r="E164" i="20" s="1"/>
  <c r="F163" i="20"/>
  <c r="B163" i="20"/>
  <c r="D163" i="20" s="1"/>
  <c r="F162" i="20"/>
  <c r="B162" i="20"/>
  <c r="E162" i="20" s="1"/>
  <c r="F161" i="20"/>
  <c r="B161" i="20"/>
  <c r="E161" i="20" s="1"/>
  <c r="F160" i="20"/>
  <c r="B160" i="20"/>
  <c r="E160" i="20" s="1"/>
  <c r="F159" i="20"/>
  <c r="B159" i="20"/>
  <c r="E159" i="20" s="1"/>
  <c r="F158" i="20"/>
  <c r="B158" i="20"/>
  <c r="F125" i="20"/>
  <c r="B125" i="20"/>
  <c r="E125" i="20" s="1"/>
  <c r="F124" i="20"/>
  <c r="B124" i="20"/>
  <c r="E124" i="20" s="1"/>
  <c r="F123" i="20"/>
  <c r="B123" i="20"/>
  <c r="E123" i="20" s="1"/>
  <c r="F122" i="20"/>
  <c r="B122" i="20"/>
  <c r="E122" i="20" s="1"/>
  <c r="F121" i="20"/>
  <c r="B121" i="20"/>
  <c r="E121" i="20" s="1"/>
  <c r="F120" i="20"/>
  <c r="B120" i="20"/>
  <c r="E120" i="20" s="1"/>
  <c r="F119" i="20"/>
  <c r="B119" i="20"/>
  <c r="D119" i="20" s="1"/>
  <c r="F118" i="20"/>
  <c r="B118" i="20"/>
  <c r="E118" i="20" s="1"/>
  <c r="F117" i="20"/>
  <c r="B117" i="20"/>
  <c r="E117" i="20" s="1"/>
  <c r="F116" i="20"/>
  <c r="B116" i="20"/>
  <c r="E116" i="20" s="1"/>
  <c r="F115" i="20"/>
  <c r="B115" i="20"/>
  <c r="E115" i="20" s="1"/>
  <c r="F114" i="20"/>
  <c r="B114" i="20"/>
  <c r="D114" i="20" s="1"/>
  <c r="F81" i="20"/>
  <c r="B81" i="20"/>
  <c r="E81" i="20" s="1"/>
  <c r="F80" i="20"/>
  <c r="B80" i="20"/>
  <c r="E80" i="20" s="1"/>
  <c r="F79" i="20"/>
  <c r="B79" i="20"/>
  <c r="E79" i="20" s="1"/>
  <c r="F78" i="20"/>
  <c r="B78" i="20"/>
  <c r="E78" i="20" s="1"/>
  <c r="F77" i="20"/>
  <c r="B77" i="20"/>
  <c r="D77" i="20" s="1"/>
  <c r="F76" i="20"/>
  <c r="B76" i="20"/>
  <c r="E76" i="20" s="1"/>
  <c r="F75" i="20"/>
  <c r="B75" i="20"/>
  <c r="F74" i="20"/>
  <c r="B74" i="20"/>
  <c r="E74" i="20" s="1"/>
  <c r="F73" i="20"/>
  <c r="B73" i="20"/>
  <c r="E73" i="20" s="1"/>
  <c r="F72" i="20"/>
  <c r="B72" i="20"/>
  <c r="D72" i="20" s="1"/>
  <c r="F71" i="20"/>
  <c r="B71" i="20"/>
  <c r="E71" i="20" s="1"/>
  <c r="F70" i="20"/>
  <c r="B70" i="20"/>
  <c r="E70" i="20" s="1"/>
  <c r="F37" i="20"/>
  <c r="B37" i="20"/>
  <c r="E37" i="20" s="1"/>
  <c r="F36" i="20"/>
  <c r="B36" i="20"/>
  <c r="E36" i="20" s="1"/>
  <c r="F35" i="20"/>
  <c r="B35" i="20"/>
  <c r="E35" i="20" s="1"/>
  <c r="F34" i="20"/>
  <c r="B34" i="20"/>
  <c r="E34" i="20" s="1"/>
  <c r="F33" i="20"/>
  <c r="B33" i="20"/>
  <c r="E33" i="20" s="1"/>
  <c r="F32" i="20"/>
  <c r="B32" i="20"/>
  <c r="D32" i="20" s="1"/>
  <c r="F31" i="20"/>
  <c r="B31" i="20"/>
  <c r="E31" i="20" s="1"/>
  <c r="F30" i="20"/>
  <c r="B30" i="20"/>
  <c r="E30" i="20" s="1"/>
  <c r="F29" i="20"/>
  <c r="B29" i="20"/>
  <c r="E29" i="20" s="1"/>
  <c r="F28" i="20"/>
  <c r="B28" i="20"/>
  <c r="B27" i="20"/>
  <c r="E27" i="20" s="1"/>
  <c r="F253" i="13"/>
  <c r="B249" i="13"/>
  <c r="F257" i="13"/>
  <c r="B257" i="13"/>
  <c r="E257" i="13" s="1"/>
  <c r="F256" i="13"/>
  <c r="B256" i="13"/>
  <c r="E256" i="13" s="1"/>
  <c r="F255" i="13"/>
  <c r="B255" i="13"/>
  <c r="E255" i="13" s="1"/>
  <c r="F254" i="13"/>
  <c r="B254" i="13"/>
  <c r="D254" i="13" s="1"/>
  <c r="B253" i="13"/>
  <c r="D253" i="13" s="1"/>
  <c r="F252" i="13"/>
  <c r="B252" i="13"/>
  <c r="E252" i="13" s="1"/>
  <c r="F251" i="13"/>
  <c r="B251" i="13"/>
  <c r="D251" i="13" s="1"/>
  <c r="F250" i="13"/>
  <c r="B250" i="13"/>
  <c r="D250" i="13" s="1"/>
  <c r="F249" i="13"/>
  <c r="F248" i="13"/>
  <c r="B248" i="13"/>
  <c r="E248" i="13" s="1"/>
  <c r="F247" i="13"/>
  <c r="B247" i="13"/>
  <c r="D247" i="13" s="1"/>
  <c r="F246" i="13"/>
  <c r="B246" i="13"/>
  <c r="E246" i="13" s="1"/>
  <c r="F213" i="13"/>
  <c r="B213" i="13"/>
  <c r="D213" i="13" s="1"/>
  <c r="F212" i="13"/>
  <c r="B212" i="13"/>
  <c r="E212" i="13" s="1"/>
  <c r="F211" i="13"/>
  <c r="B211" i="13"/>
  <c r="E211" i="13" s="1"/>
  <c r="F210" i="13"/>
  <c r="B210" i="13"/>
  <c r="D210" i="13" s="1"/>
  <c r="F209" i="13"/>
  <c r="B209" i="13"/>
  <c r="E209" i="13" s="1"/>
  <c r="F208" i="13"/>
  <c r="B208" i="13"/>
  <c r="E208" i="13" s="1"/>
  <c r="F207" i="13"/>
  <c r="B207" i="13"/>
  <c r="D207" i="13" s="1"/>
  <c r="F206" i="13"/>
  <c r="B206" i="13"/>
  <c r="E206" i="13" s="1"/>
  <c r="F205" i="13"/>
  <c r="B205" i="13"/>
  <c r="E205" i="13" s="1"/>
  <c r="F204" i="13"/>
  <c r="B204" i="13"/>
  <c r="D204" i="13" s="1"/>
  <c r="F203" i="13"/>
  <c r="B203" i="13"/>
  <c r="D203" i="13" s="1"/>
  <c r="F202" i="13"/>
  <c r="B202" i="13"/>
  <c r="E202" i="13" s="1"/>
  <c r="F169" i="13"/>
  <c r="B169" i="13"/>
  <c r="E169" i="13" s="1"/>
  <c r="F168" i="13"/>
  <c r="B168" i="13"/>
  <c r="E168" i="13" s="1"/>
  <c r="F167" i="13"/>
  <c r="B167" i="13"/>
  <c r="D167" i="13" s="1"/>
  <c r="F166" i="13"/>
  <c r="B166" i="13"/>
  <c r="D166" i="13" s="1"/>
  <c r="F165" i="13"/>
  <c r="B165" i="13"/>
  <c r="D165" i="13" s="1"/>
  <c r="F164" i="13"/>
  <c r="B164" i="13"/>
  <c r="D164" i="13" s="1"/>
  <c r="F163" i="13"/>
  <c r="B163" i="13"/>
  <c r="F162" i="13"/>
  <c r="B162" i="13"/>
  <c r="E162" i="13" s="1"/>
  <c r="F161" i="13"/>
  <c r="B161" i="13"/>
  <c r="E161" i="13" s="1"/>
  <c r="F160" i="13"/>
  <c r="B160" i="13"/>
  <c r="D160" i="13" s="1"/>
  <c r="F159" i="13"/>
  <c r="B159" i="13"/>
  <c r="E159" i="13" s="1"/>
  <c r="F158" i="13"/>
  <c r="B158" i="13"/>
  <c r="D158" i="13" s="1"/>
  <c r="F125" i="13"/>
  <c r="B125" i="13"/>
  <c r="E125" i="13" s="1"/>
  <c r="N125" i="13" s="1"/>
  <c r="F124" i="13"/>
  <c r="B124" i="13"/>
  <c r="D124" i="13" s="1"/>
  <c r="F123" i="13"/>
  <c r="B123" i="13"/>
  <c r="D123" i="13" s="1"/>
  <c r="F122" i="13"/>
  <c r="B122" i="13"/>
  <c r="D122" i="13" s="1"/>
  <c r="F121" i="13"/>
  <c r="B121" i="13"/>
  <c r="D121" i="13" s="1"/>
  <c r="F120" i="13"/>
  <c r="B120" i="13"/>
  <c r="E120" i="13" s="1"/>
  <c r="F119" i="13"/>
  <c r="B119" i="13"/>
  <c r="D119" i="13" s="1"/>
  <c r="F118" i="13"/>
  <c r="B118" i="13"/>
  <c r="E118" i="13" s="1"/>
  <c r="F117" i="13"/>
  <c r="B117" i="13"/>
  <c r="E117" i="13" s="1"/>
  <c r="F116" i="13"/>
  <c r="B116" i="13"/>
  <c r="E116" i="13" s="1"/>
  <c r="F115" i="13"/>
  <c r="B115" i="13"/>
  <c r="D115" i="13" s="1"/>
  <c r="F114" i="13"/>
  <c r="B114" i="13"/>
  <c r="D114" i="13" s="1"/>
  <c r="F81" i="13"/>
  <c r="B81" i="13"/>
  <c r="E81" i="13" s="1"/>
  <c r="F80" i="13"/>
  <c r="B80" i="13"/>
  <c r="E80" i="13" s="1"/>
  <c r="F79" i="13"/>
  <c r="B79" i="13"/>
  <c r="D79" i="13" s="1"/>
  <c r="F78" i="13"/>
  <c r="B78" i="13"/>
  <c r="D78" i="13" s="1"/>
  <c r="F77" i="13"/>
  <c r="B77" i="13"/>
  <c r="E77" i="13" s="1"/>
  <c r="F76" i="13"/>
  <c r="B76" i="13"/>
  <c r="D76" i="13" s="1"/>
  <c r="F75" i="13"/>
  <c r="B75" i="13"/>
  <c r="E75" i="13" s="1"/>
  <c r="F74" i="13"/>
  <c r="B74" i="13"/>
  <c r="E74" i="13" s="1"/>
  <c r="F73" i="13"/>
  <c r="B73" i="13"/>
  <c r="D73" i="13" s="1"/>
  <c r="F72" i="13"/>
  <c r="B72" i="13"/>
  <c r="E72" i="13" s="1"/>
  <c r="F71" i="13"/>
  <c r="B71" i="13"/>
  <c r="D71" i="13" s="1"/>
  <c r="F70" i="13"/>
  <c r="B70" i="13"/>
  <c r="D70" i="13" s="1"/>
  <c r="F345" i="4"/>
  <c r="B345" i="4"/>
  <c r="E345" i="4" s="1"/>
  <c r="F344" i="4"/>
  <c r="B344" i="4"/>
  <c r="E344" i="4" s="1"/>
  <c r="F343" i="4"/>
  <c r="B343" i="4"/>
  <c r="E343" i="4" s="1"/>
  <c r="F342" i="4"/>
  <c r="B342" i="4"/>
  <c r="D342" i="4" s="1"/>
  <c r="F341" i="4"/>
  <c r="B341" i="4"/>
  <c r="D341" i="4" s="1"/>
  <c r="F340" i="4"/>
  <c r="B340" i="4"/>
  <c r="E340" i="4" s="1"/>
  <c r="F339" i="4"/>
  <c r="B339" i="4"/>
  <c r="D339" i="4" s="1"/>
  <c r="F338" i="4"/>
  <c r="B338" i="4"/>
  <c r="E338" i="4" s="1"/>
  <c r="F337" i="4"/>
  <c r="B337" i="4"/>
  <c r="D337" i="4" s="1"/>
  <c r="F336" i="4"/>
  <c r="B336" i="4"/>
  <c r="E336" i="4" s="1"/>
  <c r="F335" i="4"/>
  <c r="B335" i="4"/>
  <c r="E335" i="4" s="1"/>
  <c r="F334" i="4"/>
  <c r="B334" i="4"/>
  <c r="E334" i="4" s="1"/>
  <c r="F301" i="4"/>
  <c r="B301" i="4"/>
  <c r="E301" i="4" s="1"/>
  <c r="F300" i="4"/>
  <c r="B300" i="4"/>
  <c r="E300" i="4" s="1"/>
  <c r="F299" i="4"/>
  <c r="B299" i="4"/>
  <c r="E299" i="4" s="1"/>
  <c r="F298" i="4"/>
  <c r="B298" i="4"/>
  <c r="E298" i="4" s="1"/>
  <c r="F297" i="4"/>
  <c r="B297" i="4"/>
  <c r="D297" i="4" s="1"/>
  <c r="F296" i="4"/>
  <c r="B296" i="4"/>
  <c r="D296" i="4" s="1"/>
  <c r="F295" i="4"/>
  <c r="B295" i="4"/>
  <c r="D295" i="4" s="1"/>
  <c r="F294" i="4"/>
  <c r="B294" i="4"/>
  <c r="E294" i="4" s="1"/>
  <c r="F293" i="4"/>
  <c r="B293" i="4"/>
  <c r="E293" i="4" s="1"/>
  <c r="F292" i="4"/>
  <c r="B292" i="4"/>
  <c r="E292" i="4" s="1"/>
  <c r="F291" i="4"/>
  <c r="B291" i="4"/>
  <c r="D291" i="4" s="1"/>
  <c r="F290" i="4"/>
  <c r="B290" i="4"/>
  <c r="E290" i="4" s="1"/>
  <c r="F257" i="4"/>
  <c r="B257" i="4"/>
  <c r="E257" i="4" s="1"/>
  <c r="F256" i="4"/>
  <c r="B256" i="4"/>
  <c r="E256" i="4" s="1"/>
  <c r="F255" i="4"/>
  <c r="B255" i="4"/>
  <c r="D255" i="4" s="1"/>
  <c r="F254" i="4"/>
  <c r="B254" i="4"/>
  <c r="D254" i="4" s="1"/>
  <c r="F253" i="4"/>
  <c r="B253" i="4"/>
  <c r="E253" i="4" s="1"/>
  <c r="F252" i="4"/>
  <c r="B252" i="4"/>
  <c r="E252" i="4" s="1"/>
  <c r="F251" i="4"/>
  <c r="B251" i="4"/>
  <c r="E251" i="4" s="1"/>
  <c r="F250" i="4"/>
  <c r="B250" i="4"/>
  <c r="E250" i="4" s="1"/>
  <c r="F249" i="4"/>
  <c r="B249" i="4"/>
  <c r="E249" i="4" s="1"/>
  <c r="F248" i="4"/>
  <c r="B248" i="4"/>
  <c r="E248" i="4" s="1"/>
  <c r="F247" i="4"/>
  <c r="B247" i="4"/>
  <c r="E247" i="4" s="1"/>
  <c r="F246" i="4"/>
  <c r="B246" i="4"/>
  <c r="E246" i="4" s="1"/>
  <c r="F213" i="4"/>
  <c r="B213" i="4"/>
  <c r="E213" i="4" s="1"/>
  <c r="F212" i="4"/>
  <c r="B212" i="4"/>
  <c r="E212" i="4" s="1"/>
  <c r="F211" i="4"/>
  <c r="B211" i="4"/>
  <c r="D211" i="4" s="1"/>
  <c r="F210" i="4"/>
  <c r="B210" i="4"/>
  <c r="E210" i="4" s="1"/>
  <c r="F209" i="4"/>
  <c r="B209" i="4"/>
  <c r="E209" i="4" s="1"/>
  <c r="F208" i="4"/>
  <c r="B208" i="4"/>
  <c r="E208" i="4" s="1"/>
  <c r="F207" i="4"/>
  <c r="B207" i="4"/>
  <c r="F206" i="4"/>
  <c r="B206" i="4"/>
  <c r="E206" i="4" s="1"/>
  <c r="F205" i="4"/>
  <c r="B205" i="4"/>
  <c r="D205" i="4" s="1"/>
  <c r="F204" i="4"/>
  <c r="B204" i="4"/>
  <c r="E204" i="4" s="1"/>
  <c r="F203" i="4"/>
  <c r="B203" i="4"/>
  <c r="D203" i="4" s="1"/>
  <c r="F202" i="4"/>
  <c r="B202" i="4"/>
  <c r="E202" i="4" s="1"/>
  <c r="F169" i="4"/>
  <c r="B169" i="4"/>
  <c r="E169" i="4" s="1"/>
  <c r="F168" i="4"/>
  <c r="B168" i="4"/>
  <c r="D168" i="4" s="1"/>
  <c r="F167" i="4"/>
  <c r="B167" i="4"/>
  <c r="D167" i="4" s="1"/>
  <c r="F166" i="4"/>
  <c r="B166" i="4"/>
  <c r="D166" i="4" s="1"/>
  <c r="F165" i="4"/>
  <c r="B165" i="4"/>
  <c r="D165" i="4" s="1"/>
  <c r="F164" i="4"/>
  <c r="B164" i="4"/>
  <c r="D164" i="4" s="1"/>
  <c r="F163" i="4"/>
  <c r="B163" i="4"/>
  <c r="E163" i="4" s="1"/>
  <c r="F162" i="4"/>
  <c r="B162" i="4"/>
  <c r="E162" i="4" s="1"/>
  <c r="F161" i="4"/>
  <c r="B161" i="4"/>
  <c r="D161" i="4" s="1"/>
  <c r="F160" i="4"/>
  <c r="B160" i="4"/>
  <c r="E160" i="4" s="1"/>
  <c r="F159" i="4"/>
  <c r="B159" i="4"/>
  <c r="D159" i="4" s="1"/>
  <c r="F158" i="4"/>
  <c r="B158" i="4"/>
  <c r="E158" i="4" s="1"/>
  <c r="F125" i="4"/>
  <c r="B125" i="4"/>
  <c r="E125" i="4" s="1"/>
  <c r="F124" i="4"/>
  <c r="B124" i="4"/>
  <c r="E124" i="4" s="1"/>
  <c r="F123" i="4"/>
  <c r="B123" i="4"/>
  <c r="D123" i="4" s="1"/>
  <c r="F122" i="4"/>
  <c r="B122" i="4"/>
  <c r="E122" i="4" s="1"/>
  <c r="F121" i="4"/>
  <c r="B121" i="4"/>
  <c r="E121" i="4" s="1"/>
  <c r="F120" i="4"/>
  <c r="B120" i="4"/>
  <c r="D120" i="4" s="1"/>
  <c r="F119" i="4"/>
  <c r="B119" i="4"/>
  <c r="F118" i="4"/>
  <c r="B118" i="4"/>
  <c r="E118" i="4" s="1"/>
  <c r="F117" i="4"/>
  <c r="B117" i="4"/>
  <c r="E117" i="4" s="1"/>
  <c r="F116" i="4"/>
  <c r="B116" i="4"/>
  <c r="D116" i="4" s="1"/>
  <c r="F115" i="4"/>
  <c r="B115" i="4"/>
  <c r="E115" i="4" s="1"/>
  <c r="F114" i="4"/>
  <c r="B114" i="4"/>
  <c r="D114" i="4" s="1"/>
  <c r="F81" i="4"/>
  <c r="B81" i="4"/>
  <c r="E81" i="4" s="1"/>
  <c r="F80" i="4"/>
  <c r="B80" i="4"/>
  <c r="E80" i="4" s="1"/>
  <c r="F79" i="4"/>
  <c r="B79" i="4"/>
  <c r="E79" i="4" s="1"/>
  <c r="F78" i="4"/>
  <c r="B78" i="4"/>
  <c r="D78" i="4" s="1"/>
  <c r="F77" i="4"/>
  <c r="B77" i="4"/>
  <c r="D77" i="4" s="1"/>
  <c r="F76" i="4"/>
  <c r="B76" i="4"/>
  <c r="D76" i="4" s="1"/>
  <c r="F75" i="4"/>
  <c r="B75" i="4"/>
  <c r="F74" i="4"/>
  <c r="B74" i="4"/>
  <c r="E74" i="4" s="1"/>
  <c r="F73" i="4"/>
  <c r="B73" i="4"/>
  <c r="D73" i="4" s="1"/>
  <c r="F72" i="4"/>
  <c r="B72" i="4"/>
  <c r="D72" i="4" s="1"/>
  <c r="F71" i="4"/>
  <c r="B71" i="4"/>
  <c r="E71" i="4" s="1"/>
  <c r="F70" i="4"/>
  <c r="B70" i="4"/>
  <c r="E70" i="4" s="1"/>
  <c r="F27" i="4"/>
  <c r="B26" i="4"/>
  <c r="F37" i="4"/>
  <c r="B37" i="4"/>
  <c r="E37" i="4" s="1"/>
  <c r="F36" i="4"/>
  <c r="B36" i="4"/>
  <c r="E36" i="4" s="1"/>
  <c r="F35" i="4"/>
  <c r="B35" i="4"/>
  <c r="D35" i="4" s="1"/>
  <c r="F34" i="4"/>
  <c r="B34" i="4"/>
  <c r="E34" i="4" s="1"/>
  <c r="F33" i="4"/>
  <c r="B33" i="4"/>
  <c r="D33" i="4" s="1"/>
  <c r="F32" i="4"/>
  <c r="B32" i="4"/>
  <c r="D32" i="4" s="1"/>
  <c r="F31" i="4"/>
  <c r="B31" i="4"/>
  <c r="D31" i="4" s="1"/>
  <c r="F30" i="4"/>
  <c r="B30" i="4"/>
  <c r="E30" i="4" s="1"/>
  <c r="F29" i="4"/>
  <c r="B29" i="4"/>
  <c r="D29" i="4" s="1"/>
  <c r="F28" i="4"/>
  <c r="B28" i="4"/>
  <c r="E28" i="4" s="1"/>
  <c r="B27" i="4"/>
  <c r="E27" i="4" s="1"/>
  <c r="F26" i="4"/>
  <c r="B26" i="2"/>
  <c r="N206" i="13" l="1"/>
  <c r="N252" i="13"/>
  <c r="E163" i="20"/>
  <c r="N212" i="13"/>
  <c r="E119" i="20"/>
  <c r="N256" i="13"/>
  <c r="L70" i="17"/>
  <c r="N248" i="13"/>
  <c r="K71" i="17"/>
  <c r="K34" i="17"/>
  <c r="K117" i="17"/>
  <c r="L125" i="17"/>
  <c r="N162" i="13"/>
  <c r="D161" i="20"/>
  <c r="N72" i="13"/>
  <c r="N77" i="13"/>
  <c r="N208" i="13"/>
  <c r="N80" i="13"/>
  <c r="D125" i="13"/>
  <c r="N81" i="13"/>
  <c r="E213" i="13"/>
  <c r="N213" i="13" s="1"/>
  <c r="N116" i="13"/>
  <c r="N120" i="13"/>
  <c r="N161" i="13"/>
  <c r="N168" i="13"/>
  <c r="N169" i="13"/>
  <c r="N205" i="13"/>
  <c r="E72" i="20"/>
  <c r="M80" i="15"/>
  <c r="L80" i="15"/>
  <c r="K80" i="15"/>
  <c r="J80" i="15"/>
  <c r="I80" i="15"/>
  <c r="H80" i="15"/>
  <c r="L81" i="17"/>
  <c r="E75" i="20"/>
  <c r="D75" i="20"/>
  <c r="K73" i="15"/>
  <c r="J73" i="15"/>
  <c r="I73" i="15"/>
  <c r="H73" i="15"/>
  <c r="M73" i="15"/>
  <c r="L73" i="15"/>
  <c r="K32" i="17"/>
  <c r="H79" i="15"/>
  <c r="M79" i="15"/>
  <c r="I79" i="15"/>
  <c r="L79" i="15"/>
  <c r="K79" i="15"/>
  <c r="J79" i="15"/>
  <c r="D168" i="20"/>
  <c r="H72" i="15"/>
  <c r="M72" i="15"/>
  <c r="L72" i="15"/>
  <c r="K72" i="15"/>
  <c r="J72" i="15"/>
  <c r="I72" i="15"/>
  <c r="K27" i="17"/>
  <c r="K120" i="17"/>
  <c r="E163" i="13"/>
  <c r="N163" i="13" s="1"/>
  <c r="H78" i="15"/>
  <c r="M78" i="15"/>
  <c r="L78" i="15"/>
  <c r="K78" i="15"/>
  <c r="I78" i="15"/>
  <c r="J78" i="15"/>
  <c r="L78" i="17"/>
  <c r="L114" i="15"/>
  <c r="K114" i="15"/>
  <c r="J114" i="15"/>
  <c r="I114" i="15"/>
  <c r="H114" i="15"/>
  <c r="M114" i="15"/>
  <c r="L73" i="17"/>
  <c r="N209" i="13"/>
  <c r="D158" i="20"/>
  <c r="J76" i="15"/>
  <c r="K76" i="15"/>
  <c r="M76" i="15"/>
  <c r="L76" i="15"/>
  <c r="I76" i="15"/>
  <c r="H76" i="15"/>
  <c r="L122" i="17"/>
  <c r="E119" i="13"/>
  <c r="N119" i="13" s="1"/>
  <c r="N257" i="13"/>
  <c r="E158" i="20"/>
  <c r="M124" i="15"/>
  <c r="L124" i="15"/>
  <c r="K124" i="15"/>
  <c r="J124" i="15"/>
  <c r="I124" i="15"/>
  <c r="H124" i="15"/>
  <c r="K29" i="17"/>
  <c r="K80" i="17"/>
  <c r="D163" i="13"/>
  <c r="N118" i="13"/>
  <c r="D36" i="20"/>
  <c r="D249" i="13"/>
  <c r="E114" i="20"/>
  <c r="E249" i="13"/>
  <c r="N249" i="13" s="1"/>
  <c r="M117" i="15"/>
  <c r="L117" i="15"/>
  <c r="K117" i="15"/>
  <c r="J117" i="15"/>
  <c r="I117" i="15"/>
  <c r="H117" i="15"/>
  <c r="K74" i="15"/>
  <c r="I74" i="15"/>
  <c r="M74" i="15"/>
  <c r="J74" i="15"/>
  <c r="L74" i="15"/>
  <c r="H74" i="15"/>
  <c r="K37" i="17"/>
  <c r="D76" i="20"/>
  <c r="N74" i="13"/>
  <c r="N246" i="13"/>
  <c r="K124" i="17"/>
  <c r="N202" i="13"/>
  <c r="M123" i="15"/>
  <c r="L123" i="15"/>
  <c r="K123" i="15"/>
  <c r="J123" i="15"/>
  <c r="I123" i="15"/>
  <c r="H123" i="15"/>
  <c r="K75" i="17"/>
  <c r="K76" i="17"/>
  <c r="E247" i="13"/>
  <c r="N247" i="13" s="1"/>
  <c r="N75" i="13"/>
  <c r="N159" i="13"/>
  <c r="N211" i="13"/>
  <c r="N255" i="13"/>
  <c r="D206" i="13"/>
  <c r="D26" i="20"/>
  <c r="J122" i="15"/>
  <c r="I122" i="15"/>
  <c r="M122" i="15"/>
  <c r="L122" i="15"/>
  <c r="K122" i="15"/>
  <c r="H122" i="15"/>
  <c r="K119" i="17"/>
  <c r="D246" i="13"/>
  <c r="M115" i="15"/>
  <c r="K115" i="15"/>
  <c r="L115" i="15"/>
  <c r="I115" i="15"/>
  <c r="H115" i="15"/>
  <c r="J115" i="15"/>
  <c r="N117" i="13"/>
  <c r="D75" i="13"/>
  <c r="E124" i="13"/>
  <c r="N124" i="13" s="1"/>
  <c r="E207" i="13"/>
  <c r="N207" i="13" s="1"/>
  <c r="L114" i="17"/>
  <c r="I81" i="15"/>
  <c r="H81" i="15"/>
  <c r="M81" i="15"/>
  <c r="L81" i="15"/>
  <c r="K81" i="15"/>
  <c r="J81" i="15"/>
  <c r="M121" i="15"/>
  <c r="L121" i="15"/>
  <c r="K121" i="15"/>
  <c r="J121" i="15"/>
  <c r="I121" i="15"/>
  <c r="H121" i="15"/>
  <c r="L123" i="17"/>
  <c r="K123" i="17"/>
  <c r="L115" i="17"/>
  <c r="L118" i="17"/>
  <c r="K118" i="17"/>
  <c r="L124" i="17"/>
  <c r="L119" i="17"/>
  <c r="K73" i="17"/>
  <c r="L79" i="17"/>
  <c r="K79" i="17"/>
  <c r="K74" i="17"/>
  <c r="L74" i="17"/>
  <c r="L80" i="17"/>
  <c r="L75" i="17"/>
  <c r="L35" i="17"/>
  <c r="K35" i="17"/>
  <c r="L30" i="17"/>
  <c r="K30" i="17"/>
  <c r="L36" i="17"/>
  <c r="D28" i="20"/>
  <c r="E28" i="20"/>
  <c r="D31" i="20"/>
  <c r="D164" i="20"/>
  <c r="D165" i="20"/>
  <c r="D159" i="20"/>
  <c r="D166" i="20"/>
  <c r="D160" i="20"/>
  <c r="D167" i="20"/>
  <c r="D162" i="20"/>
  <c r="D169" i="20"/>
  <c r="D120" i="20"/>
  <c r="D121" i="20"/>
  <c r="D115" i="20"/>
  <c r="D122" i="20"/>
  <c r="D116" i="20"/>
  <c r="D123" i="20"/>
  <c r="D117" i="20"/>
  <c r="D124" i="20"/>
  <c r="D118" i="20"/>
  <c r="D125" i="20"/>
  <c r="E77" i="20"/>
  <c r="D70" i="20"/>
  <c r="D71" i="20"/>
  <c r="D78" i="20"/>
  <c r="D79" i="20"/>
  <c r="D73" i="20"/>
  <c r="D80" i="20"/>
  <c r="D74" i="20"/>
  <c r="D81" i="20"/>
  <c r="E32" i="20"/>
  <c r="D33" i="20"/>
  <c r="D27" i="20"/>
  <c r="D34" i="20"/>
  <c r="D35" i="20"/>
  <c r="D29" i="20"/>
  <c r="D30" i="20"/>
  <c r="D37" i="20"/>
  <c r="E250" i="13"/>
  <c r="N250" i="13" s="1"/>
  <c r="E251" i="13"/>
  <c r="N251" i="13" s="1"/>
  <c r="E253" i="13"/>
  <c r="N253" i="13" s="1"/>
  <c r="D252" i="13"/>
  <c r="D248" i="13"/>
  <c r="D255" i="13"/>
  <c r="E254" i="13"/>
  <c r="N254" i="13" s="1"/>
  <c r="D256" i="13"/>
  <c r="D257" i="13"/>
  <c r="E210" i="13"/>
  <c r="N210" i="13" s="1"/>
  <c r="D211" i="13"/>
  <c r="D208" i="13"/>
  <c r="E203" i="13"/>
  <c r="N203" i="13" s="1"/>
  <c r="D205" i="13"/>
  <c r="D202" i="13"/>
  <c r="D209" i="13"/>
  <c r="D212" i="13"/>
  <c r="E204" i="13"/>
  <c r="N204" i="13" s="1"/>
  <c r="E165" i="13"/>
  <c r="N165" i="13" s="1"/>
  <c r="D161" i="13"/>
  <c r="E158" i="13"/>
  <c r="N158" i="13" s="1"/>
  <c r="E166" i="13"/>
  <c r="N166" i="13" s="1"/>
  <c r="E160" i="13"/>
  <c r="N160" i="13" s="1"/>
  <c r="E167" i="13"/>
  <c r="N167" i="13" s="1"/>
  <c r="E164" i="13"/>
  <c r="N164" i="13" s="1"/>
  <c r="D168" i="13"/>
  <c r="D162" i="13"/>
  <c r="D159" i="13"/>
  <c r="D169" i="13"/>
  <c r="E122" i="13"/>
  <c r="N122" i="13" s="1"/>
  <c r="E123" i="13"/>
  <c r="N123" i="13" s="1"/>
  <c r="E115" i="13"/>
  <c r="N115" i="13" s="1"/>
  <c r="E114" i="13"/>
  <c r="N114" i="13" s="1"/>
  <c r="D117" i="13"/>
  <c r="E121" i="13"/>
  <c r="N121" i="13" s="1"/>
  <c r="D116" i="13"/>
  <c r="D120" i="13"/>
  <c r="D118" i="13"/>
  <c r="E79" i="13"/>
  <c r="N79" i="13" s="1"/>
  <c r="E73" i="13"/>
  <c r="N73" i="13" s="1"/>
  <c r="E70" i="13"/>
  <c r="N70" i="13" s="1"/>
  <c r="D72" i="13"/>
  <c r="E78" i="13"/>
  <c r="N78" i="13" s="1"/>
  <c r="D80" i="13"/>
  <c r="E76" i="13"/>
  <c r="N76" i="13" s="1"/>
  <c r="D77" i="13"/>
  <c r="D74" i="13"/>
  <c r="E71" i="13"/>
  <c r="N71" i="13" s="1"/>
  <c r="D81" i="13"/>
  <c r="E75" i="4"/>
  <c r="E295" i="4"/>
  <c r="D344" i="4"/>
  <c r="D251" i="4"/>
  <c r="D75" i="4"/>
  <c r="D345" i="4"/>
  <c r="D207" i="4"/>
  <c r="D294" i="4"/>
  <c r="D163" i="4"/>
  <c r="E26" i="4"/>
  <c r="E207" i="4"/>
  <c r="D119" i="4"/>
  <c r="E119" i="4"/>
  <c r="E339" i="4"/>
  <c r="D340" i="4"/>
  <c r="D335" i="4"/>
  <c r="E342" i="4"/>
  <c r="E341" i="4"/>
  <c r="E337" i="4"/>
  <c r="D343" i="4"/>
  <c r="D334" i="4"/>
  <c r="D338" i="4"/>
  <c r="D336" i="4"/>
  <c r="E296" i="4"/>
  <c r="D298" i="4"/>
  <c r="D299" i="4"/>
  <c r="D293" i="4"/>
  <c r="D290" i="4"/>
  <c r="E291" i="4"/>
  <c r="D292" i="4"/>
  <c r="E297" i="4"/>
  <c r="D300" i="4"/>
  <c r="D301" i="4"/>
  <c r="D249" i="4"/>
  <c r="D246" i="4"/>
  <c r="D253" i="4"/>
  <c r="E254" i="4"/>
  <c r="E255" i="4"/>
  <c r="D256" i="4"/>
  <c r="D252" i="4"/>
  <c r="D250" i="4"/>
  <c r="D247" i="4"/>
  <c r="D248" i="4"/>
  <c r="D257" i="4"/>
  <c r="D202" i="4"/>
  <c r="D210" i="4"/>
  <c r="D204" i="4"/>
  <c r="D212" i="4"/>
  <c r="E211" i="4"/>
  <c r="D206" i="4"/>
  <c r="D209" i="4"/>
  <c r="E203" i="4"/>
  <c r="E205" i="4"/>
  <c r="D208" i="4"/>
  <c r="D213" i="4"/>
  <c r="E165" i="4"/>
  <c r="E164" i="4"/>
  <c r="D160" i="4"/>
  <c r="E168" i="4"/>
  <c r="E166" i="4"/>
  <c r="E167" i="4"/>
  <c r="E161" i="4"/>
  <c r="D162" i="4"/>
  <c r="E159" i="4"/>
  <c r="D158" i="4"/>
  <c r="D169" i="4"/>
  <c r="D115" i="4"/>
  <c r="E116" i="4"/>
  <c r="E123" i="4"/>
  <c r="D122" i="4"/>
  <c r="E120" i="4"/>
  <c r="D121" i="4"/>
  <c r="D117" i="4"/>
  <c r="D124" i="4"/>
  <c r="E114" i="4"/>
  <c r="D118" i="4"/>
  <c r="D125" i="4"/>
  <c r="D71" i="4"/>
  <c r="E77" i="4"/>
  <c r="D70" i="4"/>
  <c r="E78" i="4"/>
  <c r="D79" i="4"/>
  <c r="D80" i="4"/>
  <c r="E76" i="4"/>
  <c r="E72" i="4"/>
  <c r="D74" i="4"/>
  <c r="E73" i="4"/>
  <c r="D81" i="4"/>
  <c r="E31" i="4"/>
  <c r="E32" i="4"/>
  <c r="D26" i="4"/>
  <c r="E33" i="4"/>
  <c r="E35" i="4"/>
  <c r="E29" i="4"/>
  <c r="D36" i="4"/>
  <c r="D28" i="4"/>
  <c r="D30" i="4"/>
  <c r="D27" i="4"/>
  <c r="D34" i="4"/>
  <c r="D37" i="4"/>
  <c r="A59" i="2"/>
  <c r="F1533" i="2"/>
  <c r="B1533" i="2"/>
  <c r="E1533" i="2" s="1"/>
  <c r="F1532" i="2"/>
  <c r="B1532" i="2"/>
  <c r="E1532" i="2" s="1"/>
  <c r="F1531" i="2"/>
  <c r="B1531" i="2"/>
  <c r="E1531" i="2" s="1"/>
  <c r="F1530" i="2"/>
  <c r="B1530" i="2"/>
  <c r="E1530" i="2" s="1"/>
  <c r="F1529" i="2"/>
  <c r="B1529" i="2"/>
  <c r="E1529" i="2" s="1"/>
  <c r="F1528" i="2"/>
  <c r="B1528" i="2"/>
  <c r="E1528" i="2" s="1"/>
  <c r="F1527" i="2"/>
  <c r="B1527" i="2"/>
  <c r="E1527" i="2" s="1"/>
  <c r="F1526" i="2"/>
  <c r="B1526" i="2"/>
  <c r="F1525" i="2"/>
  <c r="B1525" i="2"/>
  <c r="E1525" i="2" s="1"/>
  <c r="F1524" i="2"/>
  <c r="B1524" i="2"/>
  <c r="F1523" i="2"/>
  <c r="B1523" i="2"/>
  <c r="F1522" i="2"/>
  <c r="B1522" i="2"/>
  <c r="F1489" i="2"/>
  <c r="B1489" i="2"/>
  <c r="E1489" i="2" s="1"/>
  <c r="F1488" i="2"/>
  <c r="B1488" i="2"/>
  <c r="E1488" i="2" s="1"/>
  <c r="F1487" i="2"/>
  <c r="B1487" i="2"/>
  <c r="E1487" i="2" s="1"/>
  <c r="F1486" i="2"/>
  <c r="B1486" i="2"/>
  <c r="E1486" i="2" s="1"/>
  <c r="F1485" i="2"/>
  <c r="B1485" i="2"/>
  <c r="E1485" i="2" s="1"/>
  <c r="F1484" i="2"/>
  <c r="B1484" i="2"/>
  <c r="D1484" i="2" s="1"/>
  <c r="F1483" i="2"/>
  <c r="B1483" i="2"/>
  <c r="E1483" i="2" s="1"/>
  <c r="F1482" i="2"/>
  <c r="B1482" i="2"/>
  <c r="F1481" i="2"/>
  <c r="B1481" i="2"/>
  <c r="F1480" i="2"/>
  <c r="B1480" i="2"/>
  <c r="F1479" i="2"/>
  <c r="B1479" i="2"/>
  <c r="E1479" i="2" s="1"/>
  <c r="F1478" i="2"/>
  <c r="B1478" i="2"/>
  <c r="F1445" i="2"/>
  <c r="B1445" i="2"/>
  <c r="F1444" i="2"/>
  <c r="B1444" i="2"/>
  <c r="E1444" i="2" s="1"/>
  <c r="F1443" i="2"/>
  <c r="B1443" i="2"/>
  <c r="E1443" i="2" s="1"/>
  <c r="F1442" i="2"/>
  <c r="B1442" i="2"/>
  <c r="E1442" i="2" s="1"/>
  <c r="F1441" i="2"/>
  <c r="B1441" i="2"/>
  <c r="D1441" i="2" s="1"/>
  <c r="F1440" i="2"/>
  <c r="B1440" i="2"/>
  <c r="E1440" i="2" s="1"/>
  <c r="F1439" i="2"/>
  <c r="B1439" i="2"/>
  <c r="E1439" i="2" s="1"/>
  <c r="F1438" i="2"/>
  <c r="B1438" i="2"/>
  <c r="E1438" i="2" s="1"/>
  <c r="F1437" i="2"/>
  <c r="B1437" i="2"/>
  <c r="E1437" i="2" s="1"/>
  <c r="F1436" i="2"/>
  <c r="B1436" i="2"/>
  <c r="F1435" i="2"/>
  <c r="B1435" i="2"/>
  <c r="F1434" i="2"/>
  <c r="B1434" i="2"/>
  <c r="D1434" i="2" s="1"/>
  <c r="F1401" i="2"/>
  <c r="B1401" i="2"/>
  <c r="E1401" i="2" s="1"/>
  <c r="F1400" i="2"/>
  <c r="B1400" i="2"/>
  <c r="F1399" i="2"/>
  <c r="B1399" i="2"/>
  <c r="E1399" i="2" s="1"/>
  <c r="F1398" i="2"/>
  <c r="B1398" i="2"/>
  <c r="E1398" i="2" s="1"/>
  <c r="F1397" i="2"/>
  <c r="B1397" i="2"/>
  <c r="D1397" i="2" s="1"/>
  <c r="F1396" i="2"/>
  <c r="B1396" i="2"/>
  <c r="E1396" i="2" s="1"/>
  <c r="F1395" i="2"/>
  <c r="B1395" i="2"/>
  <c r="E1395" i="2" s="1"/>
  <c r="F1394" i="2"/>
  <c r="B1394" i="2"/>
  <c r="E1394" i="2" s="1"/>
  <c r="F1393" i="2"/>
  <c r="B1393" i="2"/>
  <c r="E1393" i="2" s="1"/>
  <c r="F1392" i="2"/>
  <c r="B1392" i="2"/>
  <c r="F1391" i="2"/>
  <c r="B1391" i="2"/>
  <c r="F1390" i="2"/>
  <c r="B1390" i="2"/>
  <c r="D1390" i="2" s="1"/>
  <c r="F1357" i="2"/>
  <c r="B1357" i="2"/>
  <c r="E1357" i="2" s="1"/>
  <c r="F1356" i="2"/>
  <c r="B1356" i="2"/>
  <c r="F1355" i="2"/>
  <c r="B1355" i="2"/>
  <c r="F1354" i="2"/>
  <c r="B1354" i="2"/>
  <c r="E1354" i="2" s="1"/>
  <c r="F1353" i="2"/>
  <c r="B1353" i="2"/>
  <c r="D1353" i="2" s="1"/>
  <c r="F1352" i="2"/>
  <c r="B1352" i="2"/>
  <c r="D1352" i="2" s="1"/>
  <c r="F1351" i="2"/>
  <c r="B1351" i="2"/>
  <c r="E1351" i="2" s="1"/>
  <c r="F1350" i="2"/>
  <c r="B1350" i="2"/>
  <c r="E1350" i="2" s="1"/>
  <c r="F1349" i="2"/>
  <c r="B1349" i="2"/>
  <c r="E1349" i="2" s="1"/>
  <c r="F1348" i="2"/>
  <c r="B1348" i="2"/>
  <c r="E1348" i="2" s="1"/>
  <c r="F1347" i="2"/>
  <c r="B1347" i="2"/>
  <c r="E1347" i="2" s="1"/>
  <c r="F1346" i="2"/>
  <c r="B1346" i="2"/>
  <c r="F1313" i="2"/>
  <c r="B1313" i="2"/>
  <c r="E1313" i="2" s="1"/>
  <c r="F1312" i="2"/>
  <c r="B1312" i="2"/>
  <c r="E1312" i="2" s="1"/>
  <c r="F1311" i="2"/>
  <c r="B1311" i="2"/>
  <c r="E1311" i="2" s="1"/>
  <c r="F1310" i="2"/>
  <c r="B1310" i="2"/>
  <c r="F1309" i="2"/>
  <c r="B1309" i="2"/>
  <c r="E1309" i="2" s="1"/>
  <c r="F1308" i="2"/>
  <c r="B1308" i="2"/>
  <c r="E1308" i="2" s="1"/>
  <c r="F1307" i="2"/>
  <c r="B1307" i="2"/>
  <c r="E1307" i="2" s="1"/>
  <c r="F1306" i="2"/>
  <c r="B1306" i="2"/>
  <c r="E1306" i="2" s="1"/>
  <c r="F1305" i="2"/>
  <c r="B1305" i="2"/>
  <c r="E1305" i="2" s="1"/>
  <c r="F1304" i="2"/>
  <c r="B1304" i="2"/>
  <c r="F1303" i="2"/>
  <c r="B1303" i="2"/>
  <c r="E1303" i="2" s="1"/>
  <c r="F1302" i="2"/>
  <c r="B1302" i="2"/>
  <c r="F1269" i="2"/>
  <c r="B1269" i="2"/>
  <c r="F1268" i="2"/>
  <c r="B1268" i="2"/>
  <c r="E1268" i="2" s="1"/>
  <c r="F1267" i="2"/>
  <c r="B1267" i="2"/>
  <c r="F1266" i="2"/>
  <c r="B1266" i="2"/>
  <c r="E1266" i="2" s="1"/>
  <c r="F1265" i="2"/>
  <c r="B1265" i="2"/>
  <c r="E1265" i="2" s="1"/>
  <c r="F1264" i="2"/>
  <c r="B1264" i="2"/>
  <c r="E1264" i="2" s="1"/>
  <c r="F1263" i="2"/>
  <c r="B1263" i="2"/>
  <c r="E1263" i="2" s="1"/>
  <c r="F1262" i="2"/>
  <c r="B1262" i="2"/>
  <c r="E1262" i="2" s="1"/>
  <c r="F1261" i="2"/>
  <c r="B1261" i="2"/>
  <c r="D1261" i="2" s="1"/>
  <c r="F1260" i="2"/>
  <c r="B1260" i="2"/>
  <c r="E1260" i="2" s="1"/>
  <c r="F1259" i="2"/>
  <c r="B1259" i="2"/>
  <c r="E1259" i="2" s="1"/>
  <c r="F1258" i="2"/>
  <c r="B1258" i="2"/>
  <c r="D1258" i="2" s="1"/>
  <c r="F1225" i="2"/>
  <c r="B1225" i="2"/>
  <c r="E1225" i="2" s="1"/>
  <c r="F1224" i="2"/>
  <c r="B1224" i="2"/>
  <c r="E1224" i="2" s="1"/>
  <c r="F1223" i="2"/>
  <c r="B1223" i="2"/>
  <c r="D1223" i="2" s="1"/>
  <c r="F1222" i="2"/>
  <c r="B1222" i="2"/>
  <c r="F1221" i="2"/>
  <c r="B1221" i="2"/>
  <c r="F1220" i="2"/>
  <c r="B1220" i="2"/>
  <c r="E1220" i="2" s="1"/>
  <c r="F1219" i="2"/>
  <c r="B1219" i="2"/>
  <c r="D1219" i="2" s="1"/>
  <c r="F1218" i="2"/>
  <c r="B1218" i="2"/>
  <c r="E1218" i="2" s="1"/>
  <c r="F1217" i="2"/>
  <c r="B1217" i="2"/>
  <c r="E1217" i="2" s="1"/>
  <c r="F1216" i="2"/>
  <c r="B1216" i="2"/>
  <c r="E1216" i="2" s="1"/>
  <c r="F1215" i="2"/>
  <c r="B1215" i="2"/>
  <c r="E1215" i="2" s="1"/>
  <c r="F1214" i="2"/>
  <c r="B1214" i="2"/>
  <c r="E1214" i="2" s="1"/>
  <c r="F1181" i="2"/>
  <c r="B1181" i="2"/>
  <c r="E1181" i="2" s="1"/>
  <c r="F1180" i="2"/>
  <c r="B1180" i="2"/>
  <c r="F1179" i="2"/>
  <c r="B1179" i="2"/>
  <c r="E1179" i="2" s="1"/>
  <c r="F1178" i="2"/>
  <c r="B1178" i="2"/>
  <c r="E1178" i="2" s="1"/>
  <c r="F1177" i="2"/>
  <c r="B1177" i="2"/>
  <c r="E1177" i="2" s="1"/>
  <c r="F1176" i="2"/>
  <c r="B1176" i="2"/>
  <c r="E1176" i="2" s="1"/>
  <c r="F1175" i="2"/>
  <c r="B1175" i="2"/>
  <c r="E1175" i="2" s="1"/>
  <c r="F1174" i="2"/>
  <c r="B1174" i="2"/>
  <c r="E1174" i="2" s="1"/>
  <c r="F1173" i="2"/>
  <c r="B1173" i="2"/>
  <c r="E1173" i="2" s="1"/>
  <c r="F1172" i="2"/>
  <c r="B1172" i="2"/>
  <c r="E1172" i="2" s="1"/>
  <c r="F1171" i="2"/>
  <c r="B1171" i="2"/>
  <c r="D1171" i="2" s="1"/>
  <c r="F1170" i="2"/>
  <c r="B1170" i="2"/>
  <c r="D1170" i="2" s="1"/>
  <c r="F1137" i="2"/>
  <c r="B1137" i="2"/>
  <c r="E1137" i="2" s="1"/>
  <c r="F1136" i="2"/>
  <c r="B1136" i="2"/>
  <c r="E1136" i="2" s="1"/>
  <c r="F1135" i="2"/>
  <c r="B1135" i="2"/>
  <c r="F1134" i="2"/>
  <c r="B1134" i="2"/>
  <c r="E1134" i="2" s="1"/>
  <c r="F1133" i="2"/>
  <c r="B1133" i="2"/>
  <c r="E1133" i="2" s="1"/>
  <c r="F1132" i="2"/>
  <c r="B1132" i="2"/>
  <c r="E1132" i="2" s="1"/>
  <c r="F1131" i="2"/>
  <c r="B1131" i="2"/>
  <c r="E1131" i="2" s="1"/>
  <c r="F1130" i="2"/>
  <c r="B1130" i="2"/>
  <c r="E1130" i="2" s="1"/>
  <c r="F1129" i="2"/>
  <c r="B1129" i="2"/>
  <c r="E1129" i="2" s="1"/>
  <c r="F1128" i="2"/>
  <c r="B1128" i="2"/>
  <c r="E1128" i="2" s="1"/>
  <c r="F1127" i="2"/>
  <c r="B1127" i="2"/>
  <c r="E1127" i="2" s="1"/>
  <c r="F1126" i="2"/>
  <c r="B1126" i="2"/>
  <c r="E1126" i="2" s="1"/>
  <c r="F1093" i="2"/>
  <c r="B1093" i="2"/>
  <c r="E1093" i="2" s="1"/>
  <c r="F1092" i="2"/>
  <c r="B1092" i="2"/>
  <c r="E1092" i="2" s="1"/>
  <c r="F1091" i="2"/>
  <c r="B1091" i="2"/>
  <c r="E1091" i="2" s="1"/>
  <c r="F1090" i="2"/>
  <c r="B1090" i="2"/>
  <c r="F1089" i="2"/>
  <c r="B1089" i="2"/>
  <c r="E1089" i="2" s="1"/>
  <c r="F1088" i="2"/>
  <c r="B1088" i="2"/>
  <c r="D1088" i="2" s="1"/>
  <c r="F1087" i="2"/>
  <c r="B1087" i="2"/>
  <c r="E1087" i="2" s="1"/>
  <c r="F1086" i="2"/>
  <c r="B1086" i="2"/>
  <c r="E1086" i="2" s="1"/>
  <c r="F1085" i="2"/>
  <c r="B1085" i="2"/>
  <c r="F1084" i="2"/>
  <c r="B1084" i="2"/>
  <c r="E1084" i="2" s="1"/>
  <c r="F1083" i="2"/>
  <c r="B1083" i="2"/>
  <c r="E1083" i="2" s="1"/>
  <c r="F1082" i="2"/>
  <c r="B1082" i="2"/>
  <c r="D1082" i="2" s="1"/>
  <c r="F1049" i="2"/>
  <c r="B1049" i="2"/>
  <c r="E1049" i="2" s="1"/>
  <c r="F1048" i="2"/>
  <c r="B1048" i="2"/>
  <c r="E1048" i="2" s="1"/>
  <c r="F1047" i="2"/>
  <c r="B1047" i="2"/>
  <c r="E1047" i="2" s="1"/>
  <c r="F1046" i="2"/>
  <c r="B1046" i="2"/>
  <c r="E1046" i="2" s="1"/>
  <c r="F1045" i="2"/>
  <c r="B1045" i="2"/>
  <c r="E1045" i="2" s="1"/>
  <c r="F1044" i="2"/>
  <c r="B1044" i="2"/>
  <c r="F1043" i="2"/>
  <c r="B1043" i="2"/>
  <c r="E1043" i="2" s="1"/>
  <c r="F1042" i="2"/>
  <c r="B1042" i="2"/>
  <c r="E1042" i="2" s="1"/>
  <c r="F1041" i="2"/>
  <c r="B1041" i="2"/>
  <c r="E1041" i="2" s="1"/>
  <c r="F1040" i="2"/>
  <c r="B1040" i="2"/>
  <c r="F1039" i="2"/>
  <c r="B1039" i="2"/>
  <c r="E1039" i="2" s="1"/>
  <c r="F1038" i="2"/>
  <c r="B1038" i="2"/>
  <c r="E1038" i="2" s="1"/>
  <c r="F1005" i="2"/>
  <c r="B1005" i="2"/>
  <c r="E1005" i="2" s="1"/>
  <c r="F1004" i="2"/>
  <c r="B1004" i="2"/>
  <c r="E1004" i="2" s="1"/>
  <c r="F1003" i="2"/>
  <c r="B1003" i="2"/>
  <c r="E1003" i="2" s="1"/>
  <c r="F1002" i="2"/>
  <c r="B1002" i="2"/>
  <c r="E1002" i="2" s="1"/>
  <c r="F1001" i="2"/>
  <c r="B1001" i="2"/>
  <c r="E1001" i="2" s="1"/>
  <c r="F1000" i="2"/>
  <c r="B1000" i="2"/>
  <c r="E1000" i="2" s="1"/>
  <c r="F999" i="2"/>
  <c r="B999" i="2"/>
  <c r="E999" i="2" s="1"/>
  <c r="F998" i="2"/>
  <c r="B998" i="2"/>
  <c r="E998" i="2" s="1"/>
  <c r="F997" i="2"/>
  <c r="B997" i="2"/>
  <c r="E997" i="2" s="1"/>
  <c r="F996" i="2"/>
  <c r="B996" i="2"/>
  <c r="E996" i="2" s="1"/>
  <c r="F995" i="2"/>
  <c r="B995" i="2"/>
  <c r="E995" i="2" s="1"/>
  <c r="F994" i="2"/>
  <c r="B994" i="2"/>
  <c r="E994" i="2" s="1"/>
  <c r="F961" i="2"/>
  <c r="B961" i="2"/>
  <c r="E961" i="2" s="1"/>
  <c r="F960" i="2"/>
  <c r="B960" i="2"/>
  <c r="E960" i="2" s="1"/>
  <c r="F959" i="2"/>
  <c r="B959" i="2"/>
  <c r="E959" i="2" s="1"/>
  <c r="F958" i="2"/>
  <c r="B958" i="2"/>
  <c r="E958" i="2" s="1"/>
  <c r="F957" i="2"/>
  <c r="B957" i="2"/>
  <c r="E957" i="2" s="1"/>
  <c r="F956" i="2"/>
  <c r="B956" i="2"/>
  <c r="D956" i="2" s="1"/>
  <c r="F955" i="2"/>
  <c r="B955" i="2"/>
  <c r="E955" i="2" s="1"/>
  <c r="F954" i="2"/>
  <c r="B954" i="2"/>
  <c r="F953" i="2"/>
  <c r="B953" i="2"/>
  <c r="F952" i="2"/>
  <c r="B952" i="2"/>
  <c r="F951" i="2"/>
  <c r="B951" i="2"/>
  <c r="E951" i="2" s="1"/>
  <c r="F950" i="2"/>
  <c r="B950" i="2"/>
  <c r="E950" i="2" s="1"/>
  <c r="F917" i="2"/>
  <c r="B917" i="2"/>
  <c r="E917" i="2" s="1"/>
  <c r="F916" i="2"/>
  <c r="B916" i="2"/>
  <c r="E916" i="2" s="1"/>
  <c r="F915" i="2"/>
  <c r="B915" i="2"/>
  <c r="E915" i="2" s="1"/>
  <c r="F914" i="2"/>
  <c r="B914" i="2"/>
  <c r="D914" i="2" s="1"/>
  <c r="F913" i="2"/>
  <c r="B913" i="2"/>
  <c r="D913" i="2" s="1"/>
  <c r="F912" i="2"/>
  <c r="B912" i="2"/>
  <c r="E912" i="2" s="1"/>
  <c r="F911" i="2"/>
  <c r="B911" i="2"/>
  <c r="E911" i="2" s="1"/>
  <c r="F910" i="2"/>
  <c r="B910" i="2"/>
  <c r="F909" i="2"/>
  <c r="B909" i="2"/>
  <c r="E909" i="2" s="1"/>
  <c r="F908" i="2"/>
  <c r="B908" i="2"/>
  <c r="F907" i="2"/>
  <c r="B907" i="2"/>
  <c r="E907" i="2" s="1"/>
  <c r="F906" i="2"/>
  <c r="B906" i="2"/>
  <c r="F873" i="2"/>
  <c r="B873" i="2"/>
  <c r="E873" i="2" s="1"/>
  <c r="F872" i="2"/>
  <c r="B872" i="2"/>
  <c r="D872" i="2" s="1"/>
  <c r="F871" i="2"/>
  <c r="B871" i="2"/>
  <c r="E871" i="2" s="1"/>
  <c r="F870" i="2"/>
  <c r="B870" i="2"/>
  <c r="E870" i="2" s="1"/>
  <c r="F869" i="2"/>
  <c r="B869" i="2"/>
  <c r="D869" i="2" s="1"/>
  <c r="F868" i="2"/>
  <c r="B868" i="2"/>
  <c r="E868" i="2" s="1"/>
  <c r="F867" i="2"/>
  <c r="B867" i="2"/>
  <c r="D867" i="2" s="1"/>
  <c r="F866" i="2"/>
  <c r="B866" i="2"/>
  <c r="F865" i="2"/>
  <c r="B865" i="2"/>
  <c r="E865" i="2" s="1"/>
  <c r="F864" i="2"/>
  <c r="B864" i="2"/>
  <c r="E864" i="2" s="1"/>
  <c r="F863" i="2"/>
  <c r="B863" i="2"/>
  <c r="D863" i="2" s="1"/>
  <c r="F862" i="2"/>
  <c r="B862" i="2"/>
  <c r="D862" i="2" s="1"/>
  <c r="F829" i="2"/>
  <c r="B829" i="2"/>
  <c r="E829" i="2" s="1"/>
  <c r="F828" i="2"/>
  <c r="B828" i="2"/>
  <c r="E828" i="2" s="1"/>
  <c r="F827" i="2"/>
  <c r="B827" i="2"/>
  <c r="E827" i="2" s="1"/>
  <c r="F826" i="2"/>
  <c r="B826" i="2"/>
  <c r="E826" i="2" s="1"/>
  <c r="F825" i="2"/>
  <c r="B825" i="2"/>
  <c r="D825" i="2" s="1"/>
  <c r="F824" i="2"/>
  <c r="B824" i="2"/>
  <c r="E824" i="2" s="1"/>
  <c r="F823" i="2"/>
  <c r="B823" i="2"/>
  <c r="E823" i="2" s="1"/>
  <c r="F822" i="2"/>
  <c r="B822" i="2"/>
  <c r="F821" i="2"/>
  <c r="B821" i="2"/>
  <c r="F820" i="2"/>
  <c r="B820" i="2"/>
  <c r="E820" i="2" s="1"/>
  <c r="F819" i="2"/>
  <c r="B819" i="2"/>
  <c r="F818" i="2"/>
  <c r="B818" i="2"/>
  <c r="F785" i="2"/>
  <c r="B785" i="2"/>
  <c r="E785" i="2" s="1"/>
  <c r="F784" i="2"/>
  <c r="B784" i="2"/>
  <c r="E784" i="2" s="1"/>
  <c r="F783" i="2"/>
  <c r="B783" i="2"/>
  <c r="E783" i="2" s="1"/>
  <c r="F782" i="2"/>
  <c r="B782" i="2"/>
  <c r="E782" i="2" s="1"/>
  <c r="F781" i="2"/>
  <c r="B781" i="2"/>
  <c r="E781" i="2" s="1"/>
  <c r="F780" i="2"/>
  <c r="B780" i="2"/>
  <c r="D780" i="2" s="1"/>
  <c r="F779" i="2"/>
  <c r="B779" i="2"/>
  <c r="E779" i="2" s="1"/>
  <c r="F778" i="2"/>
  <c r="B778" i="2"/>
  <c r="F777" i="2"/>
  <c r="B777" i="2"/>
  <c r="E777" i="2" s="1"/>
  <c r="F776" i="2"/>
  <c r="B776" i="2"/>
  <c r="E776" i="2" s="1"/>
  <c r="F775" i="2"/>
  <c r="B775" i="2"/>
  <c r="F774" i="2"/>
  <c r="B774" i="2"/>
  <c r="F741" i="2"/>
  <c r="B741" i="2"/>
  <c r="F740" i="2"/>
  <c r="B740" i="2"/>
  <c r="E740" i="2" s="1"/>
  <c r="F739" i="2"/>
  <c r="B739" i="2"/>
  <c r="D739" i="2" s="1"/>
  <c r="F738" i="2"/>
  <c r="B738" i="2"/>
  <c r="D738" i="2" s="1"/>
  <c r="F737" i="2"/>
  <c r="B737" i="2"/>
  <c r="E737" i="2" s="1"/>
  <c r="F736" i="2"/>
  <c r="B736" i="2"/>
  <c r="E736" i="2" s="1"/>
  <c r="F735" i="2"/>
  <c r="B735" i="2"/>
  <c r="E735" i="2" s="1"/>
  <c r="F734" i="2"/>
  <c r="B734" i="2"/>
  <c r="E734" i="2" s="1"/>
  <c r="F733" i="2"/>
  <c r="B733" i="2"/>
  <c r="F732" i="2"/>
  <c r="B732" i="2"/>
  <c r="D732" i="2" s="1"/>
  <c r="F731" i="2"/>
  <c r="B731" i="2"/>
  <c r="E731" i="2" s="1"/>
  <c r="F730" i="2"/>
  <c r="B730" i="2"/>
  <c r="F697" i="2"/>
  <c r="B697" i="2"/>
  <c r="E697" i="2" s="1"/>
  <c r="F696" i="2"/>
  <c r="B696" i="2"/>
  <c r="E696" i="2" s="1"/>
  <c r="F695" i="2"/>
  <c r="B695" i="2"/>
  <c r="E695" i="2" s="1"/>
  <c r="F694" i="2"/>
  <c r="B694" i="2"/>
  <c r="E694" i="2" s="1"/>
  <c r="F693" i="2"/>
  <c r="B693" i="2"/>
  <c r="E693" i="2" s="1"/>
  <c r="F692" i="2"/>
  <c r="B692" i="2"/>
  <c r="D692" i="2" s="1"/>
  <c r="F691" i="2"/>
  <c r="B691" i="2"/>
  <c r="E691" i="2" s="1"/>
  <c r="F690" i="2"/>
  <c r="B690" i="2"/>
  <c r="E690" i="2" s="1"/>
  <c r="F689" i="2"/>
  <c r="B689" i="2"/>
  <c r="E689" i="2" s="1"/>
  <c r="F688" i="2"/>
  <c r="B688" i="2"/>
  <c r="E688" i="2" s="1"/>
  <c r="F687" i="2"/>
  <c r="B687" i="2"/>
  <c r="E687" i="2" s="1"/>
  <c r="F686" i="2"/>
  <c r="B686" i="2"/>
  <c r="F653" i="2"/>
  <c r="B653" i="2"/>
  <c r="F652" i="2"/>
  <c r="B652" i="2"/>
  <c r="F651" i="2"/>
  <c r="B651" i="2"/>
  <c r="E651" i="2" s="1"/>
  <c r="F650" i="2"/>
  <c r="B650" i="2"/>
  <c r="F649" i="2"/>
  <c r="B649" i="2"/>
  <c r="F648" i="2"/>
  <c r="B648" i="2"/>
  <c r="F647" i="2"/>
  <c r="B647" i="2"/>
  <c r="D647" i="2" s="1"/>
  <c r="F646" i="2"/>
  <c r="B646" i="2"/>
  <c r="E646" i="2" s="1"/>
  <c r="F645" i="2"/>
  <c r="B645" i="2"/>
  <c r="D645" i="2" s="1"/>
  <c r="F644" i="2"/>
  <c r="B644" i="2"/>
  <c r="E644" i="2" s="1"/>
  <c r="F643" i="2"/>
  <c r="B643" i="2"/>
  <c r="E643" i="2" s="1"/>
  <c r="F642" i="2"/>
  <c r="B642" i="2"/>
  <c r="E642" i="2" s="1"/>
  <c r="F609" i="2"/>
  <c r="B609" i="2"/>
  <c r="F608" i="2"/>
  <c r="B608" i="2"/>
  <c r="E608" i="2" s="1"/>
  <c r="F607" i="2"/>
  <c r="B607" i="2"/>
  <c r="E607" i="2" s="1"/>
  <c r="F606" i="2"/>
  <c r="B606" i="2"/>
  <c r="D606" i="2" s="1"/>
  <c r="F605" i="2"/>
  <c r="B605" i="2"/>
  <c r="D605" i="2" s="1"/>
  <c r="F604" i="2"/>
  <c r="B604" i="2"/>
  <c r="F603" i="2"/>
  <c r="B603" i="2"/>
  <c r="D603" i="2" s="1"/>
  <c r="F602" i="2"/>
  <c r="B602" i="2"/>
  <c r="E602" i="2" s="1"/>
  <c r="F601" i="2"/>
  <c r="B601" i="2"/>
  <c r="E601" i="2" s="1"/>
  <c r="F600" i="2"/>
  <c r="B600" i="2"/>
  <c r="E600" i="2" s="1"/>
  <c r="F599" i="2"/>
  <c r="B599" i="2"/>
  <c r="E599" i="2" s="1"/>
  <c r="F598" i="2"/>
  <c r="B598" i="2"/>
  <c r="E598" i="2" s="1"/>
  <c r="F565" i="2"/>
  <c r="B565" i="2"/>
  <c r="E565" i="2" s="1"/>
  <c r="F564" i="2"/>
  <c r="B564" i="2"/>
  <c r="F563" i="2"/>
  <c r="B563" i="2"/>
  <c r="E563" i="2" s="1"/>
  <c r="F562" i="2"/>
  <c r="B562" i="2"/>
  <c r="E562" i="2" s="1"/>
  <c r="F561" i="2"/>
  <c r="B561" i="2"/>
  <c r="D561" i="2" s="1"/>
  <c r="F560" i="2"/>
  <c r="B560" i="2"/>
  <c r="D560" i="2" s="1"/>
  <c r="F559" i="2"/>
  <c r="B559" i="2"/>
  <c r="E559" i="2" s="1"/>
  <c r="F558" i="2"/>
  <c r="B558" i="2"/>
  <c r="E558" i="2" s="1"/>
  <c r="F557" i="2"/>
  <c r="B557" i="2"/>
  <c r="E557" i="2" s="1"/>
  <c r="F556" i="2"/>
  <c r="B556" i="2"/>
  <c r="E556" i="2" s="1"/>
  <c r="F555" i="2"/>
  <c r="B555" i="2"/>
  <c r="E555" i="2" s="1"/>
  <c r="F554" i="2"/>
  <c r="B554" i="2"/>
  <c r="D554" i="2" s="1"/>
  <c r="F521" i="2"/>
  <c r="B521" i="2"/>
  <c r="E521" i="2" s="1"/>
  <c r="F520" i="2"/>
  <c r="B520" i="2"/>
  <c r="E520" i="2" s="1"/>
  <c r="F519" i="2"/>
  <c r="B519" i="2"/>
  <c r="F518" i="2"/>
  <c r="B518" i="2"/>
  <c r="E518" i="2" s="1"/>
  <c r="F517" i="2"/>
  <c r="B517" i="2"/>
  <c r="F516" i="2"/>
  <c r="B516" i="2"/>
  <c r="E516" i="2" s="1"/>
  <c r="F515" i="2"/>
  <c r="B515" i="2"/>
  <c r="F514" i="2"/>
  <c r="B514" i="2"/>
  <c r="F513" i="2"/>
  <c r="B513" i="2"/>
  <c r="E513" i="2" s="1"/>
  <c r="F512" i="2"/>
  <c r="B512" i="2"/>
  <c r="E512" i="2" s="1"/>
  <c r="F511" i="2"/>
  <c r="B511" i="2"/>
  <c r="E511" i="2" s="1"/>
  <c r="F510" i="2"/>
  <c r="B510" i="2"/>
  <c r="E510" i="2" s="1"/>
  <c r="F477" i="2"/>
  <c r="B477" i="2"/>
  <c r="E477" i="2" s="1"/>
  <c r="F476" i="2"/>
  <c r="B476" i="2"/>
  <c r="E476" i="2" s="1"/>
  <c r="F475" i="2"/>
  <c r="B475" i="2"/>
  <c r="E475" i="2" s="1"/>
  <c r="F474" i="2"/>
  <c r="B474" i="2"/>
  <c r="E474" i="2" s="1"/>
  <c r="F473" i="2"/>
  <c r="B473" i="2"/>
  <c r="E473" i="2" s="1"/>
  <c r="F472" i="2"/>
  <c r="B472" i="2"/>
  <c r="E472" i="2" s="1"/>
  <c r="F471" i="2"/>
  <c r="B471" i="2"/>
  <c r="D471" i="2" s="1"/>
  <c r="F470" i="2"/>
  <c r="B470" i="2"/>
  <c r="E470" i="2" s="1"/>
  <c r="F469" i="2"/>
  <c r="B469" i="2"/>
  <c r="F468" i="2"/>
  <c r="B468" i="2"/>
  <c r="F467" i="2"/>
  <c r="B467" i="2"/>
  <c r="F466" i="2"/>
  <c r="B466" i="2"/>
  <c r="E466" i="2" s="1"/>
  <c r="F433" i="2"/>
  <c r="B433" i="2"/>
  <c r="E433" i="2" s="1"/>
  <c r="F432" i="2"/>
  <c r="B432" i="2"/>
  <c r="E432" i="2" s="1"/>
  <c r="F431" i="2"/>
  <c r="B431" i="2"/>
  <c r="E431" i="2" s="1"/>
  <c r="F430" i="2"/>
  <c r="B430" i="2"/>
  <c r="E430" i="2" s="1"/>
  <c r="F429" i="2"/>
  <c r="B429" i="2"/>
  <c r="D429" i="2" s="1"/>
  <c r="F428" i="2"/>
  <c r="B428" i="2"/>
  <c r="F427" i="2"/>
  <c r="B427" i="2"/>
  <c r="D427" i="2" s="1"/>
  <c r="F426" i="2"/>
  <c r="B426" i="2"/>
  <c r="F425" i="2"/>
  <c r="B425" i="2"/>
  <c r="F424" i="2"/>
  <c r="B424" i="2"/>
  <c r="D424" i="2" s="1"/>
  <c r="F423" i="2"/>
  <c r="B423" i="2"/>
  <c r="F422" i="2"/>
  <c r="B422" i="2"/>
  <c r="F389" i="2"/>
  <c r="B389" i="2"/>
  <c r="F388" i="2"/>
  <c r="B388" i="2"/>
  <c r="E388" i="2" s="1"/>
  <c r="F387" i="2"/>
  <c r="B387" i="2"/>
  <c r="E387" i="2" s="1"/>
  <c r="F386" i="2"/>
  <c r="B386" i="2"/>
  <c r="E386" i="2" s="1"/>
  <c r="F385" i="2"/>
  <c r="B385" i="2"/>
  <c r="E385" i="2" s="1"/>
  <c r="F384" i="2"/>
  <c r="B384" i="2"/>
  <c r="E384" i="2" s="1"/>
  <c r="F383" i="2"/>
  <c r="B383" i="2"/>
  <c r="E383" i="2" s="1"/>
  <c r="F382" i="2"/>
  <c r="B382" i="2"/>
  <c r="F381" i="2"/>
  <c r="B381" i="2"/>
  <c r="F380" i="2"/>
  <c r="B380" i="2"/>
  <c r="E380" i="2" s="1"/>
  <c r="F379" i="2"/>
  <c r="B379" i="2"/>
  <c r="F378" i="2"/>
  <c r="B378" i="2"/>
  <c r="F345" i="2"/>
  <c r="B345" i="2"/>
  <c r="E345" i="2" s="1"/>
  <c r="F344" i="2"/>
  <c r="B344" i="2"/>
  <c r="F343" i="2"/>
  <c r="B343" i="2"/>
  <c r="E343" i="2" s="1"/>
  <c r="F342" i="2"/>
  <c r="B342" i="2"/>
  <c r="F341" i="2"/>
  <c r="B341" i="2"/>
  <c r="E341" i="2" s="1"/>
  <c r="F340" i="2"/>
  <c r="B340" i="2"/>
  <c r="E340" i="2" s="1"/>
  <c r="F339" i="2"/>
  <c r="B339" i="2"/>
  <c r="E339" i="2" s="1"/>
  <c r="F338" i="2"/>
  <c r="B338" i="2"/>
  <c r="E338" i="2" s="1"/>
  <c r="F337" i="2"/>
  <c r="B337" i="2"/>
  <c r="D337" i="2" s="1"/>
  <c r="F336" i="2"/>
  <c r="B336" i="2"/>
  <c r="F335" i="2"/>
  <c r="B335" i="2"/>
  <c r="F334" i="2"/>
  <c r="B334" i="2"/>
  <c r="D334" i="2" s="1"/>
  <c r="F301" i="2"/>
  <c r="B301" i="2"/>
  <c r="E301" i="2" s="1"/>
  <c r="F300" i="2"/>
  <c r="B300" i="2"/>
  <c r="F299" i="2"/>
  <c r="B299" i="2"/>
  <c r="E299" i="2" s="1"/>
  <c r="F298" i="2"/>
  <c r="B298" i="2"/>
  <c r="F297" i="2"/>
  <c r="B297" i="2"/>
  <c r="F296" i="2"/>
  <c r="B296" i="2"/>
  <c r="E296" i="2" s="1"/>
  <c r="F295" i="2"/>
  <c r="B295" i="2"/>
  <c r="E295" i="2" s="1"/>
  <c r="F294" i="2"/>
  <c r="B294" i="2"/>
  <c r="E294" i="2" s="1"/>
  <c r="F293" i="2"/>
  <c r="B293" i="2"/>
  <c r="E293" i="2" s="1"/>
  <c r="F292" i="2"/>
  <c r="B292" i="2"/>
  <c r="E292" i="2" s="1"/>
  <c r="F291" i="2"/>
  <c r="B291" i="2"/>
  <c r="F290" i="2"/>
  <c r="B290" i="2"/>
  <c r="F257" i="2"/>
  <c r="B257" i="2"/>
  <c r="E257" i="2" s="1"/>
  <c r="F256" i="2"/>
  <c r="B256" i="2"/>
  <c r="D256" i="2" s="1"/>
  <c r="F255" i="2"/>
  <c r="B255" i="2"/>
  <c r="E255" i="2" s="1"/>
  <c r="F254" i="2"/>
  <c r="B254" i="2"/>
  <c r="F253" i="2"/>
  <c r="B253" i="2"/>
  <c r="F252" i="2"/>
  <c r="B252" i="2"/>
  <c r="E252" i="2" s="1"/>
  <c r="F251" i="2"/>
  <c r="B251" i="2"/>
  <c r="E251" i="2" s="1"/>
  <c r="F250" i="2"/>
  <c r="B250" i="2"/>
  <c r="E250" i="2" s="1"/>
  <c r="F249" i="2"/>
  <c r="B249" i="2"/>
  <c r="E249" i="2" s="1"/>
  <c r="F248" i="2"/>
  <c r="B248" i="2"/>
  <c r="D248" i="2" s="1"/>
  <c r="F247" i="2"/>
  <c r="B247" i="2"/>
  <c r="E247" i="2" s="1"/>
  <c r="F246" i="2"/>
  <c r="B246" i="2"/>
  <c r="F213" i="2"/>
  <c r="B213" i="2"/>
  <c r="F212" i="2"/>
  <c r="B212" i="2"/>
  <c r="E212" i="2" s="1"/>
  <c r="F211" i="2"/>
  <c r="B211" i="2"/>
  <c r="E211" i="2" s="1"/>
  <c r="F210" i="2"/>
  <c r="B210" i="2"/>
  <c r="E210" i="2" s="1"/>
  <c r="F209" i="2"/>
  <c r="B209" i="2"/>
  <c r="E209" i="2" s="1"/>
  <c r="F208" i="2"/>
  <c r="B208" i="2"/>
  <c r="F207" i="2"/>
  <c r="B207" i="2"/>
  <c r="D207" i="2" s="1"/>
  <c r="F206" i="2"/>
  <c r="B206" i="2"/>
  <c r="E206" i="2" s="1"/>
  <c r="F205" i="2"/>
  <c r="B205" i="2"/>
  <c r="E205" i="2" s="1"/>
  <c r="F204" i="2"/>
  <c r="B204" i="2"/>
  <c r="E204" i="2" s="1"/>
  <c r="F203" i="2"/>
  <c r="B203" i="2"/>
  <c r="E203" i="2" s="1"/>
  <c r="F202" i="2"/>
  <c r="B202" i="2"/>
  <c r="E202" i="2" s="1"/>
  <c r="F169" i="2"/>
  <c r="B169" i="2"/>
  <c r="F168" i="2"/>
  <c r="B168" i="2"/>
  <c r="F167" i="2"/>
  <c r="B167" i="2"/>
  <c r="E167" i="2" s="1"/>
  <c r="F166" i="2"/>
  <c r="B166" i="2"/>
  <c r="F165" i="2"/>
  <c r="B165" i="2"/>
  <c r="F164" i="2"/>
  <c r="B164" i="2"/>
  <c r="D164" i="2" s="1"/>
  <c r="F163" i="2"/>
  <c r="B163" i="2"/>
  <c r="E163" i="2" s="1"/>
  <c r="F162" i="2"/>
  <c r="B162" i="2"/>
  <c r="F161" i="2"/>
  <c r="B161" i="2"/>
  <c r="E161" i="2" s="1"/>
  <c r="F160" i="2"/>
  <c r="B160" i="2"/>
  <c r="E160" i="2" s="1"/>
  <c r="F159" i="2"/>
  <c r="B159" i="2"/>
  <c r="D159" i="2" s="1"/>
  <c r="F158" i="2"/>
  <c r="B158" i="2"/>
  <c r="D158" i="2" s="1"/>
  <c r="F125" i="2"/>
  <c r="B125" i="2"/>
  <c r="E125" i="2" s="1"/>
  <c r="F124" i="2"/>
  <c r="B124" i="2"/>
  <c r="E124" i="2" s="1"/>
  <c r="F123" i="2"/>
  <c r="B123" i="2"/>
  <c r="E123" i="2" s="1"/>
  <c r="F122" i="2"/>
  <c r="B122" i="2"/>
  <c r="E122" i="2" s="1"/>
  <c r="F121" i="2"/>
  <c r="B121" i="2"/>
  <c r="F120" i="2"/>
  <c r="B120" i="2"/>
  <c r="D120" i="2" s="1"/>
  <c r="F119" i="2"/>
  <c r="B119" i="2"/>
  <c r="E119" i="2" s="1"/>
  <c r="F118" i="2"/>
  <c r="B118" i="2"/>
  <c r="E118" i="2" s="1"/>
  <c r="F117" i="2"/>
  <c r="B117" i="2"/>
  <c r="E117" i="2" s="1"/>
  <c r="F116" i="2"/>
  <c r="B116" i="2"/>
  <c r="E116" i="2" s="1"/>
  <c r="F115" i="2"/>
  <c r="B115" i="2"/>
  <c r="D115" i="2" s="1"/>
  <c r="F114" i="2"/>
  <c r="B114" i="2"/>
  <c r="E114" i="2" s="1"/>
  <c r="F81" i="2"/>
  <c r="B81" i="2"/>
  <c r="E81" i="2" s="1"/>
  <c r="F80" i="2"/>
  <c r="B80" i="2"/>
  <c r="D80" i="2" s="1"/>
  <c r="F79" i="2"/>
  <c r="B79" i="2"/>
  <c r="D79" i="2" s="1"/>
  <c r="F78" i="2"/>
  <c r="B78" i="2"/>
  <c r="E78" i="2" s="1"/>
  <c r="F77" i="2"/>
  <c r="B77" i="2"/>
  <c r="D77" i="2" s="1"/>
  <c r="F76" i="2"/>
  <c r="B76" i="2"/>
  <c r="F75" i="2"/>
  <c r="B75" i="2"/>
  <c r="F74" i="2"/>
  <c r="B74" i="2"/>
  <c r="E74" i="2" s="1"/>
  <c r="F73" i="2"/>
  <c r="B73" i="2"/>
  <c r="E73" i="2" s="1"/>
  <c r="F72" i="2"/>
  <c r="B72" i="2"/>
  <c r="F71" i="2"/>
  <c r="B71" i="2"/>
  <c r="E71" i="2" s="1"/>
  <c r="F70" i="2"/>
  <c r="B70" i="2"/>
  <c r="F125" i="1"/>
  <c r="B125" i="1"/>
  <c r="E125" i="1" s="1"/>
  <c r="F124" i="1"/>
  <c r="B124" i="1"/>
  <c r="E124" i="1" s="1"/>
  <c r="F123" i="1"/>
  <c r="B123" i="1"/>
  <c r="E123" i="1" s="1"/>
  <c r="F122" i="1"/>
  <c r="B122" i="1"/>
  <c r="E122" i="1" s="1"/>
  <c r="F121" i="1"/>
  <c r="B121" i="1"/>
  <c r="D121" i="1" s="1"/>
  <c r="F120" i="1"/>
  <c r="B120" i="1"/>
  <c r="D120" i="1" s="1"/>
  <c r="F119" i="1"/>
  <c r="B119" i="1"/>
  <c r="F118" i="1"/>
  <c r="B118" i="1"/>
  <c r="F117" i="1"/>
  <c r="B117" i="1"/>
  <c r="F116" i="1"/>
  <c r="B116" i="1"/>
  <c r="E116" i="1" s="1"/>
  <c r="F115" i="1"/>
  <c r="B115" i="1"/>
  <c r="E115" i="1" s="1"/>
  <c r="F114" i="1"/>
  <c r="B114" i="1"/>
  <c r="P41" i="1"/>
  <c r="P40" i="1"/>
  <c r="E603" i="2" l="1"/>
  <c r="E427" i="2"/>
  <c r="D1083" i="2"/>
  <c r="D1175" i="2"/>
  <c r="D1437" i="2"/>
  <c r="E739" i="2"/>
  <c r="E1441" i="2"/>
  <c r="E647" i="2"/>
  <c r="E1223" i="2"/>
  <c r="D1132" i="2"/>
  <c r="D823" i="2"/>
  <c r="D1041" i="2"/>
  <c r="E1352" i="2"/>
  <c r="D1087" i="2"/>
  <c r="D1525" i="2"/>
  <c r="D1133" i="2"/>
  <c r="D559" i="2"/>
  <c r="D951" i="2"/>
  <c r="D513" i="2"/>
  <c r="D1043" i="2"/>
  <c r="E1088" i="2"/>
  <c r="D998" i="2"/>
  <c r="E1434" i="2"/>
  <c r="D1527" i="2"/>
  <c r="D601" i="2"/>
  <c r="D167" i="2"/>
  <c r="D1000" i="2"/>
  <c r="D955" i="2"/>
  <c r="E867" i="2"/>
  <c r="D1218" i="2"/>
  <c r="D466" i="2"/>
  <c r="E1219" i="2"/>
  <c r="D1393" i="2"/>
  <c r="D691" i="2"/>
  <c r="E645" i="2"/>
  <c r="E1082" i="2"/>
  <c r="D290" i="2"/>
  <c r="E168" i="2"/>
  <c r="E515" i="2"/>
  <c r="D515" i="2"/>
  <c r="D114" i="1"/>
  <c r="D163" i="2"/>
  <c r="E336" i="2"/>
  <c r="D774" i="2"/>
  <c r="E774" i="2"/>
  <c r="E822" i="2"/>
  <c r="E1040" i="2"/>
  <c r="D291" i="2"/>
  <c r="E650" i="2"/>
  <c r="E117" i="1"/>
  <c r="D730" i="2"/>
  <c r="D1131" i="2"/>
  <c r="D604" i="2"/>
  <c r="D1040" i="2"/>
  <c r="E1523" i="2"/>
  <c r="E213" i="2"/>
  <c r="E1304" i="2"/>
  <c r="E1524" i="2"/>
  <c r="D649" i="2"/>
  <c r="E1522" i="2"/>
  <c r="D165" i="2"/>
  <c r="E166" i="2"/>
  <c r="D118" i="1"/>
  <c r="E778" i="2"/>
  <c r="D778" i="2"/>
  <c r="E1269" i="2"/>
  <c r="E652" i="2"/>
  <c r="D119" i="1"/>
  <c r="E119" i="1"/>
  <c r="E389" i="2"/>
  <c r="D467" i="2"/>
  <c r="E1180" i="2"/>
  <c r="E1258" i="2"/>
  <c r="E606" i="2"/>
  <c r="E514" i="2"/>
  <c r="E1400" i="2"/>
  <c r="E1478" i="2"/>
  <c r="E906" i="2"/>
  <c r="E953" i="2"/>
  <c r="D953" i="2"/>
  <c r="D999" i="2"/>
  <c r="E1135" i="2"/>
  <c r="D1222" i="2"/>
  <c r="E1044" i="2"/>
  <c r="E1355" i="2"/>
  <c r="E1480" i="2"/>
  <c r="E954" i="2"/>
  <c r="E1090" i="2"/>
  <c r="E775" i="2"/>
  <c r="E1356" i="2"/>
  <c r="E1481" i="2"/>
  <c r="D1481" i="2"/>
  <c r="E1085" i="2"/>
  <c r="E908" i="2"/>
  <c r="E1435" i="2"/>
  <c r="E1482" i="2"/>
  <c r="E72" i="2"/>
  <c r="E422" i="2"/>
  <c r="E952" i="2"/>
  <c r="E686" i="2"/>
  <c r="E1526" i="2"/>
  <c r="E564" i="2"/>
  <c r="E379" i="2"/>
  <c r="E910" i="2"/>
  <c r="D910" i="2"/>
  <c r="E956" i="2"/>
  <c r="E342" i="2"/>
  <c r="E425" i="2"/>
  <c r="D378" i="2"/>
  <c r="E1391" i="2"/>
  <c r="E733" i="2"/>
  <c r="E253" i="2"/>
  <c r="E300" i="2"/>
  <c r="E818" i="2"/>
  <c r="D653" i="2"/>
  <c r="E653" i="2"/>
  <c r="D423" i="2"/>
  <c r="E519" i="2"/>
  <c r="D121" i="2"/>
  <c r="E1392" i="2"/>
  <c r="E1445" i="2"/>
  <c r="E468" i="2"/>
  <c r="E1310" i="2"/>
  <c r="E426" i="2"/>
  <c r="E381" i="2"/>
  <c r="E819" i="2"/>
  <c r="D246" i="2"/>
  <c r="E169" i="2"/>
  <c r="D119" i="2"/>
  <c r="E254" i="2"/>
  <c r="E428" i="2"/>
  <c r="E75" i="2"/>
  <c r="D75" i="2"/>
  <c r="D866" i="2"/>
  <c r="D1346" i="2"/>
  <c r="E609" i="2"/>
  <c r="E1436" i="2"/>
  <c r="E863" i="2"/>
  <c r="D122" i="2"/>
  <c r="E208" i="2"/>
  <c r="E382" i="2"/>
  <c r="E866" i="2"/>
  <c r="E1346" i="2"/>
  <c r="D298" i="2"/>
  <c r="D76" i="2"/>
  <c r="D208" i="2"/>
  <c r="E1267" i="2"/>
  <c r="D648" i="2"/>
  <c r="E469" i="2"/>
  <c r="E344" i="2"/>
  <c r="D70" i="2"/>
  <c r="E471" i="2"/>
  <c r="E335" i="2"/>
  <c r="E821" i="2"/>
  <c r="E1302" i="2"/>
  <c r="D517" i="2"/>
  <c r="D297" i="2"/>
  <c r="E162" i="2"/>
  <c r="E741" i="2"/>
  <c r="E77" i="2"/>
  <c r="E256" i="2"/>
  <c r="D1221" i="2"/>
  <c r="E248" i="2"/>
  <c r="E207" i="2"/>
  <c r="D252" i="2"/>
  <c r="D296" i="2"/>
  <c r="E560" i="2"/>
  <c r="E605" i="2"/>
  <c r="E732" i="2"/>
  <c r="D777" i="2"/>
  <c r="D911" i="2"/>
  <c r="D824" i="2"/>
  <c r="D868" i="2"/>
  <c r="D1001" i="2"/>
  <c r="D1305" i="2"/>
  <c r="D1483" i="2"/>
  <c r="D779" i="2"/>
  <c r="D735" i="2"/>
  <c r="D1395" i="2"/>
  <c r="D1439" i="2"/>
  <c r="D1529" i="2"/>
  <c r="E914" i="2"/>
  <c r="D958" i="2"/>
  <c r="D1002" i="2"/>
  <c r="D1351" i="2"/>
  <c r="D293" i="2"/>
  <c r="E869" i="2"/>
  <c r="E780" i="2"/>
  <c r="E1170" i="2"/>
  <c r="E1261" i="2"/>
  <c r="E79" i="2"/>
  <c r="D339" i="2"/>
  <c r="D826" i="2"/>
  <c r="D915" i="2"/>
  <c r="D1307" i="2"/>
  <c r="D1396" i="2"/>
  <c r="E554" i="2"/>
  <c r="D960" i="2"/>
  <c r="D1127" i="2"/>
  <c r="E1171" i="2"/>
  <c r="D383" i="2"/>
  <c r="D251" i="2"/>
  <c r="D295" i="2"/>
  <c r="D340" i="2"/>
  <c r="D1263" i="2"/>
  <c r="D1308" i="2"/>
  <c r="E872" i="2"/>
  <c r="D1398" i="2"/>
  <c r="D1528" i="2"/>
  <c r="D1522" i="2"/>
  <c r="D1523" i="2"/>
  <c r="D1530" i="2"/>
  <c r="D1524" i="2"/>
  <c r="D1531" i="2"/>
  <c r="D1532" i="2"/>
  <c r="D1526" i="2"/>
  <c r="D1533" i="2"/>
  <c r="E1484" i="2"/>
  <c r="D1485" i="2"/>
  <c r="D1479" i="2"/>
  <c r="D1486" i="2"/>
  <c r="D1480" i="2"/>
  <c r="D1478" i="2"/>
  <c r="D1487" i="2"/>
  <c r="D1488" i="2"/>
  <c r="D1482" i="2"/>
  <c r="D1489" i="2"/>
  <c r="D1440" i="2"/>
  <c r="D1435" i="2"/>
  <c r="D1442" i="2"/>
  <c r="D1436" i="2"/>
  <c r="D1443" i="2"/>
  <c r="D1444" i="2"/>
  <c r="D1438" i="2"/>
  <c r="D1445" i="2"/>
  <c r="E1397" i="2"/>
  <c r="D1391" i="2"/>
  <c r="D1392" i="2"/>
  <c r="E1390" i="2"/>
  <c r="D1399" i="2"/>
  <c r="D1400" i="2"/>
  <c r="D1394" i="2"/>
  <c r="D1401" i="2"/>
  <c r="E1353" i="2"/>
  <c r="D1347" i="2"/>
  <c r="D1354" i="2"/>
  <c r="D1348" i="2"/>
  <c r="D1355" i="2"/>
  <c r="D1349" i="2"/>
  <c r="D1356" i="2"/>
  <c r="D1350" i="2"/>
  <c r="D1357" i="2"/>
  <c r="D1302" i="2"/>
  <c r="D1309" i="2"/>
  <c r="D1303" i="2"/>
  <c r="D1310" i="2"/>
  <c r="D1304" i="2"/>
  <c r="D1311" i="2"/>
  <c r="D1312" i="2"/>
  <c r="D1306" i="2"/>
  <c r="D1313" i="2"/>
  <c r="D1264" i="2"/>
  <c r="D1265" i="2"/>
  <c r="D1259" i="2"/>
  <c r="D1266" i="2"/>
  <c r="D1260" i="2"/>
  <c r="D1267" i="2"/>
  <c r="D1268" i="2"/>
  <c r="D1262" i="2"/>
  <c r="D1269" i="2"/>
  <c r="E1221" i="2"/>
  <c r="E1222" i="2"/>
  <c r="D1216" i="2"/>
  <c r="D1214" i="2"/>
  <c r="D1217" i="2"/>
  <c r="D1220" i="2"/>
  <c r="D1224" i="2"/>
  <c r="D1215" i="2"/>
  <c r="D1225" i="2"/>
  <c r="D1176" i="2"/>
  <c r="D1177" i="2"/>
  <c r="D1178" i="2"/>
  <c r="D1172" i="2"/>
  <c r="D1179" i="2"/>
  <c r="D1173" i="2"/>
  <c r="D1180" i="2"/>
  <c r="D1174" i="2"/>
  <c r="D1181" i="2"/>
  <c r="D1126" i="2"/>
  <c r="D1134" i="2"/>
  <c r="D1128" i="2"/>
  <c r="D1135" i="2"/>
  <c r="D1129" i="2"/>
  <c r="D1136" i="2"/>
  <c r="D1130" i="2"/>
  <c r="D1137" i="2"/>
  <c r="D1089" i="2"/>
  <c r="D1090" i="2"/>
  <c r="D1084" i="2"/>
  <c r="D1091" i="2"/>
  <c r="D1085" i="2"/>
  <c r="D1092" i="2"/>
  <c r="D1086" i="2"/>
  <c r="D1093" i="2"/>
  <c r="D1045" i="2"/>
  <c r="D1039" i="2"/>
  <c r="D1038" i="2"/>
  <c r="D1044" i="2"/>
  <c r="D1046" i="2"/>
  <c r="D1047" i="2"/>
  <c r="D1048" i="2"/>
  <c r="D1042" i="2"/>
  <c r="D1049" i="2"/>
  <c r="D994" i="2"/>
  <c r="D995" i="2"/>
  <c r="D996" i="2"/>
  <c r="D1003" i="2"/>
  <c r="D997" i="2"/>
  <c r="D1004" i="2"/>
  <c r="D1005" i="2"/>
  <c r="D950" i="2"/>
  <c r="D957" i="2"/>
  <c r="D952" i="2"/>
  <c r="D959" i="2"/>
  <c r="D954" i="2"/>
  <c r="D961" i="2"/>
  <c r="D912" i="2"/>
  <c r="D906" i="2"/>
  <c r="E913" i="2"/>
  <c r="D907" i="2"/>
  <c r="D908" i="2"/>
  <c r="D909" i="2"/>
  <c r="D916" i="2"/>
  <c r="D917" i="2"/>
  <c r="E862" i="2"/>
  <c r="D870" i="2"/>
  <c r="D864" i="2"/>
  <c r="D871" i="2"/>
  <c r="D865" i="2"/>
  <c r="D873" i="2"/>
  <c r="D818" i="2"/>
  <c r="E825" i="2"/>
  <c r="D819" i="2"/>
  <c r="D820" i="2"/>
  <c r="D827" i="2"/>
  <c r="D821" i="2"/>
  <c r="D828" i="2"/>
  <c r="D822" i="2"/>
  <c r="D829" i="2"/>
  <c r="D781" i="2"/>
  <c r="D775" i="2"/>
  <c r="D782" i="2"/>
  <c r="D776" i="2"/>
  <c r="D783" i="2"/>
  <c r="D784" i="2"/>
  <c r="D785" i="2"/>
  <c r="E730" i="2"/>
  <c r="D737" i="2"/>
  <c r="D731" i="2"/>
  <c r="D736" i="2"/>
  <c r="E738" i="2"/>
  <c r="D733" i="2"/>
  <c r="D740" i="2"/>
  <c r="D734" i="2"/>
  <c r="D741" i="2"/>
  <c r="E692" i="2"/>
  <c r="D686" i="2"/>
  <c r="D693" i="2"/>
  <c r="D687" i="2"/>
  <c r="D694" i="2"/>
  <c r="D688" i="2"/>
  <c r="D695" i="2"/>
  <c r="D689" i="2"/>
  <c r="D696" i="2"/>
  <c r="D690" i="2"/>
  <c r="D697" i="2"/>
  <c r="E648" i="2"/>
  <c r="D642" i="2"/>
  <c r="E649" i="2"/>
  <c r="D643" i="2"/>
  <c r="D650" i="2"/>
  <c r="D644" i="2"/>
  <c r="D651" i="2"/>
  <c r="D652" i="2"/>
  <c r="D646" i="2"/>
  <c r="E604" i="2"/>
  <c r="D598" i="2"/>
  <c r="D599" i="2"/>
  <c r="D600" i="2"/>
  <c r="D607" i="2"/>
  <c r="D608" i="2"/>
  <c r="D602" i="2"/>
  <c r="D609" i="2"/>
  <c r="D555" i="2"/>
  <c r="D562" i="2"/>
  <c r="D556" i="2"/>
  <c r="D563" i="2"/>
  <c r="D557" i="2"/>
  <c r="E561" i="2"/>
  <c r="D564" i="2"/>
  <c r="D558" i="2"/>
  <c r="D565" i="2"/>
  <c r="D516" i="2"/>
  <c r="D510" i="2"/>
  <c r="E517" i="2"/>
  <c r="D511" i="2"/>
  <c r="D518" i="2"/>
  <c r="D512" i="2"/>
  <c r="D519" i="2"/>
  <c r="D520" i="2"/>
  <c r="D514" i="2"/>
  <c r="D521" i="2"/>
  <c r="D472" i="2"/>
  <c r="E467" i="2"/>
  <c r="D474" i="2"/>
  <c r="D473" i="2"/>
  <c r="D468" i="2"/>
  <c r="D475" i="2"/>
  <c r="D469" i="2"/>
  <c r="D476" i="2"/>
  <c r="D470" i="2"/>
  <c r="D477" i="2"/>
  <c r="D422" i="2"/>
  <c r="E429" i="2"/>
  <c r="E423" i="2"/>
  <c r="D430" i="2"/>
  <c r="E424" i="2"/>
  <c r="D428" i="2"/>
  <c r="D431" i="2"/>
  <c r="D425" i="2"/>
  <c r="D432" i="2"/>
  <c r="D426" i="2"/>
  <c r="D433" i="2"/>
  <c r="D385" i="2"/>
  <c r="D379" i="2"/>
  <c r="D386" i="2"/>
  <c r="D380" i="2"/>
  <c r="D387" i="2"/>
  <c r="D381" i="2"/>
  <c r="E378" i="2"/>
  <c r="D388" i="2"/>
  <c r="D384" i="2"/>
  <c r="D382" i="2"/>
  <c r="D389" i="2"/>
  <c r="E334" i="2"/>
  <c r="D341" i="2"/>
  <c r="D335" i="2"/>
  <c r="D342" i="2"/>
  <c r="D336" i="2"/>
  <c r="D343" i="2"/>
  <c r="E337" i="2"/>
  <c r="D344" i="2"/>
  <c r="D338" i="2"/>
  <c r="D345" i="2"/>
  <c r="E290" i="2"/>
  <c r="E291" i="2"/>
  <c r="E298" i="2"/>
  <c r="D292" i="2"/>
  <c r="D299" i="2"/>
  <c r="E297" i="2"/>
  <c r="D300" i="2"/>
  <c r="D294" i="2"/>
  <c r="D301" i="2"/>
  <c r="D247" i="2"/>
  <c r="D253" i="2"/>
  <c r="D254" i="2"/>
  <c r="E246" i="2"/>
  <c r="D255" i="2"/>
  <c r="D249" i="2"/>
  <c r="D250" i="2"/>
  <c r="D257" i="2"/>
  <c r="D209" i="2"/>
  <c r="D203" i="2"/>
  <c r="D202" i="2"/>
  <c r="D210" i="2"/>
  <c r="D204" i="2"/>
  <c r="D211" i="2"/>
  <c r="D205" i="2"/>
  <c r="D212" i="2"/>
  <c r="D206" i="2"/>
  <c r="D213" i="2"/>
  <c r="E159" i="2"/>
  <c r="E165" i="2"/>
  <c r="D166" i="2"/>
  <c r="E158" i="2"/>
  <c r="D160" i="2"/>
  <c r="E164" i="2"/>
  <c r="D168" i="2"/>
  <c r="D162" i="2"/>
  <c r="D169" i="2"/>
  <c r="D161" i="2"/>
  <c r="E115" i="2"/>
  <c r="D116" i="2"/>
  <c r="E120" i="2"/>
  <c r="D123" i="2"/>
  <c r="E121" i="2"/>
  <c r="D117" i="2"/>
  <c r="D114" i="2"/>
  <c r="D124" i="2"/>
  <c r="D118" i="2"/>
  <c r="D125" i="2"/>
  <c r="E70" i="2"/>
  <c r="D71" i="2"/>
  <c r="D78" i="2"/>
  <c r="E76" i="2"/>
  <c r="D72" i="2"/>
  <c r="D73" i="2"/>
  <c r="E80" i="2"/>
  <c r="D74" i="2"/>
  <c r="D81" i="2"/>
  <c r="D123" i="1"/>
  <c r="E114" i="1"/>
  <c r="D122" i="1"/>
  <c r="D116" i="1"/>
  <c r="E120" i="1"/>
  <c r="E121" i="1"/>
  <c r="D124" i="1"/>
  <c r="E118" i="1"/>
  <c r="D125" i="1"/>
  <c r="D115" i="1"/>
  <c r="D117" i="1"/>
  <c r="D17" i="36"/>
  <c r="D16" i="36"/>
  <c r="G6" i="38" l="1"/>
  <c r="G137" i="36"/>
  <c r="G104" i="36"/>
  <c r="L98" i="17"/>
  <c r="P100" i="17" s="1"/>
  <c r="L54" i="17"/>
  <c r="P56" i="17" s="1"/>
  <c r="L10" i="17"/>
  <c r="P12" i="17" s="1"/>
  <c r="L99" i="15"/>
  <c r="P100" i="15" s="1"/>
  <c r="L55" i="15"/>
  <c r="P56" i="15" s="1"/>
  <c r="B147" i="13"/>
  <c r="B15" i="13"/>
  <c r="F63" i="4"/>
  <c r="F107" i="4" s="1"/>
  <c r="F151" i="4" s="1"/>
  <c r="F195" i="4" s="1"/>
  <c r="F239" i="4" s="1"/>
  <c r="F283" i="4" s="1"/>
  <c r="F327" i="4" s="1"/>
  <c r="C63" i="4"/>
  <c r="C107" i="4" s="1"/>
  <c r="C151" i="4" s="1"/>
  <c r="C195" i="4" s="1"/>
  <c r="C239" i="4" s="1"/>
  <c r="C283" i="4" s="1"/>
  <c r="C327" i="4" s="1"/>
  <c r="B279" i="4"/>
  <c r="B235" i="4"/>
  <c r="B191" i="4"/>
  <c r="B147" i="4"/>
  <c r="B103" i="4"/>
  <c r="B59" i="4"/>
  <c r="B15" i="4"/>
  <c r="O5" i="1" l="1"/>
  <c r="N3" i="1"/>
  <c r="D1" i="1"/>
  <c r="D3" i="1"/>
  <c r="D2" i="1"/>
  <c r="H53" i="43" l="1"/>
  <c r="H29" i="43"/>
  <c r="C3" i="43"/>
  <c r="C2" i="43"/>
  <c r="C1" i="43"/>
  <c r="G46" i="42"/>
  <c r="H46" i="42"/>
  <c r="I46" i="42"/>
  <c r="J46" i="42"/>
  <c r="K46" i="42"/>
  <c r="L46" i="42"/>
  <c r="M46" i="42"/>
  <c r="N46" i="42"/>
  <c r="O46" i="42"/>
  <c r="P46" i="42"/>
  <c r="Q46" i="42"/>
  <c r="G47" i="42"/>
  <c r="H47" i="42"/>
  <c r="I47" i="42"/>
  <c r="J47" i="42"/>
  <c r="K47" i="42"/>
  <c r="L47" i="42"/>
  <c r="M47" i="42"/>
  <c r="N47" i="42"/>
  <c r="O47" i="42"/>
  <c r="P47" i="42"/>
  <c r="Q47" i="42"/>
  <c r="G48" i="42"/>
  <c r="H48" i="42"/>
  <c r="I48" i="42"/>
  <c r="J48" i="42"/>
  <c r="K48" i="42"/>
  <c r="L48" i="42"/>
  <c r="M48" i="42"/>
  <c r="R48" i="42" s="1"/>
  <c r="S48" i="42" s="1"/>
  <c r="N48" i="42"/>
  <c r="O48" i="42"/>
  <c r="P48" i="42"/>
  <c r="Q48" i="42"/>
  <c r="G50" i="42"/>
  <c r="H50" i="42"/>
  <c r="I50" i="42"/>
  <c r="J50" i="42"/>
  <c r="K50" i="42"/>
  <c r="L50" i="42"/>
  <c r="M50" i="42"/>
  <c r="N50" i="42"/>
  <c r="O50" i="42"/>
  <c r="P50" i="42"/>
  <c r="Q50" i="42"/>
  <c r="G51" i="42"/>
  <c r="H51" i="42"/>
  <c r="I51" i="42"/>
  <c r="J51" i="42"/>
  <c r="K51" i="42"/>
  <c r="L51" i="42"/>
  <c r="R51" i="42" s="1"/>
  <c r="S51" i="42" s="1"/>
  <c r="M51" i="42"/>
  <c r="N51" i="42"/>
  <c r="O51" i="42"/>
  <c r="P51" i="42"/>
  <c r="Q51" i="42"/>
  <c r="G52" i="42"/>
  <c r="H52" i="42"/>
  <c r="I52" i="42"/>
  <c r="J52" i="42"/>
  <c r="K52" i="42"/>
  <c r="L52" i="42"/>
  <c r="M52" i="42"/>
  <c r="N52" i="42"/>
  <c r="O52" i="42"/>
  <c r="P52" i="42"/>
  <c r="Q52" i="42"/>
  <c r="M53" i="42"/>
  <c r="P53" i="42"/>
  <c r="G54" i="42"/>
  <c r="H54" i="42"/>
  <c r="I54" i="42"/>
  <c r="J54" i="42"/>
  <c r="K54" i="42"/>
  <c r="R54" i="42" s="1"/>
  <c r="S54" i="42" s="1"/>
  <c r="L54" i="42"/>
  <c r="M54" i="42"/>
  <c r="N54" i="42"/>
  <c r="O54" i="42"/>
  <c r="P54" i="42"/>
  <c r="Q54" i="42"/>
  <c r="G55" i="42"/>
  <c r="H55" i="42"/>
  <c r="I55" i="42"/>
  <c r="J55" i="42"/>
  <c r="K55" i="42"/>
  <c r="L55" i="42"/>
  <c r="M55" i="42"/>
  <c r="N55" i="42"/>
  <c r="O55" i="42"/>
  <c r="P55" i="42"/>
  <c r="Q55" i="42"/>
  <c r="G29" i="42"/>
  <c r="H29" i="42"/>
  <c r="I29" i="42"/>
  <c r="J29" i="42"/>
  <c r="K29" i="42"/>
  <c r="L29" i="42"/>
  <c r="M29" i="42"/>
  <c r="N29" i="42"/>
  <c r="O29" i="42"/>
  <c r="P29" i="42"/>
  <c r="Q29" i="42"/>
  <c r="G30" i="42"/>
  <c r="H30" i="42"/>
  <c r="I30" i="42"/>
  <c r="J30" i="42"/>
  <c r="K30" i="42"/>
  <c r="L30" i="42"/>
  <c r="M30" i="42"/>
  <c r="N30" i="42"/>
  <c r="O30" i="42"/>
  <c r="P30" i="42"/>
  <c r="Q30" i="42"/>
  <c r="G31" i="42"/>
  <c r="H31" i="42"/>
  <c r="I31" i="42"/>
  <c r="J31" i="42"/>
  <c r="K31" i="42"/>
  <c r="L31" i="42"/>
  <c r="M31" i="42"/>
  <c r="N31" i="42"/>
  <c r="O31" i="42"/>
  <c r="P31" i="42"/>
  <c r="Q31" i="42"/>
  <c r="G32" i="42"/>
  <c r="H32" i="42"/>
  <c r="I32" i="42"/>
  <c r="J32" i="42"/>
  <c r="K32" i="42"/>
  <c r="L32" i="42"/>
  <c r="M32" i="42"/>
  <c r="N32" i="42"/>
  <c r="O32" i="42"/>
  <c r="P32" i="42"/>
  <c r="Q32" i="42"/>
  <c r="G33" i="42"/>
  <c r="H33" i="42"/>
  <c r="I33" i="42"/>
  <c r="J33" i="42"/>
  <c r="K33" i="42"/>
  <c r="L33" i="42"/>
  <c r="M33" i="42"/>
  <c r="N33" i="42"/>
  <c r="O33" i="42"/>
  <c r="P33" i="42"/>
  <c r="Q33" i="42"/>
  <c r="G34" i="42"/>
  <c r="H34" i="42"/>
  <c r="I34" i="42"/>
  <c r="J34" i="42"/>
  <c r="K34" i="42"/>
  <c r="L34" i="42"/>
  <c r="M34" i="42"/>
  <c r="N34" i="42"/>
  <c r="O34" i="42"/>
  <c r="P34" i="42"/>
  <c r="Q34" i="42"/>
  <c r="G35" i="42"/>
  <c r="H35" i="42"/>
  <c r="I35" i="42"/>
  <c r="J35" i="42"/>
  <c r="K35" i="42"/>
  <c r="L35" i="42"/>
  <c r="M35" i="42"/>
  <c r="N35" i="42"/>
  <c r="O35" i="42"/>
  <c r="P35" i="42"/>
  <c r="Q35" i="42"/>
  <c r="G36" i="42"/>
  <c r="H36" i="42"/>
  <c r="I36" i="42"/>
  <c r="J36" i="42"/>
  <c r="K36" i="42"/>
  <c r="L36" i="42"/>
  <c r="M36" i="42"/>
  <c r="N36" i="42"/>
  <c r="O36" i="42"/>
  <c r="P36" i="42"/>
  <c r="Q36" i="42"/>
  <c r="F13" i="42"/>
  <c r="G13" i="42"/>
  <c r="H13" i="42"/>
  <c r="I13" i="42"/>
  <c r="J13" i="42"/>
  <c r="K13" i="42"/>
  <c r="L13" i="42"/>
  <c r="M13" i="42"/>
  <c r="N13" i="42"/>
  <c r="O13" i="42"/>
  <c r="P13" i="42"/>
  <c r="Q13" i="42"/>
  <c r="F14" i="42"/>
  <c r="G14" i="42"/>
  <c r="H14" i="42"/>
  <c r="I14" i="42"/>
  <c r="J14" i="42"/>
  <c r="K14" i="42"/>
  <c r="L14" i="42"/>
  <c r="M14" i="42"/>
  <c r="R14" i="42" s="1"/>
  <c r="S14" i="42" s="1"/>
  <c r="N14" i="42"/>
  <c r="O14" i="42"/>
  <c r="P14" i="42"/>
  <c r="Q14" i="42"/>
  <c r="F15" i="42"/>
  <c r="R15" i="42" s="1"/>
  <c r="S15" i="42" s="1"/>
  <c r="G15" i="42"/>
  <c r="H15" i="42"/>
  <c r="I15" i="42"/>
  <c r="J15" i="42"/>
  <c r="K15" i="42"/>
  <c r="L15" i="42"/>
  <c r="M15" i="42"/>
  <c r="N15" i="42"/>
  <c r="O15" i="42"/>
  <c r="P15" i="42"/>
  <c r="Q15" i="42"/>
  <c r="F16" i="42"/>
  <c r="G16" i="42"/>
  <c r="H16" i="42"/>
  <c r="I16" i="42"/>
  <c r="J16" i="42"/>
  <c r="K16" i="42"/>
  <c r="L16" i="42"/>
  <c r="M16" i="42"/>
  <c r="N16" i="42"/>
  <c r="O16" i="42"/>
  <c r="R16" i="42" s="1"/>
  <c r="S16" i="42" s="1"/>
  <c r="P16" i="42"/>
  <c r="Q16" i="42"/>
  <c r="F17" i="42"/>
  <c r="G17" i="42"/>
  <c r="H17" i="42"/>
  <c r="I17" i="42"/>
  <c r="R17" i="42" s="1"/>
  <c r="S17" i="42" s="1"/>
  <c r="J17" i="42"/>
  <c r="K17" i="42"/>
  <c r="L17" i="42"/>
  <c r="M17" i="42"/>
  <c r="N17" i="42"/>
  <c r="O17" i="42"/>
  <c r="P17" i="42"/>
  <c r="Q17" i="42"/>
  <c r="F18" i="42"/>
  <c r="R18" i="42" s="1"/>
  <c r="S18" i="42" s="1"/>
  <c r="G18" i="42"/>
  <c r="H18" i="42"/>
  <c r="I18" i="42"/>
  <c r="J18" i="42"/>
  <c r="K18" i="42"/>
  <c r="L18" i="42"/>
  <c r="M18" i="42"/>
  <c r="N18" i="42"/>
  <c r="O18" i="42"/>
  <c r="P18" i="42"/>
  <c r="Q18" i="42"/>
  <c r="F19" i="42"/>
  <c r="G19" i="42"/>
  <c r="H19" i="42"/>
  <c r="I19" i="42"/>
  <c r="R19" i="42" s="1"/>
  <c r="S19" i="42" s="1"/>
  <c r="J19" i="42"/>
  <c r="K19" i="42"/>
  <c r="L19" i="42"/>
  <c r="M19" i="42"/>
  <c r="N19" i="42"/>
  <c r="O19" i="42"/>
  <c r="P19" i="42"/>
  <c r="Q19" i="42"/>
  <c r="G12" i="42"/>
  <c r="H12" i="42"/>
  <c r="I12" i="42"/>
  <c r="J12" i="42"/>
  <c r="K12" i="42"/>
  <c r="L12" i="42"/>
  <c r="M12" i="42"/>
  <c r="N12" i="42"/>
  <c r="O12" i="42"/>
  <c r="P12" i="42"/>
  <c r="Q12" i="42"/>
  <c r="F55" i="42"/>
  <c r="F54" i="42"/>
  <c r="F52" i="42"/>
  <c r="F51" i="42"/>
  <c r="F50" i="42"/>
  <c r="F48" i="42"/>
  <c r="F47" i="42"/>
  <c r="F46" i="42"/>
  <c r="F36" i="42"/>
  <c r="F35" i="42"/>
  <c r="F34" i="42"/>
  <c r="F33" i="42"/>
  <c r="R33" i="42" s="1"/>
  <c r="S33" i="42" s="1"/>
  <c r="F32" i="42"/>
  <c r="F31" i="42"/>
  <c r="F30" i="42"/>
  <c r="F29" i="42"/>
  <c r="F12" i="42"/>
  <c r="C3" i="42"/>
  <c r="C2" i="42"/>
  <c r="C1" i="42"/>
  <c r="A26" i="41"/>
  <c r="A25" i="41"/>
  <c r="A24" i="41"/>
  <c r="A23" i="41"/>
  <c r="A21" i="41"/>
  <c r="A13" i="41"/>
  <c r="E55" i="41"/>
  <c r="E51" i="41"/>
  <c r="D55" i="41"/>
  <c r="D51" i="41"/>
  <c r="C55" i="41"/>
  <c r="C51" i="41"/>
  <c r="B55" i="41"/>
  <c r="B51" i="41"/>
  <c r="B39" i="41"/>
  <c r="B26" i="41"/>
  <c r="A4" i="41"/>
  <c r="A3" i="41"/>
  <c r="A2" i="41"/>
  <c r="B96" i="40"/>
  <c r="B95" i="40"/>
  <c r="B94" i="40"/>
  <c r="B93" i="40"/>
  <c r="B92" i="40"/>
  <c r="B91" i="40"/>
  <c r="B89" i="40"/>
  <c r="B90" i="40"/>
  <c r="B86" i="40"/>
  <c r="B85" i="40"/>
  <c r="B84" i="40"/>
  <c r="B83" i="40"/>
  <c r="B80" i="40"/>
  <c r="B79" i="40"/>
  <c r="B78" i="40"/>
  <c r="B77" i="40"/>
  <c r="B75" i="40"/>
  <c r="B76" i="40"/>
  <c r="B74" i="40"/>
  <c r="B73" i="40"/>
  <c r="B72" i="40"/>
  <c r="B71" i="40"/>
  <c r="B70" i="40"/>
  <c r="B69" i="40"/>
  <c r="B68" i="40"/>
  <c r="B67" i="40"/>
  <c r="B64" i="40"/>
  <c r="B63" i="40"/>
  <c r="B62" i="40"/>
  <c r="B61" i="40"/>
  <c r="B60" i="40"/>
  <c r="B59" i="40"/>
  <c r="B58" i="40"/>
  <c r="B57" i="40"/>
  <c r="B54" i="40"/>
  <c r="B53" i="40"/>
  <c r="B52" i="40"/>
  <c r="B51" i="40"/>
  <c r="B50" i="40"/>
  <c r="B49" i="40"/>
  <c r="B48" i="40"/>
  <c r="B47" i="40"/>
  <c r="B46" i="40"/>
  <c r="B43" i="40"/>
  <c r="B42" i="40"/>
  <c r="B41" i="40"/>
  <c r="B40" i="40"/>
  <c r="B39" i="40"/>
  <c r="B38" i="40"/>
  <c r="B37" i="40"/>
  <c r="B36" i="40"/>
  <c r="B35" i="40"/>
  <c r="B30" i="40"/>
  <c r="B29" i="40"/>
  <c r="B28" i="40"/>
  <c r="B25" i="40"/>
  <c r="B24" i="40"/>
  <c r="B23" i="40"/>
  <c r="B22" i="40"/>
  <c r="B103" i="40"/>
  <c r="B102" i="40"/>
  <c r="B101" i="40"/>
  <c r="B109" i="40"/>
  <c r="B108" i="40"/>
  <c r="B117" i="40"/>
  <c r="B116" i="40"/>
  <c r="B115" i="40"/>
  <c r="B114" i="40"/>
  <c r="B124" i="40"/>
  <c r="B123" i="40"/>
  <c r="B122" i="40"/>
  <c r="B131" i="40"/>
  <c r="B130" i="40"/>
  <c r="B129" i="40"/>
  <c r="A165" i="40"/>
  <c r="A164" i="40"/>
  <c r="A158" i="40"/>
  <c r="A157" i="40"/>
  <c r="A156" i="40"/>
  <c r="A155" i="40"/>
  <c r="A146" i="40"/>
  <c r="A145" i="40"/>
  <c r="A144" i="40"/>
  <c r="A142" i="40"/>
  <c r="A143" i="40"/>
  <c r="A141" i="40"/>
  <c r="A140" i="40"/>
  <c r="A139" i="40"/>
  <c r="A138" i="40"/>
  <c r="A131" i="40"/>
  <c r="A130" i="40"/>
  <c r="A129" i="40"/>
  <c r="A124" i="40"/>
  <c r="A123" i="40"/>
  <c r="A122" i="40"/>
  <c r="A117" i="40"/>
  <c r="A116" i="40"/>
  <c r="A115" i="40"/>
  <c r="A114" i="40"/>
  <c r="A109" i="40"/>
  <c r="A108" i="40"/>
  <c r="A103" i="40"/>
  <c r="A102" i="40"/>
  <c r="A101" i="40"/>
  <c r="A96" i="40"/>
  <c r="A95" i="40"/>
  <c r="A94" i="40"/>
  <c r="A93" i="40"/>
  <c r="A92" i="40"/>
  <c r="A91" i="40"/>
  <c r="A90" i="40"/>
  <c r="A89" i="40"/>
  <c r="A86" i="40"/>
  <c r="A85" i="40"/>
  <c r="A84" i="40"/>
  <c r="A83" i="40"/>
  <c r="A80" i="40"/>
  <c r="A79" i="40"/>
  <c r="A78" i="40"/>
  <c r="A77" i="40"/>
  <c r="A76" i="40"/>
  <c r="A75" i="40"/>
  <c r="A74" i="40"/>
  <c r="A73" i="40"/>
  <c r="A72" i="40"/>
  <c r="A71" i="40"/>
  <c r="A70" i="40"/>
  <c r="A69" i="40"/>
  <c r="A68" i="40"/>
  <c r="A67" i="40"/>
  <c r="A64" i="40"/>
  <c r="A63" i="40"/>
  <c r="A62" i="40"/>
  <c r="A61" i="40"/>
  <c r="A60" i="40"/>
  <c r="A59" i="40"/>
  <c r="A58" i="40"/>
  <c r="A57" i="40"/>
  <c r="A54" i="40"/>
  <c r="A53" i="40"/>
  <c r="A52" i="40"/>
  <c r="A51" i="40"/>
  <c r="A50" i="40"/>
  <c r="A49" i="40"/>
  <c r="A48" i="40"/>
  <c r="A46" i="40"/>
  <c r="A47" i="40"/>
  <c r="A43" i="40"/>
  <c r="A42" i="40"/>
  <c r="A41" i="40"/>
  <c r="A40" i="40"/>
  <c r="A39" i="40"/>
  <c r="A38" i="40"/>
  <c r="A37" i="40"/>
  <c r="A36" i="40"/>
  <c r="A35" i="40"/>
  <c r="A30" i="40"/>
  <c r="A29" i="40"/>
  <c r="A28" i="40"/>
  <c r="A25" i="40"/>
  <c r="A24" i="40"/>
  <c r="A23" i="40"/>
  <c r="A22" i="40"/>
  <c r="B16" i="40"/>
  <c r="B15" i="40"/>
  <c r="B14" i="40"/>
  <c r="B13" i="40"/>
  <c r="B12" i="40"/>
  <c r="B11" i="40"/>
  <c r="B10" i="40"/>
  <c r="A12" i="41" s="1"/>
  <c r="B9" i="40"/>
  <c r="B8" i="40"/>
  <c r="A17" i="40"/>
  <c r="A16" i="40"/>
  <c r="A15" i="40"/>
  <c r="A14" i="40"/>
  <c r="A13" i="40"/>
  <c r="A12" i="40"/>
  <c r="A11" i="40"/>
  <c r="A10" i="40"/>
  <c r="A9" i="40"/>
  <c r="A8" i="40"/>
  <c r="E158" i="40"/>
  <c r="E157" i="40"/>
  <c r="E156" i="40"/>
  <c r="E146" i="40"/>
  <c r="E145" i="40"/>
  <c r="E144" i="40"/>
  <c r="E143" i="40"/>
  <c r="E142" i="40"/>
  <c r="E141" i="40"/>
  <c r="E140" i="40"/>
  <c r="E139" i="40"/>
  <c r="E130" i="40"/>
  <c r="E124" i="40"/>
  <c r="E123" i="40"/>
  <c r="E115" i="40"/>
  <c r="E109" i="40"/>
  <c r="E103" i="40"/>
  <c r="E96" i="40"/>
  <c r="E95" i="40"/>
  <c r="E94" i="40"/>
  <c r="E93" i="40"/>
  <c r="E92" i="40"/>
  <c r="E91" i="40"/>
  <c r="E90" i="40"/>
  <c r="E86" i="40"/>
  <c r="G86" i="40" s="1"/>
  <c r="E85" i="40"/>
  <c r="E84" i="40"/>
  <c r="B49" i="41" s="1"/>
  <c r="H17" i="43" s="1"/>
  <c r="E80" i="40"/>
  <c r="E79" i="40"/>
  <c r="E78" i="40"/>
  <c r="E77" i="40"/>
  <c r="E76" i="40"/>
  <c r="E75" i="40"/>
  <c r="E74" i="40"/>
  <c r="E73" i="40"/>
  <c r="E72" i="40"/>
  <c r="E71" i="40"/>
  <c r="E70" i="40"/>
  <c r="E69" i="40"/>
  <c r="E68" i="40"/>
  <c r="E64" i="40"/>
  <c r="E62" i="40"/>
  <c r="E54" i="40"/>
  <c r="E53" i="40"/>
  <c r="E51" i="40"/>
  <c r="E43" i="40"/>
  <c r="E41" i="40"/>
  <c r="E30" i="40"/>
  <c r="E29" i="40"/>
  <c r="E15" i="40"/>
  <c r="C165" i="40"/>
  <c r="C158" i="40"/>
  <c r="C157" i="40"/>
  <c r="C156" i="40"/>
  <c r="C146" i="40"/>
  <c r="C145" i="40"/>
  <c r="C144" i="40"/>
  <c r="C143" i="40"/>
  <c r="C142" i="40"/>
  <c r="C141" i="40"/>
  <c r="C140" i="40"/>
  <c r="C139" i="40"/>
  <c r="C131" i="40"/>
  <c r="C130" i="40"/>
  <c r="C124" i="40"/>
  <c r="C123" i="40"/>
  <c r="C117" i="40"/>
  <c r="C116" i="40"/>
  <c r="C115" i="40"/>
  <c r="C109" i="40"/>
  <c r="C104" i="40"/>
  <c r="C103" i="40"/>
  <c r="C102" i="40"/>
  <c r="C96" i="40"/>
  <c r="C95" i="40"/>
  <c r="C94" i="40"/>
  <c r="C93" i="40"/>
  <c r="C92" i="40"/>
  <c r="C91" i="40"/>
  <c r="C90" i="40"/>
  <c r="C86" i="40"/>
  <c r="C85" i="40"/>
  <c r="C84" i="40"/>
  <c r="C80" i="40"/>
  <c r="C79" i="40"/>
  <c r="C78" i="40"/>
  <c r="C77" i="40"/>
  <c r="C76" i="40"/>
  <c r="C75" i="40"/>
  <c r="C74" i="40"/>
  <c r="C73" i="40"/>
  <c r="C72" i="40"/>
  <c r="C71" i="40"/>
  <c r="C70" i="40"/>
  <c r="C69" i="40"/>
  <c r="C68" i="40"/>
  <c r="C64" i="40"/>
  <c r="C63" i="40"/>
  <c r="C62" i="40"/>
  <c r="C61" i="40"/>
  <c r="C60" i="40"/>
  <c r="C59" i="40"/>
  <c r="C58" i="40"/>
  <c r="C54" i="40"/>
  <c r="C53" i="40"/>
  <c r="C52" i="40"/>
  <c r="C51" i="40"/>
  <c r="C50" i="40"/>
  <c r="C49" i="40"/>
  <c r="C48" i="40"/>
  <c r="C47" i="40"/>
  <c r="C43" i="40"/>
  <c r="C42" i="40"/>
  <c r="C41" i="40"/>
  <c r="C40" i="40"/>
  <c r="C39" i="40"/>
  <c r="C38" i="40"/>
  <c r="C37" i="40"/>
  <c r="C30" i="40"/>
  <c r="C29" i="40"/>
  <c r="C25" i="40"/>
  <c r="C24" i="40"/>
  <c r="C17" i="40"/>
  <c r="C16" i="40"/>
  <c r="C15" i="40"/>
  <c r="C14" i="40"/>
  <c r="C13" i="40"/>
  <c r="C12" i="40"/>
  <c r="C11" i="40"/>
  <c r="C10" i="40"/>
  <c r="B165" i="40"/>
  <c r="B164" i="40"/>
  <c r="B158" i="40"/>
  <c r="B157" i="40"/>
  <c r="B156" i="40"/>
  <c r="B155" i="40"/>
  <c r="B146" i="40"/>
  <c r="B145" i="40"/>
  <c r="B144" i="40"/>
  <c r="B143" i="40"/>
  <c r="B142" i="40"/>
  <c r="B141" i="40"/>
  <c r="B140" i="40"/>
  <c r="B139" i="40"/>
  <c r="B138" i="40"/>
  <c r="B3" i="40"/>
  <c r="B2" i="40"/>
  <c r="B1" i="40"/>
  <c r="I21" i="39"/>
  <c r="H3" i="39"/>
  <c r="H2" i="39"/>
  <c r="H1" i="39"/>
  <c r="D21" i="39"/>
  <c r="C21" i="39"/>
  <c r="D12" i="39"/>
  <c r="D11" i="39"/>
  <c r="D10" i="39"/>
  <c r="D9" i="39"/>
  <c r="D7" i="39"/>
  <c r="B3" i="39"/>
  <c r="B2" i="39"/>
  <c r="B1" i="39"/>
  <c r="J105" i="38"/>
  <c r="I105" i="38"/>
  <c r="H105" i="38"/>
  <c r="K31" i="38"/>
  <c r="J31" i="38"/>
  <c r="I31" i="38"/>
  <c r="H31" i="38"/>
  <c r="H28" i="38"/>
  <c r="I28" i="38"/>
  <c r="J28" i="38"/>
  <c r="C3" i="38"/>
  <c r="C2" i="38"/>
  <c r="C1" i="38"/>
  <c r="D4" i="37"/>
  <c r="D1" i="37"/>
  <c r="D3" i="37"/>
  <c r="D2" i="37"/>
  <c r="E4" i="36"/>
  <c r="E3" i="36"/>
  <c r="E2" i="36"/>
  <c r="E1" i="36"/>
  <c r="B74" i="34"/>
  <c r="B1" i="35"/>
  <c r="N99" i="35"/>
  <c r="C48" i="34" s="1"/>
  <c r="N73" i="35"/>
  <c r="C46" i="34" s="1"/>
  <c r="N61" i="35"/>
  <c r="N33" i="35"/>
  <c r="C42" i="34" s="1"/>
  <c r="K4" i="38" s="1"/>
  <c r="N13" i="35"/>
  <c r="C40" i="34" s="1"/>
  <c r="H56" i="43"/>
  <c r="H32" i="43"/>
  <c r="R55" i="42"/>
  <c r="S55" i="42" s="1"/>
  <c r="E55" i="42"/>
  <c r="E54" i="42"/>
  <c r="E53" i="42"/>
  <c r="R52" i="42"/>
  <c r="S52" i="42" s="1"/>
  <c r="E52" i="42"/>
  <c r="R50" i="42"/>
  <c r="S50" i="42" s="1"/>
  <c r="E50" i="42"/>
  <c r="E49" i="42"/>
  <c r="E48" i="42"/>
  <c r="R47" i="42"/>
  <c r="S47" i="42" s="1"/>
  <c r="E47" i="42"/>
  <c r="R46" i="42"/>
  <c r="E46" i="42"/>
  <c r="R36" i="42"/>
  <c r="S36" i="42" s="1"/>
  <c r="E36" i="42"/>
  <c r="R35" i="42"/>
  <c r="S35" i="42" s="1"/>
  <c r="E34" i="42"/>
  <c r="E33" i="42"/>
  <c r="R32" i="42"/>
  <c r="S32" i="42" s="1"/>
  <c r="E32" i="42"/>
  <c r="R31" i="42"/>
  <c r="S31" i="42" s="1"/>
  <c r="E31" i="42"/>
  <c r="R30" i="42"/>
  <c r="S30" i="42" s="1"/>
  <c r="E30" i="42"/>
  <c r="R29" i="42"/>
  <c r="E29" i="42"/>
  <c r="E19" i="42"/>
  <c r="E17" i="42"/>
  <c r="E16" i="42"/>
  <c r="E15" i="42"/>
  <c r="E14" i="42"/>
  <c r="R13" i="42"/>
  <c r="S13" i="42" s="1"/>
  <c r="E13" i="42"/>
  <c r="R12" i="42"/>
  <c r="E12" i="42"/>
  <c r="A27" i="41"/>
  <c r="C166" i="40"/>
  <c r="E159" i="40"/>
  <c r="C159" i="40"/>
  <c r="H157" i="40"/>
  <c r="I157" i="40" s="1"/>
  <c r="G157" i="40"/>
  <c r="G156" i="40"/>
  <c r="H156" i="40"/>
  <c r="I156" i="40" s="1"/>
  <c r="G146" i="40"/>
  <c r="H146" i="40"/>
  <c r="I146" i="40" s="1"/>
  <c r="G145" i="40"/>
  <c r="H145" i="40"/>
  <c r="I145" i="40" s="1"/>
  <c r="H144" i="40"/>
  <c r="I144" i="40" s="1"/>
  <c r="G144" i="40"/>
  <c r="G143" i="40"/>
  <c r="H143" i="40"/>
  <c r="I143" i="40" s="1"/>
  <c r="G142" i="40"/>
  <c r="H142" i="40"/>
  <c r="I142" i="40" s="1"/>
  <c r="H141" i="40"/>
  <c r="I141" i="40" s="1"/>
  <c r="G141" i="40"/>
  <c r="H140" i="40"/>
  <c r="I140" i="40" s="1"/>
  <c r="E147" i="40"/>
  <c r="C147" i="40"/>
  <c r="C132" i="40"/>
  <c r="H130" i="40"/>
  <c r="I130" i="40" s="1"/>
  <c r="G130" i="40"/>
  <c r="E125" i="40"/>
  <c r="C125" i="40"/>
  <c r="H123" i="40"/>
  <c r="I123" i="40" s="1"/>
  <c r="G123" i="40"/>
  <c r="C118" i="40"/>
  <c r="C120" i="40" s="1"/>
  <c r="H120" i="40" s="1"/>
  <c r="I120" i="40" s="1"/>
  <c r="H117" i="40"/>
  <c r="I117" i="40" s="1"/>
  <c r="H116" i="40"/>
  <c r="I116" i="40" s="1"/>
  <c r="G115" i="40"/>
  <c r="H115" i="40"/>
  <c r="I115" i="40" s="1"/>
  <c r="H109" i="40"/>
  <c r="I109" i="40" s="1"/>
  <c r="G109" i="40"/>
  <c r="G110" i="40" s="1"/>
  <c r="E110" i="40"/>
  <c r="E112" i="40" s="1"/>
  <c r="B35" i="41" s="1"/>
  <c r="C110" i="40"/>
  <c r="H102" i="40"/>
  <c r="I102" i="40" s="1"/>
  <c r="G96" i="40"/>
  <c r="H96" i="40"/>
  <c r="I96" i="40" s="1"/>
  <c r="G95" i="40"/>
  <c r="H95" i="40"/>
  <c r="I95" i="40" s="1"/>
  <c r="G94" i="40"/>
  <c r="H94" i="40"/>
  <c r="I94" i="40" s="1"/>
  <c r="H93" i="40"/>
  <c r="I93" i="40" s="1"/>
  <c r="G93" i="40"/>
  <c r="G92" i="40"/>
  <c r="H92" i="40"/>
  <c r="I92" i="40" s="1"/>
  <c r="H91" i="40"/>
  <c r="I91" i="40" s="1"/>
  <c r="G91" i="40"/>
  <c r="H90" i="40"/>
  <c r="I90" i="40" s="1"/>
  <c r="E97" i="40"/>
  <c r="C97" i="40"/>
  <c r="H97" i="40" s="1"/>
  <c r="I97" i="40" s="1"/>
  <c r="C87" i="40"/>
  <c r="H87" i="40" s="1"/>
  <c r="I87" i="40" s="1"/>
  <c r="H86" i="40"/>
  <c r="I86" i="40" s="1"/>
  <c r="G85" i="40"/>
  <c r="H85" i="40"/>
  <c r="I85" i="40" s="1"/>
  <c r="H84" i="40"/>
  <c r="I84" i="40" s="1"/>
  <c r="G84" i="40"/>
  <c r="G80" i="40"/>
  <c r="E81" i="40"/>
  <c r="C81" i="40"/>
  <c r="H81" i="40" s="1"/>
  <c r="I81" i="40" s="1"/>
  <c r="G79" i="40"/>
  <c r="H79" i="40"/>
  <c r="I79" i="40" s="1"/>
  <c r="H78" i="40"/>
  <c r="I78" i="40" s="1"/>
  <c r="G78" i="40"/>
  <c r="G77" i="40"/>
  <c r="H77" i="40"/>
  <c r="I77" i="40" s="1"/>
  <c r="G76" i="40"/>
  <c r="H76" i="40"/>
  <c r="I76" i="40" s="1"/>
  <c r="G75" i="40"/>
  <c r="H75" i="40"/>
  <c r="I75" i="40" s="1"/>
  <c r="H74" i="40"/>
  <c r="I74" i="40" s="1"/>
  <c r="H73" i="40"/>
  <c r="I73" i="40" s="1"/>
  <c r="G73" i="40"/>
  <c r="G72" i="40"/>
  <c r="H72" i="40"/>
  <c r="I72" i="40" s="1"/>
  <c r="H71" i="40"/>
  <c r="I71" i="40" s="1"/>
  <c r="G71" i="40"/>
  <c r="H70" i="40"/>
  <c r="I70" i="40" s="1"/>
  <c r="G70" i="40"/>
  <c r="H69" i="40"/>
  <c r="I69" i="40" s="1"/>
  <c r="G69" i="40"/>
  <c r="G68" i="40"/>
  <c r="H68" i="40"/>
  <c r="I68" i="40" s="1"/>
  <c r="H64" i="40"/>
  <c r="I64" i="40" s="1"/>
  <c r="H63" i="40"/>
  <c r="I63" i="40" s="1"/>
  <c r="H62" i="40"/>
  <c r="I62" i="40" s="1"/>
  <c r="G62" i="40"/>
  <c r="H61" i="40"/>
  <c r="I61" i="40" s="1"/>
  <c r="C65" i="40"/>
  <c r="H65" i="40" s="1"/>
  <c r="I65" i="40" s="1"/>
  <c r="H60" i="40"/>
  <c r="I60" i="40" s="1"/>
  <c r="H59" i="40"/>
  <c r="I59" i="40" s="1"/>
  <c r="H58" i="40"/>
  <c r="I58" i="40" s="1"/>
  <c r="G54" i="40"/>
  <c r="H54" i="40"/>
  <c r="I54" i="40" s="1"/>
  <c r="H53" i="40"/>
  <c r="I53" i="40" s="1"/>
  <c r="G53" i="40"/>
  <c r="H52" i="40"/>
  <c r="I52" i="40" s="1"/>
  <c r="H51" i="40"/>
  <c r="I51" i="40" s="1"/>
  <c r="G51" i="40"/>
  <c r="H50" i="40"/>
  <c r="I50" i="40" s="1"/>
  <c r="H49" i="40"/>
  <c r="I49" i="40" s="1"/>
  <c r="H48" i="40"/>
  <c r="I48" i="40" s="1"/>
  <c r="C55" i="40"/>
  <c r="H55" i="40" s="1"/>
  <c r="I55" i="40" s="1"/>
  <c r="G43" i="40"/>
  <c r="H43" i="40"/>
  <c r="I43" i="40" s="1"/>
  <c r="H42" i="40"/>
  <c r="I42" i="40" s="1"/>
  <c r="H41" i="40"/>
  <c r="I41" i="40" s="1"/>
  <c r="G41" i="40"/>
  <c r="H40" i="40"/>
  <c r="I40" i="40" s="1"/>
  <c r="H39" i="40"/>
  <c r="I39" i="40" s="1"/>
  <c r="H38" i="40"/>
  <c r="I38" i="40" s="1"/>
  <c r="C44" i="40"/>
  <c r="E31" i="40"/>
  <c r="C31" i="40"/>
  <c r="H31" i="40" s="1"/>
  <c r="I31" i="40" s="1"/>
  <c r="H29" i="40"/>
  <c r="I29" i="40" s="1"/>
  <c r="G29" i="40"/>
  <c r="H25" i="40"/>
  <c r="I25" i="40" s="1"/>
  <c r="C26" i="40"/>
  <c r="H24" i="40"/>
  <c r="I24" i="40" s="1"/>
  <c r="H17" i="40"/>
  <c r="I17" i="40" s="1"/>
  <c r="H16" i="40"/>
  <c r="I16" i="40" s="1"/>
  <c r="H15" i="40"/>
  <c r="I15" i="40" s="1"/>
  <c r="G15" i="40"/>
  <c r="H14" i="40"/>
  <c r="I14" i="40" s="1"/>
  <c r="H13" i="40"/>
  <c r="I13" i="40" s="1"/>
  <c r="H12" i="40"/>
  <c r="I12" i="40" s="1"/>
  <c r="H11" i="40"/>
  <c r="I11" i="40" s="1"/>
  <c r="H10" i="40"/>
  <c r="I10" i="40" s="1"/>
  <c r="J21" i="39"/>
  <c r="J12" i="39"/>
  <c r="J11" i="39"/>
  <c r="J10" i="39"/>
  <c r="J9" i="39"/>
  <c r="J7" i="39"/>
  <c r="C153" i="38"/>
  <c r="D149" i="38"/>
  <c r="C149" i="38"/>
  <c r="C142" i="38"/>
  <c r="D140" i="38"/>
  <c r="D142" i="38" s="1"/>
  <c r="C140" i="38"/>
  <c r="C127" i="38"/>
  <c r="D122" i="38"/>
  <c r="C122" i="38"/>
  <c r="C117" i="38"/>
  <c r="D111" i="38"/>
  <c r="C111" i="38"/>
  <c r="C107" i="38"/>
  <c r="J106" i="38"/>
  <c r="I106" i="38"/>
  <c r="H106" i="38"/>
  <c r="D101" i="38"/>
  <c r="C101" i="38"/>
  <c r="D91" i="38"/>
  <c r="C91" i="38"/>
  <c r="C129" i="38" s="1"/>
  <c r="D85" i="38"/>
  <c r="C85" i="38"/>
  <c r="C69" i="38"/>
  <c r="C59" i="38"/>
  <c r="C48" i="38"/>
  <c r="D37" i="38"/>
  <c r="C37" i="38"/>
  <c r="C32" i="38"/>
  <c r="C23" i="38"/>
  <c r="G20" i="38"/>
  <c r="F20" i="38"/>
  <c r="E20" i="38"/>
  <c r="G69" i="37"/>
  <c r="E69" i="37"/>
  <c r="D69" i="37"/>
  <c r="C69" i="37"/>
  <c r="B69" i="37"/>
  <c r="G68" i="37"/>
  <c r="E68" i="37"/>
  <c r="D68" i="37"/>
  <c r="C68" i="37"/>
  <c r="B68" i="37"/>
  <c r="G67" i="37"/>
  <c r="E67" i="37"/>
  <c r="D67" i="37"/>
  <c r="C67" i="37"/>
  <c r="D70" i="37" s="1"/>
  <c r="B67" i="37"/>
  <c r="D63" i="37"/>
  <c r="H62" i="37"/>
  <c r="G62" i="37"/>
  <c r="E62" i="37"/>
  <c r="D62" i="37"/>
  <c r="C62" i="37"/>
  <c r="B62" i="37"/>
  <c r="H61" i="37"/>
  <c r="G61" i="37"/>
  <c r="E61" i="37"/>
  <c r="D61" i="37"/>
  <c r="C61" i="37"/>
  <c r="B61" i="37"/>
  <c r="H56" i="37"/>
  <c r="G56" i="37"/>
  <c r="E56" i="37"/>
  <c r="D56" i="37"/>
  <c r="C56" i="37"/>
  <c r="B56" i="37"/>
  <c r="H55" i="37"/>
  <c r="G55" i="37"/>
  <c r="E55" i="37"/>
  <c r="D55" i="37"/>
  <c r="C55" i="37"/>
  <c r="B55" i="37"/>
  <c r="H54" i="37"/>
  <c r="G54" i="37"/>
  <c r="E54" i="37"/>
  <c r="D54" i="37"/>
  <c r="C54" i="37"/>
  <c r="B54" i="37"/>
  <c r="H53" i="37"/>
  <c r="G53" i="37"/>
  <c r="E53" i="37"/>
  <c r="D53" i="37"/>
  <c r="C53" i="37"/>
  <c r="B53" i="37"/>
  <c r="H52" i="37"/>
  <c r="G52" i="37"/>
  <c r="E52" i="37"/>
  <c r="D52" i="37"/>
  <c r="C52" i="37"/>
  <c r="B52" i="37"/>
  <c r="H51" i="37"/>
  <c r="G51" i="37"/>
  <c r="E51" i="37"/>
  <c r="D51" i="37"/>
  <c r="C51" i="37"/>
  <c r="B51" i="37"/>
  <c r="H50" i="37"/>
  <c r="G50" i="37"/>
  <c r="E50" i="37"/>
  <c r="D50" i="37"/>
  <c r="C50" i="37"/>
  <c r="D57" i="37" s="1"/>
  <c r="B50" i="37"/>
  <c r="H45" i="37"/>
  <c r="G45" i="37"/>
  <c r="E45" i="37"/>
  <c r="D45" i="37"/>
  <c r="C45" i="37"/>
  <c r="B45" i="37"/>
  <c r="H44" i="37"/>
  <c r="G44" i="37"/>
  <c r="E44" i="37"/>
  <c r="D44" i="37"/>
  <c r="C44" i="37"/>
  <c r="D46" i="37" s="1"/>
  <c r="B44" i="37"/>
  <c r="H40" i="37"/>
  <c r="G40" i="37"/>
  <c r="E40" i="37"/>
  <c r="D40" i="37"/>
  <c r="C40" i="37"/>
  <c r="B40" i="37"/>
  <c r="H39" i="37"/>
  <c r="G39" i="37"/>
  <c r="E39" i="37"/>
  <c r="D39" i="37"/>
  <c r="C39" i="37"/>
  <c r="B39" i="37"/>
  <c r="H38" i="37"/>
  <c r="G38" i="37"/>
  <c r="E38" i="37"/>
  <c r="D38" i="37"/>
  <c r="C38" i="37"/>
  <c r="B38" i="37"/>
  <c r="H37" i="37"/>
  <c r="G37" i="37"/>
  <c r="E37" i="37"/>
  <c r="D37" i="37"/>
  <c r="C37" i="37"/>
  <c r="B37" i="37"/>
  <c r="H36" i="37"/>
  <c r="G36" i="37"/>
  <c r="E36" i="37"/>
  <c r="D36" i="37"/>
  <c r="C36" i="37"/>
  <c r="B36" i="37"/>
  <c r="H35" i="37"/>
  <c r="G35" i="37"/>
  <c r="E35" i="37"/>
  <c r="D35" i="37"/>
  <c r="C35" i="37"/>
  <c r="B35" i="37"/>
  <c r="H34" i="37"/>
  <c r="G34" i="37"/>
  <c r="E34" i="37"/>
  <c r="D34" i="37"/>
  <c r="C34" i="37"/>
  <c r="B34" i="37"/>
  <c r="H33" i="37"/>
  <c r="G33" i="37"/>
  <c r="E33" i="37"/>
  <c r="D33" i="37"/>
  <c r="C33" i="37"/>
  <c r="B33" i="37"/>
  <c r="H32" i="37"/>
  <c r="G32" i="37"/>
  <c r="E32" i="37"/>
  <c r="D32" i="37"/>
  <c r="C32" i="37"/>
  <c r="D41" i="37" s="1"/>
  <c r="B32" i="37"/>
  <c r="H31" i="37"/>
  <c r="G31" i="37"/>
  <c r="E31" i="37"/>
  <c r="D31" i="37"/>
  <c r="C31" i="37"/>
  <c r="B31" i="37"/>
  <c r="H26" i="37"/>
  <c r="G26" i="37"/>
  <c r="E26" i="37"/>
  <c r="D26" i="37"/>
  <c r="C26" i="37"/>
  <c r="B26" i="37"/>
  <c r="H25" i="37"/>
  <c r="G25" i="37"/>
  <c r="E25" i="37"/>
  <c r="D25" i="37"/>
  <c r="C25" i="37"/>
  <c r="D27" i="37" s="1"/>
  <c r="B25" i="37"/>
  <c r="H20" i="37"/>
  <c r="G20" i="37"/>
  <c r="E20" i="37"/>
  <c r="D20" i="37"/>
  <c r="C20" i="37"/>
  <c r="B20" i="37"/>
  <c r="H19" i="37"/>
  <c r="G19" i="37"/>
  <c r="E19" i="37"/>
  <c r="D19" i="37"/>
  <c r="C19" i="37"/>
  <c r="D21" i="37" s="1"/>
  <c r="B19" i="37"/>
  <c r="H18" i="37"/>
  <c r="G18" i="37"/>
  <c r="E18" i="37"/>
  <c r="D18" i="37"/>
  <c r="C18" i="37"/>
  <c r="B18" i="37"/>
  <c r="H17" i="37"/>
  <c r="G17" i="37"/>
  <c r="E17" i="37"/>
  <c r="D17" i="37"/>
  <c r="C17" i="37"/>
  <c r="B17" i="37"/>
  <c r="H16" i="37"/>
  <c r="G16" i="37"/>
  <c r="E16" i="37"/>
  <c r="D16" i="37"/>
  <c r="C16" i="37"/>
  <c r="B16" i="37"/>
  <c r="I149" i="36"/>
  <c r="H149" i="36"/>
  <c r="F149" i="36"/>
  <c r="E149" i="36"/>
  <c r="D149" i="36"/>
  <c r="C149" i="36"/>
  <c r="B149" i="36"/>
  <c r="I148" i="36"/>
  <c r="H148" i="36"/>
  <c r="F148" i="36"/>
  <c r="E148" i="36"/>
  <c r="D148" i="36"/>
  <c r="C148" i="36"/>
  <c r="B148" i="36"/>
  <c r="I147" i="36"/>
  <c r="H147" i="36"/>
  <c r="F147" i="36"/>
  <c r="E147" i="36"/>
  <c r="D147" i="36"/>
  <c r="E150" i="36" s="1"/>
  <c r="C147" i="36"/>
  <c r="B147" i="36"/>
  <c r="H142" i="36"/>
  <c r="F142" i="36"/>
  <c r="E142" i="36"/>
  <c r="D142" i="36"/>
  <c r="B142" i="36"/>
  <c r="H141" i="36"/>
  <c r="F141" i="36"/>
  <c r="E141" i="36"/>
  <c r="D141" i="36"/>
  <c r="B141" i="36"/>
  <c r="H140" i="36"/>
  <c r="F140" i="36"/>
  <c r="E140" i="36"/>
  <c r="D140" i="36"/>
  <c r="E143" i="36" s="1"/>
  <c r="B140" i="36"/>
  <c r="H135" i="36"/>
  <c r="G135" i="36"/>
  <c r="F135" i="36"/>
  <c r="E135" i="36"/>
  <c r="D135" i="36"/>
  <c r="C135" i="36"/>
  <c r="B135" i="36"/>
  <c r="H134" i="36"/>
  <c r="G134" i="36"/>
  <c r="F134" i="36"/>
  <c r="E134" i="36"/>
  <c r="D134" i="36"/>
  <c r="C134" i="36"/>
  <c r="B134" i="36"/>
  <c r="H133" i="36"/>
  <c r="G133" i="36"/>
  <c r="F133" i="36"/>
  <c r="E133" i="36"/>
  <c r="D133" i="36"/>
  <c r="C133" i="36"/>
  <c r="B133" i="36"/>
  <c r="H132" i="36"/>
  <c r="G132" i="36"/>
  <c r="F132" i="36"/>
  <c r="E132" i="36"/>
  <c r="D132" i="36"/>
  <c r="C132" i="36"/>
  <c r="B132" i="36"/>
  <c r="H131" i="36"/>
  <c r="G131" i="36"/>
  <c r="F131" i="36"/>
  <c r="E131" i="36"/>
  <c r="D131" i="36"/>
  <c r="C131" i="36"/>
  <c r="B131" i="36"/>
  <c r="H130" i="36"/>
  <c r="G130" i="36"/>
  <c r="F130" i="36"/>
  <c r="E130" i="36"/>
  <c r="D130" i="36"/>
  <c r="C130" i="36"/>
  <c r="B130" i="36"/>
  <c r="H129" i="36"/>
  <c r="G129" i="36"/>
  <c r="F129" i="36"/>
  <c r="E129" i="36"/>
  <c r="D129" i="36"/>
  <c r="C129" i="36"/>
  <c r="B129" i="36"/>
  <c r="H128" i="36"/>
  <c r="G128" i="36"/>
  <c r="F128" i="36"/>
  <c r="E128" i="36"/>
  <c r="D128" i="36"/>
  <c r="C128" i="36"/>
  <c r="B128" i="36"/>
  <c r="H127" i="36"/>
  <c r="G127" i="36"/>
  <c r="F127" i="36"/>
  <c r="E127" i="36"/>
  <c r="D127" i="36"/>
  <c r="C127" i="36"/>
  <c r="B127" i="36"/>
  <c r="H126" i="36"/>
  <c r="G126" i="36"/>
  <c r="F126" i="36"/>
  <c r="E126" i="36"/>
  <c r="D126" i="36"/>
  <c r="C126" i="36"/>
  <c r="B126" i="36"/>
  <c r="H125" i="36"/>
  <c r="G125" i="36"/>
  <c r="F125" i="36"/>
  <c r="E125" i="36"/>
  <c r="D125" i="36"/>
  <c r="C125" i="36"/>
  <c r="B125" i="36"/>
  <c r="H124" i="36"/>
  <c r="G124" i="36"/>
  <c r="F124" i="36"/>
  <c r="E124" i="36"/>
  <c r="D124" i="36"/>
  <c r="C124" i="36"/>
  <c r="B124" i="36"/>
  <c r="H123" i="36"/>
  <c r="G123" i="36"/>
  <c r="F123" i="36"/>
  <c r="E123" i="36"/>
  <c r="D123" i="36"/>
  <c r="C123" i="36"/>
  <c r="B123" i="36"/>
  <c r="H122" i="36"/>
  <c r="G122" i="36"/>
  <c r="F122" i="36"/>
  <c r="E122" i="36"/>
  <c r="D122" i="36"/>
  <c r="C122" i="36"/>
  <c r="B122" i="36"/>
  <c r="H121" i="36"/>
  <c r="G121" i="36"/>
  <c r="G136" i="36" s="1"/>
  <c r="F121" i="36"/>
  <c r="E121" i="36"/>
  <c r="D121" i="36"/>
  <c r="E136" i="36" s="1"/>
  <c r="C121" i="36"/>
  <c r="C136" i="36" s="1"/>
  <c r="B121" i="36"/>
  <c r="I116" i="36"/>
  <c r="H116" i="36"/>
  <c r="F116" i="36"/>
  <c r="E116" i="36"/>
  <c r="D116" i="36"/>
  <c r="B116" i="36"/>
  <c r="I115" i="36"/>
  <c r="H115" i="36"/>
  <c r="F115" i="36"/>
  <c r="E115" i="36"/>
  <c r="D115" i="36"/>
  <c r="B115" i="36"/>
  <c r="I114" i="36"/>
  <c r="H114" i="36"/>
  <c r="F114" i="36"/>
  <c r="E114" i="36"/>
  <c r="D114" i="36"/>
  <c r="E117" i="36" s="1"/>
  <c r="B114" i="36"/>
  <c r="I109" i="36"/>
  <c r="H109" i="36"/>
  <c r="F109" i="36"/>
  <c r="E109" i="36"/>
  <c r="D109" i="36"/>
  <c r="C109" i="36"/>
  <c r="B109" i="36"/>
  <c r="I108" i="36"/>
  <c r="H108" i="36"/>
  <c r="F108" i="36"/>
  <c r="E108" i="36"/>
  <c r="D108" i="36"/>
  <c r="C108" i="36"/>
  <c r="B108" i="36"/>
  <c r="I107" i="36"/>
  <c r="H107" i="36"/>
  <c r="F107" i="36"/>
  <c r="E107" i="36"/>
  <c r="D107" i="36"/>
  <c r="E110" i="36" s="1"/>
  <c r="C107" i="36"/>
  <c r="B107" i="36"/>
  <c r="H102" i="36"/>
  <c r="G102" i="36"/>
  <c r="F102" i="36"/>
  <c r="E102" i="36"/>
  <c r="D102" i="36"/>
  <c r="C102" i="36"/>
  <c r="B102" i="36"/>
  <c r="H101" i="36"/>
  <c r="G101" i="36"/>
  <c r="F101" i="36"/>
  <c r="E101" i="36"/>
  <c r="D101" i="36"/>
  <c r="C101" i="36"/>
  <c r="B101" i="36"/>
  <c r="H100" i="36"/>
  <c r="G100" i="36"/>
  <c r="F100" i="36"/>
  <c r="E100" i="36"/>
  <c r="D100" i="36"/>
  <c r="C100" i="36"/>
  <c r="B100" i="36"/>
  <c r="H99" i="36"/>
  <c r="G99" i="36"/>
  <c r="F99" i="36"/>
  <c r="E99" i="36"/>
  <c r="D99" i="36"/>
  <c r="C99" i="36"/>
  <c r="B99" i="36"/>
  <c r="H98" i="36"/>
  <c r="G98" i="36"/>
  <c r="F98" i="36"/>
  <c r="E98" i="36"/>
  <c r="D98" i="36"/>
  <c r="C98" i="36"/>
  <c r="B98" i="36"/>
  <c r="H97" i="36"/>
  <c r="G97" i="36"/>
  <c r="F97" i="36"/>
  <c r="E97" i="36"/>
  <c r="D97" i="36"/>
  <c r="C97" i="36"/>
  <c r="B97" i="36"/>
  <c r="H96" i="36"/>
  <c r="G96" i="36"/>
  <c r="F96" i="36"/>
  <c r="E96" i="36"/>
  <c r="D96" i="36"/>
  <c r="C96" i="36"/>
  <c r="B96" i="36"/>
  <c r="H95" i="36"/>
  <c r="G95" i="36"/>
  <c r="F95" i="36"/>
  <c r="E95" i="36"/>
  <c r="D95" i="36"/>
  <c r="C95" i="36"/>
  <c r="B95" i="36"/>
  <c r="H94" i="36"/>
  <c r="G94" i="36"/>
  <c r="F94" i="36"/>
  <c r="E94" i="36"/>
  <c r="D94" i="36"/>
  <c r="C94" i="36"/>
  <c r="B94" i="36"/>
  <c r="H93" i="36"/>
  <c r="G93" i="36"/>
  <c r="F93" i="36"/>
  <c r="E93" i="36"/>
  <c r="D93" i="36"/>
  <c r="C93" i="36"/>
  <c r="B93" i="36"/>
  <c r="H92" i="36"/>
  <c r="G92" i="36"/>
  <c r="F92" i="36"/>
  <c r="E92" i="36"/>
  <c r="D92" i="36"/>
  <c r="C92" i="36"/>
  <c r="B92" i="36"/>
  <c r="H91" i="36"/>
  <c r="G91" i="36"/>
  <c r="F91" i="36"/>
  <c r="E91" i="36"/>
  <c r="D91" i="36"/>
  <c r="C91" i="36"/>
  <c r="B91" i="36"/>
  <c r="H90" i="36"/>
  <c r="G90" i="36"/>
  <c r="F90" i="36"/>
  <c r="E90" i="36"/>
  <c r="D90" i="36"/>
  <c r="C90" i="36"/>
  <c r="B90" i="36"/>
  <c r="H89" i="36"/>
  <c r="G89" i="36"/>
  <c r="F89" i="36"/>
  <c r="E89" i="36"/>
  <c r="D89" i="36"/>
  <c r="C89" i="36"/>
  <c r="C103" i="36" s="1"/>
  <c r="B89" i="36"/>
  <c r="H88" i="36"/>
  <c r="G88" i="36"/>
  <c r="G103" i="36" s="1"/>
  <c r="F88" i="36"/>
  <c r="E88" i="36"/>
  <c r="D88" i="36"/>
  <c r="E103" i="36" s="1"/>
  <c r="C88" i="36"/>
  <c r="B88" i="36"/>
  <c r="L84" i="36"/>
  <c r="H84" i="36"/>
  <c r="F84" i="36"/>
  <c r="E84" i="36"/>
  <c r="D84" i="36"/>
  <c r="C84" i="36"/>
  <c r="B84" i="36"/>
  <c r="L83" i="36"/>
  <c r="H83" i="36"/>
  <c r="F83" i="36"/>
  <c r="E83" i="36"/>
  <c r="D83" i="36"/>
  <c r="C83" i="36"/>
  <c r="B83" i="36"/>
  <c r="L82" i="36"/>
  <c r="H82" i="36"/>
  <c r="F82" i="36"/>
  <c r="E82" i="36"/>
  <c r="D82" i="36"/>
  <c r="C82" i="36"/>
  <c r="B82" i="36"/>
  <c r="P81" i="36"/>
  <c r="H81" i="36"/>
  <c r="F81" i="36"/>
  <c r="E81" i="36"/>
  <c r="D81" i="36"/>
  <c r="C81" i="36"/>
  <c r="B81" i="36"/>
  <c r="L80" i="36"/>
  <c r="H80" i="36"/>
  <c r="F80" i="36"/>
  <c r="E80" i="36"/>
  <c r="D80" i="36"/>
  <c r="C80" i="36"/>
  <c r="B80" i="36"/>
  <c r="L79" i="36"/>
  <c r="H79" i="36"/>
  <c r="F79" i="36"/>
  <c r="E79" i="36"/>
  <c r="D79" i="36"/>
  <c r="C79" i="36"/>
  <c r="B79" i="36"/>
  <c r="L78" i="36"/>
  <c r="H78" i="36"/>
  <c r="F78" i="36"/>
  <c r="E78" i="36"/>
  <c r="D78" i="36"/>
  <c r="C78" i="36"/>
  <c r="B78" i="36"/>
  <c r="L77" i="36"/>
  <c r="H77" i="36"/>
  <c r="F77" i="36"/>
  <c r="E77" i="36"/>
  <c r="D77" i="36"/>
  <c r="C77" i="36"/>
  <c r="B77" i="36"/>
  <c r="H76" i="36"/>
  <c r="F76" i="36"/>
  <c r="E76" i="36"/>
  <c r="D76" i="36"/>
  <c r="C76" i="36"/>
  <c r="B76" i="36"/>
  <c r="H75" i="36"/>
  <c r="F75" i="36"/>
  <c r="E75" i="36"/>
  <c r="D75" i="36"/>
  <c r="C75" i="36"/>
  <c r="B75" i="36"/>
  <c r="H74" i="36"/>
  <c r="F74" i="36"/>
  <c r="E74" i="36"/>
  <c r="D74" i="36"/>
  <c r="C74" i="36"/>
  <c r="B74" i="36"/>
  <c r="H73" i="36"/>
  <c r="F73" i="36"/>
  <c r="E73" i="36"/>
  <c r="D73" i="36"/>
  <c r="E85" i="36" s="1"/>
  <c r="C73" i="36"/>
  <c r="B73" i="36"/>
  <c r="I68" i="36"/>
  <c r="H68" i="36"/>
  <c r="F68" i="36"/>
  <c r="E68" i="36"/>
  <c r="D68" i="36"/>
  <c r="C68" i="36"/>
  <c r="B68" i="36"/>
  <c r="I67" i="36"/>
  <c r="H67" i="36"/>
  <c r="F67" i="36"/>
  <c r="E67" i="36"/>
  <c r="D67" i="36"/>
  <c r="C67" i="36"/>
  <c r="B67" i="36"/>
  <c r="I66" i="36"/>
  <c r="H66" i="36"/>
  <c r="F66" i="36"/>
  <c r="E66" i="36"/>
  <c r="D66" i="36"/>
  <c r="C66" i="36"/>
  <c r="B66" i="36"/>
  <c r="I65" i="36"/>
  <c r="H65" i="36"/>
  <c r="F65" i="36"/>
  <c r="E65" i="36"/>
  <c r="D65" i="36"/>
  <c r="C65" i="36"/>
  <c r="B65" i="36"/>
  <c r="I64" i="36"/>
  <c r="H64" i="36"/>
  <c r="F64" i="36"/>
  <c r="E64" i="36"/>
  <c r="D64" i="36"/>
  <c r="C64" i="36"/>
  <c r="B64" i="36"/>
  <c r="I63" i="36"/>
  <c r="H63" i="36"/>
  <c r="F63" i="36"/>
  <c r="E63" i="36"/>
  <c r="D63" i="36"/>
  <c r="C63" i="36"/>
  <c r="B63" i="36"/>
  <c r="I62" i="36"/>
  <c r="H62" i="36"/>
  <c r="F62" i="36"/>
  <c r="E62" i="36"/>
  <c r="D62" i="36"/>
  <c r="C62" i="36"/>
  <c r="B62" i="36"/>
  <c r="I61" i="36"/>
  <c r="H61" i="36"/>
  <c r="F61" i="36"/>
  <c r="E61" i="36"/>
  <c r="D61" i="36"/>
  <c r="E69" i="36" s="1"/>
  <c r="C61" i="36"/>
  <c r="B61" i="36"/>
  <c r="I56" i="36"/>
  <c r="H56" i="36"/>
  <c r="F56" i="36"/>
  <c r="E56" i="36"/>
  <c r="D56" i="36"/>
  <c r="C56" i="36"/>
  <c r="B56" i="36"/>
  <c r="I55" i="36"/>
  <c r="H55" i="36"/>
  <c r="F55" i="36"/>
  <c r="E55" i="36"/>
  <c r="D55" i="36"/>
  <c r="C55" i="36"/>
  <c r="B55" i="36"/>
  <c r="I54" i="36"/>
  <c r="H54" i="36"/>
  <c r="F54" i="36"/>
  <c r="E54" i="36"/>
  <c r="D54" i="36"/>
  <c r="C54" i="36"/>
  <c r="B54" i="36"/>
  <c r="I53" i="36"/>
  <c r="H53" i="36"/>
  <c r="F53" i="36"/>
  <c r="E53" i="36"/>
  <c r="D53" i="36"/>
  <c r="C53" i="36"/>
  <c r="B53" i="36"/>
  <c r="I52" i="36"/>
  <c r="H52" i="36"/>
  <c r="F52" i="36"/>
  <c r="E52" i="36"/>
  <c r="D52" i="36"/>
  <c r="C52" i="36"/>
  <c r="B52" i="36"/>
  <c r="I51" i="36"/>
  <c r="H51" i="36"/>
  <c r="F51" i="36"/>
  <c r="E51" i="36"/>
  <c r="D51" i="36"/>
  <c r="C51" i="36"/>
  <c r="B51" i="36"/>
  <c r="I50" i="36"/>
  <c r="H50" i="36"/>
  <c r="F50" i="36"/>
  <c r="E50" i="36"/>
  <c r="D50" i="36"/>
  <c r="C50" i="36"/>
  <c r="B50" i="36"/>
  <c r="I49" i="36"/>
  <c r="H49" i="36"/>
  <c r="F49" i="36"/>
  <c r="E49" i="36"/>
  <c r="D49" i="36"/>
  <c r="C49" i="36"/>
  <c r="B49" i="36"/>
  <c r="I48" i="36"/>
  <c r="H48" i="36"/>
  <c r="F48" i="36"/>
  <c r="E48" i="36"/>
  <c r="D48" i="36"/>
  <c r="C48" i="36"/>
  <c r="B48" i="36"/>
  <c r="I47" i="36"/>
  <c r="H47" i="36"/>
  <c r="F47" i="36"/>
  <c r="E47" i="36"/>
  <c r="D47" i="36"/>
  <c r="C47" i="36"/>
  <c r="B47" i="36"/>
  <c r="I46" i="36"/>
  <c r="H46" i="36"/>
  <c r="F46" i="36"/>
  <c r="E46" i="36"/>
  <c r="D46" i="36"/>
  <c r="C46" i="36"/>
  <c r="B46" i="36"/>
  <c r="I45" i="36"/>
  <c r="H45" i="36"/>
  <c r="F45" i="36"/>
  <c r="E45" i="36"/>
  <c r="D45" i="36"/>
  <c r="C45" i="36"/>
  <c r="B45" i="36"/>
  <c r="I44" i="36"/>
  <c r="H44" i="36"/>
  <c r="F44" i="36"/>
  <c r="E44" i="36"/>
  <c r="D44" i="36"/>
  <c r="C44" i="36"/>
  <c r="B44" i="36"/>
  <c r="I43" i="36"/>
  <c r="H43" i="36"/>
  <c r="F43" i="36"/>
  <c r="E43" i="36"/>
  <c r="D43" i="36"/>
  <c r="C43" i="36"/>
  <c r="B43" i="36"/>
  <c r="I42" i="36"/>
  <c r="H42" i="36"/>
  <c r="F42" i="36"/>
  <c r="E42" i="36"/>
  <c r="D42" i="36"/>
  <c r="C42" i="36"/>
  <c r="B42" i="36"/>
  <c r="I41" i="36"/>
  <c r="H41" i="36"/>
  <c r="F41" i="36"/>
  <c r="E41" i="36"/>
  <c r="D41" i="36"/>
  <c r="C41" i="36"/>
  <c r="B41" i="36"/>
  <c r="I40" i="36"/>
  <c r="H40" i="36"/>
  <c r="F40" i="36"/>
  <c r="E40" i="36"/>
  <c r="D40" i="36"/>
  <c r="C40" i="36"/>
  <c r="B40" i="36"/>
  <c r="I39" i="36"/>
  <c r="H39" i="36"/>
  <c r="F39" i="36"/>
  <c r="E39" i="36"/>
  <c r="D39" i="36"/>
  <c r="C39" i="36"/>
  <c r="B39" i="36"/>
  <c r="I38" i="36"/>
  <c r="H38" i="36"/>
  <c r="F38" i="36"/>
  <c r="E38" i="36"/>
  <c r="D38" i="36"/>
  <c r="C38" i="36"/>
  <c r="B38" i="36"/>
  <c r="I37" i="36"/>
  <c r="H37" i="36"/>
  <c r="F37" i="36"/>
  <c r="E37" i="36"/>
  <c r="D37" i="36"/>
  <c r="C37" i="36"/>
  <c r="B37" i="36"/>
  <c r="I36" i="36"/>
  <c r="H36" i="36"/>
  <c r="F36" i="36"/>
  <c r="E36" i="36"/>
  <c r="D36" i="36"/>
  <c r="C36" i="36"/>
  <c r="B36" i="36"/>
  <c r="I35" i="36"/>
  <c r="H35" i="36"/>
  <c r="F35" i="36"/>
  <c r="E35" i="36"/>
  <c r="D35" i="36"/>
  <c r="C35" i="36"/>
  <c r="B35" i="36"/>
  <c r="I34" i="36"/>
  <c r="H34" i="36"/>
  <c r="F34" i="36"/>
  <c r="E34" i="36"/>
  <c r="D34" i="36"/>
  <c r="C34" i="36"/>
  <c r="B34" i="36"/>
  <c r="I33" i="36"/>
  <c r="H33" i="36"/>
  <c r="F33" i="36"/>
  <c r="E33" i="36"/>
  <c r="D33" i="36"/>
  <c r="C33" i="36"/>
  <c r="B33" i="36"/>
  <c r="I32" i="36"/>
  <c r="H32" i="36"/>
  <c r="F32" i="36"/>
  <c r="E32" i="36"/>
  <c r="D32" i="36"/>
  <c r="C32" i="36"/>
  <c r="B32" i="36"/>
  <c r="I31" i="36"/>
  <c r="H31" i="36"/>
  <c r="F31" i="36"/>
  <c r="E31" i="36"/>
  <c r="D31" i="36"/>
  <c r="C31" i="36"/>
  <c r="B31" i="36"/>
  <c r="I30" i="36"/>
  <c r="H30" i="36"/>
  <c r="F30" i="36"/>
  <c r="E30" i="36"/>
  <c r="D30" i="36"/>
  <c r="C30" i="36"/>
  <c r="B30" i="36"/>
  <c r="I29" i="36"/>
  <c r="H29" i="36"/>
  <c r="F29" i="36"/>
  <c r="E29" i="36"/>
  <c r="D29" i="36"/>
  <c r="C29" i="36"/>
  <c r="B29" i="36"/>
  <c r="I28" i="36"/>
  <c r="H28" i="36"/>
  <c r="F28" i="36"/>
  <c r="E28" i="36"/>
  <c r="D28" i="36"/>
  <c r="C28" i="36"/>
  <c r="B28" i="36"/>
  <c r="I27" i="36"/>
  <c r="H27" i="36"/>
  <c r="F27" i="36"/>
  <c r="E27" i="36"/>
  <c r="D27" i="36"/>
  <c r="C27" i="36"/>
  <c r="B27" i="36"/>
  <c r="I26" i="36"/>
  <c r="H26" i="36"/>
  <c r="F26" i="36"/>
  <c r="E26" i="36"/>
  <c r="D26" i="36"/>
  <c r="C26" i="36"/>
  <c r="B26" i="36"/>
  <c r="I25" i="36"/>
  <c r="H25" i="36"/>
  <c r="F25" i="36"/>
  <c r="E25" i="36"/>
  <c r="D25" i="36"/>
  <c r="C25" i="36"/>
  <c r="B25" i="36"/>
  <c r="I24" i="36"/>
  <c r="H24" i="36"/>
  <c r="F24" i="36"/>
  <c r="E24" i="36"/>
  <c r="D24" i="36"/>
  <c r="C24" i="36"/>
  <c r="B24" i="36"/>
  <c r="I23" i="36"/>
  <c r="H23" i="36"/>
  <c r="F23" i="36"/>
  <c r="E23" i="36"/>
  <c r="D23" i="36"/>
  <c r="E57" i="36" s="1"/>
  <c r="C23" i="36"/>
  <c r="B23" i="36"/>
  <c r="I22" i="36"/>
  <c r="H22" i="36"/>
  <c r="F22" i="36"/>
  <c r="E22" i="36"/>
  <c r="I17" i="36"/>
  <c r="H17" i="36"/>
  <c r="F17" i="36"/>
  <c r="E17" i="36"/>
  <c r="C17" i="36"/>
  <c r="B17" i="36"/>
  <c r="I16" i="36"/>
  <c r="H16" i="36"/>
  <c r="F16" i="36"/>
  <c r="E16" i="36"/>
  <c r="C16" i="36"/>
  <c r="B16" i="36"/>
  <c r="P15" i="36"/>
  <c r="I15" i="36"/>
  <c r="H15" i="36"/>
  <c r="F15" i="36"/>
  <c r="E15" i="36"/>
  <c r="D15" i="36"/>
  <c r="B15" i="36"/>
  <c r="B22" i="36" s="1"/>
  <c r="I97" i="35"/>
  <c r="M94" i="35"/>
  <c r="I89" i="35"/>
  <c r="M84" i="35"/>
  <c r="L84" i="35"/>
  <c r="K84" i="35"/>
  <c r="J84" i="35"/>
  <c r="I84" i="35"/>
  <c r="H84" i="35"/>
  <c r="G84" i="35"/>
  <c r="F84" i="35"/>
  <c r="E84" i="35"/>
  <c r="D84" i="35"/>
  <c r="C84" i="35"/>
  <c r="B84" i="35"/>
  <c r="M83" i="35"/>
  <c r="L83" i="35"/>
  <c r="K83" i="35"/>
  <c r="J83" i="35"/>
  <c r="I83" i="35"/>
  <c r="H83" i="35"/>
  <c r="G83" i="35"/>
  <c r="F83" i="35"/>
  <c r="E83" i="35"/>
  <c r="D83" i="35"/>
  <c r="C83" i="35"/>
  <c r="B83" i="35"/>
  <c r="M82" i="35"/>
  <c r="L82" i="35"/>
  <c r="K82" i="35"/>
  <c r="J82" i="35"/>
  <c r="I82" i="35"/>
  <c r="H82" i="35"/>
  <c r="G82" i="35"/>
  <c r="F82" i="35"/>
  <c r="E82" i="35"/>
  <c r="D82" i="35"/>
  <c r="C82" i="35"/>
  <c r="B82" i="35"/>
  <c r="M81" i="35"/>
  <c r="L81" i="35"/>
  <c r="K81" i="35"/>
  <c r="J81" i="35"/>
  <c r="I81" i="35"/>
  <c r="H81" i="35"/>
  <c r="G81" i="35"/>
  <c r="F81" i="35"/>
  <c r="E81" i="35"/>
  <c r="D81" i="35"/>
  <c r="C81" i="35"/>
  <c r="B81" i="35"/>
  <c r="M80" i="35"/>
  <c r="L80" i="35"/>
  <c r="K80" i="35"/>
  <c r="J80" i="35"/>
  <c r="I80" i="35"/>
  <c r="H80" i="35"/>
  <c r="G80" i="35"/>
  <c r="F80" i="35"/>
  <c r="E80" i="35"/>
  <c r="D80" i="35"/>
  <c r="C80" i="35"/>
  <c r="B80" i="35"/>
  <c r="M79" i="35"/>
  <c r="L79" i="35"/>
  <c r="K79" i="35"/>
  <c r="J79" i="35"/>
  <c r="I79" i="35"/>
  <c r="H79" i="35"/>
  <c r="G79" i="35"/>
  <c r="F79" i="35"/>
  <c r="E79" i="35"/>
  <c r="D79" i="35"/>
  <c r="C79" i="35"/>
  <c r="B79" i="35"/>
  <c r="M78" i="35"/>
  <c r="L78" i="35"/>
  <c r="K78" i="35"/>
  <c r="J78" i="35"/>
  <c r="I78" i="35"/>
  <c r="H78" i="35"/>
  <c r="G78" i="35"/>
  <c r="F78" i="35"/>
  <c r="E78" i="35"/>
  <c r="D78" i="35"/>
  <c r="C78" i="35"/>
  <c r="B78" i="35"/>
  <c r="M77" i="35"/>
  <c r="L77" i="35"/>
  <c r="L85" i="35" s="1"/>
  <c r="K77" i="35"/>
  <c r="K85" i="35" s="1"/>
  <c r="J77" i="35"/>
  <c r="I77" i="35"/>
  <c r="I85" i="35" s="1"/>
  <c r="H77" i="35"/>
  <c r="H85" i="35" s="1"/>
  <c r="G77" i="35"/>
  <c r="G85" i="35" s="1"/>
  <c r="F77" i="35"/>
  <c r="E77" i="35"/>
  <c r="D77" i="35"/>
  <c r="C77" i="35"/>
  <c r="B77" i="35"/>
  <c r="M72" i="35"/>
  <c r="L72" i="35"/>
  <c r="K72" i="35"/>
  <c r="J72" i="35"/>
  <c r="I72" i="35"/>
  <c r="H72" i="35"/>
  <c r="G72" i="35"/>
  <c r="F72" i="35"/>
  <c r="E72" i="35"/>
  <c r="D72" i="35"/>
  <c r="C72" i="35"/>
  <c r="B72" i="35"/>
  <c r="M71" i="35"/>
  <c r="L71" i="35"/>
  <c r="K71" i="35"/>
  <c r="J71" i="35"/>
  <c r="I71" i="35"/>
  <c r="H71" i="35"/>
  <c r="G71" i="35"/>
  <c r="F71" i="35"/>
  <c r="E71" i="35"/>
  <c r="D71" i="35"/>
  <c r="C71" i="35"/>
  <c r="B71" i="35"/>
  <c r="M70" i="35"/>
  <c r="L70" i="35"/>
  <c r="K70" i="35"/>
  <c r="J70" i="35"/>
  <c r="I70" i="35"/>
  <c r="H70" i="35"/>
  <c r="G70" i="35"/>
  <c r="F70" i="35"/>
  <c r="E70" i="35"/>
  <c r="D70" i="35"/>
  <c r="C70" i="35"/>
  <c r="B70" i="35"/>
  <c r="M69" i="35"/>
  <c r="L69" i="35"/>
  <c r="K69" i="35"/>
  <c r="J69" i="35"/>
  <c r="I69" i="35"/>
  <c r="H69" i="35"/>
  <c r="G69" i="35"/>
  <c r="G73" i="35" s="1"/>
  <c r="F69" i="35"/>
  <c r="F73" i="35" s="1"/>
  <c r="E69" i="35"/>
  <c r="E73" i="35" s="1"/>
  <c r="D69" i="35"/>
  <c r="C69" i="35"/>
  <c r="B69" i="35"/>
  <c r="M68" i="35"/>
  <c r="L68" i="35"/>
  <c r="K68" i="35"/>
  <c r="J68" i="35"/>
  <c r="I68" i="35"/>
  <c r="H68" i="35"/>
  <c r="G68" i="35"/>
  <c r="F68" i="35"/>
  <c r="E68" i="35"/>
  <c r="D68" i="35"/>
  <c r="C68" i="35"/>
  <c r="B68" i="35"/>
  <c r="M67" i="35"/>
  <c r="L67" i="35"/>
  <c r="K67" i="35"/>
  <c r="J67" i="35"/>
  <c r="I67" i="35"/>
  <c r="H67" i="35"/>
  <c r="G67" i="35"/>
  <c r="F67" i="35"/>
  <c r="E67" i="35"/>
  <c r="D67" i="35"/>
  <c r="C67" i="35"/>
  <c r="B67" i="35"/>
  <c r="M66" i="35"/>
  <c r="L66" i="35"/>
  <c r="K66" i="35"/>
  <c r="J66" i="35"/>
  <c r="I66" i="35"/>
  <c r="H66" i="35"/>
  <c r="G66" i="35"/>
  <c r="F66" i="35"/>
  <c r="E66" i="35"/>
  <c r="D66" i="35"/>
  <c r="C66" i="35"/>
  <c r="B66" i="35"/>
  <c r="M65" i="35"/>
  <c r="M73" i="35" s="1"/>
  <c r="L65" i="35"/>
  <c r="K65" i="35"/>
  <c r="K73" i="35" s="1"/>
  <c r="J65" i="35"/>
  <c r="J73" i="35" s="1"/>
  <c r="I65" i="35"/>
  <c r="H65" i="35"/>
  <c r="G65" i="35"/>
  <c r="F65" i="35"/>
  <c r="E65" i="35"/>
  <c r="D65" i="35"/>
  <c r="C65" i="35"/>
  <c r="B65" i="35"/>
  <c r="M60" i="35"/>
  <c r="M98" i="35" s="1"/>
  <c r="L60" i="35"/>
  <c r="L98" i="35" s="1"/>
  <c r="K60" i="35"/>
  <c r="K98" i="35" s="1"/>
  <c r="J60" i="35"/>
  <c r="J98" i="35" s="1"/>
  <c r="I60" i="35"/>
  <c r="I98" i="35" s="1"/>
  <c r="H60" i="35"/>
  <c r="H98" i="35" s="1"/>
  <c r="G60" i="35"/>
  <c r="G98" i="35" s="1"/>
  <c r="F60" i="35"/>
  <c r="F98" i="35" s="1"/>
  <c r="E60" i="35"/>
  <c r="E98" i="35" s="1"/>
  <c r="D60" i="35"/>
  <c r="D98" i="35" s="1"/>
  <c r="C60" i="35"/>
  <c r="C98" i="35" s="1"/>
  <c r="B60" i="35"/>
  <c r="B98" i="35" s="1"/>
  <c r="M59" i="35"/>
  <c r="M97" i="35" s="1"/>
  <c r="L59" i="35"/>
  <c r="L97" i="35" s="1"/>
  <c r="K59" i="35"/>
  <c r="K97" i="35" s="1"/>
  <c r="J59" i="35"/>
  <c r="J97" i="35" s="1"/>
  <c r="I59" i="35"/>
  <c r="H59" i="35"/>
  <c r="H97" i="35" s="1"/>
  <c r="G59" i="35"/>
  <c r="G97" i="35" s="1"/>
  <c r="F59" i="35"/>
  <c r="F97" i="35" s="1"/>
  <c r="E59" i="35"/>
  <c r="E97" i="35" s="1"/>
  <c r="D59" i="35"/>
  <c r="D97" i="35" s="1"/>
  <c r="C59" i="35"/>
  <c r="C97" i="35" s="1"/>
  <c r="B59" i="35"/>
  <c r="B97" i="35" s="1"/>
  <c r="M58" i="35"/>
  <c r="M96" i="35" s="1"/>
  <c r="L58" i="35"/>
  <c r="L96" i="35" s="1"/>
  <c r="K58" i="35"/>
  <c r="K96" i="35" s="1"/>
  <c r="J58" i="35"/>
  <c r="J96" i="35" s="1"/>
  <c r="I58" i="35"/>
  <c r="I96" i="35" s="1"/>
  <c r="H58" i="35"/>
  <c r="H96" i="35" s="1"/>
  <c r="G58" i="35"/>
  <c r="G96" i="35" s="1"/>
  <c r="F58" i="35"/>
  <c r="F96" i="35" s="1"/>
  <c r="E58" i="35"/>
  <c r="E96" i="35" s="1"/>
  <c r="D58" i="35"/>
  <c r="D96" i="35" s="1"/>
  <c r="C58" i="35"/>
  <c r="C96" i="35" s="1"/>
  <c r="B58" i="35"/>
  <c r="B96" i="35" s="1"/>
  <c r="M57" i="35"/>
  <c r="M95" i="35" s="1"/>
  <c r="L57" i="35"/>
  <c r="L95" i="35" s="1"/>
  <c r="K57" i="35"/>
  <c r="K95" i="35" s="1"/>
  <c r="J57" i="35"/>
  <c r="J95" i="35" s="1"/>
  <c r="I57" i="35"/>
  <c r="I95" i="35" s="1"/>
  <c r="H57" i="35"/>
  <c r="H95" i="35" s="1"/>
  <c r="G57" i="35"/>
  <c r="G95" i="35" s="1"/>
  <c r="F57" i="35"/>
  <c r="F95" i="35" s="1"/>
  <c r="E57" i="35"/>
  <c r="E95" i="35" s="1"/>
  <c r="D57" i="35"/>
  <c r="D95" i="35" s="1"/>
  <c r="C57" i="35"/>
  <c r="C95" i="35" s="1"/>
  <c r="B57" i="35"/>
  <c r="B95" i="35" s="1"/>
  <c r="M56" i="35"/>
  <c r="L56" i="35"/>
  <c r="L94" i="35" s="1"/>
  <c r="K56" i="35"/>
  <c r="K94" i="35" s="1"/>
  <c r="J56" i="35"/>
  <c r="J94" i="35" s="1"/>
  <c r="I56" i="35"/>
  <c r="I94" i="35" s="1"/>
  <c r="H56" i="35"/>
  <c r="H94" i="35" s="1"/>
  <c r="G56" i="35"/>
  <c r="G94" i="35" s="1"/>
  <c r="F56" i="35"/>
  <c r="F94" i="35" s="1"/>
  <c r="E56" i="35"/>
  <c r="E94" i="35" s="1"/>
  <c r="D56" i="35"/>
  <c r="D94" i="35" s="1"/>
  <c r="C56" i="35"/>
  <c r="C94" i="35" s="1"/>
  <c r="B56" i="35"/>
  <c r="B94" i="35" s="1"/>
  <c r="M55" i="35"/>
  <c r="M93" i="35" s="1"/>
  <c r="L55" i="35"/>
  <c r="L93" i="35" s="1"/>
  <c r="K55" i="35"/>
  <c r="K93" i="35" s="1"/>
  <c r="J55" i="35"/>
  <c r="J93" i="35" s="1"/>
  <c r="I55" i="35"/>
  <c r="I93" i="35" s="1"/>
  <c r="H55" i="35"/>
  <c r="H93" i="35" s="1"/>
  <c r="G55" i="35"/>
  <c r="G93" i="35" s="1"/>
  <c r="F55" i="35"/>
  <c r="F93" i="35" s="1"/>
  <c r="E55" i="35"/>
  <c r="E93" i="35" s="1"/>
  <c r="D55" i="35"/>
  <c r="D93" i="35" s="1"/>
  <c r="C55" i="35"/>
  <c r="C93" i="35" s="1"/>
  <c r="B55" i="35"/>
  <c r="B93" i="35" s="1"/>
  <c r="M54" i="35"/>
  <c r="M92" i="35" s="1"/>
  <c r="L54" i="35"/>
  <c r="L92" i="35" s="1"/>
  <c r="K54" i="35"/>
  <c r="K92" i="35" s="1"/>
  <c r="J54" i="35"/>
  <c r="J92" i="35" s="1"/>
  <c r="I54" i="35"/>
  <c r="I92" i="35" s="1"/>
  <c r="H54" i="35"/>
  <c r="H92" i="35" s="1"/>
  <c r="G54" i="35"/>
  <c r="G92" i="35" s="1"/>
  <c r="F54" i="35"/>
  <c r="F92" i="35" s="1"/>
  <c r="E54" i="35"/>
  <c r="E92" i="35" s="1"/>
  <c r="D54" i="35"/>
  <c r="D92" i="35" s="1"/>
  <c r="C54" i="35"/>
  <c r="C92" i="35" s="1"/>
  <c r="B54" i="35"/>
  <c r="B92" i="35" s="1"/>
  <c r="M53" i="35"/>
  <c r="M91" i="35" s="1"/>
  <c r="L53" i="35"/>
  <c r="L91" i="35" s="1"/>
  <c r="K53" i="35"/>
  <c r="K91" i="35" s="1"/>
  <c r="J53" i="35"/>
  <c r="J91" i="35" s="1"/>
  <c r="I53" i="35"/>
  <c r="I91" i="35" s="1"/>
  <c r="H53" i="35"/>
  <c r="H91" i="35" s="1"/>
  <c r="G53" i="35"/>
  <c r="G91" i="35" s="1"/>
  <c r="F53" i="35"/>
  <c r="F91" i="35" s="1"/>
  <c r="E53" i="35"/>
  <c r="E91" i="35" s="1"/>
  <c r="D53" i="35"/>
  <c r="D91" i="35" s="1"/>
  <c r="C53" i="35"/>
  <c r="C91" i="35" s="1"/>
  <c r="B53" i="35"/>
  <c r="B91" i="35" s="1"/>
  <c r="M52" i="35"/>
  <c r="M90" i="35" s="1"/>
  <c r="L52" i="35"/>
  <c r="L90" i="35" s="1"/>
  <c r="K52" i="35"/>
  <c r="K90" i="35" s="1"/>
  <c r="J52" i="35"/>
  <c r="J90" i="35" s="1"/>
  <c r="I52" i="35"/>
  <c r="I90" i="35" s="1"/>
  <c r="H52" i="35"/>
  <c r="H90" i="35" s="1"/>
  <c r="G52" i="35"/>
  <c r="G90" i="35" s="1"/>
  <c r="F52" i="35"/>
  <c r="E52" i="35"/>
  <c r="D52" i="35"/>
  <c r="C52" i="35"/>
  <c r="B52" i="35"/>
  <c r="M51" i="35"/>
  <c r="L51" i="35"/>
  <c r="K51" i="35"/>
  <c r="J51" i="35"/>
  <c r="J89" i="35" s="1"/>
  <c r="I51" i="35"/>
  <c r="H51" i="35"/>
  <c r="H89" i="35" s="1"/>
  <c r="G51" i="35"/>
  <c r="G89" i="35" s="1"/>
  <c r="F51" i="35"/>
  <c r="F89" i="35" s="1"/>
  <c r="E51" i="35"/>
  <c r="E89" i="35" s="1"/>
  <c r="D51" i="35"/>
  <c r="D89" i="35" s="1"/>
  <c r="C51" i="35"/>
  <c r="C89" i="35" s="1"/>
  <c r="B51" i="35"/>
  <c r="B89" i="35" s="1"/>
  <c r="M45" i="35"/>
  <c r="L45" i="35"/>
  <c r="K45" i="35"/>
  <c r="J45" i="35"/>
  <c r="I45" i="35"/>
  <c r="H45" i="35"/>
  <c r="G45" i="35"/>
  <c r="F45" i="35"/>
  <c r="E45" i="35"/>
  <c r="D45" i="35"/>
  <c r="C45" i="35"/>
  <c r="B45" i="35"/>
  <c r="M33" i="35"/>
  <c r="L33" i="35"/>
  <c r="K33" i="35"/>
  <c r="J33" i="35"/>
  <c r="I33" i="35"/>
  <c r="H33" i="35"/>
  <c r="G33" i="35"/>
  <c r="F33" i="35"/>
  <c r="E33" i="35"/>
  <c r="D33" i="35"/>
  <c r="C33" i="35"/>
  <c r="B33" i="35"/>
  <c r="M23" i="35"/>
  <c r="L23" i="35"/>
  <c r="K23" i="35"/>
  <c r="J23" i="35"/>
  <c r="I23" i="35"/>
  <c r="H23" i="35"/>
  <c r="G23" i="35"/>
  <c r="F23" i="35"/>
  <c r="E23" i="35"/>
  <c r="D23" i="35"/>
  <c r="C23" i="35"/>
  <c r="B23" i="35"/>
  <c r="M13" i="35"/>
  <c r="L13" i="35"/>
  <c r="K13" i="35"/>
  <c r="J13" i="35"/>
  <c r="I13" i="35"/>
  <c r="H13" i="35"/>
  <c r="G13" i="35"/>
  <c r="F13" i="35"/>
  <c r="E13" i="35"/>
  <c r="D13" i="35"/>
  <c r="C13" i="35"/>
  <c r="B13" i="35"/>
  <c r="A90" i="34"/>
  <c r="A89" i="34"/>
  <c r="A88" i="34"/>
  <c r="A86" i="34"/>
  <c r="A85" i="34"/>
  <c r="A84" i="34"/>
  <c r="A83" i="34"/>
  <c r="A82" i="34"/>
  <c r="C66" i="34"/>
  <c r="C37" i="39" s="1"/>
  <c r="I37" i="39" s="1"/>
  <c r="C57" i="34"/>
  <c r="F43" i="34"/>
  <c r="C21" i="34"/>
  <c r="N23" i="35" l="1"/>
  <c r="C41" i="34" s="1"/>
  <c r="K3" i="38" s="1"/>
  <c r="F53" i="38" s="1"/>
  <c r="M85" i="35"/>
  <c r="R34" i="42"/>
  <c r="S34" i="42" s="1"/>
  <c r="J85" i="35"/>
  <c r="G57" i="37"/>
  <c r="H57" i="37" s="1"/>
  <c r="G41" i="37"/>
  <c r="H41" i="37" s="1"/>
  <c r="G21" i="37"/>
  <c r="H21" i="37" s="1"/>
  <c r="E87" i="40"/>
  <c r="C110" i="36"/>
  <c r="C150" i="36"/>
  <c r="C85" i="36"/>
  <c r="C69" i="36"/>
  <c r="C57" i="36"/>
  <c r="Q49" i="42"/>
  <c r="P49" i="42"/>
  <c r="O49" i="42"/>
  <c r="N49" i="42"/>
  <c r="M49" i="42"/>
  <c r="L49" i="42"/>
  <c r="K49" i="42"/>
  <c r="J49" i="42"/>
  <c r="I49" i="42"/>
  <c r="H49" i="42"/>
  <c r="F49" i="42"/>
  <c r="G49" i="42"/>
  <c r="Q53" i="42"/>
  <c r="O53" i="42"/>
  <c r="N53" i="42"/>
  <c r="L53" i="42"/>
  <c r="K53" i="42"/>
  <c r="J53" i="42"/>
  <c r="I53" i="42"/>
  <c r="H53" i="42"/>
  <c r="G53" i="42"/>
  <c r="F53" i="42"/>
  <c r="C34" i="39"/>
  <c r="I34" i="39" s="1"/>
  <c r="F85" i="35"/>
  <c r="K3" i="40"/>
  <c r="L145" i="40" s="1"/>
  <c r="C32" i="39"/>
  <c r="I32" i="39" s="1"/>
  <c r="K2" i="38"/>
  <c r="E106" i="38" s="1"/>
  <c r="N74" i="35"/>
  <c r="N100" i="35"/>
  <c r="K1" i="40"/>
  <c r="E18" i="36"/>
  <c r="E13" i="43"/>
  <c r="F13" i="43" s="1"/>
  <c r="H13" i="43" s="1"/>
  <c r="H118" i="40"/>
  <c r="I118" i="40" s="1"/>
  <c r="G87" i="40"/>
  <c r="G31" i="40"/>
  <c r="L61" i="35"/>
  <c r="M61" i="35"/>
  <c r="H99" i="35"/>
  <c r="I61" i="35"/>
  <c r="C61" i="35"/>
  <c r="K61" i="35"/>
  <c r="D61" i="35"/>
  <c r="E61" i="35"/>
  <c r="F61" i="35"/>
  <c r="B61" i="35"/>
  <c r="C85" i="35"/>
  <c r="D85" i="35"/>
  <c r="E85" i="35"/>
  <c r="B85" i="35"/>
  <c r="N85" i="35" s="1"/>
  <c r="C33" i="39" s="1"/>
  <c r="I33" i="39" s="1"/>
  <c r="L73" i="35"/>
  <c r="C73" i="35"/>
  <c r="D73" i="35"/>
  <c r="H73" i="35"/>
  <c r="I73" i="35"/>
  <c r="B73" i="35"/>
  <c r="H30" i="43"/>
  <c r="H31" i="43" s="1"/>
  <c r="R20" i="42"/>
  <c r="E48" i="43" s="1"/>
  <c r="S12" i="42"/>
  <c r="S20" i="42" s="1"/>
  <c r="R23" i="42" s="1"/>
  <c r="R24" i="42" s="1"/>
  <c r="S29" i="42"/>
  <c r="S37" i="42" s="1"/>
  <c r="R40" i="42" s="1"/>
  <c r="R41" i="42" s="1"/>
  <c r="R37" i="42"/>
  <c r="E49" i="43" s="1"/>
  <c r="F49" i="43" s="1"/>
  <c r="H49" i="43" s="1"/>
  <c r="S46" i="42"/>
  <c r="G147" i="40"/>
  <c r="G149" i="40" s="1"/>
  <c r="G151" i="40" s="1"/>
  <c r="E149" i="40"/>
  <c r="E151" i="40" s="1"/>
  <c r="G81" i="40"/>
  <c r="C112" i="40"/>
  <c r="H112" i="40" s="1"/>
  <c r="I112" i="40" s="1"/>
  <c r="H110" i="40"/>
  <c r="I110" i="40" s="1"/>
  <c r="G112" i="40"/>
  <c r="C127" i="40"/>
  <c r="H127" i="40" s="1"/>
  <c r="I127" i="40" s="1"/>
  <c r="H125" i="40"/>
  <c r="I125" i="40" s="1"/>
  <c r="E127" i="40"/>
  <c r="G125" i="40"/>
  <c r="C99" i="40"/>
  <c r="H99" i="40" s="1"/>
  <c r="I99" i="40" s="1"/>
  <c r="H44" i="40"/>
  <c r="I44" i="40" s="1"/>
  <c r="H104" i="40"/>
  <c r="I104" i="40" s="1"/>
  <c r="C106" i="40"/>
  <c r="H106" i="40" s="1"/>
  <c r="I106" i="40" s="1"/>
  <c r="C134" i="40"/>
  <c r="H132" i="40"/>
  <c r="C161" i="40"/>
  <c r="H159" i="40"/>
  <c r="C33" i="40"/>
  <c r="H33" i="40" s="1"/>
  <c r="I33" i="40" s="1"/>
  <c r="H26" i="40"/>
  <c r="I26" i="40" s="1"/>
  <c r="E161" i="40"/>
  <c r="G159" i="40"/>
  <c r="G161" i="40" s="1"/>
  <c r="C168" i="40"/>
  <c r="H166" i="40"/>
  <c r="H147" i="40"/>
  <c r="C149" i="40"/>
  <c r="C151" i="40" s="1"/>
  <c r="H37" i="40"/>
  <c r="I37" i="40" s="1"/>
  <c r="G30" i="40"/>
  <c r="G124" i="40"/>
  <c r="H30" i="40"/>
  <c r="I30" i="40" s="1"/>
  <c r="H124" i="40"/>
  <c r="I124" i="40" s="1"/>
  <c r="H165" i="40"/>
  <c r="I165" i="40" s="1"/>
  <c r="G64" i="40"/>
  <c r="G158" i="40"/>
  <c r="H158" i="40"/>
  <c r="I158" i="40" s="1"/>
  <c r="H131" i="40"/>
  <c r="I131" i="40" s="1"/>
  <c r="G139" i="40"/>
  <c r="J15" i="40"/>
  <c r="H139" i="40"/>
  <c r="I139" i="40" s="1"/>
  <c r="G90" i="40"/>
  <c r="G97" i="40" s="1"/>
  <c r="G103" i="40"/>
  <c r="H47" i="40"/>
  <c r="I47" i="40" s="1"/>
  <c r="H103" i="40"/>
  <c r="I103" i="40" s="1"/>
  <c r="H80" i="40"/>
  <c r="I80" i="40" s="1"/>
  <c r="J103" i="40"/>
  <c r="K103" i="40"/>
  <c r="G140" i="40"/>
  <c r="J16" i="40"/>
  <c r="L103" i="40"/>
  <c r="G74" i="40"/>
  <c r="E21" i="39"/>
  <c r="F104" i="38"/>
  <c r="G35" i="38"/>
  <c r="G67" i="38"/>
  <c r="G79" i="38"/>
  <c r="G104" i="38"/>
  <c r="G57" i="38"/>
  <c r="G116" i="38"/>
  <c r="G81" i="38"/>
  <c r="G106" i="38"/>
  <c r="G95" i="38"/>
  <c r="G133" i="38"/>
  <c r="G82" i="38"/>
  <c r="G120" i="38"/>
  <c r="G147" i="38"/>
  <c r="F27" i="38"/>
  <c r="G41" i="38"/>
  <c r="G83" i="38"/>
  <c r="G121" i="38"/>
  <c r="G27" i="38"/>
  <c r="G62" i="38"/>
  <c r="G148" i="38"/>
  <c r="G73" i="38"/>
  <c r="G97" i="38"/>
  <c r="G135" i="38"/>
  <c r="G52" i="38"/>
  <c r="G84" i="38"/>
  <c r="G42" i="38"/>
  <c r="G63" i="38"/>
  <c r="G74" i="38"/>
  <c r="G98" i="38"/>
  <c r="G53" i="38"/>
  <c r="G43" i="38"/>
  <c r="G75" i="38"/>
  <c r="G99" i="38"/>
  <c r="G125" i="38"/>
  <c r="G137" i="38"/>
  <c r="G64" i="38"/>
  <c r="G111" i="38"/>
  <c r="G152" i="38"/>
  <c r="G153" i="38" s="1"/>
  <c r="G54" i="38"/>
  <c r="G76" i="38"/>
  <c r="G88" i="38"/>
  <c r="G100" i="38"/>
  <c r="G138" i="38"/>
  <c r="G44" i="38"/>
  <c r="G126" i="38"/>
  <c r="G114" i="38"/>
  <c r="G55" i="38"/>
  <c r="G77" i="38"/>
  <c r="G89" i="38"/>
  <c r="G139" i="38"/>
  <c r="G99" i="35"/>
  <c r="J99" i="35"/>
  <c r="I99" i="35"/>
  <c r="M89" i="35"/>
  <c r="M99" i="35" s="1"/>
  <c r="B90" i="35"/>
  <c r="B99" i="35" s="1"/>
  <c r="C90" i="35"/>
  <c r="C99" i="35" s="1"/>
  <c r="D90" i="35"/>
  <c r="D99" i="35" s="1"/>
  <c r="E90" i="35"/>
  <c r="E99" i="35" s="1"/>
  <c r="F90" i="35"/>
  <c r="F99" i="35" s="1"/>
  <c r="K89" i="35"/>
  <c r="K99" i="35" s="1"/>
  <c r="L89" i="35"/>
  <c r="L99" i="35" s="1"/>
  <c r="G61" i="35"/>
  <c r="H61" i="35"/>
  <c r="J61" i="35"/>
  <c r="H105" i="2"/>
  <c r="H104" i="2"/>
  <c r="H103" i="2"/>
  <c r="H102" i="2"/>
  <c r="H61" i="2"/>
  <c r="H60" i="2"/>
  <c r="H59" i="2"/>
  <c r="H58" i="2"/>
  <c r="H17" i="2"/>
  <c r="H16" i="2"/>
  <c r="H15" i="2"/>
  <c r="H14" i="2"/>
  <c r="E65" i="38" l="1"/>
  <c r="E76" i="38"/>
  <c r="E54" i="38"/>
  <c r="E126" i="38"/>
  <c r="E152" i="38"/>
  <c r="E153" i="38" s="1"/>
  <c r="E88" i="38"/>
  <c r="F54" i="38"/>
  <c r="F134" i="38"/>
  <c r="F72" i="38"/>
  <c r="F96" i="38"/>
  <c r="F147" i="38"/>
  <c r="C43" i="34"/>
  <c r="F106" i="38"/>
  <c r="F76" i="38"/>
  <c r="F152" i="38"/>
  <c r="F153" i="38" s="1"/>
  <c r="F43" i="38"/>
  <c r="K2" i="40"/>
  <c r="K102" i="40" s="1"/>
  <c r="D33" i="41" s="1"/>
  <c r="F120" i="38"/>
  <c r="F51" i="38"/>
  <c r="F46" i="38"/>
  <c r="E78" i="38"/>
  <c r="E90" i="38"/>
  <c r="D29" i="38"/>
  <c r="F29" i="38" s="1"/>
  <c r="F32" i="38" s="1"/>
  <c r="E66" i="38"/>
  <c r="E125" i="38"/>
  <c r="E75" i="38"/>
  <c r="K5" i="38"/>
  <c r="G58" i="38" s="1"/>
  <c r="E45" i="38"/>
  <c r="F82" i="38"/>
  <c r="F146" i="38"/>
  <c r="F81" i="38"/>
  <c r="F126" i="38"/>
  <c r="F110" i="38"/>
  <c r="F132" i="38"/>
  <c r="C47" i="34"/>
  <c r="C49" i="34" s="1"/>
  <c r="C65" i="34" s="1"/>
  <c r="F42" i="38"/>
  <c r="N86" i="35"/>
  <c r="I2" i="40" s="1"/>
  <c r="D3" i="41" s="1"/>
  <c r="F100" i="38"/>
  <c r="F84" i="38"/>
  <c r="F44" i="38"/>
  <c r="F138" i="38"/>
  <c r="F88" i="38"/>
  <c r="F94" i="38"/>
  <c r="F36" i="38"/>
  <c r="F79" i="38"/>
  <c r="F45" i="38"/>
  <c r="F73" i="38"/>
  <c r="F116" i="38"/>
  <c r="F135" i="38"/>
  <c r="F47" i="38"/>
  <c r="F148" i="38"/>
  <c r="F64" i="38"/>
  <c r="E139" i="38"/>
  <c r="F125" i="38"/>
  <c r="F99" i="38"/>
  <c r="F52" i="38"/>
  <c r="F89" i="38"/>
  <c r="F133" i="38"/>
  <c r="F137" i="38"/>
  <c r="F114" i="38"/>
  <c r="F97" i="38"/>
  <c r="F62" i="38"/>
  <c r="F57" i="38"/>
  <c r="F65" i="38"/>
  <c r="F75" i="38"/>
  <c r="F67" i="38"/>
  <c r="E89" i="38"/>
  <c r="E77" i="38"/>
  <c r="E64" i="38"/>
  <c r="E137" i="38"/>
  <c r="D16" i="39"/>
  <c r="J16" i="39" s="1"/>
  <c r="I16" i="39" s="1"/>
  <c r="C16" i="39"/>
  <c r="D17" i="39"/>
  <c r="E17" i="39" s="1"/>
  <c r="C17" i="39"/>
  <c r="D19" i="39"/>
  <c r="J19" i="39" s="1"/>
  <c r="I19" i="39" s="1"/>
  <c r="C19" i="39"/>
  <c r="D22" i="39"/>
  <c r="J22" i="39" s="1"/>
  <c r="I22" i="39" s="1"/>
  <c r="C22" i="39"/>
  <c r="E99" i="38"/>
  <c r="D20" i="39"/>
  <c r="J20" i="39" s="1"/>
  <c r="I20" i="39" s="1"/>
  <c r="C20" i="39"/>
  <c r="L84" i="40"/>
  <c r="L47" i="40"/>
  <c r="L58" i="40"/>
  <c r="L165" i="40"/>
  <c r="L166" i="40" s="1"/>
  <c r="L168" i="40" s="1"/>
  <c r="L90" i="40"/>
  <c r="L124" i="40"/>
  <c r="E39" i="41" s="1"/>
  <c r="L92" i="40"/>
  <c r="L70" i="40"/>
  <c r="L72" i="40"/>
  <c r="L50" i="40"/>
  <c r="L52" i="40"/>
  <c r="L30" i="40"/>
  <c r="L91" i="40"/>
  <c r="L95" i="40"/>
  <c r="L2" i="40"/>
  <c r="E5" i="41" s="1"/>
  <c r="L71" i="40"/>
  <c r="L141" i="40"/>
  <c r="L96" i="40"/>
  <c r="L130" i="40"/>
  <c r="L51" i="40"/>
  <c r="L139" i="40"/>
  <c r="L74" i="40"/>
  <c r="L78" i="40"/>
  <c r="L29" i="40"/>
  <c r="L94" i="40"/>
  <c r="L38" i="40"/>
  <c r="L54" i="40"/>
  <c r="L142" i="40"/>
  <c r="R49" i="42"/>
  <c r="S49" i="42" s="1"/>
  <c r="L131" i="40"/>
  <c r="L40" i="40"/>
  <c r="L80" i="40"/>
  <c r="L115" i="40"/>
  <c r="L140" i="40"/>
  <c r="L62" i="40"/>
  <c r="L79" i="40"/>
  <c r="L42" i="40"/>
  <c r="L61" i="40"/>
  <c r="L16" i="40"/>
  <c r="L41" i="40"/>
  <c r="L85" i="40"/>
  <c r="L15" i="40"/>
  <c r="L158" i="40"/>
  <c r="L146" i="40"/>
  <c r="R53" i="42"/>
  <c r="E25" i="43"/>
  <c r="F25" i="43" s="1"/>
  <c r="H25" i="43" s="1"/>
  <c r="E3" i="41"/>
  <c r="F48" i="43"/>
  <c r="H48" i="43" s="1"/>
  <c r="E24" i="43"/>
  <c r="E12" i="43"/>
  <c r="F12" i="43" s="1"/>
  <c r="H12" i="43" s="1"/>
  <c r="E2" i="41"/>
  <c r="J24" i="40"/>
  <c r="J102" i="40"/>
  <c r="C33" i="41" s="1"/>
  <c r="C53" i="34"/>
  <c r="I3" i="40"/>
  <c r="D4" i="41" s="1"/>
  <c r="I4" i="38"/>
  <c r="I1" i="40"/>
  <c r="C51" i="34"/>
  <c r="I2" i="38"/>
  <c r="G122" i="38"/>
  <c r="E104" i="38"/>
  <c r="D104" i="38" s="1"/>
  <c r="E102" i="40" s="1"/>
  <c r="E27" i="38"/>
  <c r="D27" i="38" s="1"/>
  <c r="E29" i="38"/>
  <c r="E4" i="41"/>
  <c r="L24" i="40"/>
  <c r="L102" i="40"/>
  <c r="E33" i="41" s="1"/>
  <c r="D8" i="39"/>
  <c r="D6" i="39"/>
  <c r="F24" i="43"/>
  <c r="H24" i="43" s="1"/>
  <c r="W40" i="42"/>
  <c r="W41" i="42" s="1"/>
  <c r="W23" i="42"/>
  <c r="W24" i="42" s="1"/>
  <c r="L64" i="40"/>
  <c r="L60" i="40"/>
  <c r="L109" i="40"/>
  <c r="L110" i="40" s="1"/>
  <c r="L112" i="40" s="1"/>
  <c r="E35" i="41" s="1"/>
  <c r="L77" i="40"/>
  <c r="L59" i="40"/>
  <c r="K142" i="40"/>
  <c r="L48" i="40"/>
  <c r="L43" i="40"/>
  <c r="L86" i="40"/>
  <c r="L68" i="40"/>
  <c r="L117" i="40"/>
  <c r="L157" i="40"/>
  <c r="L75" i="40"/>
  <c r="L63" i="40"/>
  <c r="L144" i="40"/>
  <c r="L37" i="40"/>
  <c r="L123" i="40"/>
  <c r="L73" i="40"/>
  <c r="L93" i="40"/>
  <c r="L53" i="40"/>
  <c r="L39" i="40"/>
  <c r="L156" i="40"/>
  <c r="L69" i="40"/>
  <c r="L143" i="40"/>
  <c r="L76" i="40"/>
  <c r="L49" i="40"/>
  <c r="L116" i="40"/>
  <c r="L25" i="40"/>
  <c r="J76" i="40"/>
  <c r="K86" i="40"/>
  <c r="K144" i="40"/>
  <c r="J74" i="40"/>
  <c r="J95" i="40"/>
  <c r="J156" i="40"/>
  <c r="J54" i="40"/>
  <c r="J75" i="40"/>
  <c r="J96" i="40"/>
  <c r="J142" i="40"/>
  <c r="J146" i="40"/>
  <c r="J109" i="40"/>
  <c r="J110" i="40" s="1"/>
  <c r="J112" i="40" s="1"/>
  <c r="C35" i="41" s="1"/>
  <c r="J69" i="40"/>
  <c r="J37" i="40"/>
  <c r="J90" i="40"/>
  <c r="J131" i="40"/>
  <c r="J93" i="40"/>
  <c r="J115" i="40"/>
  <c r="J49" i="40"/>
  <c r="J116" i="40"/>
  <c r="J140" i="40"/>
  <c r="J71" i="40"/>
  <c r="J25" i="40"/>
  <c r="J70" i="40"/>
  <c r="K91" i="40"/>
  <c r="J73" i="40"/>
  <c r="J79" i="40"/>
  <c r="J85" i="40"/>
  <c r="J51" i="40"/>
  <c r="J39" i="40"/>
  <c r="J30" i="40"/>
  <c r="J48" i="40"/>
  <c r="J61" i="40"/>
  <c r="J77" i="40"/>
  <c r="J59" i="40"/>
  <c r="J47" i="40"/>
  <c r="J53" i="40"/>
  <c r="J41" i="40"/>
  <c r="K69" i="40"/>
  <c r="J91" i="40"/>
  <c r="K156" i="40"/>
  <c r="K58" i="40"/>
  <c r="J94" i="40"/>
  <c r="J80" i="40"/>
  <c r="J50" i="40"/>
  <c r="J29" i="40"/>
  <c r="J143" i="40"/>
  <c r="J123" i="40"/>
  <c r="J139" i="40"/>
  <c r="J40" i="40"/>
  <c r="J130" i="40"/>
  <c r="J60" i="40"/>
  <c r="J157" i="40"/>
  <c r="J86" i="40"/>
  <c r="J117" i="40"/>
  <c r="J144" i="40"/>
  <c r="J141" i="40"/>
  <c r="J63" i="40"/>
  <c r="J43" i="40"/>
  <c r="J78" i="40"/>
  <c r="J68" i="40"/>
  <c r="J58" i="40"/>
  <c r="J158" i="40"/>
  <c r="J145" i="40"/>
  <c r="J62" i="40"/>
  <c r="J38" i="40"/>
  <c r="J52" i="40"/>
  <c r="J165" i="40"/>
  <c r="J42" i="40"/>
  <c r="J84" i="40"/>
  <c r="J124" i="40"/>
  <c r="C39" i="41" s="1"/>
  <c r="J64" i="40"/>
  <c r="J92" i="40"/>
  <c r="J72" i="40"/>
  <c r="C170" i="40"/>
  <c r="G127" i="40"/>
  <c r="G29" i="38"/>
  <c r="G32" i="38" s="1"/>
  <c r="G78" i="38"/>
  <c r="G146" i="38"/>
  <c r="G66" i="38"/>
  <c r="G132" i="38"/>
  <c r="G56" i="38"/>
  <c r="G115" i="38"/>
  <c r="G117" i="38" s="1"/>
  <c r="G47" i="38"/>
  <c r="G45" i="38"/>
  <c r="G46" i="38"/>
  <c r="G94" i="38"/>
  <c r="G90" i="38"/>
  <c r="G91" i="38" s="1"/>
  <c r="F139" i="38"/>
  <c r="E44" i="38"/>
  <c r="E43" i="38"/>
  <c r="G134" i="38"/>
  <c r="G80" i="38"/>
  <c r="G96" i="38"/>
  <c r="G68" i="38"/>
  <c r="F77" i="38"/>
  <c r="E138" i="38"/>
  <c r="F95" i="38"/>
  <c r="F83" i="38"/>
  <c r="G36" i="38"/>
  <c r="G37" i="38" s="1"/>
  <c r="G65" i="38"/>
  <c r="F111" i="38"/>
  <c r="G136" i="38"/>
  <c r="G72" i="38"/>
  <c r="F55" i="38"/>
  <c r="E100" i="38"/>
  <c r="G110" i="38"/>
  <c r="G51" i="38"/>
  <c r="F68" i="38"/>
  <c r="F78" i="38"/>
  <c r="F115" i="38"/>
  <c r="F56" i="38"/>
  <c r="F66" i="38"/>
  <c r="F90" i="38"/>
  <c r="F121" i="38"/>
  <c r="F136" i="38"/>
  <c r="F58" i="38"/>
  <c r="E55" i="38"/>
  <c r="E111" i="38"/>
  <c r="F98" i="38"/>
  <c r="F41" i="38"/>
  <c r="F74" i="38"/>
  <c r="F35" i="38"/>
  <c r="F63" i="38"/>
  <c r="F80" i="38"/>
  <c r="E148" i="38"/>
  <c r="E67" i="38"/>
  <c r="E42" i="38"/>
  <c r="E147" i="38"/>
  <c r="E41" i="38"/>
  <c r="E115" i="38"/>
  <c r="E57" i="38"/>
  <c r="E146" i="38"/>
  <c r="E63" i="38"/>
  <c r="E132" i="38"/>
  <c r="E36" i="38"/>
  <c r="E136" i="38"/>
  <c r="E98" i="38"/>
  <c r="E62" i="38"/>
  <c r="E35" i="38"/>
  <c r="E46" i="38"/>
  <c r="E135" i="38"/>
  <c r="E97" i="38"/>
  <c r="E73" i="38"/>
  <c r="E134" i="38"/>
  <c r="E96" i="38"/>
  <c r="E74" i="38"/>
  <c r="E133" i="38"/>
  <c r="E95" i="38"/>
  <c r="E58" i="38"/>
  <c r="E94" i="38"/>
  <c r="E47" i="38"/>
  <c r="E56" i="38"/>
  <c r="E68" i="38"/>
  <c r="E121" i="38"/>
  <c r="E120" i="38"/>
  <c r="E53" i="38"/>
  <c r="E72" i="38"/>
  <c r="E84" i="38"/>
  <c r="E116" i="38"/>
  <c r="E83" i="38"/>
  <c r="E52" i="38"/>
  <c r="E82" i="38"/>
  <c r="E79" i="38"/>
  <c r="E81" i="38"/>
  <c r="E51" i="38"/>
  <c r="E80" i="38"/>
  <c r="E110" i="38"/>
  <c r="E114" i="38"/>
  <c r="H161" i="40"/>
  <c r="I159" i="40"/>
  <c r="I161" i="40" s="1"/>
  <c r="H134" i="40"/>
  <c r="I132" i="40"/>
  <c r="I134" i="40" s="1"/>
  <c r="I147" i="40"/>
  <c r="I149" i="40" s="1"/>
  <c r="H149" i="40"/>
  <c r="H168" i="40"/>
  <c r="I166" i="40"/>
  <c r="I168" i="40" s="1"/>
  <c r="G127" i="38"/>
  <c r="O99" i="17"/>
  <c r="N99" i="17"/>
  <c r="L99" i="17"/>
  <c r="F69" i="37" s="1"/>
  <c r="O98" i="17"/>
  <c r="N98" i="17"/>
  <c r="O55" i="17"/>
  <c r="L55" i="17"/>
  <c r="F68" i="37" s="1"/>
  <c r="O54" i="17"/>
  <c r="N54" i="17"/>
  <c r="N55" i="17" s="1"/>
  <c r="L11" i="17"/>
  <c r="F67" i="37" s="1"/>
  <c r="L363" i="8"/>
  <c r="F62" i="37" s="1"/>
  <c r="L319" i="8"/>
  <c r="F61" i="37" s="1"/>
  <c r="O275" i="8"/>
  <c r="L275" i="8"/>
  <c r="F56" i="37" s="1"/>
  <c r="O274" i="8"/>
  <c r="N274" i="8"/>
  <c r="N275" i="8" s="1"/>
  <c r="O231" i="8"/>
  <c r="L231" i="8"/>
  <c r="F55" i="37" s="1"/>
  <c r="O230" i="8"/>
  <c r="N230" i="8"/>
  <c r="N231" i="8" s="1"/>
  <c r="O187" i="8"/>
  <c r="L187" i="8"/>
  <c r="F54" i="37" s="1"/>
  <c r="O186" i="8"/>
  <c r="N186" i="8"/>
  <c r="N187" i="8" s="1"/>
  <c r="O143" i="8"/>
  <c r="L143" i="8"/>
  <c r="F53" i="37" s="1"/>
  <c r="O142" i="8"/>
  <c r="N142" i="8"/>
  <c r="N143" i="8" s="1"/>
  <c r="O99" i="8"/>
  <c r="L99" i="8"/>
  <c r="F52" i="37" s="1"/>
  <c r="O98" i="8"/>
  <c r="N98" i="8"/>
  <c r="N99" i="8" s="1"/>
  <c r="O55" i="8"/>
  <c r="L55" i="8"/>
  <c r="F51" i="37" s="1"/>
  <c r="O54" i="8"/>
  <c r="N54" i="8"/>
  <c r="N55" i="8" s="1"/>
  <c r="L11" i="8"/>
  <c r="F50" i="37" s="1"/>
  <c r="O11" i="8"/>
  <c r="O10" i="8"/>
  <c r="N10" i="8"/>
  <c r="N11" i="8" s="1"/>
  <c r="L495" i="7"/>
  <c r="F45" i="37" s="1"/>
  <c r="L451" i="7"/>
  <c r="F44" i="37" s="1"/>
  <c r="O407" i="7"/>
  <c r="L407" i="7"/>
  <c r="F40" i="37" s="1"/>
  <c r="O406" i="7"/>
  <c r="N406" i="7"/>
  <c r="N407" i="7" s="1"/>
  <c r="O363" i="7"/>
  <c r="L363" i="7"/>
  <c r="F39" i="37" s="1"/>
  <c r="O362" i="7"/>
  <c r="N362" i="7"/>
  <c r="N363" i="7" s="1"/>
  <c r="O319" i="7"/>
  <c r="L319" i="7"/>
  <c r="F38" i="37" s="1"/>
  <c r="O318" i="7"/>
  <c r="N318" i="7"/>
  <c r="N319" i="7" s="1"/>
  <c r="O275" i="7"/>
  <c r="L275" i="7"/>
  <c r="F37" i="37" s="1"/>
  <c r="O274" i="7"/>
  <c r="N274" i="7"/>
  <c r="N275" i="7" s="1"/>
  <c r="O231" i="7"/>
  <c r="L231" i="7"/>
  <c r="F36" i="37" s="1"/>
  <c r="O230" i="7"/>
  <c r="N230" i="7"/>
  <c r="N231" i="7" s="1"/>
  <c r="O187" i="7"/>
  <c r="L187" i="7"/>
  <c r="F35" i="37" s="1"/>
  <c r="O186" i="7"/>
  <c r="N186" i="7"/>
  <c r="N187" i="7" s="1"/>
  <c r="O143" i="7"/>
  <c r="L143" i="7"/>
  <c r="F34" i="37" s="1"/>
  <c r="O142" i="7"/>
  <c r="N142" i="7"/>
  <c r="N143" i="7" s="1"/>
  <c r="O99" i="7"/>
  <c r="L99" i="7"/>
  <c r="F33" i="37" s="1"/>
  <c r="O98" i="7"/>
  <c r="N98" i="7"/>
  <c r="N99" i="7" s="1"/>
  <c r="O55" i="7"/>
  <c r="L55" i="7"/>
  <c r="F32" i="37" s="1"/>
  <c r="O54" i="7"/>
  <c r="N54" i="7"/>
  <c r="N55" i="7" s="1"/>
  <c r="L11" i="7"/>
  <c r="F31" i="37" s="1"/>
  <c r="O11" i="7"/>
  <c r="O10" i="7"/>
  <c r="N10" i="7"/>
  <c r="N11" i="7" s="1"/>
  <c r="N186" i="6"/>
  <c r="N187" i="6" s="1"/>
  <c r="O275" i="6"/>
  <c r="O274" i="6"/>
  <c r="O231" i="6"/>
  <c r="L231" i="6"/>
  <c r="F25" i="37" s="1"/>
  <c r="O230" i="6"/>
  <c r="N230" i="6"/>
  <c r="N231" i="6" s="1"/>
  <c r="O187" i="6"/>
  <c r="L187" i="6"/>
  <c r="F20" i="37" s="1"/>
  <c r="O186" i="6"/>
  <c r="O143" i="6"/>
  <c r="L143" i="6"/>
  <c r="F19" i="37" s="1"/>
  <c r="O142" i="6"/>
  <c r="N142" i="6"/>
  <c r="N143" i="6" s="1"/>
  <c r="O99" i="6"/>
  <c r="L99" i="6"/>
  <c r="F18" i="37" s="1"/>
  <c r="O98" i="6"/>
  <c r="N98" i="6"/>
  <c r="N99" i="6" s="1"/>
  <c r="O55" i="6"/>
  <c r="L55" i="6"/>
  <c r="F17" i="37" s="1"/>
  <c r="O54" i="6"/>
  <c r="N54" i="6"/>
  <c r="N55" i="6" s="1"/>
  <c r="L100" i="21"/>
  <c r="G149" i="36" s="1"/>
  <c r="O99" i="21"/>
  <c r="N99" i="21"/>
  <c r="L56" i="21"/>
  <c r="G148" i="36" s="1"/>
  <c r="O55" i="21"/>
  <c r="N55" i="21"/>
  <c r="L12" i="21"/>
  <c r="G147" i="36" s="1"/>
  <c r="O11" i="21"/>
  <c r="N11" i="21"/>
  <c r="L100" i="15"/>
  <c r="G142" i="36" s="1"/>
  <c r="O99" i="15"/>
  <c r="N99" i="15"/>
  <c r="L56" i="15"/>
  <c r="G141" i="36" s="1"/>
  <c r="O55" i="15"/>
  <c r="N55" i="15"/>
  <c r="L12" i="15"/>
  <c r="G140" i="36" s="1"/>
  <c r="O11" i="15"/>
  <c r="N11" i="15"/>
  <c r="O140" i="19"/>
  <c r="N140" i="19"/>
  <c r="O97" i="19"/>
  <c r="N97" i="19"/>
  <c r="O54" i="19"/>
  <c r="N54" i="19"/>
  <c r="L144" i="5"/>
  <c r="G80" i="36" s="1"/>
  <c r="O143" i="5"/>
  <c r="N143" i="5"/>
  <c r="L100" i="5"/>
  <c r="G79" i="36" s="1"/>
  <c r="O99" i="5"/>
  <c r="N99" i="5"/>
  <c r="L56" i="5"/>
  <c r="G78" i="36" s="1"/>
  <c r="O55" i="5"/>
  <c r="N55" i="5"/>
  <c r="O11" i="5"/>
  <c r="L144" i="20"/>
  <c r="G76" i="36" s="1"/>
  <c r="O143" i="20"/>
  <c r="N143" i="20"/>
  <c r="L100" i="20"/>
  <c r="G75" i="36" s="1"/>
  <c r="O99" i="20"/>
  <c r="N99" i="20"/>
  <c r="L56" i="20"/>
  <c r="G74" i="36" s="1"/>
  <c r="O55" i="20"/>
  <c r="N55" i="20"/>
  <c r="L12" i="20"/>
  <c r="G73" i="36" s="1"/>
  <c r="O11" i="20"/>
  <c r="N11" i="20"/>
  <c r="L232" i="13"/>
  <c r="G116" i="36" s="1"/>
  <c r="O231" i="13"/>
  <c r="N231" i="13"/>
  <c r="L188" i="13"/>
  <c r="G115" i="36" s="1"/>
  <c r="O187" i="13"/>
  <c r="N187" i="13"/>
  <c r="O143" i="13"/>
  <c r="O99" i="13"/>
  <c r="L56" i="13"/>
  <c r="G108" i="36" s="1"/>
  <c r="O55" i="13"/>
  <c r="N55" i="13"/>
  <c r="O11" i="13"/>
  <c r="L1508" i="2"/>
  <c r="G56" i="36" s="1"/>
  <c r="O1507" i="2"/>
  <c r="N1507" i="2"/>
  <c r="L1464" i="2"/>
  <c r="G55" i="36" s="1"/>
  <c r="O1463" i="2"/>
  <c r="N1463" i="2"/>
  <c r="L1420" i="2"/>
  <c r="G54" i="36" s="1"/>
  <c r="O1419" i="2"/>
  <c r="N1419" i="2"/>
  <c r="L1376" i="2"/>
  <c r="G53" i="36" s="1"/>
  <c r="O1375" i="2"/>
  <c r="N1375" i="2"/>
  <c r="L1332" i="2"/>
  <c r="G52" i="36" s="1"/>
  <c r="O1331" i="2"/>
  <c r="N1331" i="2"/>
  <c r="L1288" i="2"/>
  <c r="G51" i="36" s="1"/>
  <c r="O1287" i="2"/>
  <c r="N1287" i="2"/>
  <c r="L1244" i="2"/>
  <c r="G50" i="36" s="1"/>
  <c r="O1243" i="2"/>
  <c r="N1243" i="2"/>
  <c r="L1200" i="2"/>
  <c r="G49" i="36" s="1"/>
  <c r="O1199" i="2"/>
  <c r="N1199" i="2"/>
  <c r="L1156" i="2"/>
  <c r="G48" i="36" s="1"/>
  <c r="O1155" i="2"/>
  <c r="N1155" i="2"/>
  <c r="L1112" i="2"/>
  <c r="G47" i="36" s="1"/>
  <c r="O1111" i="2"/>
  <c r="N1111" i="2"/>
  <c r="L1068" i="2"/>
  <c r="G46" i="36" s="1"/>
  <c r="O1067" i="2"/>
  <c r="N1067" i="2"/>
  <c r="L1024" i="2"/>
  <c r="G45" i="36" s="1"/>
  <c r="O1023" i="2"/>
  <c r="N1023" i="2"/>
  <c r="L980" i="2"/>
  <c r="G44" i="36" s="1"/>
  <c r="O979" i="2"/>
  <c r="N979" i="2"/>
  <c r="L936" i="2"/>
  <c r="G43" i="36" s="1"/>
  <c r="O935" i="2"/>
  <c r="N935" i="2"/>
  <c r="L892" i="2"/>
  <c r="G42" i="36" s="1"/>
  <c r="O891" i="2"/>
  <c r="N891" i="2"/>
  <c r="L848" i="2"/>
  <c r="G41" i="36" s="1"/>
  <c r="O847" i="2"/>
  <c r="N847" i="2"/>
  <c r="L804" i="2"/>
  <c r="G40" i="36" s="1"/>
  <c r="O803" i="2"/>
  <c r="N803" i="2"/>
  <c r="L760" i="2"/>
  <c r="G39" i="36" s="1"/>
  <c r="O759" i="2"/>
  <c r="N759" i="2"/>
  <c r="L716" i="2"/>
  <c r="G38" i="36" s="1"/>
  <c r="O715" i="2"/>
  <c r="N715" i="2"/>
  <c r="L672" i="2"/>
  <c r="G37" i="36" s="1"/>
  <c r="O671" i="2"/>
  <c r="N671" i="2"/>
  <c r="L628" i="2"/>
  <c r="G36" i="36" s="1"/>
  <c r="O627" i="2"/>
  <c r="N627" i="2"/>
  <c r="L584" i="2"/>
  <c r="G35" i="36" s="1"/>
  <c r="O583" i="2"/>
  <c r="N583" i="2"/>
  <c r="L540" i="2"/>
  <c r="G34" i="36" s="1"/>
  <c r="O539" i="2"/>
  <c r="N539" i="2"/>
  <c r="L496" i="2"/>
  <c r="G33" i="36" s="1"/>
  <c r="O495" i="2"/>
  <c r="N495" i="2"/>
  <c r="L452" i="2"/>
  <c r="G32" i="36" s="1"/>
  <c r="O451" i="2"/>
  <c r="N451" i="2"/>
  <c r="L408" i="2"/>
  <c r="G31" i="36" s="1"/>
  <c r="O407" i="2"/>
  <c r="N407" i="2"/>
  <c r="L364" i="2"/>
  <c r="G30" i="36" s="1"/>
  <c r="O363" i="2"/>
  <c r="N363" i="2"/>
  <c r="L320" i="2"/>
  <c r="G29" i="36" s="1"/>
  <c r="O319" i="2"/>
  <c r="N319" i="2"/>
  <c r="L276" i="2"/>
  <c r="G28" i="36" s="1"/>
  <c r="O275" i="2"/>
  <c r="N275" i="2"/>
  <c r="L232" i="2"/>
  <c r="G27" i="36" s="1"/>
  <c r="O231" i="2"/>
  <c r="N231" i="2"/>
  <c r="L188" i="2"/>
  <c r="G26" i="36" s="1"/>
  <c r="O187" i="2"/>
  <c r="N187" i="2"/>
  <c r="L144" i="2"/>
  <c r="G25" i="36" s="1"/>
  <c r="O143" i="2"/>
  <c r="N143" i="2"/>
  <c r="L100" i="2"/>
  <c r="G24" i="36" s="1"/>
  <c r="O99" i="2"/>
  <c r="N99" i="2"/>
  <c r="L56" i="2"/>
  <c r="G23" i="36" s="1"/>
  <c r="O55" i="2"/>
  <c r="N55" i="2"/>
  <c r="L12" i="4"/>
  <c r="G61" i="36" s="1"/>
  <c r="O99" i="1"/>
  <c r="L99" i="1"/>
  <c r="G17" i="36" s="1"/>
  <c r="O98" i="1"/>
  <c r="P327" i="4"/>
  <c r="O327" i="4"/>
  <c r="N327" i="4"/>
  <c r="M327" i="4"/>
  <c r="B325" i="4"/>
  <c r="B324" i="4"/>
  <c r="P321" i="4"/>
  <c r="O321" i="4"/>
  <c r="N321" i="4"/>
  <c r="O319" i="4"/>
  <c r="N319" i="4"/>
  <c r="P283" i="4"/>
  <c r="O283" i="4"/>
  <c r="N283" i="4"/>
  <c r="M283" i="4"/>
  <c r="B281" i="4"/>
  <c r="B280" i="4"/>
  <c r="P277" i="4"/>
  <c r="O277" i="4"/>
  <c r="N277" i="4"/>
  <c r="O275" i="4"/>
  <c r="P239" i="4"/>
  <c r="O239" i="4"/>
  <c r="N239" i="4"/>
  <c r="M239" i="4"/>
  <c r="B237" i="4"/>
  <c r="B236" i="4"/>
  <c r="P233" i="4"/>
  <c r="O233" i="4"/>
  <c r="N233" i="4"/>
  <c r="O231" i="4"/>
  <c r="N231" i="4"/>
  <c r="P195" i="4"/>
  <c r="O195" i="4"/>
  <c r="N195" i="4"/>
  <c r="M195" i="4"/>
  <c r="B193" i="4"/>
  <c r="B192" i="4"/>
  <c r="P189" i="4"/>
  <c r="O189" i="4"/>
  <c r="N189" i="4"/>
  <c r="O187" i="4"/>
  <c r="N187" i="4"/>
  <c r="P151" i="4"/>
  <c r="O151" i="4"/>
  <c r="N151" i="4"/>
  <c r="M151" i="4"/>
  <c r="B149" i="4"/>
  <c r="B148" i="4"/>
  <c r="P145" i="4"/>
  <c r="O145" i="4"/>
  <c r="N145" i="4"/>
  <c r="O143" i="4"/>
  <c r="N143" i="4"/>
  <c r="P107" i="4"/>
  <c r="O107" i="4"/>
  <c r="N107" i="4"/>
  <c r="M107" i="4"/>
  <c r="B105" i="4"/>
  <c r="B104" i="4"/>
  <c r="P101" i="4"/>
  <c r="O101" i="4"/>
  <c r="N101" i="4"/>
  <c r="O99" i="4"/>
  <c r="N99" i="4"/>
  <c r="P63" i="4"/>
  <c r="O63" i="4"/>
  <c r="N63" i="4"/>
  <c r="M63" i="4"/>
  <c r="B61" i="4"/>
  <c r="B60" i="4"/>
  <c r="P57" i="4"/>
  <c r="O57" i="4"/>
  <c r="N57" i="4"/>
  <c r="O55" i="4"/>
  <c r="L8" i="4"/>
  <c r="N6" i="4" s="1"/>
  <c r="N7" i="4" s="1"/>
  <c r="N8" i="4" s="1"/>
  <c r="N9" i="4" s="1"/>
  <c r="N10" i="4" s="1"/>
  <c r="N11" i="4" s="1"/>
  <c r="P6" i="4" s="1"/>
  <c r="P7" i="4" s="1"/>
  <c r="P8" i="4" s="1"/>
  <c r="P9" i="4" s="1"/>
  <c r="P10" i="4" s="1"/>
  <c r="P11" i="4" s="1"/>
  <c r="F122" i="38" l="1"/>
  <c r="K62" i="40"/>
  <c r="E16" i="39"/>
  <c r="K84" i="40"/>
  <c r="K41" i="40"/>
  <c r="K80" i="40"/>
  <c r="K29" i="40"/>
  <c r="E127" i="38"/>
  <c r="K30" i="40"/>
  <c r="K31" i="40" s="1"/>
  <c r="K52" i="40"/>
  <c r="K50" i="40"/>
  <c r="K39" i="40"/>
  <c r="K78" i="40"/>
  <c r="E91" i="38"/>
  <c r="K124" i="40"/>
  <c r="D39" i="41" s="1"/>
  <c r="K24" i="40"/>
  <c r="I3" i="38"/>
  <c r="I5" i="38" s="1"/>
  <c r="C52" i="34"/>
  <c r="C54" i="34" s="1"/>
  <c r="E25" i="40"/>
  <c r="G25" i="40" s="1"/>
  <c r="F127" i="38"/>
  <c r="F37" i="38"/>
  <c r="F91" i="38"/>
  <c r="N101" i="35"/>
  <c r="L31" i="40"/>
  <c r="K43" i="40"/>
  <c r="K63" i="40"/>
  <c r="K117" i="40"/>
  <c r="F117" i="38"/>
  <c r="F48" i="38"/>
  <c r="F140" i="38"/>
  <c r="F142" i="38" s="1"/>
  <c r="K131" i="40"/>
  <c r="K42" i="40"/>
  <c r="K157" i="40"/>
  <c r="K123" i="40"/>
  <c r="K70" i="40"/>
  <c r="K48" i="40"/>
  <c r="K54" i="40"/>
  <c r="K76" i="40"/>
  <c r="K146" i="40"/>
  <c r="K68" i="40"/>
  <c r="K47" i="40"/>
  <c r="K165" i="40"/>
  <c r="K140" i="40"/>
  <c r="K75" i="40"/>
  <c r="K71" i="40"/>
  <c r="K61" i="40"/>
  <c r="K95" i="40"/>
  <c r="K130" i="40"/>
  <c r="K40" i="40"/>
  <c r="K72" i="40"/>
  <c r="K93" i="40"/>
  <c r="K73" i="40"/>
  <c r="K145" i="40"/>
  <c r="K90" i="40"/>
  <c r="K141" i="40"/>
  <c r="K59" i="40"/>
  <c r="K116" i="40"/>
  <c r="K74" i="40"/>
  <c r="K96" i="40"/>
  <c r="K77" i="40"/>
  <c r="K37" i="40"/>
  <c r="K85" i="40"/>
  <c r="K87" i="40" s="1"/>
  <c r="K115" i="40"/>
  <c r="K60" i="40"/>
  <c r="K51" i="40"/>
  <c r="K92" i="40"/>
  <c r="K49" i="40"/>
  <c r="K158" i="40"/>
  <c r="K38" i="40"/>
  <c r="K139" i="40"/>
  <c r="K25" i="40"/>
  <c r="K143" i="40"/>
  <c r="K79" i="40"/>
  <c r="K94" i="40"/>
  <c r="K53" i="40"/>
  <c r="K109" i="40"/>
  <c r="K110" i="40" s="1"/>
  <c r="K112" i="40" s="1"/>
  <c r="D35" i="41" s="1"/>
  <c r="K64" i="40"/>
  <c r="E19" i="39"/>
  <c r="L26" i="40"/>
  <c r="E22" i="39"/>
  <c r="E122" i="38"/>
  <c r="J26" i="40"/>
  <c r="L159" i="40"/>
  <c r="L161" i="40" s="1"/>
  <c r="L170" i="40" s="1"/>
  <c r="J17" i="39"/>
  <c r="I17" i="39" s="1"/>
  <c r="L125" i="40"/>
  <c r="L127" i="40" s="1"/>
  <c r="E20" i="39"/>
  <c r="L87" i="40"/>
  <c r="F70" i="37"/>
  <c r="F71" i="37" s="1"/>
  <c r="F63" i="37"/>
  <c r="F64" i="37" s="1"/>
  <c r="F57" i="37"/>
  <c r="F58" i="37" s="1"/>
  <c r="F46" i="37"/>
  <c r="F47" i="37" s="1"/>
  <c r="F41" i="37"/>
  <c r="F42" i="37" s="1"/>
  <c r="G150" i="36"/>
  <c r="G151" i="36" s="1"/>
  <c r="G143" i="36"/>
  <c r="G144" i="36" s="1"/>
  <c r="L132" i="40"/>
  <c r="L134" i="40" s="1"/>
  <c r="E41" i="41" s="1"/>
  <c r="G48" i="38"/>
  <c r="J118" i="40"/>
  <c r="J120" i="40" s="1"/>
  <c r="C37" i="41" s="1"/>
  <c r="L65" i="40"/>
  <c r="L118" i="40"/>
  <c r="L120" i="40" s="1"/>
  <c r="E37" i="41" s="1"/>
  <c r="L55" i="40"/>
  <c r="G101" i="38"/>
  <c r="F69" i="38"/>
  <c r="L97" i="40"/>
  <c r="S53" i="42"/>
  <c r="S56" i="42" s="1"/>
  <c r="R59" i="42" s="1"/>
  <c r="R60" i="42" s="1"/>
  <c r="R56" i="42"/>
  <c r="J147" i="40"/>
  <c r="J149" i="40" s="1"/>
  <c r="J151" i="40" s="1"/>
  <c r="G140" i="38"/>
  <c r="G142" i="38" s="1"/>
  <c r="G149" i="38" s="1"/>
  <c r="D49" i="41"/>
  <c r="G69" i="38"/>
  <c r="F85" i="38"/>
  <c r="F101" i="38"/>
  <c r="E32" i="38"/>
  <c r="D32" i="38"/>
  <c r="E24" i="40"/>
  <c r="L147" i="40"/>
  <c r="L149" i="40" s="1"/>
  <c r="L151" i="40" s="1"/>
  <c r="D53" i="41"/>
  <c r="E53" i="41"/>
  <c r="B53" i="41"/>
  <c r="G102" i="40"/>
  <c r="G104" i="40" s="1"/>
  <c r="B33" i="41"/>
  <c r="C53" i="41"/>
  <c r="L104" i="40"/>
  <c r="L106" i="40" s="1"/>
  <c r="E104" i="40"/>
  <c r="E106" i="40" s="1"/>
  <c r="G106" i="40" s="1"/>
  <c r="J104" i="40"/>
  <c r="J106" i="40" s="1"/>
  <c r="K104" i="40"/>
  <c r="K106" i="40" s="1"/>
  <c r="E26" i="41"/>
  <c r="E49" i="41"/>
  <c r="E13" i="41"/>
  <c r="L44" i="40"/>
  <c r="L81" i="40"/>
  <c r="G2" i="40"/>
  <c r="D2" i="41"/>
  <c r="C49" i="41"/>
  <c r="C13" i="41"/>
  <c r="C26" i="41"/>
  <c r="F59" i="38"/>
  <c r="E69" i="38"/>
  <c r="G85" i="38"/>
  <c r="D13" i="39"/>
  <c r="J6" i="39"/>
  <c r="J13" i="39" s="1"/>
  <c r="C18" i="39"/>
  <c r="C23" i="39" s="1"/>
  <c r="C56" i="34" s="1"/>
  <c r="J8" i="39"/>
  <c r="I18" i="39" s="1"/>
  <c r="J65" i="40"/>
  <c r="J87" i="40"/>
  <c r="J125" i="40"/>
  <c r="J127" i="40" s="1"/>
  <c r="J132" i="40"/>
  <c r="J134" i="40" s="1"/>
  <c r="C41" i="41" s="1"/>
  <c r="J55" i="40"/>
  <c r="J31" i="40"/>
  <c r="J81" i="40"/>
  <c r="J97" i="40"/>
  <c r="J44" i="40"/>
  <c r="G59" i="38"/>
  <c r="E59" i="38"/>
  <c r="E48" i="38"/>
  <c r="E101" i="38"/>
  <c r="E140" i="38"/>
  <c r="E142" i="38" s="1"/>
  <c r="E85" i="38"/>
  <c r="E117" i="38"/>
  <c r="E37" i="38"/>
  <c r="G107" i="38"/>
  <c r="F107" i="38"/>
  <c r="E107" i="38"/>
  <c r="D107" i="38"/>
  <c r="L228" i="13"/>
  <c r="K125" i="40" l="1"/>
  <c r="K127" i="40" s="1"/>
  <c r="F149" i="38"/>
  <c r="K26" i="40"/>
  <c r="L33" i="40"/>
  <c r="E29" i="41" s="1"/>
  <c r="K132" i="40"/>
  <c r="K134" i="40" s="1"/>
  <c r="D41" i="41" s="1"/>
  <c r="K55" i="40"/>
  <c r="K81" i="40"/>
  <c r="K118" i="40"/>
  <c r="K120" i="40" s="1"/>
  <c r="D37" i="41" s="1"/>
  <c r="K65" i="40"/>
  <c r="K97" i="40"/>
  <c r="K147" i="40"/>
  <c r="K149" i="40" s="1"/>
  <c r="K151" i="40" s="1"/>
  <c r="K44" i="40"/>
  <c r="D5" i="41"/>
  <c r="K15" i="40"/>
  <c r="K16" i="40"/>
  <c r="K33" i="40"/>
  <c r="D29" i="41" s="1"/>
  <c r="J33" i="40"/>
  <c r="C29" i="41" s="1"/>
  <c r="I23" i="39"/>
  <c r="D57" i="41"/>
  <c r="C57" i="41"/>
  <c r="L99" i="40"/>
  <c r="E31" i="41" s="1"/>
  <c r="E57" i="41"/>
  <c r="K99" i="40"/>
  <c r="D31" i="41" s="1"/>
  <c r="W59" i="42"/>
  <c r="W60" i="42" s="1"/>
  <c r="E50" i="43"/>
  <c r="E14" i="43"/>
  <c r="E26" i="43"/>
  <c r="H41" i="43"/>
  <c r="B57" i="41"/>
  <c r="E149" i="38"/>
  <c r="J99" i="40"/>
  <c r="C31" i="41" s="1"/>
  <c r="E26" i="40"/>
  <c r="G24" i="40"/>
  <c r="C25" i="39"/>
  <c r="C35" i="39" s="1"/>
  <c r="C27" i="39"/>
  <c r="C61" i="34"/>
  <c r="I27" i="39"/>
  <c r="J159" i="40"/>
  <c r="L40" i="1"/>
  <c r="A37" i="1"/>
  <c r="K159" i="40" l="1"/>
  <c r="K161" i="40" s="1"/>
  <c r="K166" i="40" s="1"/>
  <c r="K168" i="40" s="1"/>
  <c r="K170" i="40" s="1"/>
  <c r="C58" i="34"/>
  <c r="C67" i="34" s="1"/>
  <c r="I25" i="39"/>
  <c r="I35" i="39" s="1"/>
  <c r="D26" i="41"/>
  <c r="D13" i="41"/>
  <c r="F26" i="43"/>
  <c r="H26" i="43" s="1"/>
  <c r="H27" i="43" s="1"/>
  <c r="E27" i="43"/>
  <c r="F14" i="43"/>
  <c r="H14" i="43" s="1"/>
  <c r="H15" i="43" s="1"/>
  <c r="E15" i="43"/>
  <c r="H18" i="43" s="1"/>
  <c r="F50" i="43"/>
  <c r="H50" i="43" s="1"/>
  <c r="H51" i="43" s="1"/>
  <c r="E51" i="43"/>
  <c r="H54" i="43" s="1"/>
  <c r="H55" i="43" s="1"/>
  <c r="E33" i="40"/>
  <c r="B29" i="41" s="1"/>
  <c r="G26" i="40"/>
  <c r="G33" i="40" s="1"/>
  <c r="E38" i="43"/>
  <c r="F38" i="43" s="1"/>
  <c r="H38" i="43" s="1"/>
  <c r="E36" i="43"/>
  <c r="E37" i="43"/>
  <c r="F37" i="43" s="1"/>
  <c r="H37" i="43" s="1"/>
  <c r="H60" i="43" s="1"/>
  <c r="W70" i="42" s="1"/>
  <c r="I29" i="39"/>
  <c r="I36" i="39" s="1"/>
  <c r="C60" i="34"/>
  <c r="C62" i="34" s="1"/>
  <c r="C68" i="34" s="1"/>
  <c r="C29" i="39"/>
  <c r="C36" i="39" s="1"/>
  <c r="J161" i="40"/>
  <c r="J166" i="40" s="1"/>
  <c r="J168" i="40" s="1"/>
  <c r="F9" i="23"/>
  <c r="I9" i="14"/>
  <c r="A29" i="1"/>
  <c r="A34" i="1"/>
  <c r="A27" i="1"/>
  <c r="A33" i="1"/>
  <c r="A35" i="1"/>
  <c r="A28" i="1"/>
  <c r="A31" i="1"/>
  <c r="A36" i="1"/>
  <c r="A26" i="1"/>
  <c r="A14" i="1" s="1"/>
  <c r="A30" i="1"/>
  <c r="A32" i="1"/>
  <c r="F26" i="23"/>
  <c r="B26" i="23"/>
  <c r="H18" i="36" l="1"/>
  <c r="I18" i="36" s="1"/>
  <c r="C38" i="39"/>
  <c r="C42" i="39" s="1"/>
  <c r="I38" i="39"/>
  <c r="I42" i="39" s="1"/>
  <c r="H19" i="43"/>
  <c r="H20" i="43"/>
  <c r="H61" i="43"/>
  <c r="W71" i="42" s="1"/>
  <c r="C69" i="34"/>
  <c r="C73" i="34" s="1"/>
  <c r="E73" i="34" s="1"/>
  <c r="E39" i="43"/>
  <c r="H42" i="43" s="1"/>
  <c r="F36" i="43"/>
  <c r="H36" i="43" s="1"/>
  <c r="J170" i="40"/>
  <c r="D59" i="2"/>
  <c r="A105" i="2"/>
  <c r="A104" i="2"/>
  <c r="A103" i="2"/>
  <c r="A61" i="2"/>
  <c r="A60" i="2"/>
  <c r="A17" i="2"/>
  <c r="A16" i="2"/>
  <c r="B16" i="2" s="1"/>
  <c r="A15" i="2"/>
  <c r="B15" i="2" s="1"/>
  <c r="A14" i="2"/>
  <c r="H43" i="43" l="1"/>
  <c r="H44" i="43"/>
  <c r="H59" i="43"/>
  <c r="H39" i="43"/>
  <c r="D51" i="2"/>
  <c r="D52" i="2"/>
  <c r="D53" i="2"/>
  <c r="D55" i="2"/>
  <c r="H55" i="2"/>
  <c r="L50" i="2"/>
  <c r="L51" i="2"/>
  <c r="W69" i="42" l="1"/>
  <c r="H62" i="43"/>
  <c r="W72" i="42" s="1"/>
  <c r="L69" i="37"/>
  <c r="L68" i="37"/>
  <c r="L67" i="37"/>
  <c r="L16" i="37"/>
  <c r="L70" i="37" l="1"/>
  <c r="M142" i="36"/>
  <c r="M141" i="36"/>
  <c r="M140" i="36"/>
  <c r="D95" i="2"/>
  <c r="L95" i="2"/>
  <c r="K1361" i="2"/>
  <c r="K1317" i="2"/>
  <c r="K1273" i="2"/>
  <c r="K1229" i="2"/>
  <c r="K1185" i="2"/>
  <c r="K1141" i="2"/>
  <c r="K1097" i="2"/>
  <c r="K1053" i="2"/>
  <c r="K1009" i="2"/>
  <c r="K965" i="2"/>
  <c r="K613" i="2"/>
  <c r="K569" i="2"/>
  <c r="K525" i="2"/>
  <c r="K481" i="2"/>
  <c r="K437" i="2"/>
  <c r="K393" i="2"/>
  <c r="K349" i="2"/>
  <c r="K305" i="2"/>
  <c r="K261" i="2"/>
  <c r="K40" i="2"/>
  <c r="K1140" i="2" s="1"/>
  <c r="K42" i="2"/>
  <c r="K746" i="2" s="1"/>
  <c r="K41" i="2"/>
  <c r="K921" i="2" s="1"/>
  <c r="M143" i="36" l="1"/>
  <c r="K218" i="2"/>
  <c r="K1318" i="2"/>
  <c r="K922" i="2"/>
  <c r="K1010" i="2"/>
  <c r="K482" i="2"/>
  <c r="K86" i="2"/>
  <c r="K1098" i="2"/>
  <c r="K1362" i="2"/>
  <c r="K174" i="2"/>
  <c r="K1230" i="2"/>
  <c r="K438" i="2"/>
  <c r="K526" i="2"/>
  <c r="K1406" i="2"/>
  <c r="K350" i="2"/>
  <c r="K1450" i="2"/>
  <c r="K130" i="2"/>
  <c r="K262" i="2"/>
  <c r="K570" i="2"/>
  <c r="K1494" i="2"/>
  <c r="K1538" i="2"/>
  <c r="K834" i="2"/>
  <c r="K966" i="2"/>
  <c r="K1054" i="2"/>
  <c r="K1142" i="2"/>
  <c r="K614" i="2"/>
  <c r="K394" i="2"/>
  <c r="K658" i="2"/>
  <c r="K790" i="2"/>
  <c r="K1186" i="2"/>
  <c r="K1274" i="2"/>
  <c r="K702" i="2"/>
  <c r="K878" i="2"/>
  <c r="K306" i="2"/>
  <c r="K1405" i="2"/>
  <c r="K745" i="2"/>
  <c r="K1449" i="2"/>
  <c r="K85" i="2"/>
  <c r="K789" i="2"/>
  <c r="K1493" i="2"/>
  <c r="K701" i="2"/>
  <c r="K129" i="2"/>
  <c r="K833" i="2"/>
  <c r="K1537" i="2"/>
  <c r="K657" i="2"/>
  <c r="K173" i="2"/>
  <c r="K877" i="2"/>
  <c r="K217" i="2"/>
  <c r="K1184" i="2"/>
  <c r="K1228" i="2"/>
  <c r="K744" i="2"/>
  <c r="K260" i="2"/>
  <c r="K1404" i="2"/>
  <c r="K304" i="2"/>
  <c r="K920" i="2"/>
  <c r="K1316" i="2"/>
  <c r="K1360" i="2"/>
  <c r="K436" i="2"/>
  <c r="K964" i="2"/>
  <c r="K1272" i="2"/>
  <c r="K788" i="2"/>
  <c r="K392" i="2"/>
  <c r="K700" i="2"/>
  <c r="K216" i="2"/>
  <c r="K832" i="2"/>
  <c r="K876" i="2"/>
  <c r="K480" i="2"/>
  <c r="K348" i="2"/>
  <c r="K1448" i="2"/>
  <c r="K524" i="2"/>
  <c r="K1008" i="2"/>
  <c r="K84" i="2"/>
  <c r="K1492" i="2"/>
  <c r="K568" i="2"/>
  <c r="K1052" i="2"/>
  <c r="K128" i="2"/>
  <c r="K1536" i="2"/>
  <c r="K612" i="2"/>
  <c r="K1096" i="2"/>
  <c r="K172" i="2"/>
  <c r="K656" i="2"/>
  <c r="F102" i="2"/>
  <c r="L52" i="2"/>
  <c r="F58" i="2"/>
  <c r="L140" i="2"/>
  <c r="L96" i="21" l="1"/>
  <c r="L52" i="21"/>
  <c r="L8" i="21"/>
  <c r="L96" i="15"/>
  <c r="L52" i="15"/>
  <c r="L8" i="15"/>
  <c r="L137" i="19"/>
  <c r="L94" i="19"/>
  <c r="L51" i="19"/>
  <c r="L8" i="19"/>
  <c r="L140" i="5"/>
  <c r="L96" i="5"/>
  <c r="L52" i="5"/>
  <c r="L8" i="5"/>
  <c r="L140" i="20"/>
  <c r="L96" i="20"/>
  <c r="L52" i="20"/>
  <c r="L8" i="20"/>
  <c r="L184" i="13"/>
  <c r="L140" i="13"/>
  <c r="L96" i="13"/>
  <c r="L52" i="13"/>
  <c r="L8" i="13"/>
  <c r="N6" i="13" s="1"/>
  <c r="L1504" i="2"/>
  <c r="L1460" i="2"/>
  <c r="L1416" i="2"/>
  <c r="L1372" i="2"/>
  <c r="L1328" i="2"/>
  <c r="L1284" i="2"/>
  <c r="L1240" i="2"/>
  <c r="L1196" i="2"/>
  <c r="L1152" i="2"/>
  <c r="L1108" i="2"/>
  <c r="L1064" i="2"/>
  <c r="L1020" i="2"/>
  <c r="L976" i="2"/>
  <c r="L932" i="2"/>
  <c r="L888" i="2"/>
  <c r="L844" i="2"/>
  <c r="L800" i="2"/>
  <c r="L756" i="2"/>
  <c r="L712" i="2"/>
  <c r="L668" i="2"/>
  <c r="L624" i="2"/>
  <c r="L580" i="2"/>
  <c r="L536" i="2"/>
  <c r="L492" i="2"/>
  <c r="L448" i="2"/>
  <c r="L404" i="2"/>
  <c r="L360" i="2"/>
  <c r="L316" i="2"/>
  <c r="L272" i="2"/>
  <c r="L228" i="2"/>
  <c r="N226" i="2" s="1"/>
  <c r="N227" i="2" s="1"/>
  <c r="L184" i="2"/>
  <c r="L96" i="2"/>
  <c r="L94" i="2"/>
  <c r="L316" i="4"/>
  <c r="L272" i="4"/>
  <c r="L228" i="4"/>
  <c r="L184" i="4"/>
  <c r="L140" i="4"/>
  <c r="L96" i="4"/>
  <c r="L52" i="4"/>
  <c r="G14" i="19" l="1"/>
  <c r="N6" i="19"/>
  <c r="O25" i="19" s="1"/>
  <c r="N50" i="4"/>
  <c r="N51" i="4" l="1"/>
  <c r="N52" i="4" s="1"/>
  <c r="N53" i="4" s="1"/>
  <c r="N54" i="4" s="1"/>
  <c r="N55" i="4" l="1"/>
  <c r="P50" i="4" s="1"/>
  <c r="P51" i="4" s="1"/>
  <c r="P52" i="4" s="1"/>
  <c r="P53" i="4" s="1"/>
  <c r="P54" i="4" s="1"/>
  <c r="P55" i="4" s="1"/>
  <c r="P106" i="2" l="1"/>
  <c r="O106" i="2"/>
  <c r="N106" i="2"/>
  <c r="M106" i="2"/>
  <c r="K106" i="2"/>
  <c r="P105" i="2"/>
  <c r="O105" i="2"/>
  <c r="N105" i="2"/>
  <c r="M105" i="2"/>
  <c r="K105" i="2"/>
  <c r="P104" i="2"/>
  <c r="O104" i="2"/>
  <c r="N104" i="2"/>
  <c r="M104" i="2"/>
  <c r="K104" i="2"/>
  <c r="P103" i="2"/>
  <c r="O103" i="2"/>
  <c r="N103" i="2"/>
  <c r="M103" i="2"/>
  <c r="K103" i="2"/>
  <c r="P102" i="2"/>
  <c r="O102" i="2"/>
  <c r="N102" i="2"/>
  <c r="M102" i="2"/>
  <c r="K102" i="2"/>
  <c r="P62" i="2"/>
  <c r="O62" i="2"/>
  <c r="N62" i="2"/>
  <c r="M62" i="2"/>
  <c r="K62" i="2"/>
  <c r="P61" i="2"/>
  <c r="O61" i="2"/>
  <c r="N61" i="2"/>
  <c r="M61" i="2"/>
  <c r="K61" i="2"/>
  <c r="P60" i="2"/>
  <c r="O60" i="2"/>
  <c r="N60" i="2"/>
  <c r="M60" i="2"/>
  <c r="K60" i="2"/>
  <c r="P59" i="2"/>
  <c r="O59" i="2"/>
  <c r="N59" i="2"/>
  <c r="M59" i="2"/>
  <c r="K59" i="2"/>
  <c r="P58" i="2"/>
  <c r="O58" i="2"/>
  <c r="N58" i="2"/>
  <c r="M58" i="2"/>
  <c r="K58" i="2"/>
  <c r="E107" i="2"/>
  <c r="E63" i="2"/>
  <c r="B107" i="2"/>
  <c r="B63" i="2"/>
  <c r="F105" i="2"/>
  <c r="E105" i="2"/>
  <c r="D105" i="2"/>
  <c r="F104" i="2"/>
  <c r="E104" i="2"/>
  <c r="D104" i="2"/>
  <c r="F103" i="2"/>
  <c r="E103" i="2"/>
  <c r="D103" i="2"/>
  <c r="E102" i="2"/>
  <c r="D102" i="2"/>
  <c r="F61" i="2"/>
  <c r="E61" i="2"/>
  <c r="D61" i="2"/>
  <c r="F60" i="2"/>
  <c r="E60" i="2"/>
  <c r="D60" i="2"/>
  <c r="F59" i="2"/>
  <c r="E59" i="2"/>
  <c r="E58" i="2"/>
  <c r="D58" i="2"/>
  <c r="H99" i="2"/>
  <c r="D99" i="2"/>
  <c r="D98" i="2"/>
  <c r="D97" i="2"/>
  <c r="D96" i="2"/>
  <c r="D54" i="2"/>
  <c r="F19" i="8" l="1"/>
  <c r="C19" i="8"/>
  <c r="F19" i="7"/>
  <c r="C19" i="7"/>
  <c r="I26" i="14" l="1"/>
  <c r="H12" i="14"/>
  <c r="H13" i="14"/>
  <c r="H14" i="14"/>
  <c r="H15" i="14"/>
  <c r="H16" i="14"/>
  <c r="H17" i="14"/>
  <c r="H18" i="14"/>
  <c r="H19" i="14"/>
  <c r="H20" i="14"/>
  <c r="H21" i="14"/>
  <c r="H22" i="14"/>
  <c r="H23" i="14"/>
  <c r="H24" i="14"/>
  <c r="H25" i="14"/>
  <c r="H11" i="14"/>
  <c r="B58" i="5"/>
  <c r="B102" i="5" s="1"/>
  <c r="B146" i="5" s="1"/>
  <c r="C63" i="5"/>
  <c r="B58" i="20"/>
  <c r="B102" i="20" s="1"/>
  <c r="B146" i="20" s="1"/>
  <c r="C151" i="13"/>
  <c r="D7" i="2"/>
  <c r="E19" i="2" l="1"/>
  <c r="F63" i="1"/>
  <c r="C63" i="1"/>
  <c r="F107" i="1" l="1"/>
  <c r="F107" i="2" s="1"/>
  <c r="F63" i="2"/>
  <c r="C107" i="1"/>
  <c r="C107" i="2" s="1"/>
  <c r="C63" i="2"/>
  <c r="N126" i="17"/>
  <c r="A114" i="17"/>
  <c r="A102" i="17" s="1"/>
  <c r="C113" i="17"/>
  <c r="N111" i="17"/>
  <c r="F111" i="17"/>
  <c r="C111" i="17"/>
  <c r="O97" i="17"/>
  <c r="O96" i="17"/>
  <c r="L96" i="17"/>
  <c r="N94" i="17" s="1"/>
  <c r="O95" i="17"/>
  <c r="O94" i="17"/>
  <c r="O93" i="17"/>
  <c r="N82" i="17"/>
  <c r="A70" i="17"/>
  <c r="A58" i="17" s="1"/>
  <c r="C69" i="17"/>
  <c r="N67" i="17"/>
  <c r="F67" i="17"/>
  <c r="C67" i="17"/>
  <c r="O53" i="17"/>
  <c r="O52" i="17"/>
  <c r="L52" i="17"/>
  <c r="G58" i="17" s="1"/>
  <c r="O51" i="17"/>
  <c r="O50" i="17"/>
  <c r="O49" i="17"/>
  <c r="N38" i="17"/>
  <c r="A26" i="17"/>
  <c r="A14" i="17" s="1"/>
  <c r="C25" i="17"/>
  <c r="N23" i="17"/>
  <c r="F23" i="17"/>
  <c r="C23" i="17"/>
  <c r="O11" i="17"/>
  <c r="O10" i="17"/>
  <c r="O9" i="17"/>
  <c r="O8" i="17"/>
  <c r="L8" i="17"/>
  <c r="N6" i="17" s="1"/>
  <c r="O7" i="17"/>
  <c r="O6" i="17"/>
  <c r="O5" i="17"/>
  <c r="P371" i="8"/>
  <c r="O371" i="8"/>
  <c r="N371" i="8"/>
  <c r="M371" i="8"/>
  <c r="B369" i="8"/>
  <c r="B368" i="8"/>
  <c r="B367" i="8"/>
  <c r="P365" i="8"/>
  <c r="O365" i="8"/>
  <c r="N365" i="8"/>
  <c r="L360" i="8"/>
  <c r="N358" i="8" s="1"/>
  <c r="K350" i="8"/>
  <c r="K349" i="8"/>
  <c r="L348" i="8"/>
  <c r="K348" i="8"/>
  <c r="A334" i="8"/>
  <c r="A322" i="8" s="1"/>
  <c r="M321" i="8" s="1"/>
  <c r="P327" i="8"/>
  <c r="O327" i="8"/>
  <c r="N327" i="8"/>
  <c r="M327" i="8"/>
  <c r="B325" i="8"/>
  <c r="B324" i="8"/>
  <c r="B323" i="8"/>
  <c r="P321" i="8"/>
  <c r="O321" i="8"/>
  <c r="N321" i="8"/>
  <c r="O319" i="8"/>
  <c r="O318" i="8"/>
  <c r="O317" i="8"/>
  <c r="O316" i="8"/>
  <c r="L316" i="8"/>
  <c r="N314" i="8" s="1"/>
  <c r="O315" i="8"/>
  <c r="O314" i="8"/>
  <c r="P283" i="8"/>
  <c r="O283" i="8"/>
  <c r="N283" i="8"/>
  <c r="M283" i="8"/>
  <c r="B281" i="8"/>
  <c r="B280" i="8"/>
  <c r="B279" i="8"/>
  <c r="P277" i="8"/>
  <c r="O277" i="8"/>
  <c r="N277" i="8"/>
  <c r="L272" i="8"/>
  <c r="N270" i="8" s="1"/>
  <c r="N271" i="8" s="1"/>
  <c r="K262" i="8"/>
  <c r="K261" i="8"/>
  <c r="L260" i="8"/>
  <c r="K260" i="8"/>
  <c r="A246" i="8"/>
  <c r="A234" i="8" s="1"/>
  <c r="M233" i="8" s="1"/>
  <c r="P239" i="8"/>
  <c r="O239" i="8"/>
  <c r="N239" i="8"/>
  <c r="M239" i="8"/>
  <c r="B237" i="8"/>
  <c r="B236" i="8"/>
  <c r="B235" i="8"/>
  <c r="P233" i="8"/>
  <c r="O233" i="8"/>
  <c r="N233" i="8"/>
  <c r="O229" i="8"/>
  <c r="O228" i="8"/>
  <c r="L228" i="8"/>
  <c r="N226" i="8" s="1"/>
  <c r="O227" i="8"/>
  <c r="O226" i="8"/>
  <c r="O225" i="8"/>
  <c r="P195" i="8"/>
  <c r="O195" i="8"/>
  <c r="N195" i="8"/>
  <c r="M195" i="8"/>
  <c r="B193" i="8"/>
  <c r="B192" i="8"/>
  <c r="B191" i="8"/>
  <c r="P189" i="8"/>
  <c r="O189" i="8"/>
  <c r="N189" i="8"/>
  <c r="L184" i="8"/>
  <c r="N182" i="8" s="1"/>
  <c r="P151" i="8"/>
  <c r="O151" i="8"/>
  <c r="N151" i="8"/>
  <c r="M151" i="8"/>
  <c r="B149" i="8"/>
  <c r="B148" i="8"/>
  <c r="B147" i="8"/>
  <c r="P145" i="8"/>
  <c r="O145" i="8"/>
  <c r="N145" i="8"/>
  <c r="L140" i="8"/>
  <c r="N138" i="8" s="1"/>
  <c r="N139" i="8" s="1"/>
  <c r="P107" i="8"/>
  <c r="O107" i="8"/>
  <c r="N107" i="8"/>
  <c r="M107" i="8"/>
  <c r="F107" i="8"/>
  <c r="C113" i="8" s="1"/>
  <c r="C107" i="8"/>
  <c r="C151" i="8" s="1"/>
  <c r="C195" i="8" s="1"/>
  <c r="C199" i="8" s="1"/>
  <c r="B105" i="8"/>
  <c r="B104" i="8"/>
  <c r="B103" i="8"/>
  <c r="P101" i="8"/>
  <c r="O101" i="8"/>
  <c r="N101" i="8"/>
  <c r="L96" i="8"/>
  <c r="N94" i="8" s="1"/>
  <c r="P63" i="8"/>
  <c r="O63" i="8"/>
  <c r="N63" i="8"/>
  <c r="M63" i="8"/>
  <c r="F63" i="8"/>
  <c r="C69" i="8" s="1"/>
  <c r="C63" i="8"/>
  <c r="C67" i="8" s="1"/>
  <c r="B61" i="8"/>
  <c r="B60" i="8"/>
  <c r="B59" i="8"/>
  <c r="P57" i="8"/>
  <c r="O57" i="8"/>
  <c r="N57" i="8"/>
  <c r="L52" i="8"/>
  <c r="N50" i="8" s="1"/>
  <c r="K42" i="8"/>
  <c r="K41" i="8"/>
  <c r="L40" i="8"/>
  <c r="L84" i="8" s="1"/>
  <c r="K40" i="8"/>
  <c r="K172" i="8" s="1"/>
  <c r="A26" i="8"/>
  <c r="C25" i="8"/>
  <c r="C23" i="8"/>
  <c r="P19" i="8"/>
  <c r="O19" i="8"/>
  <c r="N19" i="8"/>
  <c r="M19" i="8"/>
  <c r="B17" i="8"/>
  <c r="B16" i="8"/>
  <c r="B15" i="8"/>
  <c r="P13" i="8"/>
  <c r="O13" i="8"/>
  <c r="N13" i="8"/>
  <c r="O9" i="8"/>
  <c r="O8" i="8"/>
  <c r="O272" i="8" s="1"/>
  <c r="L8" i="8"/>
  <c r="N6" i="8" s="1"/>
  <c r="O7" i="8"/>
  <c r="O6" i="8"/>
  <c r="O50" i="8" s="1"/>
  <c r="O5" i="8"/>
  <c r="O49" i="8" s="1"/>
  <c r="P503" i="7"/>
  <c r="O503" i="7"/>
  <c r="N503" i="7"/>
  <c r="M503" i="7"/>
  <c r="B501" i="7"/>
  <c r="B500" i="7"/>
  <c r="B499" i="7"/>
  <c r="P497" i="7"/>
  <c r="O497" i="7"/>
  <c r="N497" i="7"/>
  <c r="L492" i="7"/>
  <c r="N490" i="7" s="1"/>
  <c r="K482" i="7"/>
  <c r="K481" i="7"/>
  <c r="L480" i="7"/>
  <c r="K480" i="7"/>
  <c r="A466" i="7"/>
  <c r="A454" i="7" s="1"/>
  <c r="M453" i="7" s="1"/>
  <c r="P459" i="7"/>
  <c r="O459" i="7"/>
  <c r="N459" i="7"/>
  <c r="M459" i="7"/>
  <c r="B457" i="7"/>
  <c r="B456" i="7"/>
  <c r="B455" i="7"/>
  <c r="P453" i="7"/>
  <c r="O453" i="7"/>
  <c r="N453" i="7"/>
  <c r="O451" i="7"/>
  <c r="O450" i="7"/>
  <c r="O449" i="7"/>
  <c r="O448" i="7"/>
  <c r="L448" i="7"/>
  <c r="N446" i="7" s="1"/>
  <c r="O447" i="7"/>
  <c r="O446" i="7"/>
  <c r="P415" i="7"/>
  <c r="O415" i="7"/>
  <c r="N415" i="7"/>
  <c r="M415" i="7"/>
  <c r="B413" i="7"/>
  <c r="B412" i="7"/>
  <c r="B411" i="7"/>
  <c r="P409" i="7"/>
  <c r="O409" i="7"/>
  <c r="N409" i="7"/>
  <c r="L404" i="7"/>
  <c r="K394" i="7"/>
  <c r="K393" i="7"/>
  <c r="L392" i="7"/>
  <c r="K392" i="7"/>
  <c r="A378" i="7"/>
  <c r="A366" i="7" s="1"/>
  <c r="M365" i="7" s="1"/>
  <c r="P371" i="7"/>
  <c r="O371" i="7"/>
  <c r="N371" i="7"/>
  <c r="M371" i="7"/>
  <c r="B369" i="7"/>
  <c r="B368" i="7"/>
  <c r="B367" i="7"/>
  <c r="P365" i="7"/>
  <c r="O365" i="7"/>
  <c r="N365" i="7"/>
  <c r="O361" i="7"/>
  <c r="O360" i="7"/>
  <c r="L360" i="7"/>
  <c r="N358" i="7" s="1"/>
  <c r="O359" i="7"/>
  <c r="O358" i="7"/>
  <c r="O357" i="7"/>
  <c r="K350" i="7"/>
  <c r="K349" i="7"/>
  <c r="L348" i="7"/>
  <c r="P327" i="7"/>
  <c r="O327" i="7"/>
  <c r="N327" i="7"/>
  <c r="M327" i="7"/>
  <c r="B325" i="7"/>
  <c r="B324" i="7"/>
  <c r="B323" i="7"/>
  <c r="P321" i="7"/>
  <c r="O321" i="7"/>
  <c r="N321" i="7"/>
  <c r="L316" i="7"/>
  <c r="P283" i="7"/>
  <c r="O283" i="7"/>
  <c r="N283" i="7"/>
  <c r="M283" i="7"/>
  <c r="B281" i="7"/>
  <c r="B280" i="7"/>
  <c r="B279" i="7"/>
  <c r="P277" i="7"/>
  <c r="O277" i="7"/>
  <c r="N277" i="7"/>
  <c r="L272" i="7"/>
  <c r="N270" i="7" s="1"/>
  <c r="K262" i="7"/>
  <c r="K261" i="7"/>
  <c r="L260" i="7"/>
  <c r="P239" i="7"/>
  <c r="O239" i="7"/>
  <c r="N239" i="7"/>
  <c r="M239" i="7"/>
  <c r="B237" i="7"/>
  <c r="B236" i="7"/>
  <c r="B235" i="7"/>
  <c r="P233" i="7"/>
  <c r="O233" i="7"/>
  <c r="N233" i="7"/>
  <c r="L228" i="7"/>
  <c r="P195" i="7"/>
  <c r="O195" i="7"/>
  <c r="N195" i="7"/>
  <c r="M195" i="7"/>
  <c r="B193" i="7"/>
  <c r="B192" i="7"/>
  <c r="B191" i="7"/>
  <c r="P189" i="7"/>
  <c r="O189" i="7"/>
  <c r="N189" i="7"/>
  <c r="L184" i="7"/>
  <c r="K174" i="7"/>
  <c r="K173" i="7"/>
  <c r="P151" i="7"/>
  <c r="O151" i="7"/>
  <c r="N151" i="7"/>
  <c r="M151" i="7"/>
  <c r="B149" i="7"/>
  <c r="B148" i="7"/>
  <c r="B147" i="7"/>
  <c r="P145" i="7"/>
  <c r="O145" i="7"/>
  <c r="N145" i="7"/>
  <c r="L140" i="7"/>
  <c r="N138" i="7" s="1"/>
  <c r="K130" i="7"/>
  <c r="P107" i="7"/>
  <c r="O107" i="7"/>
  <c r="N107" i="7"/>
  <c r="M107" i="7"/>
  <c r="B105" i="7"/>
  <c r="B104" i="7"/>
  <c r="B103" i="7"/>
  <c r="P101" i="7"/>
  <c r="O101" i="7"/>
  <c r="N101" i="7"/>
  <c r="L96" i="7"/>
  <c r="L130" i="7" s="1"/>
  <c r="O95" i="7"/>
  <c r="K86" i="7"/>
  <c r="K85" i="7"/>
  <c r="P63" i="7"/>
  <c r="O63" i="7"/>
  <c r="N63" i="7"/>
  <c r="M63" i="7"/>
  <c r="B61" i="7"/>
  <c r="B60" i="7"/>
  <c r="B59" i="7"/>
  <c r="P57" i="7"/>
  <c r="O57" i="7"/>
  <c r="N57" i="7"/>
  <c r="L52" i="7"/>
  <c r="K42" i="7"/>
  <c r="K526" i="7" s="1"/>
  <c r="L526" i="7" s="1"/>
  <c r="K41" i="7"/>
  <c r="K525" i="7" s="1"/>
  <c r="L40" i="7"/>
  <c r="L172" i="7" s="1"/>
  <c r="K40" i="7"/>
  <c r="K260" i="7" s="1"/>
  <c r="A26" i="7"/>
  <c r="A202" i="7" s="1"/>
  <c r="A190" i="7" s="1"/>
  <c r="P19" i="7"/>
  <c r="O19" i="7"/>
  <c r="N19" i="7"/>
  <c r="M19" i="7"/>
  <c r="F63" i="7"/>
  <c r="C69" i="7" s="1"/>
  <c r="C23" i="7"/>
  <c r="B17" i="7"/>
  <c r="B16" i="7"/>
  <c r="B15" i="7"/>
  <c r="P13" i="7"/>
  <c r="O13" i="7"/>
  <c r="N13" i="7"/>
  <c r="O9" i="7"/>
  <c r="O53" i="7" s="1"/>
  <c r="O8" i="7"/>
  <c r="O52" i="7" s="1"/>
  <c r="L8" i="7"/>
  <c r="N6" i="7" s="1"/>
  <c r="O7" i="7"/>
  <c r="O51" i="7" s="1"/>
  <c r="O6" i="7"/>
  <c r="O50" i="7" s="1"/>
  <c r="O5" i="7"/>
  <c r="O137" i="7" s="1"/>
  <c r="K306" i="6"/>
  <c r="P283" i="6"/>
  <c r="O283" i="6"/>
  <c r="N283" i="6"/>
  <c r="M283" i="6"/>
  <c r="B281" i="6"/>
  <c r="B280" i="6"/>
  <c r="B279" i="6"/>
  <c r="P277" i="6"/>
  <c r="O277" i="6"/>
  <c r="N277" i="6"/>
  <c r="O273" i="6"/>
  <c r="L272" i="6"/>
  <c r="O270" i="6"/>
  <c r="K262" i="6"/>
  <c r="K261" i="6"/>
  <c r="L260" i="6"/>
  <c r="K260" i="6"/>
  <c r="A246" i="6"/>
  <c r="A234" i="6" s="1"/>
  <c r="M233" i="6" s="1"/>
  <c r="P239" i="6"/>
  <c r="O239" i="6"/>
  <c r="N239" i="6"/>
  <c r="M239" i="6"/>
  <c r="B237" i="6"/>
  <c r="B236" i="6"/>
  <c r="B235" i="6"/>
  <c r="P233" i="6"/>
  <c r="O233" i="6"/>
  <c r="N233" i="6"/>
  <c r="O229" i="6"/>
  <c r="O228" i="6"/>
  <c r="L228" i="6"/>
  <c r="N226" i="6" s="1"/>
  <c r="O227" i="6"/>
  <c r="O226" i="6"/>
  <c r="P195" i="6"/>
  <c r="O195" i="6"/>
  <c r="N195" i="6"/>
  <c r="M195" i="6"/>
  <c r="B193" i="6"/>
  <c r="B192" i="6"/>
  <c r="B191" i="6"/>
  <c r="P189" i="6"/>
  <c r="O189" i="6"/>
  <c r="N189" i="6"/>
  <c r="L184" i="6"/>
  <c r="N182" i="6" s="1"/>
  <c r="K174" i="6"/>
  <c r="K173" i="6"/>
  <c r="L172" i="6"/>
  <c r="K172" i="6"/>
  <c r="A158" i="6"/>
  <c r="A146" i="6" s="1"/>
  <c r="M145" i="6" s="1"/>
  <c r="P151" i="6"/>
  <c r="O151" i="6"/>
  <c r="N151" i="6"/>
  <c r="M151" i="6"/>
  <c r="B149" i="6"/>
  <c r="B148" i="6"/>
  <c r="B147" i="6"/>
  <c r="P145" i="6"/>
  <c r="O145" i="6"/>
  <c r="N145" i="6"/>
  <c r="O141" i="6"/>
  <c r="O140" i="6"/>
  <c r="L140" i="6"/>
  <c r="N138" i="6" s="1"/>
  <c r="O139" i="6"/>
  <c r="O138" i="6"/>
  <c r="O137" i="6"/>
  <c r="P107" i="6"/>
  <c r="O107" i="6"/>
  <c r="N107" i="6"/>
  <c r="M107" i="6"/>
  <c r="F107" i="6"/>
  <c r="C113" i="6" s="1"/>
  <c r="B105" i="6"/>
  <c r="B104" i="6"/>
  <c r="B103" i="6"/>
  <c r="P101" i="6"/>
  <c r="O101" i="6"/>
  <c r="N101" i="6"/>
  <c r="L96" i="6"/>
  <c r="K86" i="6"/>
  <c r="P63" i="6"/>
  <c r="O63" i="6"/>
  <c r="N63" i="6"/>
  <c r="M63" i="6"/>
  <c r="F63" i="6"/>
  <c r="C69" i="6" s="1"/>
  <c r="C63" i="6"/>
  <c r="C107" i="6" s="1"/>
  <c r="C111" i="6" s="1"/>
  <c r="B61" i="6"/>
  <c r="B60" i="6"/>
  <c r="B59" i="6"/>
  <c r="P57" i="6"/>
  <c r="O57" i="6"/>
  <c r="N57" i="6"/>
  <c r="O53" i="6"/>
  <c r="L52" i="6"/>
  <c r="K42" i="6"/>
  <c r="K218" i="6" s="1"/>
  <c r="K41" i="6"/>
  <c r="K129" i="6" s="1"/>
  <c r="L40" i="6"/>
  <c r="L128" i="6" s="1"/>
  <c r="K40" i="6"/>
  <c r="K216" i="6" s="1"/>
  <c r="A26" i="6"/>
  <c r="P19" i="6"/>
  <c r="O19" i="6"/>
  <c r="N19" i="6"/>
  <c r="M19" i="6"/>
  <c r="C25" i="6"/>
  <c r="C23" i="6"/>
  <c r="B17" i="6"/>
  <c r="B16" i="6"/>
  <c r="B15" i="6"/>
  <c r="P13" i="6"/>
  <c r="O13" i="6"/>
  <c r="N13" i="6"/>
  <c r="O11" i="6"/>
  <c r="O10" i="6"/>
  <c r="O9" i="6"/>
  <c r="O185" i="6" s="1"/>
  <c r="O8" i="6"/>
  <c r="O272" i="6" s="1"/>
  <c r="L8" i="6"/>
  <c r="N6" i="6" s="1"/>
  <c r="O7" i="6"/>
  <c r="O95" i="6" s="1"/>
  <c r="O6" i="6"/>
  <c r="O182" i="6" s="1"/>
  <c r="O5" i="6"/>
  <c r="O269" i="6" s="1"/>
  <c r="K130" i="6" l="1"/>
  <c r="K438" i="7"/>
  <c r="L218" i="7"/>
  <c r="K218" i="7"/>
  <c r="K306" i="7"/>
  <c r="L306" i="7" s="1"/>
  <c r="L262" i="7"/>
  <c r="L350" i="7"/>
  <c r="L130" i="6"/>
  <c r="L86" i="7"/>
  <c r="L306" i="6"/>
  <c r="K217" i="6"/>
  <c r="K437" i="7"/>
  <c r="L437" i="7"/>
  <c r="K129" i="7"/>
  <c r="K217" i="7"/>
  <c r="K305" i="7"/>
  <c r="L305" i="7" s="1"/>
  <c r="K85" i="6"/>
  <c r="L85" i="6" s="1"/>
  <c r="K305" i="6"/>
  <c r="L305" i="6" s="1"/>
  <c r="K348" i="7"/>
  <c r="K304" i="6"/>
  <c r="K84" i="6"/>
  <c r="L216" i="6"/>
  <c r="L84" i="6"/>
  <c r="L216" i="7"/>
  <c r="L436" i="7"/>
  <c r="L304" i="7"/>
  <c r="L128" i="7"/>
  <c r="L524" i="7"/>
  <c r="L84" i="7"/>
  <c r="L304" i="6"/>
  <c r="K436" i="7"/>
  <c r="K84" i="7"/>
  <c r="K128" i="6"/>
  <c r="K128" i="7"/>
  <c r="K524" i="7"/>
  <c r="K172" i="7"/>
  <c r="K304" i="7"/>
  <c r="K216" i="7"/>
  <c r="A202" i="6"/>
  <c r="A190" i="6" s="1"/>
  <c r="M189" i="6" s="1"/>
  <c r="A14" i="6"/>
  <c r="M13" i="6" s="1"/>
  <c r="A246" i="7"/>
  <c r="A234" i="7" s="1"/>
  <c r="M233" i="7" s="1"/>
  <c r="A14" i="7"/>
  <c r="M13" i="7" s="1"/>
  <c r="A202" i="8"/>
  <c r="A190" i="8" s="1"/>
  <c r="M189" i="8" s="1"/>
  <c r="A14" i="8"/>
  <c r="M13" i="8" s="1"/>
  <c r="A158" i="7"/>
  <c r="A146" i="7" s="1"/>
  <c r="M145" i="7" s="1"/>
  <c r="A114" i="6"/>
  <c r="A102" i="6" s="1"/>
  <c r="M101" i="6" s="1"/>
  <c r="A70" i="6"/>
  <c r="A58" i="6" s="1"/>
  <c r="M57" i="6" s="1"/>
  <c r="O489" i="7"/>
  <c r="O225" i="7"/>
  <c r="O181" i="7"/>
  <c r="O313" i="7"/>
  <c r="O445" i="7"/>
  <c r="O93" i="7"/>
  <c r="O49" i="7"/>
  <c r="A114" i="7"/>
  <c r="A102" i="7" s="1"/>
  <c r="M101" i="7" s="1"/>
  <c r="O269" i="7"/>
  <c r="O401" i="7"/>
  <c r="A422" i="7"/>
  <c r="A410" i="7" s="1"/>
  <c r="M409" i="7" s="1"/>
  <c r="A290" i="6"/>
  <c r="A278" i="6" s="1"/>
  <c r="M277" i="6" s="1"/>
  <c r="A510" i="7"/>
  <c r="A498" i="7" s="1"/>
  <c r="M497" i="7" s="1"/>
  <c r="A70" i="7"/>
  <c r="A58" i="7" s="1"/>
  <c r="M57" i="7" s="1"/>
  <c r="A290" i="7"/>
  <c r="A278" i="7" s="1"/>
  <c r="M277" i="7" s="1"/>
  <c r="A334" i="7"/>
  <c r="A322" i="7" s="1"/>
  <c r="M321" i="7" s="1"/>
  <c r="O494" i="7"/>
  <c r="O97" i="6"/>
  <c r="O141" i="7"/>
  <c r="O273" i="7"/>
  <c r="O317" i="7"/>
  <c r="O493" i="7"/>
  <c r="O492" i="7"/>
  <c r="O140" i="7"/>
  <c r="O96" i="7"/>
  <c r="O52" i="6"/>
  <c r="O96" i="6"/>
  <c r="O316" i="7"/>
  <c r="O272" i="7"/>
  <c r="O315" i="7"/>
  <c r="O491" i="7"/>
  <c r="O183" i="6"/>
  <c r="O94" i="6"/>
  <c r="O49" i="6"/>
  <c r="O93" i="6"/>
  <c r="O181" i="6"/>
  <c r="O225" i="6"/>
  <c r="M189" i="7"/>
  <c r="L42" i="6"/>
  <c r="L174" i="7"/>
  <c r="L41" i="8"/>
  <c r="G105" i="17"/>
  <c r="G102" i="17"/>
  <c r="G103" i="17"/>
  <c r="G104" i="17"/>
  <c r="N50" i="17"/>
  <c r="G60" i="17"/>
  <c r="G59" i="17"/>
  <c r="G61" i="17"/>
  <c r="L349" i="8"/>
  <c r="L350" i="8"/>
  <c r="L261" i="8"/>
  <c r="L262" i="8"/>
  <c r="L42" i="8"/>
  <c r="N491" i="7"/>
  <c r="L525" i="7"/>
  <c r="L481" i="7"/>
  <c r="L482" i="7"/>
  <c r="N402" i="7"/>
  <c r="L438" i="7"/>
  <c r="L393" i="7"/>
  <c r="L394" i="7"/>
  <c r="N314" i="7"/>
  <c r="L349" i="7"/>
  <c r="N271" i="7"/>
  <c r="N226" i="7"/>
  <c r="N227" i="7" s="1"/>
  <c r="L261" i="7"/>
  <c r="N182" i="7"/>
  <c r="L217" i="7"/>
  <c r="L173" i="7"/>
  <c r="L261" i="6"/>
  <c r="L262" i="6"/>
  <c r="L41" i="6"/>
  <c r="N94" i="7"/>
  <c r="N95" i="7" s="1"/>
  <c r="L129" i="7"/>
  <c r="L85" i="7"/>
  <c r="N50" i="7"/>
  <c r="F107" i="7"/>
  <c r="L41" i="7"/>
  <c r="N270" i="6"/>
  <c r="N271" i="6" s="1"/>
  <c r="N272" i="6" s="1"/>
  <c r="L217" i="6"/>
  <c r="L218" i="6"/>
  <c r="N139" i="6"/>
  <c r="L173" i="6"/>
  <c r="L174" i="6"/>
  <c r="N94" i="6"/>
  <c r="L129" i="6"/>
  <c r="N50" i="6"/>
  <c r="L86" i="6"/>
  <c r="F151" i="6"/>
  <c r="F195" i="6" s="1"/>
  <c r="C151" i="6"/>
  <c r="C195" i="6" s="1"/>
  <c r="C239" i="6" s="1"/>
  <c r="O495" i="7"/>
  <c r="O97" i="7"/>
  <c r="O229" i="7"/>
  <c r="O405" i="7"/>
  <c r="O185" i="7"/>
  <c r="O184" i="6"/>
  <c r="O228" i="7"/>
  <c r="O184" i="7"/>
  <c r="O404" i="7"/>
  <c r="O51" i="6"/>
  <c r="O271" i="7"/>
  <c r="O227" i="7"/>
  <c r="O183" i="7"/>
  <c r="O271" i="6"/>
  <c r="O403" i="7"/>
  <c r="O139" i="7"/>
  <c r="O314" i="7"/>
  <c r="O270" i="7"/>
  <c r="O226" i="7"/>
  <c r="O182" i="7"/>
  <c r="O402" i="7"/>
  <c r="O50" i="6"/>
  <c r="O94" i="7"/>
  <c r="O138" i="7"/>
  <c r="O138" i="8"/>
  <c r="O490" i="7"/>
  <c r="N95" i="17"/>
  <c r="N7" i="17"/>
  <c r="G14" i="17"/>
  <c r="G15" i="17"/>
  <c r="G16" i="17"/>
  <c r="G17" i="17"/>
  <c r="A70" i="8"/>
  <c r="A58" i="8" s="1"/>
  <c r="M57" i="8" s="1"/>
  <c r="O93" i="8"/>
  <c r="C239" i="8"/>
  <c r="C283" i="8" s="1"/>
  <c r="K173" i="8"/>
  <c r="L173" i="8" s="1"/>
  <c r="N359" i="8"/>
  <c r="C111" i="8"/>
  <c r="L172" i="8"/>
  <c r="K84" i="8"/>
  <c r="K85" i="8"/>
  <c r="L85" i="8" s="1"/>
  <c r="O96" i="8"/>
  <c r="F151" i="8"/>
  <c r="F195" i="8" s="1"/>
  <c r="N272" i="8"/>
  <c r="N183" i="8"/>
  <c r="O361" i="8"/>
  <c r="O273" i="8"/>
  <c r="O141" i="8"/>
  <c r="O53" i="8"/>
  <c r="O97" i="8"/>
  <c r="O185" i="8"/>
  <c r="O183" i="8"/>
  <c r="O139" i="8"/>
  <c r="O359" i="8"/>
  <c r="O51" i="8"/>
  <c r="O95" i="8"/>
  <c r="N95" i="8"/>
  <c r="N7" i="8"/>
  <c r="O271" i="8"/>
  <c r="K218" i="8"/>
  <c r="L218" i="8" s="1"/>
  <c r="K86" i="8"/>
  <c r="L86" i="8" s="1"/>
  <c r="K394" i="8"/>
  <c r="L394" i="8" s="1"/>
  <c r="K306" i="8"/>
  <c r="L306" i="8" s="1"/>
  <c r="O184" i="8"/>
  <c r="O360" i="8"/>
  <c r="O362" i="8"/>
  <c r="N140" i="8"/>
  <c r="O140" i="8"/>
  <c r="A114" i="8"/>
  <c r="A102" i="8" s="1"/>
  <c r="M101" i="8" s="1"/>
  <c r="C155" i="8"/>
  <c r="O363" i="8"/>
  <c r="K304" i="8"/>
  <c r="A290" i="8"/>
  <c r="A278" i="8" s="1"/>
  <c r="M277" i="8" s="1"/>
  <c r="A378" i="8"/>
  <c r="A366" i="8" s="1"/>
  <c r="M365" i="8" s="1"/>
  <c r="K305" i="8"/>
  <c r="L305" i="8" s="1"/>
  <c r="N51" i="8"/>
  <c r="K174" i="8"/>
  <c r="L174" i="8" s="1"/>
  <c r="N227" i="8"/>
  <c r="A158" i="8"/>
  <c r="A146" i="8" s="1"/>
  <c r="M145" i="8" s="1"/>
  <c r="L128" i="8"/>
  <c r="O52" i="8"/>
  <c r="K129" i="8"/>
  <c r="L129" i="8" s="1"/>
  <c r="N315" i="8"/>
  <c r="O137" i="8"/>
  <c r="O313" i="8"/>
  <c r="O357" i="8"/>
  <c r="K216" i="8"/>
  <c r="K392" i="8"/>
  <c r="K128" i="8"/>
  <c r="L216" i="8"/>
  <c r="L392" i="8"/>
  <c r="L304" i="8"/>
  <c r="O269" i="8"/>
  <c r="O182" i="8"/>
  <c r="O358" i="8"/>
  <c r="O94" i="8"/>
  <c r="K130" i="8"/>
  <c r="L130" i="8" s="1"/>
  <c r="O270" i="8"/>
  <c r="K217" i="8"/>
  <c r="L217" i="8" s="1"/>
  <c r="K393" i="8"/>
  <c r="L393" i="8" s="1"/>
  <c r="O181" i="8"/>
  <c r="N447" i="7"/>
  <c r="N359" i="7"/>
  <c r="N315" i="7"/>
  <c r="N139" i="7"/>
  <c r="C67" i="6"/>
  <c r="N7" i="7"/>
  <c r="L42" i="7"/>
  <c r="C25" i="7"/>
  <c r="C63" i="7"/>
  <c r="C107" i="7" s="1"/>
  <c r="N227" i="6"/>
  <c r="N183" i="6"/>
  <c r="N7" i="6"/>
  <c r="N492" i="7" l="1"/>
  <c r="N51" i="17"/>
  <c r="N403" i="7"/>
  <c r="N272" i="7"/>
  <c r="C157" i="6"/>
  <c r="N183" i="7"/>
  <c r="N51" i="7"/>
  <c r="C113" i="7"/>
  <c r="F151" i="7"/>
  <c r="C111" i="7"/>
  <c r="C151" i="7"/>
  <c r="N140" i="6"/>
  <c r="N95" i="6"/>
  <c r="N51" i="6"/>
  <c r="C201" i="6"/>
  <c r="F239" i="6"/>
  <c r="C155" i="6"/>
  <c r="C283" i="6"/>
  <c r="C287" i="6" s="1"/>
  <c r="C243" i="6"/>
  <c r="C199" i="6"/>
  <c r="N8" i="17"/>
  <c r="N96" i="17"/>
  <c r="C287" i="8"/>
  <c r="C327" i="8"/>
  <c r="C243" i="8"/>
  <c r="C201" i="8"/>
  <c r="F239" i="8"/>
  <c r="N360" i="8"/>
  <c r="C157" i="8"/>
  <c r="N141" i="8"/>
  <c r="N184" i="8"/>
  <c r="N228" i="8"/>
  <c r="N96" i="8"/>
  <c r="N8" i="8"/>
  <c r="N52" i="8"/>
  <c r="N273" i="8"/>
  <c r="N316" i="8"/>
  <c r="N360" i="7"/>
  <c r="N493" i="7"/>
  <c r="N448" i="7"/>
  <c r="N316" i="7"/>
  <c r="N273" i="7"/>
  <c r="N228" i="7"/>
  <c r="N184" i="7"/>
  <c r="N140" i="7"/>
  <c r="N96" i="7"/>
  <c r="C67" i="7"/>
  <c r="N8" i="7"/>
  <c r="N273" i="6"/>
  <c r="N274" i="6" s="1"/>
  <c r="N275" i="6" s="1"/>
  <c r="N228" i="6"/>
  <c r="N184" i="6"/>
  <c r="N8" i="6"/>
  <c r="P1515" i="2"/>
  <c r="O1515" i="2"/>
  <c r="N1515" i="2"/>
  <c r="M1515" i="2"/>
  <c r="B1513" i="2"/>
  <c r="B1512" i="2"/>
  <c r="B1511" i="2"/>
  <c r="P1509" i="2"/>
  <c r="O1509" i="2"/>
  <c r="N1509" i="2"/>
  <c r="L1538" i="2"/>
  <c r="P1471" i="2"/>
  <c r="O1471" i="2"/>
  <c r="N1471" i="2"/>
  <c r="M1471" i="2"/>
  <c r="B1469" i="2"/>
  <c r="B1468" i="2"/>
  <c r="B1467" i="2"/>
  <c r="P1465" i="2"/>
  <c r="O1465" i="2"/>
  <c r="N1465" i="2"/>
  <c r="L1494" i="2"/>
  <c r="P1427" i="2"/>
  <c r="O1427" i="2"/>
  <c r="N1427" i="2"/>
  <c r="M1427" i="2"/>
  <c r="B1425" i="2"/>
  <c r="B1424" i="2"/>
  <c r="B1423" i="2"/>
  <c r="P1421" i="2"/>
  <c r="O1421" i="2"/>
  <c r="N1421" i="2"/>
  <c r="L1450" i="2"/>
  <c r="P1383" i="2"/>
  <c r="O1383" i="2"/>
  <c r="N1383" i="2"/>
  <c r="M1383" i="2"/>
  <c r="B1381" i="2"/>
  <c r="B1380" i="2"/>
  <c r="B1379" i="2"/>
  <c r="P1377" i="2"/>
  <c r="O1377" i="2"/>
  <c r="N1377" i="2"/>
  <c r="L1406" i="2"/>
  <c r="L128" i="21"/>
  <c r="K128" i="21"/>
  <c r="P107" i="21"/>
  <c r="O107" i="21"/>
  <c r="N107" i="21"/>
  <c r="M107" i="21"/>
  <c r="F107" i="21"/>
  <c r="C113" i="21" s="1"/>
  <c r="C107" i="21"/>
  <c r="C111" i="21" s="1"/>
  <c r="B105" i="21"/>
  <c r="B104" i="21"/>
  <c r="B103" i="21"/>
  <c r="P101" i="21"/>
  <c r="O101" i="21"/>
  <c r="N101" i="21"/>
  <c r="N94" i="21"/>
  <c r="L84" i="21"/>
  <c r="K84" i="21"/>
  <c r="C25" i="21"/>
  <c r="C23" i="21"/>
  <c r="P63" i="21"/>
  <c r="O63" i="21"/>
  <c r="N63" i="21"/>
  <c r="M63" i="21"/>
  <c r="B61" i="21"/>
  <c r="B60" i="21"/>
  <c r="B59" i="21"/>
  <c r="P57" i="21"/>
  <c r="O57" i="21"/>
  <c r="N57" i="21"/>
  <c r="N50" i="21"/>
  <c r="K42" i="21"/>
  <c r="K86" i="21" s="1"/>
  <c r="K41" i="21"/>
  <c r="K85" i="21" s="1"/>
  <c r="L40" i="21"/>
  <c r="K40" i="21"/>
  <c r="A26" i="21"/>
  <c r="A14" i="21" s="1"/>
  <c r="M13" i="21" s="1"/>
  <c r="P19" i="21"/>
  <c r="O19" i="21"/>
  <c r="N19" i="21"/>
  <c r="M19" i="21"/>
  <c r="F63" i="21"/>
  <c r="C69" i="21" s="1"/>
  <c r="C63" i="21"/>
  <c r="C67" i="21" s="1"/>
  <c r="B17" i="21"/>
  <c r="B16" i="21"/>
  <c r="B15" i="21"/>
  <c r="P13" i="21"/>
  <c r="O13" i="21"/>
  <c r="N13" i="21"/>
  <c r="O10" i="21"/>
  <c r="O98" i="21" s="1"/>
  <c r="O9" i="21"/>
  <c r="O53" i="21" s="1"/>
  <c r="O8" i="21"/>
  <c r="O52" i="21" s="1"/>
  <c r="N6" i="21"/>
  <c r="O7" i="21"/>
  <c r="O51" i="21" s="1"/>
  <c r="O6" i="21"/>
  <c r="O50" i="21" s="1"/>
  <c r="O5" i="21"/>
  <c r="O49" i="21" s="1"/>
  <c r="N126" i="15"/>
  <c r="A114" i="15"/>
  <c r="A102" i="15" s="1"/>
  <c r="C113" i="15"/>
  <c r="N111" i="15"/>
  <c r="F111" i="15"/>
  <c r="C111" i="15"/>
  <c r="O98" i="15"/>
  <c r="O97" i="15"/>
  <c r="O96" i="15"/>
  <c r="N94" i="15"/>
  <c r="O95" i="15"/>
  <c r="O94" i="15"/>
  <c r="O93" i="15"/>
  <c r="N82" i="15"/>
  <c r="A70" i="15"/>
  <c r="A58" i="15" s="1"/>
  <c r="C69" i="15"/>
  <c r="N67" i="15"/>
  <c r="F67" i="15"/>
  <c r="C67" i="15"/>
  <c r="O54" i="15"/>
  <c r="O53" i="15"/>
  <c r="O52" i="15"/>
  <c r="G59" i="15"/>
  <c r="O51" i="15"/>
  <c r="O50" i="15"/>
  <c r="O49" i="15"/>
  <c r="C25" i="15"/>
  <c r="C23" i="15"/>
  <c r="N23" i="15"/>
  <c r="O10" i="15"/>
  <c r="O9" i="15"/>
  <c r="O8" i="15"/>
  <c r="O7" i="15"/>
  <c r="O6" i="15"/>
  <c r="F23" i="15"/>
  <c r="A114" i="21" l="1"/>
  <c r="A102" i="21" s="1"/>
  <c r="A70" i="21"/>
  <c r="A58" i="21" s="1"/>
  <c r="M57" i="21" s="1"/>
  <c r="K130" i="21"/>
  <c r="K129" i="21"/>
  <c r="O54" i="21"/>
  <c r="O93" i="21"/>
  <c r="M101" i="21"/>
  <c r="N7" i="21"/>
  <c r="N8" i="21" s="1"/>
  <c r="N52" i="17"/>
  <c r="N53" i="17" s="1"/>
  <c r="N361" i="8"/>
  <c r="N404" i="7"/>
  <c r="N52" i="7"/>
  <c r="C157" i="7"/>
  <c r="F195" i="7"/>
  <c r="C155" i="7"/>
  <c r="C195" i="7"/>
  <c r="N141" i="6"/>
  <c r="N96" i="6"/>
  <c r="N52" i="6"/>
  <c r="F283" i="6"/>
  <c r="C289" i="6" s="1"/>
  <c r="C245" i="6"/>
  <c r="L129" i="21"/>
  <c r="L130" i="21"/>
  <c r="N51" i="21"/>
  <c r="N52" i="21" s="1"/>
  <c r="L86" i="21"/>
  <c r="L85" i="21"/>
  <c r="L1537" i="2"/>
  <c r="N1502" i="2"/>
  <c r="N1458" i="2"/>
  <c r="L1493" i="2"/>
  <c r="N1414" i="2"/>
  <c r="L1449" i="2"/>
  <c r="N1370" i="2"/>
  <c r="L1405" i="2"/>
  <c r="O97" i="21"/>
  <c r="O96" i="21"/>
  <c r="O95" i="21"/>
  <c r="O94" i="21"/>
  <c r="N97" i="17"/>
  <c r="N9" i="17"/>
  <c r="F283" i="8"/>
  <c r="C245" i="8"/>
  <c r="C331" i="8"/>
  <c r="C371" i="8"/>
  <c r="C375" i="8" s="1"/>
  <c r="N229" i="8"/>
  <c r="N185" i="8"/>
  <c r="N97" i="8"/>
  <c r="N53" i="8"/>
  <c r="N9" i="8"/>
  <c r="N317" i="8"/>
  <c r="N405" i="7"/>
  <c r="N449" i="7"/>
  <c r="N494" i="7"/>
  <c r="N361" i="7"/>
  <c r="N317" i="7"/>
  <c r="N229" i="7"/>
  <c r="N185" i="7"/>
  <c r="N141" i="7"/>
  <c r="N97" i="7"/>
  <c r="N9" i="7"/>
  <c r="N229" i="6"/>
  <c r="N185" i="6"/>
  <c r="N9" i="6"/>
  <c r="N95" i="21"/>
  <c r="L41" i="21"/>
  <c r="L42" i="21"/>
  <c r="G102" i="15"/>
  <c r="G103" i="15"/>
  <c r="G104" i="15"/>
  <c r="G105" i="15"/>
  <c r="G60" i="15"/>
  <c r="G61" i="15"/>
  <c r="N50" i="15"/>
  <c r="G58" i="15"/>
  <c r="N95" i="15"/>
  <c r="A26" i="15"/>
  <c r="A14" i="15" s="1"/>
  <c r="O5" i="15"/>
  <c r="G14" i="15"/>
  <c r="F3" i="23"/>
  <c r="B3" i="23"/>
  <c r="D2" i="15" l="1"/>
  <c r="B2" i="23"/>
  <c r="D1" i="15"/>
  <c r="B1" i="23"/>
  <c r="N51" i="15"/>
  <c r="N52" i="15" s="1"/>
  <c r="N1503" i="2"/>
  <c r="N1459" i="2"/>
  <c r="N1415" i="2"/>
  <c r="N3" i="15"/>
  <c r="N47" i="15" s="1"/>
  <c r="G17" i="1"/>
  <c r="H17" i="1" s="1"/>
  <c r="G16" i="1"/>
  <c r="H16" i="1" s="1"/>
  <c r="G14" i="1"/>
  <c r="H14" i="1" s="1"/>
  <c r="G15" i="1"/>
  <c r="H15" i="1" s="1"/>
  <c r="N362" i="8"/>
  <c r="N53" i="7"/>
  <c r="C201" i="7"/>
  <c r="F239" i="7"/>
  <c r="C199" i="7"/>
  <c r="C239" i="7"/>
  <c r="N97" i="6"/>
  <c r="N53" i="6"/>
  <c r="N1371" i="2"/>
  <c r="N1372" i="2" s="1"/>
  <c r="D45" i="15"/>
  <c r="D89" i="15"/>
  <c r="D46" i="15"/>
  <c r="D90" i="15"/>
  <c r="D3" i="6"/>
  <c r="D3" i="7"/>
  <c r="D3" i="17"/>
  <c r="D3" i="8"/>
  <c r="D3" i="21"/>
  <c r="D1" i="17"/>
  <c r="D1" i="6"/>
  <c r="D1" i="7"/>
  <c r="D1" i="8"/>
  <c r="D1" i="21"/>
  <c r="D2" i="6"/>
  <c r="D2" i="7"/>
  <c r="D2" i="8"/>
  <c r="D2" i="17"/>
  <c r="D2" i="21"/>
  <c r="D3" i="15"/>
  <c r="N3" i="7"/>
  <c r="N3" i="6"/>
  <c r="N3" i="8"/>
  <c r="N3" i="17"/>
  <c r="N3" i="21"/>
  <c r="N10" i="17"/>
  <c r="F327" i="8"/>
  <c r="C289" i="8"/>
  <c r="N318" i="8"/>
  <c r="N363" i="8"/>
  <c r="N450" i="7"/>
  <c r="N495" i="7"/>
  <c r="N10" i="6"/>
  <c r="N1504" i="2"/>
  <c r="N1460" i="2"/>
  <c r="N1416" i="2"/>
  <c r="N96" i="21"/>
  <c r="N9" i="21"/>
  <c r="N53" i="21"/>
  <c r="N96" i="15"/>
  <c r="N53" i="15"/>
  <c r="G17" i="15"/>
  <c r="G15" i="15"/>
  <c r="G16" i="15"/>
  <c r="N6" i="15"/>
  <c r="I3" i="14"/>
  <c r="B3" i="14"/>
  <c r="A154" i="19"/>
  <c r="O139" i="19"/>
  <c r="O138" i="19"/>
  <c r="O137" i="19"/>
  <c r="O136" i="19"/>
  <c r="O135" i="19"/>
  <c r="O134" i="19"/>
  <c r="A111" i="19"/>
  <c r="O96" i="19"/>
  <c r="O95" i="19"/>
  <c r="O94" i="19"/>
  <c r="O93" i="19"/>
  <c r="O92" i="19"/>
  <c r="O91" i="19"/>
  <c r="A68" i="19"/>
  <c r="O53" i="19"/>
  <c r="O52" i="19"/>
  <c r="O51" i="19"/>
  <c r="N49" i="19"/>
  <c r="O50" i="19"/>
  <c r="O49" i="19"/>
  <c r="O48" i="19"/>
  <c r="O5" i="19"/>
  <c r="O5" i="13"/>
  <c r="O137" i="13" s="1"/>
  <c r="A25" i="19"/>
  <c r="O11" i="19"/>
  <c r="O10" i="19"/>
  <c r="O9" i="19"/>
  <c r="O8" i="19"/>
  <c r="O7" i="19"/>
  <c r="O6" i="19"/>
  <c r="N91" i="15" l="1"/>
  <c r="N7" i="19"/>
  <c r="G17" i="8"/>
  <c r="H17" i="8" s="1"/>
  <c r="G16" i="8"/>
  <c r="H16" i="8" s="1"/>
  <c r="G15" i="8"/>
  <c r="H15" i="8" s="1"/>
  <c r="G14" i="8"/>
  <c r="H14" i="8" s="1"/>
  <c r="F23" i="8" s="1"/>
  <c r="G14" i="6"/>
  <c r="H14" i="6" s="1"/>
  <c r="F23" i="6" s="1"/>
  <c r="G15" i="6"/>
  <c r="H15" i="6" s="1"/>
  <c r="G16" i="6"/>
  <c r="H16" i="6" s="1"/>
  <c r="G17" i="6"/>
  <c r="H17" i="6" s="1"/>
  <c r="G14" i="7"/>
  <c r="H14" i="7" s="1"/>
  <c r="F23" i="7" s="1"/>
  <c r="G17" i="7"/>
  <c r="H17" i="7" s="1"/>
  <c r="G16" i="7"/>
  <c r="H16" i="7" s="1"/>
  <c r="G15" i="7"/>
  <c r="H15" i="7" s="1"/>
  <c r="G17" i="21"/>
  <c r="H17" i="21" s="1"/>
  <c r="G14" i="21"/>
  <c r="H14" i="21" s="1"/>
  <c r="F23" i="21" s="1"/>
  <c r="G16" i="21"/>
  <c r="H16" i="21" s="1"/>
  <c r="G15" i="21"/>
  <c r="H15" i="21" s="1"/>
  <c r="C245" i="7"/>
  <c r="F283" i="7"/>
  <c r="C243" i="7"/>
  <c r="C283" i="7"/>
  <c r="N91" i="21"/>
  <c r="N47" i="21"/>
  <c r="F13" i="21"/>
  <c r="K13" i="21"/>
  <c r="N91" i="17"/>
  <c r="N47" i="17"/>
  <c r="N47" i="8"/>
  <c r="K13" i="8"/>
  <c r="N135" i="8"/>
  <c r="N223" i="8"/>
  <c r="N91" i="8"/>
  <c r="N355" i="8"/>
  <c r="N267" i="8"/>
  <c r="N179" i="8"/>
  <c r="N311" i="8"/>
  <c r="F13" i="8"/>
  <c r="N91" i="6"/>
  <c r="F13" i="6"/>
  <c r="N179" i="6"/>
  <c r="N223" i="6"/>
  <c r="N47" i="6"/>
  <c r="N135" i="6"/>
  <c r="K13" i="6"/>
  <c r="N267" i="6"/>
  <c r="N179" i="7"/>
  <c r="N311" i="7"/>
  <c r="N355" i="7"/>
  <c r="N443" i="7"/>
  <c r="N487" i="7"/>
  <c r="N399" i="7"/>
  <c r="N223" i="7"/>
  <c r="N47" i="7"/>
  <c r="N91" i="7"/>
  <c r="N267" i="7"/>
  <c r="K13" i="7"/>
  <c r="N135" i="7"/>
  <c r="F13" i="7"/>
  <c r="D47" i="15"/>
  <c r="D91" i="15"/>
  <c r="D90" i="21"/>
  <c r="D46" i="21"/>
  <c r="D90" i="17"/>
  <c r="D46" i="17"/>
  <c r="D222" i="8"/>
  <c r="D354" i="8"/>
  <c r="D178" i="8"/>
  <c r="D266" i="8"/>
  <c r="D134" i="8"/>
  <c r="D90" i="8"/>
  <c r="D46" i="8"/>
  <c r="D310" i="8"/>
  <c r="D310" i="7"/>
  <c r="D442" i="7"/>
  <c r="D178" i="7"/>
  <c r="D90" i="7"/>
  <c r="D354" i="7"/>
  <c r="D486" i="7"/>
  <c r="D398" i="7"/>
  <c r="D222" i="7"/>
  <c r="D134" i="7"/>
  <c r="D46" i="7"/>
  <c r="D266" i="7"/>
  <c r="D90" i="6"/>
  <c r="D222" i="6"/>
  <c r="D178" i="6"/>
  <c r="D134" i="6"/>
  <c r="D46" i="6"/>
  <c r="D266" i="6"/>
  <c r="D89" i="21"/>
  <c r="D45" i="21"/>
  <c r="D353" i="8"/>
  <c r="D309" i="8"/>
  <c r="D221" i="8"/>
  <c r="D89" i="8"/>
  <c r="D265" i="8"/>
  <c r="D45" i="8"/>
  <c r="D133" i="8"/>
  <c r="D177" i="8"/>
  <c r="D441" i="7"/>
  <c r="D309" i="7"/>
  <c r="D177" i="7"/>
  <c r="D353" i="7"/>
  <c r="D485" i="7"/>
  <c r="D397" i="7"/>
  <c r="D221" i="7"/>
  <c r="D45" i="7"/>
  <c r="D89" i="7"/>
  <c r="D265" i="7"/>
  <c r="D133" i="7"/>
  <c r="D177" i="6"/>
  <c r="D221" i="6"/>
  <c r="D45" i="6"/>
  <c r="D89" i="6"/>
  <c r="D133" i="6"/>
  <c r="D265" i="6"/>
  <c r="D89" i="17"/>
  <c r="D45" i="17"/>
  <c r="D47" i="21"/>
  <c r="D91" i="21"/>
  <c r="B14" i="8"/>
  <c r="D47" i="8"/>
  <c r="B322" i="8"/>
  <c r="D91" i="8"/>
  <c r="D135" i="8"/>
  <c r="D355" i="8"/>
  <c r="D311" i="8"/>
  <c r="B366" i="8"/>
  <c r="D179" i="8"/>
  <c r="D223" i="8"/>
  <c r="B234" i="8"/>
  <c r="D267" i="8"/>
  <c r="B190" i="8"/>
  <c r="B102" i="8"/>
  <c r="B146" i="8"/>
  <c r="B278" i="8"/>
  <c r="B58" i="8"/>
  <c r="D91" i="17"/>
  <c r="D47" i="17"/>
  <c r="B14" i="7"/>
  <c r="B234" i="7"/>
  <c r="B410" i="7"/>
  <c r="D179" i="7"/>
  <c r="B58" i="7"/>
  <c r="B102" i="7"/>
  <c r="D355" i="7"/>
  <c r="B278" i="7"/>
  <c r="D443" i="7"/>
  <c r="D487" i="7"/>
  <c r="D399" i="7"/>
  <c r="D223" i="7"/>
  <c r="B454" i="7"/>
  <c r="B146" i="7"/>
  <c r="B322" i="7"/>
  <c r="D47" i="7"/>
  <c r="D91" i="7"/>
  <c r="B366" i="7"/>
  <c r="D267" i="7"/>
  <c r="B190" i="7"/>
  <c r="B498" i="7"/>
  <c r="D311" i="7"/>
  <c r="D135" i="7"/>
  <c r="B102" i="6"/>
  <c r="B14" i="6"/>
  <c r="D91" i="6"/>
  <c r="D135" i="6"/>
  <c r="D179" i="6"/>
  <c r="D223" i="6"/>
  <c r="D47" i="6"/>
  <c r="B146" i="6"/>
  <c r="B58" i="6"/>
  <c r="B278" i="6"/>
  <c r="B234" i="6"/>
  <c r="B190" i="6"/>
  <c r="D267" i="6"/>
  <c r="N11" i="17"/>
  <c r="F371" i="8"/>
  <c r="C377" i="8" s="1"/>
  <c r="C333" i="8"/>
  <c r="P270" i="8"/>
  <c r="N319" i="8"/>
  <c r="P358" i="8"/>
  <c r="P138" i="8"/>
  <c r="P490" i="7"/>
  <c r="N451" i="7"/>
  <c r="P270" i="7"/>
  <c r="P270" i="6"/>
  <c r="N11" i="6"/>
  <c r="N1505" i="2"/>
  <c r="N1461" i="2"/>
  <c r="N1417" i="2"/>
  <c r="N1373" i="2"/>
  <c r="N97" i="21"/>
  <c r="N54" i="21"/>
  <c r="N10" i="21"/>
  <c r="N97" i="15"/>
  <c r="N54" i="15"/>
  <c r="N7" i="15"/>
  <c r="N135" i="19"/>
  <c r="N92" i="19"/>
  <c r="B25" i="19"/>
  <c r="O68" i="19"/>
  <c r="N50" i="19"/>
  <c r="O26" i="19" l="1"/>
  <c r="B26" i="19" s="1"/>
  <c r="O111" i="19"/>
  <c r="N8" i="19"/>
  <c r="G369" i="8"/>
  <c r="H369" i="8" s="1"/>
  <c r="G368" i="8"/>
  <c r="H368" i="8" s="1"/>
  <c r="G367" i="8"/>
  <c r="H367" i="8" s="1"/>
  <c r="G366" i="8"/>
  <c r="H366" i="8" s="1"/>
  <c r="F375" i="8" s="1"/>
  <c r="G60" i="6"/>
  <c r="H60" i="6" s="1"/>
  <c r="G58" i="6"/>
  <c r="H58" i="6" s="1"/>
  <c r="F67" i="6" s="1"/>
  <c r="G61" i="6"/>
  <c r="H61" i="6" s="1"/>
  <c r="G59" i="6"/>
  <c r="H59" i="6" s="1"/>
  <c r="G58" i="8"/>
  <c r="H58" i="8" s="1"/>
  <c r="F67" i="8" s="1"/>
  <c r="G61" i="8"/>
  <c r="H61" i="8" s="1"/>
  <c r="G59" i="8"/>
  <c r="H59" i="8" s="1"/>
  <c r="G60" i="8"/>
  <c r="H60" i="8" s="1"/>
  <c r="G190" i="8"/>
  <c r="H190" i="8" s="1"/>
  <c r="F199" i="8" s="1"/>
  <c r="G193" i="8"/>
  <c r="H193" i="8" s="1"/>
  <c r="G192" i="8"/>
  <c r="H192" i="8" s="1"/>
  <c r="G191" i="8"/>
  <c r="H191" i="8" s="1"/>
  <c r="G234" i="7"/>
  <c r="H234" i="7" s="1"/>
  <c r="F243" i="7" s="1"/>
  <c r="G235" i="7"/>
  <c r="H235" i="7" s="1"/>
  <c r="G237" i="7"/>
  <c r="H237" i="7" s="1"/>
  <c r="G236" i="7"/>
  <c r="H236" i="7" s="1"/>
  <c r="G237" i="6"/>
  <c r="H237" i="6" s="1"/>
  <c r="G236" i="6"/>
  <c r="H236" i="6" s="1"/>
  <c r="G234" i="6"/>
  <c r="H234" i="6" s="1"/>
  <c r="F243" i="6" s="1"/>
  <c r="G235" i="6"/>
  <c r="H235" i="6" s="1"/>
  <c r="G102" i="8"/>
  <c r="H102" i="8" s="1"/>
  <c r="F111" i="8" s="1"/>
  <c r="G104" i="8"/>
  <c r="H104" i="8" s="1"/>
  <c r="G105" i="8"/>
  <c r="H105" i="8" s="1"/>
  <c r="G103" i="8"/>
  <c r="H103" i="8" s="1"/>
  <c r="G501" i="7"/>
  <c r="H501" i="7" s="1"/>
  <c r="G500" i="7"/>
  <c r="H500" i="7" s="1"/>
  <c r="G499" i="7"/>
  <c r="H499" i="7" s="1"/>
  <c r="G498" i="7"/>
  <c r="H498" i="7" s="1"/>
  <c r="F507" i="7" s="1"/>
  <c r="G102" i="21"/>
  <c r="H102" i="21" s="1"/>
  <c r="F111" i="21" s="1"/>
  <c r="G104" i="21"/>
  <c r="H104" i="21" s="1"/>
  <c r="G105" i="21"/>
  <c r="H105" i="21" s="1"/>
  <c r="G103" i="21"/>
  <c r="H103" i="21" s="1"/>
  <c r="G105" i="6"/>
  <c r="H105" i="6" s="1"/>
  <c r="G104" i="6"/>
  <c r="H104" i="6" s="1"/>
  <c r="G102" i="6"/>
  <c r="H102" i="6" s="1"/>
  <c r="F111" i="6" s="1"/>
  <c r="G103" i="6"/>
  <c r="H103" i="6" s="1"/>
  <c r="G102" i="7"/>
  <c r="H102" i="7" s="1"/>
  <c r="F111" i="7" s="1"/>
  <c r="G105" i="7"/>
  <c r="H105" i="7" s="1"/>
  <c r="G104" i="7"/>
  <c r="H104" i="7" s="1"/>
  <c r="G103" i="7"/>
  <c r="H103" i="7" s="1"/>
  <c r="G457" i="7"/>
  <c r="H457" i="7" s="1"/>
  <c r="G456" i="7"/>
  <c r="H456" i="7" s="1"/>
  <c r="G455" i="7"/>
  <c r="H455" i="7" s="1"/>
  <c r="G454" i="7"/>
  <c r="H454" i="7" s="1"/>
  <c r="F463" i="7" s="1"/>
  <c r="G149" i="7"/>
  <c r="H149" i="7" s="1"/>
  <c r="G148" i="7"/>
  <c r="H148" i="7" s="1"/>
  <c r="G147" i="7"/>
  <c r="H147" i="7" s="1"/>
  <c r="G146" i="7"/>
  <c r="H146" i="7" s="1"/>
  <c r="F155" i="7" s="1"/>
  <c r="G59" i="7"/>
  <c r="H59" i="7" s="1"/>
  <c r="G58" i="7"/>
  <c r="H58" i="7" s="1"/>
  <c r="F67" i="7" s="1"/>
  <c r="G61" i="7"/>
  <c r="H61" i="7" s="1"/>
  <c r="G60" i="7"/>
  <c r="H60" i="7" s="1"/>
  <c r="G369" i="7"/>
  <c r="H369" i="7" s="1"/>
  <c r="G366" i="7"/>
  <c r="H366" i="7" s="1"/>
  <c r="F375" i="7" s="1"/>
  <c r="G368" i="7"/>
  <c r="H368" i="7" s="1"/>
  <c r="G367" i="7"/>
  <c r="H367" i="7" s="1"/>
  <c r="G324" i="7"/>
  <c r="H324" i="7" s="1"/>
  <c r="G322" i="7"/>
  <c r="H322" i="7" s="1"/>
  <c r="F331" i="7" s="1"/>
  <c r="G325" i="7"/>
  <c r="H325" i="7" s="1"/>
  <c r="G323" i="7"/>
  <c r="H323" i="7" s="1"/>
  <c r="G193" i="7"/>
  <c r="H193" i="7" s="1"/>
  <c r="G192" i="7"/>
  <c r="H192" i="7" s="1"/>
  <c r="G191" i="7"/>
  <c r="H191" i="7" s="1"/>
  <c r="G190" i="7"/>
  <c r="H190" i="7" s="1"/>
  <c r="F199" i="7" s="1"/>
  <c r="G325" i="8"/>
  <c r="H325" i="8" s="1"/>
  <c r="G324" i="8"/>
  <c r="H324" i="8" s="1"/>
  <c r="G323" i="8"/>
  <c r="H323" i="8" s="1"/>
  <c r="G322" i="8"/>
  <c r="H322" i="8" s="1"/>
  <c r="F331" i="8" s="1"/>
  <c r="G190" i="6"/>
  <c r="H190" i="6" s="1"/>
  <c r="F199" i="6" s="1"/>
  <c r="G193" i="6"/>
  <c r="H193" i="6" s="1"/>
  <c r="G191" i="6"/>
  <c r="H191" i="6" s="1"/>
  <c r="G192" i="6"/>
  <c r="H192" i="6" s="1"/>
  <c r="G149" i="8"/>
  <c r="H149" i="8" s="1"/>
  <c r="G148" i="8"/>
  <c r="H148" i="8" s="1"/>
  <c r="G147" i="8"/>
  <c r="H147" i="8" s="1"/>
  <c r="G146" i="8"/>
  <c r="H146" i="8" s="1"/>
  <c r="F155" i="8" s="1"/>
  <c r="G58" i="21"/>
  <c r="H58" i="21" s="1"/>
  <c r="F67" i="21" s="1"/>
  <c r="G60" i="21"/>
  <c r="H60" i="21" s="1"/>
  <c r="G61" i="21"/>
  <c r="H61" i="21" s="1"/>
  <c r="G59" i="21"/>
  <c r="H59" i="21" s="1"/>
  <c r="G410" i="7"/>
  <c r="H410" i="7" s="1"/>
  <c r="F419" i="7" s="1"/>
  <c r="G413" i="7"/>
  <c r="H413" i="7" s="1"/>
  <c r="G412" i="7"/>
  <c r="H412" i="7" s="1"/>
  <c r="G411" i="7"/>
  <c r="H411" i="7" s="1"/>
  <c r="G280" i="6"/>
  <c r="H280" i="6" s="1"/>
  <c r="G278" i="6"/>
  <c r="H278" i="6" s="1"/>
  <c r="F287" i="6" s="1"/>
  <c r="G281" i="6"/>
  <c r="H281" i="6" s="1"/>
  <c r="G279" i="6"/>
  <c r="H279" i="6" s="1"/>
  <c r="G281" i="8"/>
  <c r="H281" i="8" s="1"/>
  <c r="G280" i="8"/>
  <c r="H280" i="8" s="1"/>
  <c r="G279" i="8"/>
  <c r="H279" i="8" s="1"/>
  <c r="G278" i="8"/>
  <c r="H278" i="8" s="1"/>
  <c r="F287" i="8" s="1"/>
  <c r="G237" i="8"/>
  <c r="H237" i="8" s="1"/>
  <c r="G234" i="8"/>
  <c r="H234" i="8" s="1"/>
  <c r="F243" i="8" s="1"/>
  <c r="G236" i="8"/>
  <c r="H236" i="8" s="1"/>
  <c r="G235" i="8"/>
  <c r="H235" i="8" s="1"/>
  <c r="G281" i="7"/>
  <c r="H281" i="7" s="1"/>
  <c r="G280" i="7"/>
  <c r="H280" i="7" s="1"/>
  <c r="G279" i="7"/>
  <c r="H279" i="7" s="1"/>
  <c r="G278" i="7"/>
  <c r="H278" i="7" s="1"/>
  <c r="F287" i="7" s="1"/>
  <c r="G149" i="6"/>
  <c r="H149" i="6" s="1"/>
  <c r="G148" i="6"/>
  <c r="H148" i="6" s="1"/>
  <c r="G147" i="6"/>
  <c r="H147" i="6" s="1"/>
  <c r="G146" i="6"/>
  <c r="C289" i="7"/>
  <c r="F327" i="7"/>
  <c r="C287" i="7"/>
  <c r="C327" i="7"/>
  <c r="P138" i="6"/>
  <c r="N136" i="19"/>
  <c r="O155" i="19" s="1"/>
  <c r="F145" i="6"/>
  <c r="K145" i="6"/>
  <c r="K57" i="6"/>
  <c r="F57" i="6"/>
  <c r="K233" i="6"/>
  <c r="F233" i="6"/>
  <c r="F189" i="6"/>
  <c r="K189" i="6"/>
  <c r="K101" i="6"/>
  <c r="F101" i="6"/>
  <c r="K321" i="8"/>
  <c r="F321" i="8"/>
  <c r="K189" i="8"/>
  <c r="F189" i="8"/>
  <c r="K145" i="7"/>
  <c r="F145" i="7"/>
  <c r="K277" i="8"/>
  <c r="F277" i="8"/>
  <c r="F365" i="8"/>
  <c r="K365" i="8"/>
  <c r="K277" i="7"/>
  <c r="F277" i="7"/>
  <c r="K101" i="8"/>
  <c r="F101" i="8"/>
  <c r="F101" i="7"/>
  <c r="K101" i="7"/>
  <c r="K233" i="8"/>
  <c r="F233" i="8"/>
  <c r="K145" i="8"/>
  <c r="F145" i="8"/>
  <c r="K57" i="7"/>
  <c r="F57" i="7"/>
  <c r="K409" i="7"/>
  <c r="F409" i="7"/>
  <c r="F57" i="8"/>
  <c r="K57" i="8"/>
  <c r="F497" i="7"/>
  <c r="K497" i="7"/>
  <c r="K233" i="7"/>
  <c r="F233" i="7"/>
  <c r="K453" i="7"/>
  <c r="F453" i="7"/>
  <c r="K365" i="7"/>
  <c r="F365" i="7"/>
  <c r="K321" i="7"/>
  <c r="F321" i="7"/>
  <c r="F189" i="7"/>
  <c r="K189" i="7"/>
  <c r="K57" i="21"/>
  <c r="F57" i="21"/>
  <c r="F101" i="21"/>
  <c r="K101" i="21"/>
  <c r="K277" i="6"/>
  <c r="F277" i="6"/>
  <c r="P94" i="17"/>
  <c r="P6" i="17"/>
  <c r="P50" i="17"/>
  <c r="P6" i="8"/>
  <c r="P50" i="8"/>
  <c r="P271" i="8"/>
  <c r="P94" i="8"/>
  <c r="P182" i="8"/>
  <c r="P359" i="8"/>
  <c r="P226" i="8"/>
  <c r="P139" i="8"/>
  <c r="P314" i="8"/>
  <c r="P402" i="7"/>
  <c r="P491" i="7"/>
  <c r="P446" i="7"/>
  <c r="P358" i="7"/>
  <c r="P314" i="7"/>
  <c r="P271" i="7"/>
  <c r="P226" i="7"/>
  <c r="P182" i="7"/>
  <c r="P138" i="7"/>
  <c r="P94" i="7"/>
  <c r="P6" i="7"/>
  <c r="P271" i="6"/>
  <c r="P226" i="6"/>
  <c r="P182" i="6"/>
  <c r="P6" i="6"/>
  <c r="N1506" i="2"/>
  <c r="N1462" i="2"/>
  <c r="N1418" i="2"/>
  <c r="N1374" i="2"/>
  <c r="N98" i="21"/>
  <c r="N98" i="15"/>
  <c r="N8" i="15"/>
  <c r="O154" i="19"/>
  <c r="N93" i="19"/>
  <c r="O112" i="19" s="1"/>
  <c r="O69" i="19"/>
  <c r="N51" i="19"/>
  <c r="H146" i="6" l="1"/>
  <c r="F155" i="6" s="1"/>
  <c r="N9" i="19"/>
  <c r="O27" i="19"/>
  <c r="B27" i="19" s="1"/>
  <c r="P50" i="7"/>
  <c r="C333" i="7"/>
  <c r="F371" i="7"/>
  <c r="C331" i="7"/>
  <c r="C371" i="7"/>
  <c r="P139" i="6"/>
  <c r="P94" i="6"/>
  <c r="P50" i="6"/>
  <c r="N137" i="19"/>
  <c r="O156" i="19" s="1"/>
  <c r="P51" i="17"/>
  <c r="P95" i="17"/>
  <c r="P7" i="17"/>
  <c r="P7" i="8"/>
  <c r="P272" i="8"/>
  <c r="P140" i="8"/>
  <c r="P360" i="8"/>
  <c r="P183" i="8"/>
  <c r="P315" i="8"/>
  <c r="P51" i="8"/>
  <c r="P227" i="8"/>
  <c r="P95" i="8"/>
  <c r="P403" i="7"/>
  <c r="P359" i="7"/>
  <c r="P492" i="7"/>
  <c r="P447" i="7"/>
  <c r="P315" i="7"/>
  <c r="P272" i="7"/>
  <c r="P227" i="7"/>
  <c r="P183" i="7"/>
  <c r="P139" i="7"/>
  <c r="P95" i="7"/>
  <c r="P7" i="7"/>
  <c r="P272" i="6"/>
  <c r="P227" i="6"/>
  <c r="P183" i="6"/>
  <c r="P7" i="6"/>
  <c r="P8" i="6" s="1"/>
  <c r="P50" i="21"/>
  <c r="P6" i="21"/>
  <c r="P50" i="15"/>
  <c r="N9" i="15"/>
  <c r="N94" i="19"/>
  <c r="O113" i="19" s="1"/>
  <c r="N52" i="19"/>
  <c r="O70" i="19"/>
  <c r="N10" i="19"/>
  <c r="O28" i="19"/>
  <c r="B28" i="19" s="1"/>
  <c r="N138" i="19" l="1"/>
  <c r="P51" i="7"/>
  <c r="F415" i="7"/>
  <c r="C377" i="7"/>
  <c r="C415" i="7"/>
  <c r="C375" i="7"/>
  <c r="P140" i="6"/>
  <c r="P95" i="6"/>
  <c r="P51" i="6"/>
  <c r="P52" i="17"/>
  <c r="P96" i="17"/>
  <c r="P8" i="17"/>
  <c r="P52" i="8"/>
  <c r="P96" i="8"/>
  <c r="P141" i="8"/>
  <c r="P142" i="8" s="1"/>
  <c r="P143" i="8" s="1"/>
  <c r="P8" i="8"/>
  <c r="P361" i="8"/>
  <c r="P184" i="8"/>
  <c r="P273" i="8"/>
  <c r="P274" i="8" s="1"/>
  <c r="P275" i="8" s="1"/>
  <c r="P316" i="8"/>
  <c r="P228" i="8"/>
  <c r="P493" i="7"/>
  <c r="P448" i="7"/>
  <c r="P404" i="7"/>
  <c r="P360" i="7"/>
  <c r="P316" i="7"/>
  <c r="P273" i="7"/>
  <c r="P274" i="7" s="1"/>
  <c r="P275" i="7" s="1"/>
  <c r="P228" i="7"/>
  <c r="P184" i="7"/>
  <c r="P140" i="7"/>
  <c r="P96" i="7"/>
  <c r="P8" i="7"/>
  <c r="P273" i="6"/>
  <c r="P274" i="6" s="1"/>
  <c r="P275" i="6" s="1"/>
  <c r="P228" i="6"/>
  <c r="P184" i="6"/>
  <c r="P1502" i="2"/>
  <c r="P1458" i="2"/>
  <c r="P1414" i="2"/>
  <c r="P1370" i="2"/>
  <c r="P94" i="21"/>
  <c r="P7" i="21"/>
  <c r="P51" i="21"/>
  <c r="P94" i="15"/>
  <c r="P51" i="15"/>
  <c r="N10" i="15"/>
  <c r="N95" i="19"/>
  <c r="N96" i="19" s="1"/>
  <c r="N139" i="19"/>
  <c r="O157" i="19"/>
  <c r="O71" i="19"/>
  <c r="N53" i="19"/>
  <c r="N11" i="19"/>
  <c r="O29" i="19"/>
  <c r="B29" i="19" s="1"/>
  <c r="O114" i="19" l="1"/>
  <c r="P52" i="7"/>
  <c r="C421" i="7"/>
  <c r="F459" i="7"/>
  <c r="C419" i="7"/>
  <c r="C459" i="7"/>
  <c r="P141" i="6"/>
  <c r="P142" i="6" s="1"/>
  <c r="P143" i="6" s="1"/>
  <c r="P96" i="6"/>
  <c r="P52" i="6"/>
  <c r="P9" i="17"/>
  <c r="P53" i="17"/>
  <c r="P54" i="17" s="1"/>
  <c r="P55" i="17" s="1"/>
  <c r="P97" i="17"/>
  <c r="P98" i="17" s="1"/>
  <c r="P99" i="17" s="1"/>
  <c r="P185" i="8"/>
  <c r="P186" i="8" s="1"/>
  <c r="P187" i="8" s="1"/>
  <c r="P97" i="8"/>
  <c r="P98" i="8" s="1"/>
  <c r="P99" i="8" s="1"/>
  <c r="P317" i="8"/>
  <c r="P229" i="8"/>
  <c r="P230" i="8" s="1"/>
  <c r="P231" i="8" s="1"/>
  <c r="P53" i="8"/>
  <c r="P54" i="8" s="1"/>
  <c r="P55" i="8" s="1"/>
  <c r="P362" i="8"/>
  <c r="P9" i="8"/>
  <c r="P10" i="8" s="1"/>
  <c r="P11" i="8" s="1"/>
  <c r="P494" i="7"/>
  <c r="P449" i="7"/>
  <c r="P405" i="7"/>
  <c r="P406" i="7" s="1"/>
  <c r="P407" i="7" s="1"/>
  <c r="P361" i="7"/>
  <c r="P362" i="7" s="1"/>
  <c r="P363" i="7" s="1"/>
  <c r="P317" i="7"/>
  <c r="P318" i="7" s="1"/>
  <c r="P319" i="7" s="1"/>
  <c r="P229" i="7"/>
  <c r="P230" i="7" s="1"/>
  <c r="P231" i="7" s="1"/>
  <c r="P185" i="7"/>
  <c r="P186" i="7" s="1"/>
  <c r="P187" i="7" s="1"/>
  <c r="P141" i="7"/>
  <c r="P142" i="7" s="1"/>
  <c r="P143" i="7" s="1"/>
  <c r="P97" i="7"/>
  <c r="P98" i="7" s="1"/>
  <c r="P99" i="7" s="1"/>
  <c r="P9" i="7"/>
  <c r="P10" i="7" s="1"/>
  <c r="P11" i="7" s="1"/>
  <c r="P229" i="6"/>
  <c r="P230" i="6" s="1"/>
  <c r="P231" i="6" s="1"/>
  <c r="P185" i="6"/>
  <c r="P186" i="6" s="1"/>
  <c r="P187" i="6" s="1"/>
  <c r="P9" i="6"/>
  <c r="P10" i="6" s="1"/>
  <c r="P11" i="6" s="1"/>
  <c r="P1503" i="2"/>
  <c r="P1459" i="2"/>
  <c r="P1415" i="2"/>
  <c r="P1371" i="2"/>
  <c r="P95" i="21"/>
  <c r="P52" i="21"/>
  <c r="P8" i="21"/>
  <c r="P95" i="15"/>
  <c r="P52" i="15"/>
  <c r="O158" i="19"/>
  <c r="O115" i="19"/>
  <c r="O72" i="19"/>
  <c r="P6" i="19"/>
  <c r="O30" i="19"/>
  <c r="B30" i="19" s="1"/>
  <c r="P7" i="19" l="1"/>
  <c r="P53" i="7"/>
  <c r="P54" i="7" s="1"/>
  <c r="P55" i="7" s="1"/>
  <c r="F503" i="7"/>
  <c r="C509" i="7" s="1"/>
  <c r="C465" i="7"/>
  <c r="C463" i="7"/>
  <c r="C503" i="7"/>
  <c r="C507" i="7" s="1"/>
  <c r="P97" i="6"/>
  <c r="P98" i="6" s="1"/>
  <c r="P99" i="6" s="1"/>
  <c r="P53" i="6"/>
  <c r="P54" i="6" s="1"/>
  <c r="P55" i="6" s="1"/>
  <c r="P10" i="17"/>
  <c r="P363" i="8"/>
  <c r="P318" i="8"/>
  <c r="P450" i="7"/>
  <c r="P495" i="7"/>
  <c r="P1504" i="2"/>
  <c r="P1460" i="2"/>
  <c r="P1416" i="2"/>
  <c r="P1372" i="2"/>
  <c r="P96" i="21"/>
  <c r="P9" i="21"/>
  <c r="P53" i="21"/>
  <c r="P96" i="15"/>
  <c r="P53" i="15"/>
  <c r="P6" i="15"/>
  <c r="P135" i="19"/>
  <c r="O159" i="19"/>
  <c r="P92" i="19"/>
  <c r="O116" i="19"/>
  <c r="O73" i="19"/>
  <c r="P49" i="19"/>
  <c r="O31" i="19"/>
  <c r="B31" i="19" s="1"/>
  <c r="P8" i="19" l="1"/>
  <c r="P11" i="17"/>
  <c r="F302" i="8"/>
  <c r="F170" i="8"/>
  <c r="P319" i="8"/>
  <c r="F390" i="8"/>
  <c r="F522" i="7"/>
  <c r="P451" i="7"/>
  <c r="F302" i="7"/>
  <c r="F302" i="6"/>
  <c r="P1505" i="2"/>
  <c r="P1461" i="2"/>
  <c r="P1417" i="2"/>
  <c r="P1373" i="2"/>
  <c r="P97" i="21"/>
  <c r="P54" i="21"/>
  <c r="P55" i="21" s="1"/>
  <c r="P10" i="21"/>
  <c r="P11" i="21" s="1"/>
  <c r="P97" i="15"/>
  <c r="P54" i="15"/>
  <c r="P55" i="15" s="1"/>
  <c r="P7" i="15"/>
  <c r="O160" i="19"/>
  <c r="P136" i="19"/>
  <c r="O117" i="19"/>
  <c r="P93" i="19"/>
  <c r="P50" i="19"/>
  <c r="O74" i="19"/>
  <c r="O32" i="19"/>
  <c r="B32" i="19" s="1"/>
  <c r="P9" i="19" l="1"/>
  <c r="F170" i="6"/>
  <c r="F38" i="8"/>
  <c r="F346" i="8"/>
  <c r="F126" i="8"/>
  <c r="F214" i="8"/>
  <c r="F258" i="8"/>
  <c r="F82" i="8"/>
  <c r="F390" i="7"/>
  <c r="F434" i="7"/>
  <c r="F478" i="7"/>
  <c r="F346" i="7"/>
  <c r="F258" i="7"/>
  <c r="F214" i="7"/>
  <c r="F170" i="7"/>
  <c r="F126" i="7"/>
  <c r="F38" i="7"/>
  <c r="F258" i="6"/>
  <c r="F214" i="6"/>
  <c r="P1506" i="2"/>
  <c r="P1507" i="2" s="1"/>
  <c r="P1462" i="2"/>
  <c r="P1463" i="2" s="1"/>
  <c r="P1418" i="2"/>
  <c r="P1419" i="2" s="1"/>
  <c r="P1374" i="2"/>
  <c r="P1375" i="2" s="1"/>
  <c r="P98" i="21"/>
  <c r="P99" i="21" s="1"/>
  <c r="P98" i="15"/>
  <c r="P99" i="15" s="1"/>
  <c r="P8" i="15"/>
  <c r="P137" i="19"/>
  <c r="O161" i="19"/>
  <c r="O118" i="19"/>
  <c r="P94" i="19"/>
  <c r="O75" i="19"/>
  <c r="P51" i="19"/>
  <c r="O33" i="19"/>
  <c r="B33" i="19" s="1"/>
  <c r="F82" i="7" l="1"/>
  <c r="F126" i="6"/>
  <c r="F82" i="6"/>
  <c r="F82" i="17"/>
  <c r="E82" i="17"/>
  <c r="B82" i="17"/>
  <c r="D38" i="17"/>
  <c r="F38" i="17"/>
  <c r="E38" i="17"/>
  <c r="B38" i="17"/>
  <c r="E126" i="17"/>
  <c r="D126" i="17"/>
  <c r="F126" i="17"/>
  <c r="B126" i="17"/>
  <c r="F82" i="21"/>
  <c r="F38" i="21"/>
  <c r="P9" i="15"/>
  <c r="P138" i="19"/>
  <c r="O162" i="19"/>
  <c r="P95" i="19"/>
  <c r="O119" i="19"/>
  <c r="P52" i="19"/>
  <c r="O76" i="19"/>
  <c r="O34" i="19"/>
  <c r="B34" i="19" s="1"/>
  <c r="P10" i="19"/>
  <c r="C116" i="17" l="1"/>
  <c r="C123" i="17"/>
  <c r="C118" i="17"/>
  <c r="C125" i="17"/>
  <c r="C120" i="17"/>
  <c r="C115" i="17"/>
  <c r="C122" i="17"/>
  <c r="C117" i="17"/>
  <c r="C124" i="17"/>
  <c r="C119" i="17"/>
  <c r="C114" i="17"/>
  <c r="C121" i="17"/>
  <c r="C72" i="17"/>
  <c r="C79" i="17"/>
  <c r="C74" i="17"/>
  <c r="C81" i="17"/>
  <c r="C76" i="17"/>
  <c r="C71" i="17"/>
  <c r="C78" i="17"/>
  <c r="C73" i="17"/>
  <c r="C80" i="17"/>
  <c r="C75" i="17"/>
  <c r="C70" i="17"/>
  <c r="C77" i="17"/>
  <c r="C28" i="17"/>
  <c r="C35" i="17"/>
  <c r="C30" i="17"/>
  <c r="C37" i="17"/>
  <c r="C32" i="17"/>
  <c r="C31" i="17"/>
  <c r="C27" i="17"/>
  <c r="C34" i="17"/>
  <c r="C36" i="17"/>
  <c r="C29" i="17"/>
  <c r="C26" i="17"/>
  <c r="C33" i="17"/>
  <c r="D82" i="17"/>
  <c r="F126" i="21"/>
  <c r="E82" i="15"/>
  <c r="D82" i="15"/>
  <c r="F82" i="15"/>
  <c r="B82" i="15"/>
  <c r="P10" i="15"/>
  <c r="P11" i="15" s="1"/>
  <c r="P139" i="19"/>
  <c r="P140" i="19" s="1"/>
  <c r="O163" i="19"/>
  <c r="P96" i="19"/>
  <c r="P97" i="19" s="1"/>
  <c r="O120" i="19"/>
  <c r="P53" i="19"/>
  <c r="P54" i="19" s="1"/>
  <c r="O77" i="19"/>
  <c r="O35" i="19"/>
  <c r="B35" i="19" s="1"/>
  <c r="P11" i="19"/>
  <c r="G121" i="17" l="1"/>
  <c r="O121" i="17"/>
  <c r="M121" i="17"/>
  <c r="J121" i="17"/>
  <c r="I121" i="17"/>
  <c r="H121" i="17"/>
  <c r="I124" i="17"/>
  <c r="J124" i="17"/>
  <c r="G124" i="17"/>
  <c r="O124" i="17"/>
  <c r="M124" i="17"/>
  <c r="H124" i="17"/>
  <c r="M117" i="17"/>
  <c r="O117" i="17"/>
  <c r="G117" i="17"/>
  <c r="H117" i="17"/>
  <c r="I117" i="17"/>
  <c r="J117" i="17"/>
  <c r="J122" i="17"/>
  <c r="O122" i="17"/>
  <c r="M122" i="17"/>
  <c r="G122" i="17"/>
  <c r="H122" i="17"/>
  <c r="I122" i="17"/>
  <c r="G115" i="17"/>
  <c r="O115" i="17"/>
  <c r="H115" i="17"/>
  <c r="I115" i="17"/>
  <c r="J115" i="17"/>
  <c r="M115" i="17"/>
  <c r="M120" i="17"/>
  <c r="O120" i="17"/>
  <c r="G120" i="17"/>
  <c r="H120" i="17"/>
  <c r="I120" i="17"/>
  <c r="J120" i="17"/>
  <c r="M125" i="17"/>
  <c r="O125" i="17"/>
  <c r="G125" i="17"/>
  <c r="H125" i="17"/>
  <c r="I125" i="17"/>
  <c r="J125" i="17"/>
  <c r="I118" i="17"/>
  <c r="M118" i="17"/>
  <c r="O118" i="17"/>
  <c r="J118" i="17"/>
  <c r="H118" i="17"/>
  <c r="G118" i="17"/>
  <c r="O114" i="17"/>
  <c r="M114" i="17"/>
  <c r="G114" i="17"/>
  <c r="H114" i="17"/>
  <c r="I114" i="17"/>
  <c r="J114" i="17"/>
  <c r="M123" i="17"/>
  <c r="O123" i="17"/>
  <c r="J123" i="17"/>
  <c r="I123" i="17"/>
  <c r="G123" i="17"/>
  <c r="H123" i="17"/>
  <c r="J119" i="17"/>
  <c r="H119" i="17"/>
  <c r="O119" i="17"/>
  <c r="M119" i="17"/>
  <c r="G119" i="17"/>
  <c r="I119" i="17"/>
  <c r="H116" i="17"/>
  <c r="O116" i="17"/>
  <c r="M116" i="17"/>
  <c r="G116" i="17"/>
  <c r="J116" i="17"/>
  <c r="I116" i="17"/>
  <c r="J75" i="17"/>
  <c r="O75" i="17"/>
  <c r="I75" i="17"/>
  <c r="M75" i="17"/>
  <c r="G75" i="17"/>
  <c r="H75" i="17"/>
  <c r="I80" i="17"/>
  <c r="J80" i="17"/>
  <c r="O80" i="17"/>
  <c r="M80" i="17"/>
  <c r="G80" i="17"/>
  <c r="H80" i="17"/>
  <c r="O73" i="17"/>
  <c r="M73" i="17"/>
  <c r="G73" i="17"/>
  <c r="H73" i="17"/>
  <c r="I73" i="17"/>
  <c r="J73" i="17"/>
  <c r="O78" i="17"/>
  <c r="M78" i="17"/>
  <c r="G78" i="17"/>
  <c r="H78" i="17"/>
  <c r="I78" i="17"/>
  <c r="J78" i="17"/>
  <c r="O71" i="17"/>
  <c r="G71" i="17"/>
  <c r="H71" i="17"/>
  <c r="I71" i="17"/>
  <c r="J71" i="17"/>
  <c r="M71" i="17"/>
  <c r="O76" i="17"/>
  <c r="G76" i="17"/>
  <c r="H76" i="17"/>
  <c r="M76" i="17"/>
  <c r="I76" i="17"/>
  <c r="J76" i="17"/>
  <c r="M81" i="17"/>
  <c r="O81" i="17"/>
  <c r="G81" i="17"/>
  <c r="H81" i="17"/>
  <c r="I81" i="17"/>
  <c r="J81" i="17"/>
  <c r="J74" i="17"/>
  <c r="O74" i="17"/>
  <c r="M74" i="17"/>
  <c r="H74" i="17"/>
  <c r="I74" i="17"/>
  <c r="G74" i="17"/>
  <c r="O70" i="17"/>
  <c r="M70" i="17"/>
  <c r="G70" i="17"/>
  <c r="H70" i="17"/>
  <c r="I70" i="17"/>
  <c r="J70" i="17"/>
  <c r="I79" i="17"/>
  <c r="J79" i="17"/>
  <c r="O79" i="17"/>
  <c r="M79" i="17"/>
  <c r="G79" i="17"/>
  <c r="H79" i="17"/>
  <c r="O77" i="17"/>
  <c r="M77" i="17"/>
  <c r="J77" i="17"/>
  <c r="I77" i="17"/>
  <c r="H77" i="17"/>
  <c r="G77" i="17"/>
  <c r="O72" i="17"/>
  <c r="M72" i="17"/>
  <c r="J72" i="17"/>
  <c r="I72" i="17"/>
  <c r="H72" i="17"/>
  <c r="G72" i="17"/>
  <c r="O29" i="17"/>
  <c r="G29" i="17"/>
  <c r="H29" i="17"/>
  <c r="I29" i="17"/>
  <c r="J29" i="17"/>
  <c r="M29" i="17"/>
  <c r="M36" i="17"/>
  <c r="O36" i="17"/>
  <c r="G36" i="17"/>
  <c r="H36" i="17"/>
  <c r="I36" i="17"/>
  <c r="J36" i="17"/>
  <c r="M34" i="17"/>
  <c r="O34" i="17"/>
  <c r="G34" i="17"/>
  <c r="H34" i="17"/>
  <c r="I34" i="17"/>
  <c r="J34" i="17"/>
  <c r="O27" i="17"/>
  <c r="I27" i="17"/>
  <c r="J27" i="17"/>
  <c r="H27" i="17"/>
  <c r="G27" i="17"/>
  <c r="M27" i="17"/>
  <c r="M31" i="17"/>
  <c r="O31" i="17"/>
  <c r="G31" i="17"/>
  <c r="H31" i="17"/>
  <c r="I31" i="17"/>
  <c r="J31" i="17"/>
  <c r="G32" i="17"/>
  <c r="O32" i="17"/>
  <c r="H32" i="17"/>
  <c r="I32" i="17"/>
  <c r="J32" i="17"/>
  <c r="M32" i="17"/>
  <c r="M37" i="17"/>
  <c r="G37" i="17"/>
  <c r="O37" i="17"/>
  <c r="H37" i="17"/>
  <c r="I37" i="17"/>
  <c r="J37" i="17"/>
  <c r="O30" i="17"/>
  <c r="M30" i="17"/>
  <c r="J30" i="17"/>
  <c r="I30" i="17"/>
  <c r="G30" i="17"/>
  <c r="H30" i="17"/>
  <c r="I33" i="17"/>
  <c r="J33" i="17"/>
  <c r="O33" i="17"/>
  <c r="M33" i="17"/>
  <c r="G33" i="17"/>
  <c r="H33" i="17"/>
  <c r="O35" i="17"/>
  <c r="M35" i="17"/>
  <c r="I35" i="17"/>
  <c r="J35" i="17"/>
  <c r="H35" i="17"/>
  <c r="G35" i="17"/>
  <c r="O26" i="17"/>
  <c r="G26" i="17"/>
  <c r="H26" i="17"/>
  <c r="I26" i="17"/>
  <c r="J26" i="17"/>
  <c r="M26" i="17"/>
  <c r="J28" i="17"/>
  <c r="I28" i="17"/>
  <c r="O28" i="17"/>
  <c r="M28" i="17"/>
  <c r="H28" i="17"/>
  <c r="G28" i="17"/>
  <c r="C75" i="15"/>
  <c r="C71" i="15"/>
  <c r="C81" i="15"/>
  <c r="C78" i="15"/>
  <c r="C74" i="15"/>
  <c r="C80" i="15"/>
  <c r="C73" i="15"/>
  <c r="C79" i="15"/>
  <c r="C77" i="15"/>
  <c r="C72" i="15"/>
  <c r="C70" i="15"/>
  <c r="C76" i="15"/>
  <c r="E126" i="15"/>
  <c r="D126" i="15"/>
  <c r="F126" i="15"/>
  <c r="B126" i="15"/>
  <c r="O164" i="19"/>
  <c r="O121" i="19"/>
  <c r="O78" i="19"/>
  <c r="O36" i="19"/>
  <c r="B36" i="19" s="1"/>
  <c r="C119" i="15" l="1"/>
  <c r="C114" i="15"/>
  <c r="C125" i="15"/>
  <c r="C118" i="15"/>
  <c r="C124" i="15"/>
  <c r="C117" i="15"/>
  <c r="C123" i="15"/>
  <c r="C116" i="15"/>
  <c r="C122" i="15"/>
  <c r="C115" i="15"/>
  <c r="C121" i="15"/>
  <c r="C120" i="15"/>
  <c r="L11" i="15"/>
  <c r="P12" i="15" s="1"/>
  <c r="L10" i="8"/>
  <c r="P12" i="8" s="1"/>
  <c r="L10" i="7"/>
  <c r="P12" i="7" s="1"/>
  <c r="L11" i="21"/>
  <c r="P12" i="21" s="1"/>
  <c r="G70" i="15"/>
  <c r="O165" i="19"/>
  <c r="O166" i="19" s="1"/>
  <c r="O122" i="19"/>
  <c r="O123" i="19" s="1"/>
  <c r="O79" i="19"/>
  <c r="O80" i="19" s="1"/>
  <c r="B38" i="21" l="1"/>
  <c r="L362" i="8"/>
  <c r="P364" i="8" s="1"/>
  <c r="L318" i="8"/>
  <c r="P320" i="8" s="1"/>
  <c r="L274" i="8"/>
  <c r="P276" i="8" s="1"/>
  <c r="L230" i="8"/>
  <c r="P232" i="8" s="1"/>
  <c r="L186" i="8"/>
  <c r="P188" i="8" s="1"/>
  <c r="L142" i="8"/>
  <c r="P144" i="8" s="1"/>
  <c r="L98" i="8"/>
  <c r="P100" i="8" s="1"/>
  <c r="L54" i="8"/>
  <c r="P56" i="8" s="1"/>
  <c r="E38" i="8"/>
  <c r="D38" i="8"/>
  <c r="B38" i="8"/>
  <c r="L494" i="7"/>
  <c r="P496" i="7" s="1"/>
  <c r="L450" i="7"/>
  <c r="P452" i="7" s="1"/>
  <c r="L406" i="7"/>
  <c r="P408" i="7" s="1"/>
  <c r="L362" i="7"/>
  <c r="P364" i="7" s="1"/>
  <c r="L318" i="7"/>
  <c r="P320" i="7" s="1"/>
  <c r="L274" i="7"/>
  <c r="P276" i="7" s="1"/>
  <c r="L230" i="7"/>
  <c r="P232" i="7" s="1"/>
  <c r="L186" i="7"/>
  <c r="P188" i="7" s="1"/>
  <c r="L142" i="7"/>
  <c r="P144" i="7" s="1"/>
  <c r="L98" i="7"/>
  <c r="P100" i="7" s="1"/>
  <c r="L54" i="7"/>
  <c r="P56" i="7" s="1"/>
  <c r="E38" i="7"/>
  <c r="D38" i="7"/>
  <c r="B38" i="7"/>
  <c r="L230" i="6"/>
  <c r="P232" i="6" s="1"/>
  <c r="L186" i="6"/>
  <c r="P188" i="6" s="1"/>
  <c r="L142" i="6"/>
  <c r="P144" i="6" s="1"/>
  <c r="L98" i="6"/>
  <c r="P100" i="6" s="1"/>
  <c r="L54" i="6"/>
  <c r="P56" i="6" s="1"/>
  <c r="L99" i="21"/>
  <c r="P100" i="21" s="1"/>
  <c r="L55" i="21"/>
  <c r="P56" i="21" s="1"/>
  <c r="E38" i="21"/>
  <c r="D38" i="21"/>
  <c r="N68" i="37"/>
  <c r="M68" i="37"/>
  <c r="N69" i="37"/>
  <c r="M69" i="37"/>
  <c r="N67" i="37"/>
  <c r="M67" i="37"/>
  <c r="G114" i="15"/>
  <c r="C31" i="8" l="1"/>
  <c r="C33" i="8"/>
  <c r="C26" i="8"/>
  <c r="C35" i="8"/>
  <c r="C28" i="8"/>
  <c r="C37" i="8"/>
  <c r="C34" i="8"/>
  <c r="C30" i="8"/>
  <c r="C32" i="8"/>
  <c r="C27" i="8"/>
  <c r="C36" i="8"/>
  <c r="C29" i="8"/>
  <c r="C31" i="7"/>
  <c r="C33" i="7"/>
  <c r="C34" i="7"/>
  <c r="C26" i="7"/>
  <c r="C35" i="7"/>
  <c r="C28" i="7"/>
  <c r="C37" i="7"/>
  <c r="C30" i="7"/>
  <c r="C32" i="7"/>
  <c r="C27" i="7"/>
  <c r="C36" i="7"/>
  <c r="C29" i="7"/>
  <c r="C31" i="21"/>
  <c r="C33" i="21"/>
  <c r="C26" i="21"/>
  <c r="H27" i="21" s="1"/>
  <c r="C35" i="21"/>
  <c r="C29" i="21"/>
  <c r="C28" i="21"/>
  <c r="C36" i="21"/>
  <c r="C37" i="21"/>
  <c r="C30" i="21"/>
  <c r="C32" i="21"/>
  <c r="C34" i="21"/>
  <c r="C27" i="21"/>
  <c r="N70" i="37"/>
  <c r="L275" i="6"/>
  <c r="F26" i="37" s="1"/>
  <c r="F27" i="37" s="1"/>
  <c r="F28" i="37" s="1"/>
  <c r="L274" i="6"/>
  <c r="P276" i="6" s="1"/>
  <c r="M70" i="37"/>
  <c r="B346" i="8"/>
  <c r="B478" i="7"/>
  <c r="B258" i="8"/>
  <c r="B214" i="8"/>
  <c r="B126" i="8"/>
  <c r="B82" i="8"/>
  <c r="B434" i="7"/>
  <c r="B390" i="7"/>
  <c r="B346" i="7"/>
  <c r="C339" i="7" s="1"/>
  <c r="B258" i="7"/>
  <c r="B214" i="7"/>
  <c r="B170" i="7"/>
  <c r="B126" i="7"/>
  <c r="B258" i="6"/>
  <c r="B214" i="6"/>
  <c r="B82" i="6"/>
  <c r="B126" i="21"/>
  <c r="D390" i="8"/>
  <c r="E390" i="8"/>
  <c r="B390" i="8"/>
  <c r="D346" i="8"/>
  <c r="E346" i="8"/>
  <c r="D302" i="8"/>
  <c r="E302" i="8"/>
  <c r="B302" i="8"/>
  <c r="D258" i="8"/>
  <c r="E258" i="8"/>
  <c r="D214" i="8"/>
  <c r="E214" i="8"/>
  <c r="E170" i="8"/>
  <c r="D170" i="8"/>
  <c r="B170" i="8"/>
  <c r="D126" i="8"/>
  <c r="E126" i="8"/>
  <c r="D82" i="8"/>
  <c r="E82" i="8"/>
  <c r="D522" i="7"/>
  <c r="E522" i="7"/>
  <c r="B522" i="7"/>
  <c r="D478" i="7"/>
  <c r="E478" i="7"/>
  <c r="D434" i="7"/>
  <c r="E434" i="7"/>
  <c r="D390" i="7"/>
  <c r="E390" i="7"/>
  <c r="D346" i="7"/>
  <c r="E346" i="7"/>
  <c r="D302" i="7"/>
  <c r="E302" i="7"/>
  <c r="B302" i="7"/>
  <c r="D258" i="7"/>
  <c r="E258" i="7"/>
  <c r="E214" i="7"/>
  <c r="D214" i="7"/>
  <c r="E170" i="7"/>
  <c r="D170" i="7"/>
  <c r="D126" i="7"/>
  <c r="E126" i="7"/>
  <c r="D82" i="7"/>
  <c r="E82" i="7"/>
  <c r="B82" i="7"/>
  <c r="D302" i="6"/>
  <c r="E302" i="6"/>
  <c r="B302" i="6"/>
  <c r="D258" i="6"/>
  <c r="E258" i="6"/>
  <c r="D214" i="6"/>
  <c r="E214" i="6"/>
  <c r="D170" i="6"/>
  <c r="B170" i="6"/>
  <c r="D126" i="6"/>
  <c r="E126" i="6"/>
  <c r="B126" i="6"/>
  <c r="E82" i="6"/>
  <c r="D82" i="6"/>
  <c r="E126" i="21"/>
  <c r="D126" i="21"/>
  <c r="E82" i="21"/>
  <c r="D82" i="21"/>
  <c r="B82" i="21"/>
  <c r="O141" i="36"/>
  <c r="N141" i="36"/>
  <c r="C383" i="8" l="1"/>
  <c r="C385" i="8"/>
  <c r="C378" i="8"/>
  <c r="C387" i="8"/>
  <c r="C380" i="8"/>
  <c r="C389" i="8"/>
  <c r="C382" i="8"/>
  <c r="C379" i="8"/>
  <c r="C384" i="8"/>
  <c r="C386" i="8"/>
  <c r="C388" i="8"/>
  <c r="C381" i="8"/>
  <c r="C339" i="8"/>
  <c r="C341" i="8"/>
  <c r="C334" i="8"/>
  <c r="C343" i="8"/>
  <c r="C336" i="8"/>
  <c r="C344" i="8"/>
  <c r="C345" i="8"/>
  <c r="C338" i="8"/>
  <c r="C340" i="8"/>
  <c r="C342" i="8"/>
  <c r="C335" i="8"/>
  <c r="C337" i="8"/>
  <c r="C515" i="7"/>
  <c r="C517" i="7"/>
  <c r="C510" i="7"/>
  <c r="C511" i="7"/>
  <c r="C519" i="7"/>
  <c r="C512" i="7"/>
  <c r="C518" i="7"/>
  <c r="C520" i="7"/>
  <c r="C521" i="7"/>
  <c r="C513" i="7"/>
  <c r="C516" i="7"/>
  <c r="C514" i="7"/>
  <c r="C471" i="7"/>
  <c r="C469" i="7"/>
  <c r="C476" i="7"/>
  <c r="C473" i="7"/>
  <c r="C466" i="7"/>
  <c r="C467" i="7"/>
  <c r="C475" i="7"/>
  <c r="C468" i="7"/>
  <c r="C477" i="7"/>
  <c r="C474" i="7"/>
  <c r="C470" i="7"/>
  <c r="C472" i="7"/>
  <c r="C295" i="6"/>
  <c r="C293" i="6"/>
  <c r="C291" i="6"/>
  <c r="C301" i="6"/>
  <c r="C297" i="6"/>
  <c r="C296" i="6"/>
  <c r="C298" i="6"/>
  <c r="C290" i="6"/>
  <c r="C299" i="6"/>
  <c r="C292" i="6"/>
  <c r="C300" i="6"/>
  <c r="C294" i="6"/>
  <c r="C251" i="6"/>
  <c r="C256" i="6"/>
  <c r="C252" i="6"/>
  <c r="C253" i="6"/>
  <c r="C247" i="6"/>
  <c r="C249" i="6"/>
  <c r="C246" i="6"/>
  <c r="C255" i="6"/>
  <c r="C254" i="6"/>
  <c r="C248" i="6"/>
  <c r="C257" i="6"/>
  <c r="C250" i="6"/>
  <c r="C251" i="8"/>
  <c r="C247" i="8"/>
  <c r="C252" i="8"/>
  <c r="C256" i="8"/>
  <c r="C254" i="8"/>
  <c r="C253" i="8"/>
  <c r="C246" i="8"/>
  <c r="C249" i="8"/>
  <c r="C255" i="8"/>
  <c r="C248" i="8"/>
  <c r="C257" i="8"/>
  <c r="C250" i="8"/>
  <c r="C295" i="8"/>
  <c r="C298" i="8"/>
  <c r="C300" i="8"/>
  <c r="C297" i="8"/>
  <c r="C290" i="8"/>
  <c r="C293" i="8"/>
  <c r="C296" i="8"/>
  <c r="C299" i="8"/>
  <c r="C291" i="8"/>
  <c r="C292" i="8"/>
  <c r="C301" i="8"/>
  <c r="C294" i="8"/>
  <c r="C383" i="7"/>
  <c r="C381" i="7"/>
  <c r="C384" i="7"/>
  <c r="C388" i="7"/>
  <c r="C385" i="7"/>
  <c r="C378" i="7"/>
  <c r="C387" i="7"/>
  <c r="C386" i="7"/>
  <c r="C379" i="7"/>
  <c r="C380" i="7"/>
  <c r="C389" i="7"/>
  <c r="C382" i="7"/>
  <c r="C427" i="7"/>
  <c r="C432" i="7"/>
  <c r="C428" i="7"/>
  <c r="C430" i="7"/>
  <c r="C429" i="7"/>
  <c r="C422" i="7"/>
  <c r="C431" i="7"/>
  <c r="C423" i="7"/>
  <c r="C424" i="7"/>
  <c r="C433" i="7"/>
  <c r="C426" i="7"/>
  <c r="C425" i="7"/>
  <c r="C207" i="6"/>
  <c r="C208" i="6"/>
  <c r="C209" i="6"/>
  <c r="C203" i="6"/>
  <c r="C204" i="6"/>
  <c r="C202" i="6"/>
  <c r="C211" i="6"/>
  <c r="C210" i="6"/>
  <c r="C205" i="6"/>
  <c r="C213" i="6"/>
  <c r="C206" i="6"/>
  <c r="C212" i="6"/>
  <c r="C163" i="6"/>
  <c r="C168" i="6"/>
  <c r="C161" i="6"/>
  <c r="C165" i="6"/>
  <c r="C158" i="6"/>
  <c r="C164" i="6"/>
  <c r="C167" i="6"/>
  <c r="C166" i="6"/>
  <c r="C160" i="6"/>
  <c r="C169" i="6"/>
  <c r="C159" i="6"/>
  <c r="C162" i="6"/>
  <c r="C207" i="8"/>
  <c r="C209" i="8"/>
  <c r="C202" i="8"/>
  <c r="C211" i="8"/>
  <c r="C210" i="8"/>
  <c r="C204" i="8"/>
  <c r="C212" i="8"/>
  <c r="C213" i="8"/>
  <c r="C206" i="8"/>
  <c r="C208" i="8"/>
  <c r="C203" i="8"/>
  <c r="C205" i="8"/>
  <c r="C163" i="8"/>
  <c r="C165" i="8"/>
  <c r="C158" i="8"/>
  <c r="C167" i="8"/>
  <c r="C160" i="8"/>
  <c r="C169" i="8"/>
  <c r="C162" i="8"/>
  <c r="C164" i="8"/>
  <c r="C166" i="8"/>
  <c r="C159" i="8"/>
  <c r="C168" i="8"/>
  <c r="C161" i="8"/>
  <c r="C119" i="8"/>
  <c r="C121" i="8"/>
  <c r="C114" i="8"/>
  <c r="C123" i="8"/>
  <c r="C116" i="8"/>
  <c r="C125" i="8"/>
  <c r="C124" i="8"/>
  <c r="C118" i="8"/>
  <c r="C120" i="8"/>
  <c r="C122" i="8"/>
  <c r="C115" i="8"/>
  <c r="C117" i="8"/>
  <c r="C75" i="8"/>
  <c r="C77" i="8"/>
  <c r="C70" i="8"/>
  <c r="C79" i="8"/>
  <c r="C72" i="8"/>
  <c r="C81" i="8"/>
  <c r="C74" i="8"/>
  <c r="C76" i="8"/>
  <c r="C78" i="8"/>
  <c r="C71" i="8"/>
  <c r="C80" i="8"/>
  <c r="C73" i="8"/>
  <c r="G29" i="8"/>
  <c r="O29" i="8"/>
  <c r="G36" i="8"/>
  <c r="O36" i="8"/>
  <c r="G27" i="8"/>
  <c r="O27" i="8"/>
  <c r="O32" i="8"/>
  <c r="G32" i="8"/>
  <c r="O30" i="8"/>
  <c r="G30" i="8"/>
  <c r="O34" i="8"/>
  <c r="G34" i="8"/>
  <c r="O37" i="8"/>
  <c r="G37" i="8"/>
  <c r="O28" i="8"/>
  <c r="G28" i="8"/>
  <c r="O35" i="8"/>
  <c r="G35" i="8"/>
  <c r="K31" i="8"/>
  <c r="J29" i="8"/>
  <c r="N31" i="8"/>
  <c r="M32" i="8"/>
  <c r="I30" i="8"/>
  <c r="I29" i="8"/>
  <c r="L32" i="8"/>
  <c r="H30" i="8"/>
  <c r="K32" i="8"/>
  <c r="N34" i="8"/>
  <c r="J32" i="8"/>
  <c r="M34" i="8"/>
  <c r="I32" i="8"/>
  <c r="N33" i="8"/>
  <c r="L34" i="8"/>
  <c r="H32" i="8"/>
  <c r="N27" i="8"/>
  <c r="K34" i="8"/>
  <c r="M27" i="8"/>
  <c r="N36" i="8"/>
  <c r="J34" i="8"/>
  <c r="L27" i="8"/>
  <c r="H29" i="8"/>
  <c r="J31" i="8"/>
  <c r="M36" i="8"/>
  <c r="I34" i="8"/>
  <c r="K27" i="8"/>
  <c r="L36" i="8"/>
  <c r="H34" i="8"/>
  <c r="N29" i="8"/>
  <c r="J27" i="8"/>
  <c r="K36" i="8"/>
  <c r="M29" i="8"/>
  <c r="I27" i="8"/>
  <c r="J36" i="8"/>
  <c r="L29" i="8"/>
  <c r="H27" i="8"/>
  <c r="H36" i="8"/>
  <c r="M31" i="8"/>
  <c r="I36" i="8"/>
  <c r="K29" i="8"/>
  <c r="M33" i="8"/>
  <c r="I31" i="8"/>
  <c r="O26" i="8"/>
  <c r="L33" i="8"/>
  <c r="H31" i="8"/>
  <c r="N26" i="8"/>
  <c r="L31" i="8"/>
  <c r="K33" i="8"/>
  <c r="M26" i="8"/>
  <c r="N35" i="8"/>
  <c r="J33" i="8"/>
  <c r="L26" i="8"/>
  <c r="H33" i="8"/>
  <c r="M35" i="8"/>
  <c r="I33" i="8"/>
  <c r="K26" i="8"/>
  <c r="L35" i="8"/>
  <c r="N28" i="8"/>
  <c r="J26" i="8"/>
  <c r="K35" i="8"/>
  <c r="I37" i="8"/>
  <c r="H28" i="8"/>
  <c r="L30" i="8"/>
  <c r="J37" i="8"/>
  <c r="J35" i="8"/>
  <c r="I26" i="8"/>
  <c r="I28" i="8"/>
  <c r="M30" i="8"/>
  <c r="K37" i="8"/>
  <c r="J28" i="8"/>
  <c r="N30" i="8"/>
  <c r="H35" i="8"/>
  <c r="L37" i="8"/>
  <c r="G26" i="8"/>
  <c r="K28" i="8"/>
  <c r="I35" i="8"/>
  <c r="N37" i="8"/>
  <c r="M28" i="8"/>
  <c r="M37" i="8"/>
  <c r="H26" i="8"/>
  <c r="L28" i="8"/>
  <c r="K30" i="8"/>
  <c r="J30" i="8"/>
  <c r="H37" i="8"/>
  <c r="N32" i="8"/>
  <c r="O33" i="8"/>
  <c r="G33" i="8"/>
  <c r="O31" i="8"/>
  <c r="G31" i="8"/>
  <c r="C341" i="7"/>
  <c r="C334" i="7"/>
  <c r="C343" i="7"/>
  <c r="C344" i="7"/>
  <c r="C336" i="7"/>
  <c r="C345" i="7"/>
  <c r="C338" i="7"/>
  <c r="C340" i="7"/>
  <c r="C342" i="7"/>
  <c r="C335" i="7"/>
  <c r="C337" i="7"/>
  <c r="C295" i="7"/>
  <c r="C297" i="7"/>
  <c r="C290" i="7"/>
  <c r="C298" i="7"/>
  <c r="C299" i="7"/>
  <c r="C292" i="7"/>
  <c r="C301" i="7"/>
  <c r="C294" i="7"/>
  <c r="C296" i="7"/>
  <c r="C291" i="7"/>
  <c r="C300" i="7"/>
  <c r="C293" i="7"/>
  <c r="C251" i="7"/>
  <c r="C253" i="7"/>
  <c r="C246" i="7"/>
  <c r="C255" i="7"/>
  <c r="C248" i="7"/>
  <c r="C257" i="7"/>
  <c r="C250" i="7"/>
  <c r="C252" i="7"/>
  <c r="C254" i="7"/>
  <c r="C247" i="7"/>
  <c r="C256" i="7"/>
  <c r="C249" i="7"/>
  <c r="C207" i="7"/>
  <c r="C203" i="7"/>
  <c r="C212" i="7"/>
  <c r="C209" i="7"/>
  <c r="C202" i="7"/>
  <c r="C211" i="7"/>
  <c r="C204" i="7"/>
  <c r="C213" i="7"/>
  <c r="C206" i="7"/>
  <c r="C208" i="7"/>
  <c r="C210" i="7"/>
  <c r="C205" i="7"/>
  <c r="C163" i="7"/>
  <c r="C165" i="7"/>
  <c r="C158" i="7"/>
  <c r="C167" i="7"/>
  <c r="C160" i="7"/>
  <c r="C169" i="7"/>
  <c r="C162" i="7"/>
  <c r="C168" i="7"/>
  <c r="C164" i="7"/>
  <c r="C166" i="7"/>
  <c r="C159" i="7"/>
  <c r="C161" i="7"/>
  <c r="C119" i="7"/>
  <c r="C121" i="7"/>
  <c r="C114" i="7"/>
  <c r="C123" i="7"/>
  <c r="C116" i="7"/>
  <c r="C115" i="7"/>
  <c r="C125" i="7"/>
  <c r="C122" i="7"/>
  <c r="C118" i="7"/>
  <c r="C124" i="7"/>
  <c r="C120" i="7"/>
  <c r="C117" i="7"/>
  <c r="C75" i="7"/>
  <c r="C77" i="7"/>
  <c r="C70" i="7"/>
  <c r="C79" i="7"/>
  <c r="C80" i="7"/>
  <c r="C72" i="7"/>
  <c r="C81" i="7"/>
  <c r="C74" i="7"/>
  <c r="C76" i="7"/>
  <c r="C78" i="7"/>
  <c r="C71" i="7"/>
  <c r="C73" i="7"/>
  <c r="O29" i="7"/>
  <c r="G29" i="7"/>
  <c r="O36" i="7"/>
  <c r="G36" i="7"/>
  <c r="O27" i="7"/>
  <c r="G27" i="7"/>
  <c r="O32" i="7"/>
  <c r="G32" i="7"/>
  <c r="G30" i="7"/>
  <c r="O30" i="7"/>
  <c r="O37" i="7"/>
  <c r="G37" i="7"/>
  <c r="O28" i="7"/>
  <c r="G28" i="7"/>
  <c r="O35" i="7"/>
  <c r="G35" i="7"/>
  <c r="I29" i="7"/>
  <c r="M31" i="7"/>
  <c r="I31" i="7"/>
  <c r="L32" i="7"/>
  <c r="H30" i="7"/>
  <c r="L33" i="7"/>
  <c r="K32" i="7"/>
  <c r="N34" i="7"/>
  <c r="J32" i="7"/>
  <c r="M34" i="7"/>
  <c r="I32" i="7"/>
  <c r="L31" i="7"/>
  <c r="N26" i="7"/>
  <c r="L34" i="7"/>
  <c r="H32" i="7"/>
  <c r="N27" i="7"/>
  <c r="K34" i="7"/>
  <c r="M27" i="7"/>
  <c r="O26" i="7"/>
  <c r="N36" i="7"/>
  <c r="J34" i="7"/>
  <c r="L27" i="7"/>
  <c r="M36" i="7"/>
  <c r="I34" i="7"/>
  <c r="K27" i="7"/>
  <c r="L36" i="7"/>
  <c r="H34" i="7"/>
  <c r="N29" i="7"/>
  <c r="J27" i="7"/>
  <c r="H29" i="7"/>
  <c r="H31" i="7"/>
  <c r="K36" i="7"/>
  <c r="M29" i="7"/>
  <c r="I27" i="7"/>
  <c r="J36" i="7"/>
  <c r="L29" i="7"/>
  <c r="H27" i="7"/>
  <c r="I36" i="7"/>
  <c r="K29" i="7"/>
  <c r="H36" i="7"/>
  <c r="N31" i="7"/>
  <c r="J29" i="7"/>
  <c r="K31" i="7"/>
  <c r="N33" i="7"/>
  <c r="J31" i="7"/>
  <c r="M33" i="7"/>
  <c r="K33" i="7"/>
  <c r="M26" i="7"/>
  <c r="M35" i="7"/>
  <c r="H33" i="7"/>
  <c r="J26" i="7"/>
  <c r="N35" i="7"/>
  <c r="J33" i="7"/>
  <c r="L26" i="7"/>
  <c r="I33" i="7"/>
  <c r="K26" i="7"/>
  <c r="L35" i="7"/>
  <c r="N28" i="7"/>
  <c r="K35" i="7"/>
  <c r="J30" i="7"/>
  <c r="N32" i="7"/>
  <c r="H37" i="7"/>
  <c r="K30" i="7"/>
  <c r="I37" i="7"/>
  <c r="H28" i="7"/>
  <c r="L30" i="7"/>
  <c r="J37" i="7"/>
  <c r="H26" i="7"/>
  <c r="I28" i="7"/>
  <c r="M30" i="7"/>
  <c r="K37" i="7"/>
  <c r="J28" i="7"/>
  <c r="N30" i="7"/>
  <c r="H35" i="7"/>
  <c r="L37" i="7"/>
  <c r="G26" i="7"/>
  <c r="K28" i="7"/>
  <c r="I35" i="7"/>
  <c r="M37" i="7"/>
  <c r="J35" i="7"/>
  <c r="L28" i="7"/>
  <c r="N37" i="7"/>
  <c r="I26" i="7"/>
  <c r="I30" i="7"/>
  <c r="M32" i="7"/>
  <c r="M28" i="7"/>
  <c r="O34" i="7"/>
  <c r="G34" i="7"/>
  <c r="O33" i="7"/>
  <c r="G33" i="7"/>
  <c r="O31" i="7"/>
  <c r="G31" i="7"/>
  <c r="C119" i="6"/>
  <c r="C121" i="6"/>
  <c r="C114" i="6"/>
  <c r="C123" i="6"/>
  <c r="C116" i="6"/>
  <c r="C125" i="6"/>
  <c r="C118" i="6"/>
  <c r="C120" i="6"/>
  <c r="C122" i="6"/>
  <c r="C115" i="6"/>
  <c r="C124" i="6"/>
  <c r="C117" i="6"/>
  <c r="C75" i="6"/>
  <c r="C77" i="6"/>
  <c r="C70" i="6"/>
  <c r="C79" i="6"/>
  <c r="C72" i="6"/>
  <c r="C81" i="6"/>
  <c r="C74" i="6"/>
  <c r="C76" i="6"/>
  <c r="C78" i="6"/>
  <c r="C71" i="6"/>
  <c r="C80" i="6"/>
  <c r="C73" i="6"/>
  <c r="C119" i="21"/>
  <c r="C121" i="21"/>
  <c r="C114" i="21"/>
  <c r="C123" i="21"/>
  <c r="C116" i="21"/>
  <c r="C125" i="21"/>
  <c r="C117" i="21"/>
  <c r="C118" i="21"/>
  <c r="C120" i="21"/>
  <c r="C122" i="21"/>
  <c r="C115" i="21"/>
  <c r="C124" i="21"/>
  <c r="C75" i="21"/>
  <c r="C77" i="21"/>
  <c r="C70" i="21"/>
  <c r="C79" i="21"/>
  <c r="C72" i="21"/>
  <c r="C81" i="21"/>
  <c r="C74" i="21"/>
  <c r="C76" i="21"/>
  <c r="C73" i="21"/>
  <c r="C78" i="21"/>
  <c r="C71" i="21"/>
  <c r="C80" i="21"/>
  <c r="O27" i="21"/>
  <c r="G27" i="21"/>
  <c r="O34" i="21"/>
  <c r="G34" i="21"/>
  <c r="O32" i="21"/>
  <c r="G32" i="21"/>
  <c r="O30" i="21"/>
  <c r="G30" i="21"/>
  <c r="O37" i="21"/>
  <c r="G37" i="21"/>
  <c r="O36" i="21"/>
  <c r="G36" i="21"/>
  <c r="O28" i="21"/>
  <c r="G28" i="21"/>
  <c r="O29" i="21"/>
  <c r="G29" i="21"/>
  <c r="O35" i="21"/>
  <c r="G35" i="21"/>
  <c r="J31" i="21"/>
  <c r="H26" i="21"/>
  <c r="L30" i="21"/>
  <c r="H28" i="21"/>
  <c r="M26" i="21"/>
  <c r="M32" i="21"/>
  <c r="I30" i="21"/>
  <c r="L32" i="21"/>
  <c r="H30" i="21"/>
  <c r="N33" i="21"/>
  <c r="K33" i="21"/>
  <c r="K32" i="21"/>
  <c r="N34" i="21"/>
  <c r="J32" i="21"/>
  <c r="M34" i="21"/>
  <c r="I32" i="21"/>
  <c r="M33" i="21"/>
  <c r="L34" i="21"/>
  <c r="H32" i="21"/>
  <c r="N27" i="21"/>
  <c r="K34" i="21"/>
  <c r="M27" i="21"/>
  <c r="N36" i="21"/>
  <c r="J34" i="21"/>
  <c r="L27" i="21"/>
  <c r="I31" i="21"/>
  <c r="M36" i="21"/>
  <c r="I34" i="21"/>
  <c r="K27" i="21"/>
  <c r="L36" i="21"/>
  <c r="H34" i="21"/>
  <c r="N29" i="21"/>
  <c r="J27" i="21"/>
  <c r="O26" i="21"/>
  <c r="K36" i="21"/>
  <c r="M29" i="21"/>
  <c r="I27" i="21"/>
  <c r="J36" i="21"/>
  <c r="L29" i="21"/>
  <c r="I36" i="21"/>
  <c r="K29" i="21"/>
  <c r="H36" i="21"/>
  <c r="N31" i="21"/>
  <c r="J29" i="21"/>
  <c r="M31" i="21"/>
  <c r="I29" i="21"/>
  <c r="L31" i="21"/>
  <c r="H29" i="21"/>
  <c r="K31" i="21"/>
  <c r="L33" i="21"/>
  <c r="H31" i="21"/>
  <c r="N26" i="21"/>
  <c r="N35" i="21"/>
  <c r="J33" i="21"/>
  <c r="L26" i="21"/>
  <c r="H33" i="21"/>
  <c r="J26" i="21"/>
  <c r="M35" i="21"/>
  <c r="I33" i="21"/>
  <c r="K26" i="21"/>
  <c r="L35" i="21"/>
  <c r="N28" i="21"/>
  <c r="H37" i="21"/>
  <c r="K30" i="21"/>
  <c r="I37" i="21"/>
  <c r="J37" i="21"/>
  <c r="I28" i="21"/>
  <c r="M30" i="21"/>
  <c r="K35" i="21"/>
  <c r="K37" i="21"/>
  <c r="J28" i="21"/>
  <c r="N30" i="21"/>
  <c r="H35" i="21"/>
  <c r="L37" i="21"/>
  <c r="G26" i="21"/>
  <c r="K28" i="21"/>
  <c r="N32" i="21"/>
  <c r="I35" i="21"/>
  <c r="M37" i="21"/>
  <c r="L28" i="21"/>
  <c r="J35" i="21"/>
  <c r="N37" i="21"/>
  <c r="J30" i="21"/>
  <c r="I26" i="21"/>
  <c r="M28" i="21"/>
  <c r="O33" i="21"/>
  <c r="G33" i="21"/>
  <c r="G31" i="21"/>
  <c r="O31" i="21"/>
  <c r="E170" i="6"/>
  <c r="N522" i="7"/>
  <c r="N390" i="8"/>
  <c r="N346" i="8"/>
  <c r="N302" i="8"/>
  <c r="N258" i="8"/>
  <c r="N478" i="7"/>
  <c r="N434" i="7"/>
  <c r="N390" i="7"/>
  <c r="N302" i="6"/>
  <c r="N258" i="6"/>
  <c r="N214" i="6"/>
  <c r="N170" i="6"/>
  <c r="O142" i="36"/>
  <c r="N142" i="36"/>
  <c r="G381" i="8" l="1"/>
  <c r="O381" i="8"/>
  <c r="G388" i="8"/>
  <c r="O388" i="8"/>
  <c r="O386" i="8"/>
  <c r="G386" i="8"/>
  <c r="O384" i="8"/>
  <c r="G384" i="8"/>
  <c r="O379" i="8"/>
  <c r="G379" i="8"/>
  <c r="O382" i="8"/>
  <c r="G382" i="8"/>
  <c r="G389" i="8"/>
  <c r="O389" i="8"/>
  <c r="O380" i="8"/>
  <c r="G380" i="8"/>
  <c r="O387" i="8"/>
  <c r="G387" i="8"/>
  <c r="M389" i="8"/>
  <c r="I387" i="8"/>
  <c r="K380" i="8"/>
  <c r="G378" i="8"/>
  <c r="M384" i="8"/>
  <c r="I382" i="8"/>
  <c r="L384" i="8"/>
  <c r="H382" i="8"/>
  <c r="K384" i="8"/>
  <c r="J384" i="8"/>
  <c r="L383" i="8"/>
  <c r="M386" i="8"/>
  <c r="I384" i="8"/>
  <c r="L386" i="8"/>
  <c r="H384" i="8"/>
  <c r="K386" i="8"/>
  <c r="M379" i="8"/>
  <c r="J386" i="8"/>
  <c r="L379" i="8"/>
  <c r="H381" i="8"/>
  <c r="M388" i="8"/>
  <c r="I386" i="8"/>
  <c r="K379" i="8"/>
  <c r="L388" i="8"/>
  <c r="H386" i="8"/>
  <c r="J379" i="8"/>
  <c r="K388" i="8"/>
  <c r="M381" i="8"/>
  <c r="I379" i="8"/>
  <c r="J388" i="8"/>
  <c r="L381" i="8"/>
  <c r="H379" i="8"/>
  <c r="I388" i="8"/>
  <c r="K381" i="8"/>
  <c r="M383" i="8"/>
  <c r="I381" i="8"/>
  <c r="H388" i="8"/>
  <c r="J381" i="8"/>
  <c r="J383" i="8"/>
  <c r="M385" i="8"/>
  <c r="I383" i="8"/>
  <c r="O378" i="8"/>
  <c r="K383" i="8"/>
  <c r="L385" i="8"/>
  <c r="H383" i="8"/>
  <c r="K385" i="8"/>
  <c r="M378" i="8"/>
  <c r="J385" i="8"/>
  <c r="L378" i="8"/>
  <c r="H385" i="8"/>
  <c r="M387" i="8"/>
  <c r="I385" i="8"/>
  <c r="K378" i="8"/>
  <c r="L387" i="8"/>
  <c r="J378" i="8"/>
  <c r="H389" i="8"/>
  <c r="K382" i="8"/>
  <c r="I389" i="8"/>
  <c r="H380" i="8"/>
  <c r="J382" i="8"/>
  <c r="L382" i="8"/>
  <c r="J389" i="8"/>
  <c r="I380" i="8"/>
  <c r="K387" i="8"/>
  <c r="M382" i="8"/>
  <c r="K389" i="8"/>
  <c r="J380" i="8"/>
  <c r="H387" i="8"/>
  <c r="L389" i="8"/>
  <c r="H378" i="8"/>
  <c r="L380" i="8"/>
  <c r="J387" i="8"/>
  <c r="I378" i="8"/>
  <c r="M380" i="8"/>
  <c r="O385" i="8"/>
  <c r="G385" i="8"/>
  <c r="O383" i="8"/>
  <c r="G383" i="8"/>
  <c r="G337" i="8"/>
  <c r="O337" i="8"/>
  <c r="O335" i="8"/>
  <c r="G335" i="8"/>
  <c r="O342" i="8"/>
  <c r="G342" i="8"/>
  <c r="O340" i="8"/>
  <c r="G340" i="8"/>
  <c r="O338" i="8"/>
  <c r="G338" i="8"/>
  <c r="O345" i="8"/>
  <c r="G345" i="8"/>
  <c r="O344" i="8"/>
  <c r="G344" i="8"/>
  <c r="O336" i="8"/>
  <c r="G336" i="8"/>
  <c r="O343" i="8"/>
  <c r="G343" i="8"/>
  <c r="I341" i="8"/>
  <c r="M335" i="8"/>
  <c r="L335" i="8"/>
  <c r="O334" i="8"/>
  <c r="K335" i="8"/>
  <c r="I339" i="8"/>
  <c r="L344" i="8"/>
  <c r="H342" i="8"/>
  <c r="J335" i="8"/>
  <c r="K344" i="8"/>
  <c r="M337" i="8"/>
  <c r="I335" i="8"/>
  <c r="J344" i="8"/>
  <c r="L337" i="8"/>
  <c r="H335" i="8"/>
  <c r="M341" i="8"/>
  <c r="K334" i="8"/>
  <c r="I344" i="8"/>
  <c r="K337" i="8"/>
  <c r="H344" i="8"/>
  <c r="J337" i="8"/>
  <c r="M339" i="8"/>
  <c r="I337" i="8"/>
  <c r="L339" i="8"/>
  <c r="H337" i="8"/>
  <c r="M343" i="8"/>
  <c r="K339" i="8"/>
  <c r="J339" i="8"/>
  <c r="L341" i="8"/>
  <c r="H339" i="8"/>
  <c r="K341" i="8"/>
  <c r="M334" i="8"/>
  <c r="J341" i="8"/>
  <c r="L334" i="8"/>
  <c r="L343" i="8"/>
  <c r="H341" i="8"/>
  <c r="J334" i="8"/>
  <c r="L342" i="8"/>
  <c r="J336" i="8"/>
  <c r="H336" i="8"/>
  <c r="K343" i="8"/>
  <c r="I340" i="8"/>
  <c r="M342" i="8"/>
  <c r="H343" i="8"/>
  <c r="I345" i="8"/>
  <c r="J340" i="8"/>
  <c r="L345" i="8"/>
  <c r="G334" i="8"/>
  <c r="K336" i="8"/>
  <c r="I343" i="8"/>
  <c r="K340" i="8"/>
  <c r="M345" i="8"/>
  <c r="H334" i="8"/>
  <c r="L336" i="8"/>
  <c r="I342" i="8"/>
  <c r="H338" i="8"/>
  <c r="J343" i="8"/>
  <c r="L340" i="8"/>
  <c r="J342" i="8"/>
  <c r="I334" i="8"/>
  <c r="I338" i="8"/>
  <c r="M336" i="8"/>
  <c r="L338" i="8"/>
  <c r="M340" i="8"/>
  <c r="J338" i="8"/>
  <c r="H345" i="8"/>
  <c r="M344" i="8"/>
  <c r="K338" i="8"/>
  <c r="J345" i="8"/>
  <c r="K342" i="8"/>
  <c r="M338" i="8"/>
  <c r="H340" i="8"/>
  <c r="I336" i="8"/>
  <c r="K345" i="8"/>
  <c r="G341" i="8"/>
  <c r="O341" i="8"/>
  <c r="O339" i="8"/>
  <c r="G339" i="8"/>
  <c r="O514" i="7"/>
  <c r="G514" i="7"/>
  <c r="O516" i="7"/>
  <c r="G516" i="7"/>
  <c r="G513" i="7"/>
  <c r="O513" i="7"/>
  <c r="G521" i="7"/>
  <c r="O521" i="7"/>
  <c r="G520" i="7"/>
  <c r="O520" i="7"/>
  <c r="G518" i="7"/>
  <c r="O518" i="7"/>
  <c r="O512" i="7"/>
  <c r="G512" i="7"/>
  <c r="O519" i="7"/>
  <c r="G519" i="7"/>
  <c r="O511" i="7"/>
  <c r="G511" i="7"/>
  <c r="K520" i="7"/>
  <c r="M515" i="7"/>
  <c r="J510" i="7"/>
  <c r="L520" i="7"/>
  <c r="L513" i="7"/>
  <c r="I515" i="7"/>
  <c r="K515" i="7"/>
  <c r="M517" i="7"/>
  <c r="J515" i="7"/>
  <c r="I517" i="7"/>
  <c r="H518" i="7"/>
  <c r="M513" i="7"/>
  <c r="K513" i="7"/>
  <c r="L517" i="7"/>
  <c r="K514" i="7"/>
  <c r="H511" i="7"/>
  <c r="H520" i="7"/>
  <c r="L515" i="7"/>
  <c r="L519" i="7"/>
  <c r="J513" i="7"/>
  <c r="H515" i="7"/>
  <c r="J517" i="7"/>
  <c r="I520" i="7"/>
  <c r="I513" i="7"/>
  <c r="L510" i="7"/>
  <c r="I516" i="7"/>
  <c r="M510" i="7"/>
  <c r="M518" i="7"/>
  <c r="I511" i="7"/>
  <c r="K517" i="7"/>
  <c r="K510" i="7"/>
  <c r="J516" i="7"/>
  <c r="H513" i="7"/>
  <c r="M519" i="7"/>
  <c r="L518" i="7"/>
  <c r="H516" i="7"/>
  <c r="K511" i="7"/>
  <c r="K518" i="7"/>
  <c r="M511" i="7"/>
  <c r="I518" i="7"/>
  <c r="J511" i="7"/>
  <c r="O510" i="7"/>
  <c r="H517" i="7"/>
  <c r="J518" i="7"/>
  <c r="L511" i="7"/>
  <c r="M520" i="7"/>
  <c r="J520" i="7"/>
  <c r="I514" i="7"/>
  <c r="J512" i="7"/>
  <c r="K516" i="7"/>
  <c r="M516" i="7"/>
  <c r="I510" i="7"/>
  <c r="M512" i="7"/>
  <c r="K512" i="7"/>
  <c r="K519" i="7"/>
  <c r="J514" i="7"/>
  <c r="M521" i="7"/>
  <c r="L516" i="7"/>
  <c r="H521" i="7"/>
  <c r="L521" i="7"/>
  <c r="I521" i="7"/>
  <c r="H519" i="7"/>
  <c r="G510" i="7"/>
  <c r="J519" i="7"/>
  <c r="M514" i="7"/>
  <c r="L512" i="7"/>
  <c r="H512" i="7"/>
  <c r="I512" i="7"/>
  <c r="K521" i="7"/>
  <c r="H514" i="7"/>
  <c r="L514" i="7"/>
  <c r="I519" i="7"/>
  <c r="J521" i="7"/>
  <c r="H510" i="7"/>
  <c r="O517" i="7"/>
  <c r="G517" i="7"/>
  <c r="G515" i="7"/>
  <c r="O515" i="7"/>
  <c r="G470" i="7"/>
  <c r="O470" i="7"/>
  <c r="O472" i="7"/>
  <c r="G472" i="7"/>
  <c r="O474" i="7"/>
  <c r="G474" i="7"/>
  <c r="G477" i="7"/>
  <c r="O477" i="7"/>
  <c r="O468" i="7"/>
  <c r="G468" i="7"/>
  <c r="O475" i="7"/>
  <c r="G475" i="7"/>
  <c r="G467" i="7"/>
  <c r="O467" i="7"/>
  <c r="L470" i="7"/>
  <c r="L476" i="7"/>
  <c r="L466" i="7"/>
  <c r="H468" i="7"/>
  <c r="I467" i="7"/>
  <c r="J466" i="7"/>
  <c r="H476" i="7"/>
  <c r="L471" i="7"/>
  <c r="L475" i="7"/>
  <c r="K467" i="7"/>
  <c r="I473" i="7"/>
  <c r="J477" i="7"/>
  <c r="M476" i="7"/>
  <c r="H467" i="7"/>
  <c r="M471" i="7"/>
  <c r="O466" i="7"/>
  <c r="M469" i="7"/>
  <c r="H471" i="7"/>
  <c r="J473" i="7"/>
  <c r="K466" i="7"/>
  <c r="H474" i="7"/>
  <c r="J476" i="7"/>
  <c r="M466" i="7"/>
  <c r="I472" i="7"/>
  <c r="J469" i="7"/>
  <c r="M474" i="7"/>
  <c r="J467" i="7"/>
  <c r="L469" i="7"/>
  <c r="H469" i="7"/>
  <c r="J471" i="7"/>
  <c r="L473" i="7"/>
  <c r="H473" i="7"/>
  <c r="J472" i="7"/>
  <c r="K476" i="7"/>
  <c r="K469" i="7"/>
  <c r="M473" i="7"/>
  <c r="K473" i="7"/>
  <c r="M475" i="7"/>
  <c r="L474" i="7"/>
  <c r="H472" i="7"/>
  <c r="J474" i="7"/>
  <c r="K474" i="7"/>
  <c r="M467" i="7"/>
  <c r="L467" i="7"/>
  <c r="I474" i="7"/>
  <c r="I476" i="7"/>
  <c r="I469" i="7"/>
  <c r="K471" i="7"/>
  <c r="I471" i="7"/>
  <c r="K475" i="7"/>
  <c r="M472" i="7"/>
  <c r="I466" i="7"/>
  <c r="M468" i="7"/>
  <c r="J470" i="7"/>
  <c r="L477" i="7"/>
  <c r="I475" i="7"/>
  <c r="L468" i="7"/>
  <c r="H477" i="7"/>
  <c r="J475" i="7"/>
  <c r="H466" i="7"/>
  <c r="K472" i="7"/>
  <c r="K470" i="7"/>
  <c r="M477" i="7"/>
  <c r="H475" i="7"/>
  <c r="H470" i="7"/>
  <c r="I477" i="7"/>
  <c r="K468" i="7"/>
  <c r="I470" i="7"/>
  <c r="L472" i="7"/>
  <c r="I468" i="7"/>
  <c r="M470" i="7"/>
  <c r="J468" i="7"/>
  <c r="G466" i="7"/>
  <c r="K477" i="7"/>
  <c r="O473" i="7"/>
  <c r="G473" i="7"/>
  <c r="G476" i="7"/>
  <c r="O476" i="7"/>
  <c r="G469" i="7"/>
  <c r="O469" i="7"/>
  <c r="O471" i="7"/>
  <c r="G471" i="7"/>
  <c r="G294" i="6"/>
  <c r="O294" i="6"/>
  <c r="O300" i="6"/>
  <c r="G300" i="6"/>
  <c r="O292" i="6"/>
  <c r="G292" i="6"/>
  <c r="O299" i="6"/>
  <c r="G299" i="6"/>
  <c r="J299" i="6"/>
  <c r="L292" i="6"/>
  <c r="H290" i="6"/>
  <c r="I293" i="6"/>
  <c r="K290" i="6"/>
  <c r="J290" i="6"/>
  <c r="I295" i="6"/>
  <c r="M298" i="6"/>
  <c r="I291" i="6"/>
  <c r="L301" i="6"/>
  <c r="H299" i="6"/>
  <c r="J292" i="6"/>
  <c r="I296" i="6"/>
  <c r="K293" i="6"/>
  <c r="K295" i="6"/>
  <c r="M297" i="6"/>
  <c r="K297" i="6"/>
  <c r="M299" i="6"/>
  <c r="J293" i="6"/>
  <c r="H293" i="6"/>
  <c r="J295" i="6"/>
  <c r="H295" i="6"/>
  <c r="J297" i="6"/>
  <c r="H297" i="6"/>
  <c r="L293" i="6"/>
  <c r="L297" i="6"/>
  <c r="K300" i="6"/>
  <c r="M295" i="6"/>
  <c r="M290" i="6"/>
  <c r="L296" i="6"/>
  <c r="H294" i="6"/>
  <c r="J296" i="6"/>
  <c r="H300" i="6"/>
  <c r="I300" i="6"/>
  <c r="O290" i="6"/>
  <c r="L290" i="6"/>
  <c r="L298" i="6"/>
  <c r="H296" i="6"/>
  <c r="M293" i="6"/>
  <c r="I297" i="6"/>
  <c r="K298" i="6"/>
  <c r="M291" i="6"/>
  <c r="I298" i="6"/>
  <c r="K291" i="6"/>
  <c r="H298" i="6"/>
  <c r="J300" i="6"/>
  <c r="L295" i="6"/>
  <c r="L299" i="6"/>
  <c r="J298" i="6"/>
  <c r="L291" i="6"/>
  <c r="M300" i="6"/>
  <c r="L300" i="6"/>
  <c r="J291" i="6"/>
  <c r="H291" i="6"/>
  <c r="K296" i="6"/>
  <c r="K299" i="6"/>
  <c r="J294" i="6"/>
  <c r="H301" i="6"/>
  <c r="G290" i="6"/>
  <c r="K294" i="6"/>
  <c r="I299" i="6"/>
  <c r="M296" i="6"/>
  <c r="I301" i="6"/>
  <c r="M292" i="6"/>
  <c r="H292" i="6"/>
  <c r="L294" i="6"/>
  <c r="I290" i="6"/>
  <c r="J301" i="6"/>
  <c r="I294" i="6"/>
  <c r="K292" i="6"/>
  <c r="I292" i="6"/>
  <c r="M294" i="6"/>
  <c r="K301" i="6"/>
  <c r="M301" i="6"/>
  <c r="G298" i="6"/>
  <c r="O298" i="6"/>
  <c r="O296" i="6"/>
  <c r="G296" i="6"/>
  <c r="O297" i="6"/>
  <c r="G297" i="6"/>
  <c r="O301" i="6"/>
  <c r="G301" i="6"/>
  <c r="G291" i="6"/>
  <c r="O291" i="6"/>
  <c r="G293" i="6"/>
  <c r="O293" i="6"/>
  <c r="G295" i="6"/>
  <c r="O295" i="6"/>
  <c r="O250" i="6"/>
  <c r="G250" i="6"/>
  <c r="G257" i="6"/>
  <c r="O257" i="6"/>
  <c r="O248" i="6"/>
  <c r="G248" i="6"/>
  <c r="G254" i="6"/>
  <c r="O254" i="6"/>
  <c r="O255" i="6"/>
  <c r="G255" i="6"/>
  <c r="I256" i="6"/>
  <c r="K246" i="6"/>
  <c r="J256" i="6"/>
  <c r="K253" i="6"/>
  <c r="M255" i="6"/>
  <c r="H253" i="6"/>
  <c r="I250" i="6"/>
  <c r="I249" i="6"/>
  <c r="M252" i="6"/>
  <c r="H256" i="6"/>
  <c r="J251" i="6"/>
  <c r="L253" i="6"/>
  <c r="K256" i="6"/>
  <c r="J246" i="6"/>
  <c r="J249" i="6"/>
  <c r="L251" i="6"/>
  <c r="H251" i="6"/>
  <c r="H254" i="6"/>
  <c r="K249" i="6"/>
  <c r="K251" i="6"/>
  <c r="O246" i="6"/>
  <c r="M246" i="6"/>
  <c r="L256" i="6"/>
  <c r="M253" i="6"/>
  <c r="I253" i="6"/>
  <c r="J252" i="6"/>
  <c r="K247" i="6"/>
  <c r="M249" i="6"/>
  <c r="L255" i="6"/>
  <c r="M254" i="6"/>
  <c r="I252" i="6"/>
  <c r="L249" i="6"/>
  <c r="M251" i="6"/>
  <c r="I251" i="6"/>
  <c r="L254" i="6"/>
  <c r="H252" i="6"/>
  <c r="J247" i="6"/>
  <c r="H247" i="6"/>
  <c r="K254" i="6"/>
  <c r="M247" i="6"/>
  <c r="I254" i="6"/>
  <c r="H249" i="6"/>
  <c r="L246" i="6"/>
  <c r="J254" i="6"/>
  <c r="L247" i="6"/>
  <c r="M256" i="6"/>
  <c r="I247" i="6"/>
  <c r="J253" i="6"/>
  <c r="I246" i="6"/>
  <c r="H246" i="6"/>
  <c r="M248" i="6"/>
  <c r="J248" i="6"/>
  <c r="J255" i="6"/>
  <c r="H257" i="6"/>
  <c r="G246" i="6"/>
  <c r="L248" i="6"/>
  <c r="K255" i="6"/>
  <c r="K250" i="6"/>
  <c r="J250" i="6"/>
  <c r="K252" i="6"/>
  <c r="I257" i="6"/>
  <c r="K248" i="6"/>
  <c r="M257" i="6"/>
  <c r="H248" i="6"/>
  <c r="L250" i="6"/>
  <c r="L257" i="6"/>
  <c r="L252" i="6"/>
  <c r="J257" i="6"/>
  <c r="H250" i="6"/>
  <c r="H255" i="6"/>
  <c r="I248" i="6"/>
  <c r="I255" i="6"/>
  <c r="M250" i="6"/>
  <c r="K257" i="6"/>
  <c r="O249" i="6"/>
  <c r="G249" i="6"/>
  <c r="O247" i="6"/>
  <c r="G247" i="6"/>
  <c r="O253" i="6"/>
  <c r="G253" i="6"/>
  <c r="O252" i="6"/>
  <c r="G252" i="6"/>
  <c r="G256" i="6"/>
  <c r="O256" i="6"/>
  <c r="O251" i="6"/>
  <c r="G251" i="6"/>
  <c r="G257" i="8"/>
  <c r="O257" i="8"/>
  <c r="O250" i="8"/>
  <c r="G250" i="8"/>
  <c r="O248" i="8"/>
  <c r="G248" i="8"/>
  <c r="O255" i="8"/>
  <c r="G255" i="8"/>
  <c r="G249" i="8"/>
  <c r="O249" i="8"/>
  <c r="J247" i="8"/>
  <c r="M251" i="8"/>
  <c r="L246" i="8"/>
  <c r="H256" i="8"/>
  <c r="L251" i="8"/>
  <c r="L255" i="8"/>
  <c r="M246" i="8"/>
  <c r="I256" i="8"/>
  <c r="I251" i="8"/>
  <c r="M255" i="8"/>
  <c r="L253" i="8"/>
  <c r="J253" i="8"/>
  <c r="L256" i="8"/>
  <c r="I252" i="8"/>
  <c r="H247" i="8"/>
  <c r="K251" i="8"/>
  <c r="O246" i="8"/>
  <c r="K246" i="8"/>
  <c r="J256" i="8"/>
  <c r="I249" i="8"/>
  <c r="I247" i="8"/>
  <c r="H249" i="8"/>
  <c r="H253" i="8"/>
  <c r="M254" i="8"/>
  <c r="M249" i="8"/>
  <c r="M253" i="8"/>
  <c r="J252" i="8"/>
  <c r="K256" i="8"/>
  <c r="K253" i="8"/>
  <c r="I253" i="8"/>
  <c r="L254" i="8"/>
  <c r="H252" i="8"/>
  <c r="L249" i="8"/>
  <c r="J249" i="8"/>
  <c r="J251" i="8"/>
  <c r="J246" i="8"/>
  <c r="K254" i="8"/>
  <c r="M247" i="8"/>
  <c r="I254" i="8"/>
  <c r="K249" i="8"/>
  <c r="H251" i="8"/>
  <c r="J254" i="8"/>
  <c r="L247" i="8"/>
  <c r="M256" i="8"/>
  <c r="K247" i="8"/>
  <c r="H254" i="8"/>
  <c r="L252" i="8"/>
  <c r="I255" i="8"/>
  <c r="J248" i="8"/>
  <c r="K255" i="8"/>
  <c r="M257" i="8"/>
  <c r="K248" i="8"/>
  <c r="H246" i="8"/>
  <c r="I250" i="8"/>
  <c r="L248" i="8"/>
  <c r="G246" i="8"/>
  <c r="M252" i="8"/>
  <c r="J255" i="8"/>
  <c r="J250" i="8"/>
  <c r="I246" i="8"/>
  <c r="M248" i="8"/>
  <c r="H257" i="8"/>
  <c r="H248" i="8"/>
  <c r="K252" i="8"/>
  <c r="J257" i="8"/>
  <c r="K250" i="8"/>
  <c r="L250" i="8"/>
  <c r="K257" i="8"/>
  <c r="H250" i="8"/>
  <c r="I248" i="8"/>
  <c r="L257" i="8"/>
  <c r="I257" i="8"/>
  <c r="M250" i="8"/>
  <c r="H255" i="8"/>
  <c r="O253" i="8"/>
  <c r="G253" i="8"/>
  <c r="G254" i="8"/>
  <c r="O254" i="8"/>
  <c r="G256" i="8"/>
  <c r="O256" i="8"/>
  <c r="O252" i="8"/>
  <c r="G252" i="8"/>
  <c r="G247" i="8"/>
  <c r="O247" i="8"/>
  <c r="O251" i="8"/>
  <c r="G251" i="8"/>
  <c r="O294" i="8"/>
  <c r="G294" i="8"/>
  <c r="G301" i="8"/>
  <c r="O301" i="8"/>
  <c r="O292" i="8"/>
  <c r="G292" i="8"/>
  <c r="O291" i="8"/>
  <c r="G291" i="8"/>
  <c r="O299" i="8"/>
  <c r="G299" i="8"/>
  <c r="O296" i="8"/>
  <c r="G296" i="8"/>
  <c r="G293" i="8"/>
  <c r="O293" i="8"/>
  <c r="L297" i="8"/>
  <c r="K290" i="8"/>
  <c r="J300" i="8"/>
  <c r="L290" i="8"/>
  <c r="L299" i="8"/>
  <c r="K293" i="8"/>
  <c r="M299" i="8"/>
  <c r="K300" i="8"/>
  <c r="J293" i="8"/>
  <c r="H295" i="8"/>
  <c r="J290" i="8"/>
  <c r="H298" i="8"/>
  <c r="I291" i="8"/>
  <c r="H293" i="8"/>
  <c r="H297" i="8"/>
  <c r="I300" i="8"/>
  <c r="M295" i="8"/>
  <c r="K295" i="8"/>
  <c r="O290" i="8"/>
  <c r="J295" i="8"/>
  <c r="I296" i="8"/>
  <c r="L300" i="8"/>
  <c r="L293" i="8"/>
  <c r="M298" i="8"/>
  <c r="M297" i="8"/>
  <c r="K297" i="8"/>
  <c r="I297" i="8"/>
  <c r="J296" i="8"/>
  <c r="J297" i="8"/>
  <c r="L298" i="8"/>
  <c r="H296" i="8"/>
  <c r="K291" i="8"/>
  <c r="H300" i="8"/>
  <c r="L295" i="8"/>
  <c r="M290" i="8"/>
  <c r="K298" i="8"/>
  <c r="M291" i="8"/>
  <c r="I298" i="8"/>
  <c r="J291" i="8"/>
  <c r="H291" i="8"/>
  <c r="I295" i="8"/>
  <c r="J298" i="8"/>
  <c r="L291" i="8"/>
  <c r="M300" i="8"/>
  <c r="M293" i="8"/>
  <c r="I293" i="8"/>
  <c r="M296" i="8"/>
  <c r="J299" i="8"/>
  <c r="L301" i="8"/>
  <c r="K292" i="8"/>
  <c r="M301" i="8"/>
  <c r="J294" i="8"/>
  <c r="I290" i="8"/>
  <c r="I292" i="8"/>
  <c r="K301" i="8"/>
  <c r="M292" i="8"/>
  <c r="K299" i="8"/>
  <c r="M294" i="8"/>
  <c r="H301" i="8"/>
  <c r="I299" i="8"/>
  <c r="G290" i="8"/>
  <c r="I294" i="8"/>
  <c r="K294" i="8"/>
  <c r="K296" i="8"/>
  <c r="J292" i="8"/>
  <c r="L296" i="8"/>
  <c r="I301" i="8"/>
  <c r="H290" i="8"/>
  <c r="H292" i="8"/>
  <c r="H294" i="8"/>
  <c r="L294" i="8"/>
  <c r="L292" i="8"/>
  <c r="J301" i="8"/>
  <c r="H299" i="8"/>
  <c r="O297" i="8"/>
  <c r="G297" i="8"/>
  <c r="G300" i="8"/>
  <c r="O300" i="8"/>
  <c r="G298" i="8"/>
  <c r="O298" i="8"/>
  <c r="O295" i="8"/>
  <c r="G295" i="8"/>
  <c r="G389" i="7"/>
  <c r="O389" i="7"/>
  <c r="O380" i="7"/>
  <c r="G380" i="7"/>
  <c r="G379" i="7"/>
  <c r="O379" i="7"/>
  <c r="G386" i="7"/>
  <c r="O386" i="7"/>
  <c r="O382" i="7"/>
  <c r="G382" i="7"/>
  <c r="O387" i="7"/>
  <c r="G387" i="7"/>
  <c r="K383" i="7"/>
  <c r="I383" i="7"/>
  <c r="J378" i="7"/>
  <c r="M389" i="7"/>
  <c r="I387" i="7"/>
  <c r="K380" i="7"/>
  <c r="G378" i="7"/>
  <c r="M387" i="7"/>
  <c r="J388" i="7"/>
  <c r="I379" i="7"/>
  <c r="M381" i="7"/>
  <c r="M383" i="7"/>
  <c r="H385" i="7"/>
  <c r="H388" i="7"/>
  <c r="O378" i="7"/>
  <c r="H383" i="7"/>
  <c r="K388" i="7"/>
  <c r="H381" i="7"/>
  <c r="J383" i="7"/>
  <c r="L385" i="7"/>
  <c r="M378" i="7"/>
  <c r="I384" i="7"/>
  <c r="I388" i="7"/>
  <c r="M386" i="7"/>
  <c r="L388" i="7"/>
  <c r="L381" i="7"/>
  <c r="J381" i="7"/>
  <c r="M385" i="7"/>
  <c r="I385" i="7"/>
  <c r="J384" i="7"/>
  <c r="K385" i="7"/>
  <c r="K378" i="7"/>
  <c r="L386" i="7"/>
  <c r="H384" i="7"/>
  <c r="H386" i="7"/>
  <c r="K381" i="7"/>
  <c r="I381" i="7"/>
  <c r="L387" i="7"/>
  <c r="K386" i="7"/>
  <c r="M379" i="7"/>
  <c r="I386" i="7"/>
  <c r="K379" i="7"/>
  <c r="J379" i="7"/>
  <c r="H379" i="7"/>
  <c r="J385" i="7"/>
  <c r="J386" i="7"/>
  <c r="L379" i="7"/>
  <c r="M388" i="7"/>
  <c r="L383" i="7"/>
  <c r="L378" i="7"/>
  <c r="I378" i="7"/>
  <c r="I382" i="7"/>
  <c r="M384" i="7"/>
  <c r="H387" i="7"/>
  <c r="J387" i="7"/>
  <c r="J382" i="7"/>
  <c r="M382" i="7"/>
  <c r="L389" i="7"/>
  <c r="K387" i="7"/>
  <c r="K389" i="7"/>
  <c r="L380" i="7"/>
  <c r="H389" i="7"/>
  <c r="L384" i="7"/>
  <c r="K382" i="7"/>
  <c r="J380" i="7"/>
  <c r="I389" i="7"/>
  <c r="I380" i="7"/>
  <c r="K384" i="7"/>
  <c r="H380" i="7"/>
  <c r="L382" i="7"/>
  <c r="M380" i="7"/>
  <c r="J389" i="7"/>
  <c r="H378" i="7"/>
  <c r="H382" i="7"/>
  <c r="O385" i="7"/>
  <c r="G385" i="7"/>
  <c r="G388" i="7"/>
  <c r="O388" i="7"/>
  <c r="O384" i="7"/>
  <c r="G384" i="7"/>
  <c r="G381" i="7"/>
  <c r="O381" i="7"/>
  <c r="G383" i="7"/>
  <c r="O383" i="7"/>
  <c r="G425" i="7"/>
  <c r="O425" i="7"/>
  <c r="O426" i="7"/>
  <c r="G426" i="7"/>
  <c r="G433" i="7"/>
  <c r="O433" i="7"/>
  <c r="O424" i="7"/>
  <c r="G424" i="7"/>
  <c r="O423" i="7"/>
  <c r="G423" i="7"/>
  <c r="O431" i="7"/>
  <c r="G431" i="7"/>
  <c r="I431" i="7"/>
  <c r="G422" i="7"/>
  <c r="K425" i="7"/>
  <c r="L422" i="7"/>
  <c r="M433" i="7"/>
  <c r="K424" i="7"/>
  <c r="H432" i="7"/>
  <c r="H425" i="7"/>
  <c r="M432" i="7"/>
  <c r="I432" i="7"/>
  <c r="K423" i="7"/>
  <c r="H423" i="7"/>
  <c r="I425" i="7"/>
  <c r="M431" i="7"/>
  <c r="I428" i="7"/>
  <c r="J432" i="7"/>
  <c r="K427" i="7"/>
  <c r="O422" i="7"/>
  <c r="K422" i="7"/>
  <c r="K432" i="7"/>
  <c r="M429" i="7"/>
  <c r="M430" i="7"/>
  <c r="L425" i="7"/>
  <c r="L427" i="7"/>
  <c r="I427" i="7"/>
  <c r="J429" i="7"/>
  <c r="H429" i="7"/>
  <c r="L432" i="7"/>
  <c r="J428" i="7"/>
  <c r="M425" i="7"/>
  <c r="L430" i="7"/>
  <c r="H428" i="7"/>
  <c r="L423" i="7"/>
  <c r="J423" i="7"/>
  <c r="M427" i="7"/>
  <c r="I429" i="7"/>
  <c r="K430" i="7"/>
  <c r="M423" i="7"/>
  <c r="H430" i="7"/>
  <c r="J422" i="7"/>
  <c r="J430" i="7"/>
  <c r="I430" i="7"/>
  <c r="I423" i="7"/>
  <c r="J425" i="7"/>
  <c r="J427" i="7"/>
  <c r="M422" i="7"/>
  <c r="L429" i="7"/>
  <c r="H427" i="7"/>
  <c r="K429" i="7"/>
  <c r="L431" i="7"/>
  <c r="M424" i="7"/>
  <c r="J426" i="7"/>
  <c r="K428" i="7"/>
  <c r="K431" i="7"/>
  <c r="H433" i="7"/>
  <c r="I422" i="7"/>
  <c r="K433" i="7"/>
  <c r="L428" i="7"/>
  <c r="K426" i="7"/>
  <c r="M426" i="7"/>
  <c r="J431" i="7"/>
  <c r="M428" i="7"/>
  <c r="I433" i="7"/>
  <c r="J424" i="7"/>
  <c r="H426" i="7"/>
  <c r="H424" i="7"/>
  <c r="I426" i="7"/>
  <c r="L426" i="7"/>
  <c r="H431" i="7"/>
  <c r="H422" i="7"/>
  <c r="J433" i="7"/>
  <c r="I424" i="7"/>
  <c r="L433" i="7"/>
  <c r="L424" i="7"/>
  <c r="O429" i="7"/>
  <c r="G429" i="7"/>
  <c r="G430" i="7"/>
  <c r="O430" i="7"/>
  <c r="O428" i="7"/>
  <c r="G428" i="7"/>
  <c r="O432" i="7"/>
  <c r="G432" i="7"/>
  <c r="G427" i="7"/>
  <c r="O427" i="7"/>
  <c r="G212" i="6"/>
  <c r="O212" i="6"/>
  <c r="G206" i="6"/>
  <c r="O206" i="6"/>
  <c r="O213" i="6"/>
  <c r="G213" i="6"/>
  <c r="G205" i="6"/>
  <c r="O205" i="6"/>
  <c r="G210" i="6"/>
  <c r="O210" i="6"/>
  <c r="O211" i="6"/>
  <c r="G211" i="6"/>
  <c r="L205" i="6"/>
  <c r="H207" i="6"/>
  <c r="L212" i="6"/>
  <c r="J212" i="6"/>
  <c r="J205" i="6"/>
  <c r="L207" i="6"/>
  <c r="M211" i="6"/>
  <c r="M210" i="6"/>
  <c r="M207" i="6"/>
  <c r="J209" i="6"/>
  <c r="H209" i="6"/>
  <c r="I208" i="6"/>
  <c r="I203" i="6"/>
  <c r="H203" i="6"/>
  <c r="H212" i="6"/>
  <c r="K209" i="6"/>
  <c r="L202" i="6"/>
  <c r="K208" i="6"/>
  <c r="J203" i="6"/>
  <c r="K207" i="6"/>
  <c r="L209" i="6"/>
  <c r="H210" i="6"/>
  <c r="H205" i="6"/>
  <c r="I209" i="6"/>
  <c r="J208" i="6"/>
  <c r="M205" i="6"/>
  <c r="K205" i="6"/>
  <c r="I205" i="6"/>
  <c r="L211" i="6"/>
  <c r="L210" i="6"/>
  <c r="H208" i="6"/>
  <c r="J210" i="6"/>
  <c r="L203" i="6"/>
  <c r="M212" i="6"/>
  <c r="K203" i="6"/>
  <c r="J207" i="6"/>
  <c r="K210" i="6"/>
  <c r="M203" i="6"/>
  <c r="I210" i="6"/>
  <c r="K212" i="6"/>
  <c r="I212" i="6"/>
  <c r="M202" i="6"/>
  <c r="K202" i="6"/>
  <c r="J202" i="6"/>
  <c r="M209" i="6"/>
  <c r="I207" i="6"/>
  <c r="O202" i="6"/>
  <c r="K211" i="6"/>
  <c r="L204" i="6"/>
  <c r="L213" i="6"/>
  <c r="J211" i="6"/>
  <c r="H213" i="6"/>
  <c r="I202" i="6"/>
  <c r="M204" i="6"/>
  <c r="K206" i="6"/>
  <c r="K213" i="6"/>
  <c r="J204" i="6"/>
  <c r="H206" i="6"/>
  <c r="I213" i="6"/>
  <c r="M206" i="6"/>
  <c r="H211" i="6"/>
  <c r="L208" i="6"/>
  <c r="H204" i="6"/>
  <c r="L206" i="6"/>
  <c r="I204" i="6"/>
  <c r="J213" i="6"/>
  <c r="G202" i="6"/>
  <c r="K204" i="6"/>
  <c r="I206" i="6"/>
  <c r="M208" i="6"/>
  <c r="I211" i="6"/>
  <c r="M213" i="6"/>
  <c r="J206" i="6"/>
  <c r="H202" i="6"/>
  <c r="O204" i="6"/>
  <c r="G204" i="6"/>
  <c r="O203" i="6"/>
  <c r="G203" i="6"/>
  <c r="O209" i="6"/>
  <c r="G209" i="6"/>
  <c r="O208" i="6"/>
  <c r="G208" i="6"/>
  <c r="G207" i="6"/>
  <c r="O207" i="6"/>
  <c r="O162" i="6"/>
  <c r="G162" i="6"/>
  <c r="O159" i="6"/>
  <c r="G159" i="6"/>
  <c r="G169" i="6"/>
  <c r="O169" i="6"/>
  <c r="O160" i="6"/>
  <c r="G160" i="6"/>
  <c r="G166" i="6"/>
  <c r="O166" i="6"/>
  <c r="O167" i="6"/>
  <c r="G167" i="6"/>
  <c r="O164" i="6"/>
  <c r="G164" i="6"/>
  <c r="K168" i="6"/>
  <c r="J165" i="6"/>
  <c r="L161" i="6"/>
  <c r="J161" i="6"/>
  <c r="L165" i="6"/>
  <c r="H165" i="6"/>
  <c r="I161" i="6"/>
  <c r="K163" i="6"/>
  <c r="K165" i="6"/>
  <c r="M167" i="6"/>
  <c r="M161" i="6"/>
  <c r="K161" i="6"/>
  <c r="I163" i="6"/>
  <c r="M166" i="6"/>
  <c r="L168" i="6"/>
  <c r="L158" i="6"/>
  <c r="J158" i="6"/>
  <c r="I164" i="6"/>
  <c r="H166" i="6"/>
  <c r="M165" i="6"/>
  <c r="J164" i="6"/>
  <c r="J168" i="6"/>
  <c r="H168" i="6"/>
  <c r="H161" i="6"/>
  <c r="O158" i="6"/>
  <c r="M158" i="6"/>
  <c r="L167" i="6"/>
  <c r="L166" i="6"/>
  <c r="H164" i="6"/>
  <c r="I166" i="6"/>
  <c r="H159" i="6"/>
  <c r="K158" i="6"/>
  <c r="K166" i="6"/>
  <c r="M159" i="6"/>
  <c r="K159" i="6"/>
  <c r="J159" i="6"/>
  <c r="M163" i="6"/>
  <c r="J163" i="6"/>
  <c r="I165" i="6"/>
  <c r="J166" i="6"/>
  <c r="L159" i="6"/>
  <c r="M168" i="6"/>
  <c r="I159" i="6"/>
  <c r="I168" i="6"/>
  <c r="L163" i="6"/>
  <c r="H163" i="6"/>
  <c r="K167" i="6"/>
  <c r="H158" i="6"/>
  <c r="I162" i="6"/>
  <c r="L160" i="6"/>
  <c r="M164" i="6"/>
  <c r="J167" i="6"/>
  <c r="J169" i="6"/>
  <c r="I160" i="6"/>
  <c r="K160" i="6"/>
  <c r="I158" i="6"/>
  <c r="H167" i="6"/>
  <c r="M160" i="6"/>
  <c r="K164" i="6"/>
  <c r="J162" i="6"/>
  <c r="L164" i="6"/>
  <c r="J160" i="6"/>
  <c r="G158" i="6"/>
  <c r="M169" i="6"/>
  <c r="H169" i="6"/>
  <c r="K162" i="6"/>
  <c r="H162" i="6"/>
  <c r="M162" i="6"/>
  <c r="I169" i="6"/>
  <c r="L162" i="6"/>
  <c r="I167" i="6"/>
  <c r="H160" i="6"/>
  <c r="K169" i="6"/>
  <c r="L169" i="6"/>
  <c r="O165" i="6"/>
  <c r="G165" i="6"/>
  <c r="G161" i="6"/>
  <c r="O161" i="6"/>
  <c r="G168" i="6"/>
  <c r="O168" i="6"/>
  <c r="O163" i="6"/>
  <c r="G163" i="6"/>
  <c r="O205" i="8"/>
  <c r="G205" i="8"/>
  <c r="G203" i="8"/>
  <c r="O203" i="8"/>
  <c r="O208" i="8"/>
  <c r="G208" i="8"/>
  <c r="O206" i="8"/>
  <c r="G206" i="8"/>
  <c r="O213" i="8"/>
  <c r="G213" i="8"/>
  <c r="G212" i="8"/>
  <c r="O212" i="8"/>
  <c r="O204" i="8"/>
  <c r="G204" i="8"/>
  <c r="O210" i="8"/>
  <c r="G210" i="8"/>
  <c r="O211" i="8"/>
  <c r="G211" i="8"/>
  <c r="I205" i="8"/>
  <c r="L208" i="8"/>
  <c r="H206" i="8"/>
  <c r="L207" i="8"/>
  <c r="K208" i="8"/>
  <c r="N210" i="8"/>
  <c r="J208" i="8"/>
  <c r="M210" i="8"/>
  <c r="I208" i="8"/>
  <c r="O202" i="8"/>
  <c r="L210" i="8"/>
  <c r="H208" i="8"/>
  <c r="N203" i="8"/>
  <c r="K210" i="8"/>
  <c r="M203" i="8"/>
  <c r="N212" i="8"/>
  <c r="J210" i="8"/>
  <c r="L203" i="8"/>
  <c r="M212" i="8"/>
  <c r="I210" i="8"/>
  <c r="K203" i="8"/>
  <c r="L212" i="8"/>
  <c r="H210" i="8"/>
  <c r="N205" i="8"/>
  <c r="J203" i="8"/>
  <c r="M209" i="8"/>
  <c r="K212" i="8"/>
  <c r="M205" i="8"/>
  <c r="I203" i="8"/>
  <c r="J212" i="8"/>
  <c r="L205" i="8"/>
  <c r="H203" i="8"/>
  <c r="H205" i="8"/>
  <c r="I212" i="8"/>
  <c r="K205" i="8"/>
  <c r="H212" i="8"/>
  <c r="N207" i="8"/>
  <c r="J205" i="8"/>
  <c r="K207" i="8"/>
  <c r="N209" i="8"/>
  <c r="J207" i="8"/>
  <c r="L209" i="8"/>
  <c r="H207" i="8"/>
  <c r="N202" i="8"/>
  <c r="K209" i="8"/>
  <c r="M202" i="8"/>
  <c r="N211" i="8"/>
  <c r="J209" i="8"/>
  <c r="L202" i="8"/>
  <c r="I207" i="8"/>
  <c r="M211" i="8"/>
  <c r="I209" i="8"/>
  <c r="K202" i="8"/>
  <c r="M207" i="8"/>
  <c r="L211" i="8"/>
  <c r="H209" i="8"/>
  <c r="N204" i="8"/>
  <c r="J202" i="8"/>
  <c r="K211" i="8"/>
  <c r="N208" i="8"/>
  <c r="M213" i="8"/>
  <c r="H213" i="8"/>
  <c r="K206" i="8"/>
  <c r="J211" i="8"/>
  <c r="I213" i="8"/>
  <c r="L204" i="8"/>
  <c r="H204" i="8"/>
  <c r="L206" i="8"/>
  <c r="J213" i="8"/>
  <c r="I204" i="8"/>
  <c r="M206" i="8"/>
  <c r="K213" i="8"/>
  <c r="J204" i="8"/>
  <c r="N206" i="8"/>
  <c r="H211" i="8"/>
  <c r="L213" i="8"/>
  <c r="I211" i="8"/>
  <c r="G202" i="8"/>
  <c r="K204" i="8"/>
  <c r="H202" i="8"/>
  <c r="N213" i="8"/>
  <c r="I206" i="8"/>
  <c r="I202" i="8"/>
  <c r="M208" i="8"/>
  <c r="M204" i="8"/>
  <c r="J206" i="8"/>
  <c r="O209" i="8"/>
  <c r="G209" i="8"/>
  <c r="O207" i="8"/>
  <c r="G207" i="8"/>
  <c r="O161" i="8"/>
  <c r="G161" i="8"/>
  <c r="O168" i="8"/>
  <c r="G168" i="8"/>
  <c r="O159" i="8"/>
  <c r="G159" i="8"/>
  <c r="O166" i="8"/>
  <c r="G166" i="8"/>
  <c r="O164" i="8"/>
  <c r="G164" i="8"/>
  <c r="O162" i="8"/>
  <c r="G162" i="8"/>
  <c r="G169" i="8"/>
  <c r="O169" i="8"/>
  <c r="O160" i="8"/>
  <c r="G160" i="8"/>
  <c r="O167" i="8"/>
  <c r="G167" i="8"/>
  <c r="M169" i="8"/>
  <c r="I167" i="8"/>
  <c r="K160" i="8"/>
  <c r="G158" i="8"/>
  <c r="L169" i="8"/>
  <c r="H167" i="8"/>
  <c r="N162" i="8"/>
  <c r="J160" i="8"/>
  <c r="N165" i="8"/>
  <c r="K164" i="8"/>
  <c r="N166" i="8"/>
  <c r="J164" i="8"/>
  <c r="M166" i="8"/>
  <c r="I164" i="8"/>
  <c r="L166" i="8"/>
  <c r="H164" i="8"/>
  <c r="N159" i="8"/>
  <c r="K166" i="8"/>
  <c r="M159" i="8"/>
  <c r="N168" i="8"/>
  <c r="J166" i="8"/>
  <c r="L159" i="8"/>
  <c r="M168" i="8"/>
  <c r="I166" i="8"/>
  <c r="K159" i="8"/>
  <c r="L168" i="8"/>
  <c r="H166" i="8"/>
  <c r="N161" i="8"/>
  <c r="J159" i="8"/>
  <c r="K168" i="8"/>
  <c r="M161" i="8"/>
  <c r="I159" i="8"/>
  <c r="J168" i="8"/>
  <c r="L161" i="8"/>
  <c r="H159" i="8"/>
  <c r="I168" i="8"/>
  <c r="K161" i="8"/>
  <c r="H168" i="8"/>
  <c r="N163" i="8"/>
  <c r="J161" i="8"/>
  <c r="M163" i="8"/>
  <c r="I161" i="8"/>
  <c r="L163" i="8"/>
  <c r="H161" i="8"/>
  <c r="K163" i="8"/>
  <c r="M165" i="8"/>
  <c r="I163" i="8"/>
  <c r="O158" i="8"/>
  <c r="L165" i="8"/>
  <c r="H163" i="8"/>
  <c r="N158" i="8"/>
  <c r="K165" i="8"/>
  <c r="M158" i="8"/>
  <c r="I165" i="8"/>
  <c r="N167" i="8"/>
  <c r="J165" i="8"/>
  <c r="L158" i="8"/>
  <c r="M167" i="8"/>
  <c r="K158" i="8"/>
  <c r="L167" i="8"/>
  <c r="H165" i="8"/>
  <c r="N160" i="8"/>
  <c r="J158" i="8"/>
  <c r="J163" i="8"/>
  <c r="K167" i="8"/>
  <c r="I162" i="8"/>
  <c r="M164" i="8"/>
  <c r="J162" i="8"/>
  <c r="N164" i="8"/>
  <c r="H169" i="8"/>
  <c r="K162" i="8"/>
  <c r="I169" i="8"/>
  <c r="H160" i="8"/>
  <c r="L162" i="8"/>
  <c r="J169" i="8"/>
  <c r="I160" i="8"/>
  <c r="M162" i="8"/>
  <c r="K169" i="8"/>
  <c r="H158" i="8"/>
  <c r="L160" i="8"/>
  <c r="J167" i="8"/>
  <c r="N169" i="8"/>
  <c r="I158" i="8"/>
  <c r="M160" i="8"/>
  <c r="H162" i="8"/>
  <c r="L164" i="8"/>
  <c r="O165" i="8"/>
  <c r="G165" i="8"/>
  <c r="O163" i="8"/>
  <c r="G163" i="8"/>
  <c r="G117" i="8"/>
  <c r="O117" i="8"/>
  <c r="O115" i="8"/>
  <c r="G115" i="8"/>
  <c r="O122" i="8"/>
  <c r="G122" i="8"/>
  <c r="O120" i="8"/>
  <c r="G120" i="8"/>
  <c r="O118" i="8"/>
  <c r="G118" i="8"/>
  <c r="O124" i="8"/>
  <c r="G124" i="8"/>
  <c r="G125" i="8"/>
  <c r="O125" i="8"/>
  <c r="O116" i="8"/>
  <c r="G116" i="8"/>
  <c r="O123" i="8"/>
  <c r="G123" i="8"/>
  <c r="N121" i="8"/>
  <c r="H116" i="8"/>
  <c r="J119" i="8"/>
  <c r="L120" i="8"/>
  <c r="H118" i="8"/>
  <c r="K120" i="8"/>
  <c r="N122" i="8"/>
  <c r="J120" i="8"/>
  <c r="M122" i="8"/>
  <c r="I120" i="8"/>
  <c r="L122" i="8"/>
  <c r="H120" i="8"/>
  <c r="N115" i="8"/>
  <c r="K122" i="8"/>
  <c r="M115" i="8"/>
  <c r="N124" i="8"/>
  <c r="J122" i="8"/>
  <c r="L115" i="8"/>
  <c r="M124" i="8"/>
  <c r="I122" i="8"/>
  <c r="K115" i="8"/>
  <c r="M121" i="8"/>
  <c r="L124" i="8"/>
  <c r="H122" i="8"/>
  <c r="N117" i="8"/>
  <c r="J115" i="8"/>
  <c r="K124" i="8"/>
  <c r="M117" i="8"/>
  <c r="I115" i="8"/>
  <c r="I119" i="8"/>
  <c r="J124" i="8"/>
  <c r="L117" i="8"/>
  <c r="H115" i="8"/>
  <c r="I124" i="8"/>
  <c r="K117" i="8"/>
  <c r="H124" i="8"/>
  <c r="N119" i="8"/>
  <c r="J117" i="8"/>
  <c r="M119" i="8"/>
  <c r="I117" i="8"/>
  <c r="L119" i="8"/>
  <c r="H117" i="8"/>
  <c r="K119" i="8"/>
  <c r="L121" i="8"/>
  <c r="H119" i="8"/>
  <c r="N114" i="8"/>
  <c r="K121" i="8"/>
  <c r="M114" i="8"/>
  <c r="N123" i="8"/>
  <c r="J121" i="8"/>
  <c r="L114" i="8"/>
  <c r="M123" i="8"/>
  <c r="I121" i="8"/>
  <c r="K114" i="8"/>
  <c r="L123" i="8"/>
  <c r="H121" i="8"/>
  <c r="N116" i="8"/>
  <c r="J114" i="8"/>
  <c r="O114" i="8"/>
  <c r="K123" i="8"/>
  <c r="J118" i="8"/>
  <c r="N120" i="8"/>
  <c r="H125" i="8"/>
  <c r="K118" i="8"/>
  <c r="J123" i="8"/>
  <c r="H114" i="8"/>
  <c r="I125" i="8"/>
  <c r="L118" i="8"/>
  <c r="J125" i="8"/>
  <c r="I116" i="8"/>
  <c r="M118" i="8"/>
  <c r="K125" i="8"/>
  <c r="J116" i="8"/>
  <c r="N118" i="8"/>
  <c r="H123" i="8"/>
  <c r="L125" i="8"/>
  <c r="G114" i="8"/>
  <c r="K116" i="8"/>
  <c r="L116" i="8"/>
  <c r="I123" i="8"/>
  <c r="M125" i="8"/>
  <c r="N125" i="8"/>
  <c r="I114" i="8"/>
  <c r="M116" i="8"/>
  <c r="I118" i="8"/>
  <c r="M120" i="8"/>
  <c r="O121" i="8"/>
  <c r="G121" i="8"/>
  <c r="O119" i="8"/>
  <c r="G119" i="8"/>
  <c r="O73" i="8"/>
  <c r="G73" i="8"/>
  <c r="O80" i="8"/>
  <c r="G80" i="8"/>
  <c r="O71" i="8"/>
  <c r="G71" i="8"/>
  <c r="O78" i="8"/>
  <c r="G78" i="8"/>
  <c r="O76" i="8"/>
  <c r="G76" i="8"/>
  <c r="O74" i="8"/>
  <c r="G74" i="8"/>
  <c r="O81" i="8"/>
  <c r="G81" i="8"/>
  <c r="O72" i="8"/>
  <c r="G72" i="8"/>
  <c r="O79" i="8"/>
  <c r="G79" i="8"/>
  <c r="L75" i="8"/>
  <c r="L72" i="8"/>
  <c r="H70" i="8"/>
  <c r="H73" i="8"/>
  <c r="L74" i="8"/>
  <c r="H72" i="8"/>
  <c r="M76" i="8"/>
  <c r="I74" i="8"/>
  <c r="L76" i="8"/>
  <c r="H74" i="8"/>
  <c r="K76" i="8"/>
  <c r="N78" i="8"/>
  <c r="J76" i="8"/>
  <c r="M78" i="8"/>
  <c r="I76" i="8"/>
  <c r="L78" i="8"/>
  <c r="H76" i="8"/>
  <c r="N71" i="8"/>
  <c r="K78" i="8"/>
  <c r="M71" i="8"/>
  <c r="N80" i="8"/>
  <c r="J78" i="8"/>
  <c r="L71" i="8"/>
  <c r="J75" i="8"/>
  <c r="M80" i="8"/>
  <c r="I78" i="8"/>
  <c r="K71" i="8"/>
  <c r="L80" i="8"/>
  <c r="H78" i="8"/>
  <c r="N73" i="8"/>
  <c r="J71" i="8"/>
  <c r="N77" i="8"/>
  <c r="K80" i="8"/>
  <c r="M73" i="8"/>
  <c r="I71" i="8"/>
  <c r="L79" i="8"/>
  <c r="J80" i="8"/>
  <c r="L73" i="8"/>
  <c r="H71" i="8"/>
  <c r="I80" i="8"/>
  <c r="K73" i="8"/>
  <c r="H80" i="8"/>
  <c r="N75" i="8"/>
  <c r="J73" i="8"/>
  <c r="M75" i="8"/>
  <c r="I73" i="8"/>
  <c r="N72" i="8"/>
  <c r="K75" i="8"/>
  <c r="M77" i="8"/>
  <c r="I75" i="8"/>
  <c r="O70" i="8"/>
  <c r="J77" i="8"/>
  <c r="L70" i="8"/>
  <c r="H77" i="8"/>
  <c r="L77" i="8"/>
  <c r="H75" i="8"/>
  <c r="N70" i="8"/>
  <c r="M79" i="8"/>
  <c r="J70" i="8"/>
  <c r="K77" i="8"/>
  <c r="M70" i="8"/>
  <c r="N79" i="8"/>
  <c r="I77" i="8"/>
  <c r="K70" i="8"/>
  <c r="K79" i="8"/>
  <c r="J74" i="8"/>
  <c r="N76" i="8"/>
  <c r="I70" i="8"/>
  <c r="H81" i="8"/>
  <c r="K74" i="8"/>
  <c r="I81" i="8"/>
  <c r="J81" i="8"/>
  <c r="I72" i="8"/>
  <c r="M74" i="8"/>
  <c r="N81" i="8"/>
  <c r="K81" i="8"/>
  <c r="J72" i="8"/>
  <c r="N74" i="8"/>
  <c r="M72" i="8"/>
  <c r="H79" i="8"/>
  <c r="L81" i="8"/>
  <c r="G70" i="8"/>
  <c r="K72" i="8"/>
  <c r="I79" i="8"/>
  <c r="M81" i="8"/>
  <c r="J79" i="8"/>
  <c r="O77" i="8"/>
  <c r="G77" i="8"/>
  <c r="O75" i="8"/>
  <c r="G75" i="8"/>
  <c r="O337" i="7"/>
  <c r="G337" i="7"/>
  <c r="O335" i="7"/>
  <c r="G335" i="7"/>
  <c r="O342" i="7"/>
  <c r="G342" i="7"/>
  <c r="O340" i="7"/>
  <c r="G340" i="7"/>
  <c r="O338" i="7"/>
  <c r="G338" i="7"/>
  <c r="O345" i="7"/>
  <c r="G345" i="7"/>
  <c r="O336" i="7"/>
  <c r="G336" i="7"/>
  <c r="O344" i="7"/>
  <c r="G344" i="7"/>
  <c r="O343" i="7"/>
  <c r="G343" i="7"/>
  <c r="L343" i="7"/>
  <c r="J339" i="7"/>
  <c r="N341" i="7"/>
  <c r="M340" i="7"/>
  <c r="I338" i="7"/>
  <c r="O334" i="7"/>
  <c r="L340" i="7"/>
  <c r="H338" i="7"/>
  <c r="K340" i="7"/>
  <c r="M342" i="7"/>
  <c r="I340" i="7"/>
  <c r="M341" i="7"/>
  <c r="L342" i="7"/>
  <c r="H340" i="7"/>
  <c r="N335" i="7"/>
  <c r="I339" i="7"/>
  <c r="K342" i="7"/>
  <c r="M335" i="7"/>
  <c r="N344" i="7"/>
  <c r="J342" i="7"/>
  <c r="L335" i="7"/>
  <c r="N336" i="7"/>
  <c r="M344" i="7"/>
  <c r="I342" i="7"/>
  <c r="K335" i="7"/>
  <c r="L344" i="7"/>
  <c r="H342" i="7"/>
  <c r="N337" i="7"/>
  <c r="J335" i="7"/>
  <c r="K344" i="7"/>
  <c r="M337" i="7"/>
  <c r="I335" i="7"/>
  <c r="J344" i="7"/>
  <c r="L337" i="7"/>
  <c r="H335" i="7"/>
  <c r="I344" i="7"/>
  <c r="K337" i="7"/>
  <c r="H344" i="7"/>
  <c r="N339" i="7"/>
  <c r="J337" i="7"/>
  <c r="M339" i="7"/>
  <c r="I337" i="7"/>
  <c r="L339" i="7"/>
  <c r="H337" i="7"/>
  <c r="J334" i="7"/>
  <c r="K339" i="7"/>
  <c r="L341" i="7"/>
  <c r="H339" i="7"/>
  <c r="N334" i="7"/>
  <c r="I341" i="7"/>
  <c r="K341" i="7"/>
  <c r="M334" i="7"/>
  <c r="N343" i="7"/>
  <c r="J341" i="7"/>
  <c r="L334" i="7"/>
  <c r="M343" i="7"/>
  <c r="K334" i="7"/>
  <c r="H341" i="7"/>
  <c r="K343" i="7"/>
  <c r="J338" i="7"/>
  <c r="N340" i="7"/>
  <c r="J340" i="7"/>
  <c r="N345" i="7"/>
  <c r="H345" i="7"/>
  <c r="L336" i="7"/>
  <c r="K338" i="7"/>
  <c r="I345" i="7"/>
  <c r="H336" i="7"/>
  <c r="L338" i="7"/>
  <c r="J345" i="7"/>
  <c r="I336" i="7"/>
  <c r="M338" i="7"/>
  <c r="J343" i="7"/>
  <c r="K345" i="7"/>
  <c r="J336" i="7"/>
  <c r="N338" i="7"/>
  <c r="H343" i="7"/>
  <c r="L345" i="7"/>
  <c r="G334" i="7"/>
  <c r="K336" i="7"/>
  <c r="I343" i="7"/>
  <c r="N342" i="7"/>
  <c r="M345" i="7"/>
  <c r="H334" i="7"/>
  <c r="I334" i="7"/>
  <c r="M336" i="7"/>
  <c r="O341" i="7"/>
  <c r="G341" i="7"/>
  <c r="O339" i="7"/>
  <c r="G339" i="7"/>
  <c r="O293" i="7"/>
  <c r="G293" i="7"/>
  <c r="G300" i="7"/>
  <c r="O300" i="7"/>
  <c r="O291" i="7"/>
  <c r="G291" i="7"/>
  <c r="O296" i="7"/>
  <c r="G296" i="7"/>
  <c r="O294" i="7"/>
  <c r="G294" i="7"/>
  <c r="O301" i="7"/>
  <c r="G301" i="7"/>
  <c r="O292" i="7"/>
  <c r="G292" i="7"/>
  <c r="O299" i="7"/>
  <c r="G299" i="7"/>
  <c r="O298" i="7"/>
  <c r="G298" i="7"/>
  <c r="O290" i="7"/>
  <c r="M295" i="7"/>
  <c r="I293" i="7"/>
  <c r="I295" i="7"/>
  <c r="N292" i="7"/>
  <c r="L296" i="7"/>
  <c r="H294" i="7"/>
  <c r="H297" i="7"/>
  <c r="K296" i="7"/>
  <c r="H293" i="7"/>
  <c r="I297" i="7"/>
  <c r="N298" i="7"/>
  <c r="J296" i="7"/>
  <c r="K290" i="7"/>
  <c r="M298" i="7"/>
  <c r="I296" i="7"/>
  <c r="L298" i="7"/>
  <c r="H296" i="7"/>
  <c r="N291" i="7"/>
  <c r="K298" i="7"/>
  <c r="M291" i="7"/>
  <c r="J290" i="7"/>
  <c r="N300" i="7"/>
  <c r="J298" i="7"/>
  <c r="L291" i="7"/>
  <c r="L299" i="7"/>
  <c r="M300" i="7"/>
  <c r="I298" i="7"/>
  <c r="K291" i="7"/>
  <c r="L300" i="7"/>
  <c r="H298" i="7"/>
  <c r="N293" i="7"/>
  <c r="J291" i="7"/>
  <c r="L295" i="7"/>
  <c r="M299" i="7"/>
  <c r="K300" i="7"/>
  <c r="M293" i="7"/>
  <c r="I291" i="7"/>
  <c r="J300" i="7"/>
  <c r="L293" i="7"/>
  <c r="H291" i="7"/>
  <c r="I300" i="7"/>
  <c r="K293" i="7"/>
  <c r="H300" i="7"/>
  <c r="N295" i="7"/>
  <c r="J293" i="7"/>
  <c r="K295" i="7"/>
  <c r="N297" i="7"/>
  <c r="J295" i="7"/>
  <c r="M297" i="7"/>
  <c r="L297" i="7"/>
  <c r="H295" i="7"/>
  <c r="N290" i="7"/>
  <c r="K297" i="7"/>
  <c r="M290" i="7"/>
  <c r="N299" i="7"/>
  <c r="J297" i="7"/>
  <c r="L290" i="7"/>
  <c r="K299" i="7"/>
  <c r="N296" i="7"/>
  <c r="H301" i="7"/>
  <c r="K294" i="7"/>
  <c r="I299" i="7"/>
  <c r="I301" i="7"/>
  <c r="H290" i="7"/>
  <c r="H292" i="7"/>
  <c r="L294" i="7"/>
  <c r="J301" i="7"/>
  <c r="J299" i="7"/>
  <c r="I292" i="7"/>
  <c r="M294" i="7"/>
  <c r="K301" i="7"/>
  <c r="J292" i="7"/>
  <c r="N294" i="7"/>
  <c r="M301" i="7"/>
  <c r="J294" i="7"/>
  <c r="H299" i="7"/>
  <c r="L301" i="7"/>
  <c r="G290" i="7"/>
  <c r="L292" i="7"/>
  <c r="K292" i="7"/>
  <c r="N301" i="7"/>
  <c r="I294" i="7"/>
  <c r="I290" i="7"/>
  <c r="M296" i="7"/>
  <c r="M292" i="7"/>
  <c r="O297" i="7"/>
  <c r="G297" i="7"/>
  <c r="O295" i="7"/>
  <c r="G295" i="7"/>
  <c r="O249" i="7"/>
  <c r="G249" i="7"/>
  <c r="O256" i="7"/>
  <c r="G256" i="7"/>
  <c r="O247" i="7"/>
  <c r="G247" i="7"/>
  <c r="O254" i="7"/>
  <c r="G254" i="7"/>
  <c r="O252" i="7"/>
  <c r="G252" i="7"/>
  <c r="O250" i="7"/>
  <c r="G250" i="7"/>
  <c r="G257" i="7"/>
  <c r="O257" i="7"/>
  <c r="O248" i="7"/>
  <c r="G248" i="7"/>
  <c r="O255" i="7"/>
  <c r="G255" i="7"/>
  <c r="N257" i="7"/>
  <c r="J255" i="7"/>
  <c r="L248" i="7"/>
  <c r="H246" i="7"/>
  <c r="J257" i="7"/>
  <c r="L250" i="7"/>
  <c r="H248" i="7"/>
  <c r="K246" i="7"/>
  <c r="M255" i="7"/>
  <c r="I250" i="7"/>
  <c r="L252" i="7"/>
  <c r="H250" i="7"/>
  <c r="K252" i="7"/>
  <c r="H253" i="7"/>
  <c r="N254" i="7"/>
  <c r="J252" i="7"/>
  <c r="M254" i="7"/>
  <c r="I252" i="7"/>
  <c r="L254" i="7"/>
  <c r="H252" i="7"/>
  <c r="N247" i="7"/>
  <c r="K254" i="7"/>
  <c r="M247" i="7"/>
  <c r="L255" i="7"/>
  <c r="N256" i="7"/>
  <c r="J254" i="7"/>
  <c r="L247" i="7"/>
  <c r="N246" i="7"/>
  <c r="M256" i="7"/>
  <c r="I254" i="7"/>
  <c r="K247" i="7"/>
  <c r="L256" i="7"/>
  <c r="H254" i="7"/>
  <c r="N249" i="7"/>
  <c r="J247" i="7"/>
  <c r="H251" i="7"/>
  <c r="K256" i="7"/>
  <c r="M249" i="7"/>
  <c r="I247" i="7"/>
  <c r="J256" i="7"/>
  <c r="L249" i="7"/>
  <c r="H247" i="7"/>
  <c r="J246" i="7"/>
  <c r="I256" i="7"/>
  <c r="K249" i="7"/>
  <c r="N248" i="7"/>
  <c r="H256" i="7"/>
  <c r="N251" i="7"/>
  <c r="J249" i="7"/>
  <c r="M251" i="7"/>
  <c r="I249" i="7"/>
  <c r="L251" i="7"/>
  <c r="H249" i="7"/>
  <c r="K251" i="7"/>
  <c r="L253" i="7"/>
  <c r="N253" i="7"/>
  <c r="J251" i="7"/>
  <c r="M253" i="7"/>
  <c r="I251" i="7"/>
  <c r="O246" i="7"/>
  <c r="K253" i="7"/>
  <c r="M246" i="7"/>
  <c r="N255" i="7"/>
  <c r="J253" i="7"/>
  <c r="L246" i="7"/>
  <c r="I253" i="7"/>
  <c r="K255" i="7"/>
  <c r="J250" i="7"/>
  <c r="N252" i="7"/>
  <c r="H257" i="7"/>
  <c r="K250" i="7"/>
  <c r="I257" i="7"/>
  <c r="I248" i="7"/>
  <c r="I246" i="7"/>
  <c r="M250" i="7"/>
  <c r="K257" i="7"/>
  <c r="J248" i="7"/>
  <c r="N250" i="7"/>
  <c r="H255" i="7"/>
  <c r="L257" i="7"/>
  <c r="G246" i="7"/>
  <c r="K248" i="7"/>
  <c r="I255" i="7"/>
  <c r="M248" i="7"/>
  <c r="M257" i="7"/>
  <c r="M252" i="7"/>
  <c r="O253" i="7"/>
  <c r="G253" i="7"/>
  <c r="O251" i="7"/>
  <c r="G251" i="7"/>
  <c r="G205" i="7"/>
  <c r="O205" i="7"/>
  <c r="O210" i="7"/>
  <c r="G210" i="7"/>
  <c r="O208" i="7"/>
  <c r="G208" i="7"/>
  <c r="O206" i="7"/>
  <c r="G206" i="7"/>
  <c r="G213" i="7"/>
  <c r="O213" i="7"/>
  <c r="O204" i="7"/>
  <c r="G204" i="7"/>
  <c r="O211" i="7"/>
  <c r="G211" i="7"/>
  <c r="K207" i="7"/>
  <c r="M209" i="7"/>
  <c r="L208" i="7"/>
  <c r="H206" i="7"/>
  <c r="K208" i="7"/>
  <c r="N210" i="7"/>
  <c r="J208" i="7"/>
  <c r="M210" i="7"/>
  <c r="I208" i="7"/>
  <c r="L210" i="7"/>
  <c r="H208" i="7"/>
  <c r="N203" i="7"/>
  <c r="K210" i="7"/>
  <c r="M203" i="7"/>
  <c r="N212" i="7"/>
  <c r="J210" i="7"/>
  <c r="L203" i="7"/>
  <c r="M212" i="7"/>
  <c r="I210" i="7"/>
  <c r="K203" i="7"/>
  <c r="J207" i="7"/>
  <c r="L212" i="7"/>
  <c r="H210" i="7"/>
  <c r="N205" i="7"/>
  <c r="J203" i="7"/>
  <c r="K212" i="7"/>
  <c r="M205" i="7"/>
  <c r="I203" i="7"/>
  <c r="I207" i="7"/>
  <c r="I209" i="7"/>
  <c r="J212" i="7"/>
  <c r="L205" i="7"/>
  <c r="H203" i="7"/>
  <c r="O202" i="7"/>
  <c r="M211" i="7"/>
  <c r="I212" i="7"/>
  <c r="K205" i="7"/>
  <c r="H212" i="7"/>
  <c r="N207" i="7"/>
  <c r="J205" i="7"/>
  <c r="M207" i="7"/>
  <c r="I205" i="7"/>
  <c r="L207" i="7"/>
  <c r="H205" i="7"/>
  <c r="K202" i="7"/>
  <c r="L209" i="7"/>
  <c r="H207" i="7"/>
  <c r="N202" i="7"/>
  <c r="K209" i="7"/>
  <c r="M202" i="7"/>
  <c r="N211" i="7"/>
  <c r="J209" i="7"/>
  <c r="L202" i="7"/>
  <c r="L211" i="7"/>
  <c r="H209" i="7"/>
  <c r="N204" i="7"/>
  <c r="J202" i="7"/>
  <c r="N209" i="7"/>
  <c r="M208" i="7"/>
  <c r="M204" i="7"/>
  <c r="J206" i="7"/>
  <c r="N208" i="7"/>
  <c r="K211" i="7"/>
  <c r="H213" i="7"/>
  <c r="K206" i="7"/>
  <c r="G202" i="7"/>
  <c r="I213" i="7"/>
  <c r="H204" i="7"/>
  <c r="N213" i="7"/>
  <c r="L206" i="7"/>
  <c r="J213" i="7"/>
  <c r="I204" i="7"/>
  <c r="M206" i="7"/>
  <c r="K213" i="7"/>
  <c r="J204" i="7"/>
  <c r="N206" i="7"/>
  <c r="H211" i="7"/>
  <c r="L213" i="7"/>
  <c r="K204" i="7"/>
  <c r="I211" i="7"/>
  <c r="M213" i="7"/>
  <c r="H202" i="7"/>
  <c r="L204" i="7"/>
  <c r="J211" i="7"/>
  <c r="I206" i="7"/>
  <c r="I202" i="7"/>
  <c r="O209" i="7"/>
  <c r="G209" i="7"/>
  <c r="O212" i="7"/>
  <c r="G212" i="7"/>
  <c r="O203" i="7"/>
  <c r="G203" i="7"/>
  <c r="O207" i="7"/>
  <c r="G207" i="7"/>
  <c r="G161" i="7"/>
  <c r="O161" i="7"/>
  <c r="O159" i="7"/>
  <c r="G159" i="7"/>
  <c r="O166" i="7"/>
  <c r="G166" i="7"/>
  <c r="G168" i="7"/>
  <c r="O168" i="7"/>
  <c r="O162" i="7"/>
  <c r="G162" i="7"/>
  <c r="G169" i="7"/>
  <c r="O169" i="7"/>
  <c r="O160" i="7"/>
  <c r="G160" i="7"/>
  <c r="O167" i="7"/>
  <c r="G167" i="7"/>
  <c r="K167" i="7"/>
  <c r="M160" i="7"/>
  <c r="I158" i="7"/>
  <c r="H163" i="7"/>
  <c r="L169" i="7"/>
  <c r="H167" i="7"/>
  <c r="N162" i="7"/>
  <c r="J160" i="7"/>
  <c r="L165" i="7"/>
  <c r="J163" i="7"/>
  <c r="N165" i="7"/>
  <c r="N167" i="7"/>
  <c r="N166" i="7"/>
  <c r="J164" i="7"/>
  <c r="O158" i="7"/>
  <c r="K165" i="7"/>
  <c r="M166" i="7"/>
  <c r="I164" i="7"/>
  <c r="I163" i="7"/>
  <c r="L166" i="7"/>
  <c r="H164" i="7"/>
  <c r="N159" i="7"/>
  <c r="J165" i="7"/>
  <c r="K166" i="7"/>
  <c r="M159" i="7"/>
  <c r="M158" i="7"/>
  <c r="N168" i="7"/>
  <c r="J166" i="7"/>
  <c r="L159" i="7"/>
  <c r="M168" i="7"/>
  <c r="I166" i="7"/>
  <c r="K159" i="7"/>
  <c r="L168" i="7"/>
  <c r="H166" i="7"/>
  <c r="N161" i="7"/>
  <c r="J159" i="7"/>
  <c r="L158" i="7"/>
  <c r="K168" i="7"/>
  <c r="M161" i="7"/>
  <c r="I159" i="7"/>
  <c r="M165" i="7"/>
  <c r="J168" i="7"/>
  <c r="L161" i="7"/>
  <c r="H159" i="7"/>
  <c r="I168" i="7"/>
  <c r="K161" i="7"/>
  <c r="H168" i="7"/>
  <c r="N163" i="7"/>
  <c r="J161" i="7"/>
  <c r="M163" i="7"/>
  <c r="I161" i="7"/>
  <c r="L163" i="7"/>
  <c r="H161" i="7"/>
  <c r="K163" i="7"/>
  <c r="M167" i="7"/>
  <c r="I165" i="7"/>
  <c r="K158" i="7"/>
  <c r="L167" i="7"/>
  <c r="H165" i="7"/>
  <c r="N160" i="7"/>
  <c r="J158" i="7"/>
  <c r="N158" i="7"/>
  <c r="N169" i="7"/>
  <c r="I162" i="7"/>
  <c r="M164" i="7"/>
  <c r="J162" i="7"/>
  <c r="N164" i="7"/>
  <c r="H169" i="7"/>
  <c r="K162" i="7"/>
  <c r="I169" i="7"/>
  <c r="H160" i="7"/>
  <c r="L162" i="7"/>
  <c r="J169" i="7"/>
  <c r="I160" i="7"/>
  <c r="M162" i="7"/>
  <c r="K169" i="7"/>
  <c r="G158" i="7"/>
  <c r="K160" i="7"/>
  <c r="I167" i="7"/>
  <c r="L164" i="7"/>
  <c r="M169" i="7"/>
  <c r="H158" i="7"/>
  <c r="L160" i="7"/>
  <c r="J167" i="7"/>
  <c r="K164" i="7"/>
  <c r="H162" i="7"/>
  <c r="G165" i="7"/>
  <c r="O165" i="7"/>
  <c r="O164" i="7"/>
  <c r="G164" i="7"/>
  <c r="O163" i="7"/>
  <c r="G163" i="7"/>
  <c r="G117" i="7"/>
  <c r="O117" i="7"/>
  <c r="O120" i="7"/>
  <c r="G120" i="7"/>
  <c r="G124" i="7"/>
  <c r="O124" i="7"/>
  <c r="O118" i="7"/>
  <c r="G118" i="7"/>
  <c r="G122" i="7"/>
  <c r="O122" i="7"/>
  <c r="O125" i="7"/>
  <c r="G125" i="7"/>
  <c r="G115" i="7"/>
  <c r="O115" i="7"/>
  <c r="O116" i="7"/>
  <c r="G116" i="7"/>
  <c r="O123" i="7"/>
  <c r="G123" i="7"/>
  <c r="N119" i="7"/>
  <c r="H117" i="7"/>
  <c r="N121" i="7"/>
  <c r="O114" i="7"/>
  <c r="H124" i="7"/>
  <c r="J117" i="7"/>
  <c r="L119" i="7"/>
  <c r="L120" i="7"/>
  <c r="H118" i="7"/>
  <c r="K120" i="7"/>
  <c r="N122" i="7"/>
  <c r="J120" i="7"/>
  <c r="I117" i="7"/>
  <c r="M122" i="7"/>
  <c r="I120" i="7"/>
  <c r="I119" i="7"/>
  <c r="L122" i="7"/>
  <c r="H120" i="7"/>
  <c r="N115" i="7"/>
  <c r="K119" i="7"/>
  <c r="K122" i="7"/>
  <c r="M115" i="7"/>
  <c r="M119" i="7"/>
  <c r="N124" i="7"/>
  <c r="J122" i="7"/>
  <c r="L115" i="7"/>
  <c r="M124" i="7"/>
  <c r="I122" i="7"/>
  <c r="K115" i="7"/>
  <c r="L124" i="7"/>
  <c r="H122" i="7"/>
  <c r="N117" i="7"/>
  <c r="J115" i="7"/>
  <c r="K124" i="7"/>
  <c r="M117" i="7"/>
  <c r="I115" i="7"/>
  <c r="J119" i="7"/>
  <c r="J124" i="7"/>
  <c r="L117" i="7"/>
  <c r="H115" i="7"/>
  <c r="M121" i="7"/>
  <c r="I124" i="7"/>
  <c r="K117" i="7"/>
  <c r="L121" i="7"/>
  <c r="H119" i="7"/>
  <c r="N114" i="7"/>
  <c r="K121" i="7"/>
  <c r="M114" i="7"/>
  <c r="H121" i="7"/>
  <c r="N116" i="7"/>
  <c r="J114" i="7"/>
  <c r="N123" i="7"/>
  <c r="J121" i="7"/>
  <c r="L114" i="7"/>
  <c r="M123" i="7"/>
  <c r="I121" i="7"/>
  <c r="K114" i="7"/>
  <c r="L123" i="7"/>
  <c r="K123" i="7"/>
  <c r="K118" i="7"/>
  <c r="N125" i="7"/>
  <c r="L116" i="7"/>
  <c r="I125" i="7"/>
  <c r="H116" i="7"/>
  <c r="L118" i="7"/>
  <c r="M116" i="7"/>
  <c r="J125" i="7"/>
  <c r="I116" i="7"/>
  <c r="M120" i="7"/>
  <c r="M118" i="7"/>
  <c r="H125" i="7"/>
  <c r="K125" i="7"/>
  <c r="J116" i="7"/>
  <c r="I114" i="7"/>
  <c r="N118" i="7"/>
  <c r="H123" i="7"/>
  <c r="L125" i="7"/>
  <c r="G114" i="7"/>
  <c r="K116" i="7"/>
  <c r="I123" i="7"/>
  <c r="M125" i="7"/>
  <c r="J123" i="7"/>
  <c r="I118" i="7"/>
  <c r="H114" i="7"/>
  <c r="J118" i="7"/>
  <c r="N120" i="7"/>
  <c r="O121" i="7"/>
  <c r="G121" i="7"/>
  <c r="O119" i="7"/>
  <c r="G119" i="7"/>
  <c r="O73" i="7"/>
  <c r="G73" i="7"/>
  <c r="O71" i="7"/>
  <c r="G71" i="7"/>
  <c r="O78" i="7"/>
  <c r="G78" i="7"/>
  <c r="O76" i="7"/>
  <c r="G76" i="7"/>
  <c r="O74" i="7"/>
  <c r="G74" i="7"/>
  <c r="G81" i="7"/>
  <c r="O81" i="7"/>
  <c r="O72" i="7"/>
  <c r="G72" i="7"/>
  <c r="O80" i="7"/>
  <c r="G80" i="7"/>
  <c r="O79" i="7"/>
  <c r="G79" i="7"/>
  <c r="I75" i="7"/>
  <c r="L79" i="7"/>
  <c r="M77" i="7"/>
  <c r="H77" i="7"/>
  <c r="N72" i="7"/>
  <c r="K76" i="7"/>
  <c r="O70" i="7"/>
  <c r="N78" i="7"/>
  <c r="J76" i="7"/>
  <c r="I77" i="7"/>
  <c r="M78" i="7"/>
  <c r="I76" i="7"/>
  <c r="L78" i="7"/>
  <c r="H76" i="7"/>
  <c r="N71" i="7"/>
  <c r="K70" i="7"/>
  <c r="K78" i="7"/>
  <c r="M71" i="7"/>
  <c r="N80" i="7"/>
  <c r="J78" i="7"/>
  <c r="L71" i="7"/>
  <c r="M80" i="7"/>
  <c r="I78" i="7"/>
  <c r="K71" i="7"/>
  <c r="L80" i="7"/>
  <c r="H78" i="7"/>
  <c r="N73" i="7"/>
  <c r="J71" i="7"/>
  <c r="J70" i="7"/>
  <c r="K80" i="7"/>
  <c r="M73" i="7"/>
  <c r="I71" i="7"/>
  <c r="J80" i="7"/>
  <c r="L73" i="7"/>
  <c r="H71" i="7"/>
  <c r="I80" i="7"/>
  <c r="K73" i="7"/>
  <c r="H80" i="7"/>
  <c r="N75" i="7"/>
  <c r="J73" i="7"/>
  <c r="M75" i="7"/>
  <c r="I73" i="7"/>
  <c r="L75" i="7"/>
  <c r="H73" i="7"/>
  <c r="K75" i="7"/>
  <c r="N77" i="7"/>
  <c r="J75" i="7"/>
  <c r="L77" i="7"/>
  <c r="H75" i="7"/>
  <c r="N70" i="7"/>
  <c r="K77" i="7"/>
  <c r="M70" i="7"/>
  <c r="N79" i="7"/>
  <c r="J77" i="7"/>
  <c r="L70" i="7"/>
  <c r="M79" i="7"/>
  <c r="N81" i="7"/>
  <c r="I74" i="7"/>
  <c r="I70" i="7"/>
  <c r="M76" i="7"/>
  <c r="M72" i="7"/>
  <c r="J74" i="7"/>
  <c r="N76" i="7"/>
  <c r="J79" i="7"/>
  <c r="H81" i="7"/>
  <c r="L76" i="7"/>
  <c r="K79" i="7"/>
  <c r="K74" i="7"/>
  <c r="I81" i="7"/>
  <c r="H72" i="7"/>
  <c r="L74" i="7"/>
  <c r="J81" i="7"/>
  <c r="H74" i="7"/>
  <c r="I72" i="7"/>
  <c r="M74" i="7"/>
  <c r="K81" i="7"/>
  <c r="J72" i="7"/>
  <c r="N74" i="7"/>
  <c r="H79" i="7"/>
  <c r="L81" i="7"/>
  <c r="G70" i="7"/>
  <c r="L72" i="7"/>
  <c r="K72" i="7"/>
  <c r="I79" i="7"/>
  <c r="M81" i="7"/>
  <c r="H70" i="7"/>
  <c r="O77" i="7"/>
  <c r="G77" i="7"/>
  <c r="O75" i="7"/>
  <c r="G75" i="7"/>
  <c r="G117" i="6"/>
  <c r="O117" i="6"/>
  <c r="O124" i="6"/>
  <c r="G124" i="6"/>
  <c r="O115" i="6"/>
  <c r="G115" i="6"/>
  <c r="O122" i="6"/>
  <c r="G122" i="6"/>
  <c r="O120" i="6"/>
  <c r="G120" i="6"/>
  <c r="O118" i="6"/>
  <c r="G118" i="6"/>
  <c r="O125" i="6"/>
  <c r="G125" i="6"/>
  <c r="O116" i="6"/>
  <c r="G116" i="6"/>
  <c r="O123" i="6"/>
  <c r="G123" i="6"/>
  <c r="N123" i="6"/>
  <c r="O114" i="6"/>
  <c r="L123" i="6"/>
  <c r="J121" i="6"/>
  <c r="N116" i="6"/>
  <c r="M120" i="6"/>
  <c r="I118" i="6"/>
  <c r="L120" i="6"/>
  <c r="H118" i="6"/>
  <c r="K120" i="6"/>
  <c r="H121" i="6"/>
  <c r="N122" i="6"/>
  <c r="J120" i="6"/>
  <c r="M122" i="6"/>
  <c r="I120" i="6"/>
  <c r="L122" i="6"/>
  <c r="H120" i="6"/>
  <c r="N115" i="6"/>
  <c r="K114" i="6"/>
  <c r="K122" i="6"/>
  <c r="M115" i="6"/>
  <c r="N124" i="6"/>
  <c r="J122" i="6"/>
  <c r="L115" i="6"/>
  <c r="M124" i="6"/>
  <c r="I122" i="6"/>
  <c r="K115" i="6"/>
  <c r="L124" i="6"/>
  <c r="H122" i="6"/>
  <c r="N117" i="6"/>
  <c r="J115" i="6"/>
  <c r="K124" i="6"/>
  <c r="M117" i="6"/>
  <c r="I115" i="6"/>
  <c r="J124" i="6"/>
  <c r="L117" i="6"/>
  <c r="H115" i="6"/>
  <c r="L114" i="6"/>
  <c r="J114" i="6"/>
  <c r="I124" i="6"/>
  <c r="K117" i="6"/>
  <c r="H124" i="6"/>
  <c r="N119" i="6"/>
  <c r="J117" i="6"/>
  <c r="M119" i="6"/>
  <c r="I117" i="6"/>
  <c r="L119" i="6"/>
  <c r="H117" i="6"/>
  <c r="I121" i="6"/>
  <c r="K119" i="6"/>
  <c r="N121" i="6"/>
  <c r="J119" i="6"/>
  <c r="M121" i="6"/>
  <c r="I119" i="6"/>
  <c r="L121" i="6"/>
  <c r="H119" i="6"/>
  <c r="N114" i="6"/>
  <c r="K121" i="6"/>
  <c r="M114" i="6"/>
  <c r="M123" i="6"/>
  <c r="N120" i="6"/>
  <c r="L116" i="6"/>
  <c r="H125" i="6"/>
  <c r="K118" i="6"/>
  <c r="I125" i="6"/>
  <c r="K123" i="6"/>
  <c r="H116" i="6"/>
  <c r="L118" i="6"/>
  <c r="H114" i="6"/>
  <c r="J125" i="6"/>
  <c r="I116" i="6"/>
  <c r="M118" i="6"/>
  <c r="K125" i="6"/>
  <c r="J123" i="6"/>
  <c r="J116" i="6"/>
  <c r="N118" i="6"/>
  <c r="H123" i="6"/>
  <c r="L125" i="6"/>
  <c r="G114" i="6"/>
  <c r="K116" i="6"/>
  <c r="I114" i="6"/>
  <c r="I123" i="6"/>
  <c r="M125" i="6"/>
  <c r="N125" i="6"/>
  <c r="M116" i="6"/>
  <c r="J118" i="6"/>
  <c r="O121" i="6"/>
  <c r="G121" i="6"/>
  <c r="O119" i="6"/>
  <c r="G119" i="6"/>
  <c r="G73" i="6"/>
  <c r="O73" i="6"/>
  <c r="O80" i="6"/>
  <c r="G80" i="6"/>
  <c r="O71" i="6"/>
  <c r="G71" i="6"/>
  <c r="O78" i="6"/>
  <c r="G78" i="6"/>
  <c r="O76" i="6"/>
  <c r="G76" i="6"/>
  <c r="O74" i="6"/>
  <c r="G74" i="6"/>
  <c r="G81" i="6"/>
  <c r="O81" i="6"/>
  <c r="O72" i="6"/>
  <c r="G72" i="6"/>
  <c r="O79" i="6"/>
  <c r="G79" i="6"/>
  <c r="L81" i="6"/>
  <c r="H79" i="6"/>
  <c r="N74" i="6"/>
  <c r="J72" i="6"/>
  <c r="L70" i="6"/>
  <c r="J70" i="6"/>
  <c r="M79" i="6"/>
  <c r="N72" i="6"/>
  <c r="N70" i="6"/>
  <c r="L76" i="6"/>
  <c r="H74" i="6"/>
  <c r="L77" i="6"/>
  <c r="N78" i="6"/>
  <c r="J76" i="6"/>
  <c r="H75" i="6"/>
  <c r="M78" i="6"/>
  <c r="I76" i="6"/>
  <c r="N79" i="6"/>
  <c r="L78" i="6"/>
  <c r="H76" i="6"/>
  <c r="N71" i="6"/>
  <c r="H77" i="6"/>
  <c r="K78" i="6"/>
  <c r="M71" i="6"/>
  <c r="N80" i="6"/>
  <c r="J78" i="6"/>
  <c r="L71" i="6"/>
  <c r="M80" i="6"/>
  <c r="I78" i="6"/>
  <c r="K71" i="6"/>
  <c r="L80" i="6"/>
  <c r="H78" i="6"/>
  <c r="N73" i="6"/>
  <c r="J71" i="6"/>
  <c r="K80" i="6"/>
  <c r="M73" i="6"/>
  <c r="I71" i="6"/>
  <c r="J77" i="6"/>
  <c r="J80" i="6"/>
  <c r="L73" i="6"/>
  <c r="H71" i="6"/>
  <c r="I80" i="6"/>
  <c r="K73" i="6"/>
  <c r="H80" i="6"/>
  <c r="N75" i="6"/>
  <c r="J73" i="6"/>
  <c r="L79" i="6"/>
  <c r="M75" i="6"/>
  <c r="I73" i="6"/>
  <c r="L75" i="6"/>
  <c r="H73" i="6"/>
  <c r="I77" i="6"/>
  <c r="K75" i="6"/>
  <c r="K70" i="6"/>
  <c r="N77" i="6"/>
  <c r="J75" i="6"/>
  <c r="M77" i="6"/>
  <c r="I75" i="6"/>
  <c r="O70" i="6"/>
  <c r="K77" i="6"/>
  <c r="M70" i="6"/>
  <c r="I74" i="6"/>
  <c r="M76" i="6"/>
  <c r="J74" i="6"/>
  <c r="N76" i="6"/>
  <c r="K79" i="6"/>
  <c r="H81" i="6"/>
  <c r="K74" i="6"/>
  <c r="I81" i="6"/>
  <c r="I70" i="6"/>
  <c r="H72" i="6"/>
  <c r="L74" i="6"/>
  <c r="J81" i="6"/>
  <c r="I72" i="6"/>
  <c r="M74" i="6"/>
  <c r="K81" i="6"/>
  <c r="G70" i="6"/>
  <c r="K72" i="6"/>
  <c r="I79" i="6"/>
  <c r="M81" i="6"/>
  <c r="H70" i="6"/>
  <c r="L72" i="6"/>
  <c r="J79" i="6"/>
  <c r="N81" i="6"/>
  <c r="M72" i="6"/>
  <c r="K76" i="6"/>
  <c r="O77" i="6"/>
  <c r="G77" i="6"/>
  <c r="O75" i="6"/>
  <c r="G75" i="6"/>
  <c r="O124" i="21"/>
  <c r="G124" i="21"/>
  <c r="O115" i="21"/>
  <c r="G115" i="21"/>
  <c r="O122" i="21"/>
  <c r="G122" i="21"/>
  <c r="O120" i="21"/>
  <c r="G120" i="21"/>
  <c r="O118" i="21"/>
  <c r="G118" i="21"/>
  <c r="O117" i="21"/>
  <c r="G117" i="21"/>
  <c r="O125" i="21"/>
  <c r="G125" i="21"/>
  <c r="O116" i="21"/>
  <c r="G116" i="21"/>
  <c r="O123" i="21"/>
  <c r="G123" i="21"/>
  <c r="K123" i="21"/>
  <c r="M116" i="21"/>
  <c r="I114" i="21"/>
  <c r="M114" i="21"/>
  <c r="H119" i="21"/>
  <c r="H123" i="21"/>
  <c r="N118" i="21"/>
  <c r="J116" i="21"/>
  <c r="L121" i="21"/>
  <c r="N114" i="21"/>
  <c r="L120" i="21"/>
  <c r="H118" i="21"/>
  <c r="K120" i="21"/>
  <c r="N122" i="21"/>
  <c r="J120" i="21"/>
  <c r="M122" i="21"/>
  <c r="I120" i="21"/>
  <c r="L122" i="21"/>
  <c r="H120" i="21"/>
  <c r="N115" i="21"/>
  <c r="K122" i="21"/>
  <c r="M115" i="21"/>
  <c r="N124" i="21"/>
  <c r="J122" i="21"/>
  <c r="L115" i="21"/>
  <c r="M124" i="21"/>
  <c r="I122" i="21"/>
  <c r="K115" i="21"/>
  <c r="L124" i="21"/>
  <c r="H122" i="21"/>
  <c r="N117" i="21"/>
  <c r="J115" i="21"/>
  <c r="K124" i="21"/>
  <c r="M117" i="21"/>
  <c r="I115" i="21"/>
  <c r="J124" i="21"/>
  <c r="L117" i="21"/>
  <c r="H115" i="21"/>
  <c r="I124" i="21"/>
  <c r="K117" i="21"/>
  <c r="H124" i="21"/>
  <c r="N119" i="21"/>
  <c r="J117" i="21"/>
  <c r="M119" i="21"/>
  <c r="I117" i="21"/>
  <c r="L119" i="21"/>
  <c r="H117" i="21"/>
  <c r="K119" i="21"/>
  <c r="N121" i="21"/>
  <c r="J119" i="21"/>
  <c r="M121" i="21"/>
  <c r="I119" i="21"/>
  <c r="O114" i="21"/>
  <c r="N123" i="21"/>
  <c r="J121" i="21"/>
  <c r="L114" i="21"/>
  <c r="H121" i="21"/>
  <c r="J114" i="21"/>
  <c r="M123" i="21"/>
  <c r="I121" i="21"/>
  <c r="K114" i="21"/>
  <c r="L123" i="21"/>
  <c r="N116" i="21"/>
  <c r="K121" i="21"/>
  <c r="N125" i="21"/>
  <c r="N120" i="21"/>
  <c r="H125" i="21"/>
  <c r="K118" i="21"/>
  <c r="L116" i="21"/>
  <c r="H114" i="21"/>
  <c r="I125" i="21"/>
  <c r="H116" i="21"/>
  <c r="L118" i="21"/>
  <c r="J125" i="21"/>
  <c r="I116" i="21"/>
  <c r="M118" i="21"/>
  <c r="K125" i="21"/>
  <c r="L125" i="21"/>
  <c r="G114" i="21"/>
  <c r="K116" i="21"/>
  <c r="I123" i="21"/>
  <c r="J123" i="21"/>
  <c r="M125" i="21"/>
  <c r="I118" i="21"/>
  <c r="M120" i="21"/>
  <c r="J118" i="21"/>
  <c r="G121" i="21"/>
  <c r="O121" i="21"/>
  <c r="G119" i="21"/>
  <c r="O119" i="21"/>
  <c r="O80" i="21"/>
  <c r="G80" i="21"/>
  <c r="O71" i="21"/>
  <c r="G71" i="21"/>
  <c r="O78" i="21"/>
  <c r="G78" i="21"/>
  <c r="O73" i="21"/>
  <c r="G73" i="21"/>
  <c r="O76" i="21"/>
  <c r="G76" i="21"/>
  <c r="O74" i="21"/>
  <c r="G74" i="21"/>
  <c r="G81" i="21"/>
  <c r="O81" i="21"/>
  <c r="O72" i="21"/>
  <c r="G72" i="21"/>
  <c r="O79" i="21"/>
  <c r="G79" i="21"/>
  <c r="L70" i="21"/>
  <c r="N79" i="21"/>
  <c r="H77" i="21"/>
  <c r="J77" i="21"/>
  <c r="L79" i="21"/>
  <c r="J76" i="21"/>
  <c r="M78" i="21"/>
  <c r="I76" i="21"/>
  <c r="J70" i="21"/>
  <c r="L78" i="21"/>
  <c r="H76" i="21"/>
  <c r="N71" i="21"/>
  <c r="I77" i="21"/>
  <c r="K78" i="21"/>
  <c r="M71" i="21"/>
  <c r="N80" i="21"/>
  <c r="J78" i="21"/>
  <c r="L71" i="21"/>
  <c r="M80" i="21"/>
  <c r="I78" i="21"/>
  <c r="K71" i="21"/>
  <c r="K70" i="21"/>
  <c r="L80" i="21"/>
  <c r="H78" i="21"/>
  <c r="N73" i="21"/>
  <c r="J71" i="21"/>
  <c r="K77" i="21"/>
  <c r="K80" i="21"/>
  <c r="M73" i="21"/>
  <c r="I71" i="21"/>
  <c r="M70" i="21"/>
  <c r="J80" i="21"/>
  <c r="L73" i="21"/>
  <c r="H71" i="21"/>
  <c r="I80" i="21"/>
  <c r="K73" i="21"/>
  <c r="H80" i="21"/>
  <c r="N75" i="21"/>
  <c r="J73" i="21"/>
  <c r="M75" i="21"/>
  <c r="I73" i="21"/>
  <c r="L75" i="21"/>
  <c r="H73" i="21"/>
  <c r="K75" i="21"/>
  <c r="M79" i="21"/>
  <c r="N77" i="21"/>
  <c r="J75" i="21"/>
  <c r="M77" i="21"/>
  <c r="I75" i="21"/>
  <c r="O70" i="21"/>
  <c r="L77" i="21"/>
  <c r="H75" i="21"/>
  <c r="N70" i="21"/>
  <c r="N72" i="21"/>
  <c r="K79" i="21"/>
  <c r="H70" i="21"/>
  <c r="H74" i="21"/>
  <c r="L72" i="21"/>
  <c r="L76" i="21"/>
  <c r="J79" i="21"/>
  <c r="N81" i="21"/>
  <c r="I79" i="21"/>
  <c r="I74" i="21"/>
  <c r="I70" i="21"/>
  <c r="M76" i="21"/>
  <c r="M72" i="21"/>
  <c r="J74" i="21"/>
  <c r="N76" i="21"/>
  <c r="H81" i="21"/>
  <c r="K74" i="21"/>
  <c r="K72" i="21"/>
  <c r="K76" i="21"/>
  <c r="I81" i="21"/>
  <c r="H72" i="21"/>
  <c r="L74" i="21"/>
  <c r="J81" i="21"/>
  <c r="I72" i="21"/>
  <c r="M74" i="21"/>
  <c r="K81" i="21"/>
  <c r="J72" i="21"/>
  <c r="N74" i="21"/>
  <c r="H79" i="21"/>
  <c r="L81" i="21"/>
  <c r="M81" i="21"/>
  <c r="N78" i="21"/>
  <c r="G70" i="21"/>
  <c r="O77" i="21"/>
  <c r="G77" i="21"/>
  <c r="G75" i="21"/>
  <c r="O75" i="21"/>
  <c r="M16" i="37"/>
  <c r="N16" i="37"/>
  <c r="N3" i="19" l="1"/>
  <c r="D3" i="19"/>
  <c r="N155" i="5"/>
  <c r="N111" i="5"/>
  <c r="N67" i="5"/>
  <c r="N170" i="5"/>
  <c r="P151" i="5"/>
  <c r="O151" i="5"/>
  <c r="N151" i="5"/>
  <c r="M151" i="5"/>
  <c r="B149" i="5"/>
  <c r="B148" i="5"/>
  <c r="B147" i="5"/>
  <c r="P145" i="5"/>
  <c r="O145" i="5"/>
  <c r="N145" i="5"/>
  <c r="N138" i="5"/>
  <c r="K130" i="5"/>
  <c r="N126" i="5"/>
  <c r="P107" i="5"/>
  <c r="O107" i="5"/>
  <c r="N107" i="5"/>
  <c r="M107" i="5"/>
  <c r="B105" i="5"/>
  <c r="B104" i="5"/>
  <c r="B103" i="5"/>
  <c r="P101" i="5"/>
  <c r="O101" i="5"/>
  <c r="N101" i="5"/>
  <c r="P63" i="5"/>
  <c r="O63" i="5"/>
  <c r="N63" i="5"/>
  <c r="M63" i="5"/>
  <c r="B61" i="5"/>
  <c r="B60" i="5"/>
  <c r="B59" i="5"/>
  <c r="P57" i="5"/>
  <c r="O57" i="5"/>
  <c r="N57" i="5"/>
  <c r="N50" i="5"/>
  <c r="K42" i="5"/>
  <c r="K86" i="5" s="1"/>
  <c r="K41" i="5"/>
  <c r="K173" i="5" s="1"/>
  <c r="L40" i="5"/>
  <c r="L172" i="5" s="1"/>
  <c r="K40" i="5"/>
  <c r="K172" i="5" s="1"/>
  <c r="A26" i="5"/>
  <c r="P19" i="5"/>
  <c r="O19" i="5"/>
  <c r="N19" i="5"/>
  <c r="M19" i="5"/>
  <c r="F63" i="5"/>
  <c r="F107" i="5" s="1"/>
  <c r="C107" i="5"/>
  <c r="B17" i="5"/>
  <c r="B16" i="5"/>
  <c r="B15" i="5"/>
  <c r="P13" i="5"/>
  <c r="O13" i="5"/>
  <c r="N13" i="5"/>
  <c r="O10" i="5"/>
  <c r="O54" i="5" s="1"/>
  <c r="O9" i="5"/>
  <c r="O53" i="5" s="1"/>
  <c r="O8" i="5"/>
  <c r="O52" i="5" s="1"/>
  <c r="O7" i="5"/>
  <c r="O51" i="5" s="1"/>
  <c r="O6" i="5"/>
  <c r="O50" i="5" s="1"/>
  <c r="N3" i="5"/>
  <c r="O5" i="5"/>
  <c r="O49" i="5" s="1"/>
  <c r="N38" i="5"/>
  <c r="N82" i="5"/>
  <c r="N6" i="5"/>
  <c r="D3" i="5"/>
  <c r="D47" i="5" s="1"/>
  <c r="P239" i="13"/>
  <c r="O239" i="13"/>
  <c r="N239" i="13"/>
  <c r="M239" i="13"/>
  <c r="C239" i="13"/>
  <c r="C243" i="13" s="1"/>
  <c r="B237" i="13"/>
  <c r="B236" i="13"/>
  <c r="B235" i="13"/>
  <c r="P233" i="13"/>
  <c r="O233" i="13"/>
  <c r="N233" i="13"/>
  <c r="N226" i="13"/>
  <c r="P195" i="13"/>
  <c r="O195" i="13"/>
  <c r="N195" i="13"/>
  <c r="M195" i="13"/>
  <c r="C195" i="13"/>
  <c r="C199" i="13" s="1"/>
  <c r="B193" i="13"/>
  <c r="B192" i="13"/>
  <c r="B191" i="13"/>
  <c r="P189" i="13"/>
  <c r="O189" i="13"/>
  <c r="N189" i="13"/>
  <c r="N182" i="13"/>
  <c r="K174" i="13"/>
  <c r="K173" i="13"/>
  <c r="L172" i="13"/>
  <c r="K172" i="13"/>
  <c r="A158" i="13"/>
  <c r="A146" i="13" s="1"/>
  <c r="C155" i="13"/>
  <c r="P151" i="13"/>
  <c r="O151" i="13"/>
  <c r="N151" i="13"/>
  <c r="M151" i="13"/>
  <c r="B149" i="13"/>
  <c r="B148" i="13"/>
  <c r="P145" i="13"/>
  <c r="O145" i="13"/>
  <c r="N145" i="13"/>
  <c r="O142" i="13"/>
  <c r="O141" i="13"/>
  <c r="O140" i="13"/>
  <c r="N138" i="13"/>
  <c r="O139" i="13"/>
  <c r="O138" i="13"/>
  <c r="P107" i="13"/>
  <c r="O107" i="13"/>
  <c r="N107" i="13"/>
  <c r="M107" i="13"/>
  <c r="B105" i="13"/>
  <c r="B104" i="13"/>
  <c r="B103" i="13"/>
  <c r="P101" i="13"/>
  <c r="O101" i="13"/>
  <c r="N101" i="13"/>
  <c r="N94" i="13"/>
  <c r="K174" i="5" l="1"/>
  <c r="K129" i="5"/>
  <c r="K85" i="5"/>
  <c r="L128" i="5"/>
  <c r="K128" i="5"/>
  <c r="A114" i="5"/>
  <c r="A102" i="5" s="1"/>
  <c r="A14" i="5"/>
  <c r="N51" i="5"/>
  <c r="N7" i="5"/>
  <c r="E27" i="5" s="1"/>
  <c r="N135" i="5"/>
  <c r="G17" i="5"/>
  <c r="H17" i="5" s="1"/>
  <c r="G14" i="5"/>
  <c r="H14" i="5" s="1"/>
  <c r="E23" i="5" s="1"/>
  <c r="G15" i="5"/>
  <c r="H15" i="5" s="1"/>
  <c r="G16" i="5"/>
  <c r="H16" i="5" s="1"/>
  <c r="L85" i="5"/>
  <c r="L86" i="5"/>
  <c r="L174" i="13"/>
  <c r="O98" i="5"/>
  <c r="O97" i="5"/>
  <c r="O96" i="5"/>
  <c r="D46" i="19"/>
  <c r="D89" i="19"/>
  <c r="D132" i="19"/>
  <c r="N89" i="19"/>
  <c r="N132" i="19"/>
  <c r="C69" i="5"/>
  <c r="C67" i="5"/>
  <c r="G15" i="19"/>
  <c r="G18" i="19"/>
  <c r="G17" i="19"/>
  <c r="N46" i="19"/>
  <c r="G16" i="19"/>
  <c r="C113" i="5"/>
  <c r="F151" i="5"/>
  <c r="C157" i="5" s="1"/>
  <c r="C111" i="5"/>
  <c r="C151" i="5"/>
  <c r="C155" i="5" s="1"/>
  <c r="K84" i="5"/>
  <c r="L84" i="5"/>
  <c r="D135" i="5"/>
  <c r="A70" i="5"/>
  <c r="A58" i="5" s="1"/>
  <c r="O141" i="5"/>
  <c r="O142" i="5"/>
  <c r="A158" i="5"/>
  <c r="A146" i="5" s="1"/>
  <c r="O139" i="5"/>
  <c r="D91" i="5"/>
  <c r="N91" i="5"/>
  <c r="O137" i="5"/>
  <c r="O93" i="5"/>
  <c r="O94" i="5"/>
  <c r="O138" i="5"/>
  <c r="O95" i="5"/>
  <c r="O140" i="5"/>
  <c r="L130" i="5"/>
  <c r="N94" i="5"/>
  <c r="N139" i="5"/>
  <c r="L173" i="5"/>
  <c r="L174" i="5"/>
  <c r="L129" i="5"/>
  <c r="L42" i="5"/>
  <c r="C23" i="5"/>
  <c r="C25" i="5"/>
  <c r="K13" i="5"/>
  <c r="F13" i="5"/>
  <c r="N47" i="5"/>
  <c r="N52" i="5"/>
  <c r="L41" i="5"/>
  <c r="L173" i="13"/>
  <c r="N227" i="13"/>
  <c r="N139" i="13"/>
  <c r="N183" i="13"/>
  <c r="N95" i="13"/>
  <c r="C31" i="19" l="1"/>
  <c r="C29" i="19"/>
  <c r="C27" i="19"/>
  <c r="C28" i="19"/>
  <c r="C36" i="19"/>
  <c r="C35" i="19"/>
  <c r="C30" i="19"/>
  <c r="C34" i="19"/>
  <c r="C33" i="19"/>
  <c r="C26" i="19"/>
  <c r="C32" i="19"/>
  <c r="C25" i="19"/>
  <c r="K145" i="5"/>
  <c r="D29" i="19"/>
  <c r="D28" i="19"/>
  <c r="D27" i="19"/>
  <c r="D26" i="19"/>
  <c r="D25" i="19"/>
  <c r="D36" i="19"/>
  <c r="D35" i="19"/>
  <c r="D34" i="19"/>
  <c r="D33" i="19"/>
  <c r="D32" i="19"/>
  <c r="D30" i="19"/>
  <c r="D31" i="19"/>
  <c r="E34" i="19"/>
  <c r="E25" i="19"/>
  <c r="E33" i="19"/>
  <c r="E36" i="19"/>
  <c r="E35" i="19"/>
  <c r="E32" i="19"/>
  <c r="E31" i="19"/>
  <c r="E30" i="19"/>
  <c r="E29" i="19"/>
  <c r="E28" i="19"/>
  <c r="E27" i="19"/>
  <c r="E26" i="19"/>
  <c r="N8" i="5"/>
  <c r="E28" i="5" s="1"/>
  <c r="B27" i="5"/>
  <c r="D27" i="5" s="1"/>
  <c r="N95" i="5"/>
  <c r="F145" i="5"/>
  <c r="G103" i="5"/>
  <c r="H103" i="5" s="1"/>
  <c r="G102" i="5"/>
  <c r="H102" i="5" s="1"/>
  <c r="G104" i="5"/>
  <c r="H104" i="5" s="1"/>
  <c r="G105" i="5"/>
  <c r="H105" i="5" s="1"/>
  <c r="G60" i="5"/>
  <c r="H60" i="5" s="1"/>
  <c r="G59" i="5"/>
  <c r="H59" i="5" s="1"/>
  <c r="G58" i="5"/>
  <c r="H58" i="5" s="1"/>
  <c r="G61" i="5"/>
  <c r="H61" i="5" s="1"/>
  <c r="G149" i="5"/>
  <c r="H149" i="5" s="1"/>
  <c r="G148" i="5"/>
  <c r="H148" i="5" s="1"/>
  <c r="G147" i="5"/>
  <c r="H147" i="5" s="1"/>
  <c r="G146" i="5"/>
  <c r="G147" i="19"/>
  <c r="G146" i="19"/>
  <c r="G144" i="19"/>
  <c r="G145" i="19"/>
  <c r="G143" i="19"/>
  <c r="G104" i="19"/>
  <c r="G101" i="19"/>
  <c r="G100" i="19"/>
  <c r="G103" i="19"/>
  <c r="G102" i="19"/>
  <c r="N96" i="5"/>
  <c r="N97" i="5" s="1"/>
  <c r="G58" i="19"/>
  <c r="G57" i="19"/>
  <c r="G60" i="19"/>
  <c r="G61" i="19"/>
  <c r="G59" i="19"/>
  <c r="F101" i="5"/>
  <c r="K101" i="5"/>
  <c r="N140" i="5"/>
  <c r="N53" i="5"/>
  <c r="F57" i="5"/>
  <c r="K57" i="5"/>
  <c r="N228" i="13"/>
  <c r="N184" i="13"/>
  <c r="N140" i="13"/>
  <c r="N96" i="13"/>
  <c r="P63" i="13"/>
  <c r="O63" i="13"/>
  <c r="N63" i="13"/>
  <c r="M63" i="13"/>
  <c r="B61" i="13"/>
  <c r="B60" i="13"/>
  <c r="B59" i="13"/>
  <c r="P57" i="13"/>
  <c r="O57" i="13"/>
  <c r="N57" i="13"/>
  <c r="A26" i="13"/>
  <c r="N50" i="13"/>
  <c r="K42" i="13"/>
  <c r="K86" i="13" s="1"/>
  <c r="K41" i="13"/>
  <c r="K85" i="13" s="1"/>
  <c r="L40" i="13"/>
  <c r="K40" i="13"/>
  <c r="O19" i="13"/>
  <c r="O13" i="13"/>
  <c r="O10" i="13"/>
  <c r="O9" i="13"/>
  <c r="O8" i="13"/>
  <c r="O7" i="13"/>
  <c r="O6" i="13"/>
  <c r="P19" i="13"/>
  <c r="N19" i="13"/>
  <c r="M19" i="13"/>
  <c r="C25" i="13"/>
  <c r="C23" i="13"/>
  <c r="B17" i="13"/>
  <c r="B16" i="13"/>
  <c r="P13" i="13"/>
  <c r="N13" i="13"/>
  <c r="P151" i="20"/>
  <c r="O151" i="20"/>
  <c r="N151" i="20"/>
  <c r="M151" i="20"/>
  <c r="B149" i="20"/>
  <c r="B148" i="20"/>
  <c r="B147" i="20"/>
  <c r="P145" i="20"/>
  <c r="O145" i="20"/>
  <c r="N145" i="20"/>
  <c r="N138" i="20"/>
  <c r="K130" i="20"/>
  <c r="P107" i="20"/>
  <c r="O107" i="20"/>
  <c r="N107" i="20"/>
  <c r="M107" i="20"/>
  <c r="B105" i="20"/>
  <c r="B104" i="20"/>
  <c r="B103" i="20"/>
  <c r="P101" i="20"/>
  <c r="O101" i="20"/>
  <c r="N101" i="20"/>
  <c r="K86" i="20"/>
  <c r="L86" i="20" s="1"/>
  <c r="P63" i="20"/>
  <c r="O63" i="20"/>
  <c r="N63" i="20"/>
  <c r="M63" i="20"/>
  <c r="B61" i="20"/>
  <c r="B60" i="20"/>
  <c r="B59" i="20"/>
  <c r="P57" i="20"/>
  <c r="O57" i="20"/>
  <c r="N57" i="20"/>
  <c r="N50" i="20"/>
  <c r="O51" i="20"/>
  <c r="O50" i="20"/>
  <c r="K42" i="20"/>
  <c r="K41" i="20"/>
  <c r="K173" i="20" s="1"/>
  <c r="L40" i="20"/>
  <c r="L172" i="20" s="1"/>
  <c r="K40" i="20"/>
  <c r="K172" i="20" s="1"/>
  <c r="A26" i="20"/>
  <c r="P19" i="20"/>
  <c r="O19" i="20"/>
  <c r="N19" i="20"/>
  <c r="M19" i="20"/>
  <c r="F63" i="20"/>
  <c r="C63" i="20"/>
  <c r="B17" i="20"/>
  <c r="B16" i="20"/>
  <c r="B15" i="20"/>
  <c r="P13" i="20"/>
  <c r="O13" i="20"/>
  <c r="N13" i="20"/>
  <c r="O10" i="20"/>
  <c r="O54" i="20" s="1"/>
  <c r="O9" i="20"/>
  <c r="O97" i="20" s="1"/>
  <c r="O8" i="20"/>
  <c r="O96" i="20" s="1"/>
  <c r="N6" i="20"/>
  <c r="N7" i="20" s="1"/>
  <c r="O7" i="20"/>
  <c r="O95" i="20" s="1"/>
  <c r="O6" i="20"/>
  <c r="O138" i="20" s="1"/>
  <c r="O5" i="20"/>
  <c r="O137" i="20" s="1"/>
  <c r="N314" i="4"/>
  <c r="N270" i="4"/>
  <c r="N226" i="4"/>
  <c r="N182" i="4"/>
  <c r="N138" i="4"/>
  <c r="N94" i="4"/>
  <c r="E159" i="19" l="1"/>
  <c r="E164" i="19"/>
  <c r="E155" i="19"/>
  <c r="E158" i="19"/>
  <c r="E163" i="19"/>
  <c r="E165" i="19"/>
  <c r="E157" i="19"/>
  <c r="E156" i="19"/>
  <c r="E161" i="19"/>
  <c r="E162" i="19"/>
  <c r="E154" i="19"/>
  <c r="E160" i="19"/>
  <c r="E73" i="19"/>
  <c r="E78" i="19"/>
  <c r="E75" i="19"/>
  <c r="E72" i="19"/>
  <c r="E77" i="19"/>
  <c r="E70" i="19"/>
  <c r="E79" i="19"/>
  <c r="E71" i="19"/>
  <c r="E69" i="19"/>
  <c r="E76" i="19"/>
  <c r="E68" i="19"/>
  <c r="E74" i="19"/>
  <c r="D159" i="19"/>
  <c r="D161" i="19"/>
  <c r="D164" i="19"/>
  <c r="D158" i="19"/>
  <c r="D165" i="19"/>
  <c r="D157" i="19"/>
  <c r="D156" i="19"/>
  <c r="D163" i="19"/>
  <c r="D155" i="19"/>
  <c r="D162" i="19"/>
  <c r="D154" i="19"/>
  <c r="D160" i="19"/>
  <c r="C73" i="19"/>
  <c r="C79" i="19"/>
  <c r="C71" i="19"/>
  <c r="C72" i="19"/>
  <c r="C78" i="19"/>
  <c r="C70" i="19"/>
  <c r="C77" i="19"/>
  <c r="C69" i="19"/>
  <c r="C76" i="19"/>
  <c r="C68" i="19"/>
  <c r="C75" i="19"/>
  <c r="C74" i="19"/>
  <c r="B78" i="19"/>
  <c r="B79" i="19"/>
  <c r="B73" i="19"/>
  <c r="B71" i="19"/>
  <c r="B70" i="19"/>
  <c r="B68" i="19"/>
  <c r="B72" i="19"/>
  <c r="B75" i="19"/>
  <c r="B76" i="19"/>
  <c r="B77" i="19"/>
  <c r="B69" i="19"/>
  <c r="B74" i="19"/>
  <c r="D120" i="19"/>
  <c r="D112" i="19"/>
  <c r="D119" i="19"/>
  <c r="D111" i="19"/>
  <c r="D117" i="19"/>
  <c r="D118" i="19"/>
  <c r="D114" i="19"/>
  <c r="D116" i="19"/>
  <c r="D122" i="19"/>
  <c r="D115" i="19"/>
  <c r="D121" i="19"/>
  <c r="D113" i="19"/>
  <c r="E120" i="19"/>
  <c r="E112" i="19"/>
  <c r="E116" i="19"/>
  <c r="E119" i="19"/>
  <c r="E111" i="19"/>
  <c r="E122" i="19"/>
  <c r="E117" i="19"/>
  <c r="E118" i="19"/>
  <c r="E114" i="19"/>
  <c r="E115" i="19"/>
  <c r="E121" i="19"/>
  <c r="E113" i="19"/>
  <c r="C157" i="19"/>
  <c r="C159" i="19"/>
  <c r="C156" i="19"/>
  <c r="C158" i="19"/>
  <c r="C165" i="19"/>
  <c r="C161" i="19"/>
  <c r="C164" i="19"/>
  <c r="C163" i="19"/>
  <c r="C155" i="19"/>
  <c r="C162" i="19"/>
  <c r="C154" i="19"/>
  <c r="C160" i="19"/>
  <c r="D73" i="19"/>
  <c r="D70" i="19"/>
  <c r="D78" i="19"/>
  <c r="D72" i="19"/>
  <c r="D79" i="19"/>
  <c r="D71" i="19"/>
  <c r="D77" i="19"/>
  <c r="D69" i="19"/>
  <c r="D76" i="19"/>
  <c r="D68" i="19"/>
  <c r="D75" i="19"/>
  <c r="D74" i="19"/>
  <c r="B120" i="19"/>
  <c r="B112" i="19"/>
  <c r="B114" i="19"/>
  <c r="B119" i="19"/>
  <c r="B111" i="19"/>
  <c r="B118" i="19"/>
  <c r="B115" i="19"/>
  <c r="B117" i="19"/>
  <c r="B116" i="19"/>
  <c r="B122" i="19"/>
  <c r="B121" i="19"/>
  <c r="B113" i="19"/>
  <c r="B157" i="19"/>
  <c r="B161" i="19"/>
  <c r="B159" i="19"/>
  <c r="B158" i="19"/>
  <c r="B165" i="19"/>
  <c r="B154" i="19"/>
  <c r="B162" i="19"/>
  <c r="B164" i="19"/>
  <c r="B156" i="19"/>
  <c r="B163" i="19"/>
  <c r="B155" i="19"/>
  <c r="B160" i="19"/>
  <c r="C120" i="19"/>
  <c r="C112" i="19"/>
  <c r="C117" i="19"/>
  <c r="C119" i="19"/>
  <c r="C111" i="19"/>
  <c r="C118" i="19"/>
  <c r="C122" i="19"/>
  <c r="C114" i="19"/>
  <c r="C116" i="19"/>
  <c r="C115" i="19"/>
  <c r="C121" i="19"/>
  <c r="C113" i="19"/>
  <c r="N9" i="5"/>
  <c r="E29" i="5" s="1"/>
  <c r="B28" i="5"/>
  <c r="D28" i="5" s="1"/>
  <c r="E155" i="5"/>
  <c r="H146" i="5"/>
  <c r="O49" i="20"/>
  <c r="K129" i="20"/>
  <c r="L129" i="20" s="1"/>
  <c r="A70" i="13"/>
  <c r="A58" i="13" s="1"/>
  <c r="A14" i="13"/>
  <c r="A70" i="20"/>
  <c r="A58" i="20" s="1"/>
  <c r="A14" i="20"/>
  <c r="N7" i="13"/>
  <c r="N271" i="4"/>
  <c r="L173" i="20"/>
  <c r="N94" i="20"/>
  <c r="L130" i="20"/>
  <c r="E67" i="5"/>
  <c r="E111" i="5"/>
  <c r="O52" i="20"/>
  <c r="K128" i="20"/>
  <c r="C25" i="20"/>
  <c r="C23" i="20"/>
  <c r="N141" i="5"/>
  <c r="N98" i="5"/>
  <c r="N54" i="5"/>
  <c r="L42" i="20"/>
  <c r="L86" i="13"/>
  <c r="L85" i="13"/>
  <c r="O183" i="13"/>
  <c r="O227" i="13"/>
  <c r="O95" i="13"/>
  <c r="O184" i="13"/>
  <c r="O228" i="13"/>
  <c r="O96" i="13"/>
  <c r="O185" i="13"/>
  <c r="O229" i="13"/>
  <c r="O97" i="13"/>
  <c r="A246" i="13"/>
  <c r="A234" i="13" s="1"/>
  <c r="A202" i="13"/>
  <c r="A190" i="13" s="1"/>
  <c r="A114" i="13"/>
  <c r="A102" i="13" s="1"/>
  <c r="O186" i="13"/>
  <c r="O230" i="13"/>
  <c r="O98" i="13"/>
  <c r="K84" i="13"/>
  <c r="K128" i="13"/>
  <c r="K260" i="13"/>
  <c r="K216" i="13"/>
  <c r="O182" i="13"/>
  <c r="O226" i="13"/>
  <c r="O94" i="13"/>
  <c r="L84" i="13"/>
  <c r="L260" i="13"/>
  <c r="L216" i="13"/>
  <c r="L128" i="13"/>
  <c r="K261" i="13"/>
  <c r="L261" i="13" s="1"/>
  <c r="K217" i="13"/>
  <c r="L217" i="13" s="1"/>
  <c r="K129" i="13"/>
  <c r="L129" i="13" s="1"/>
  <c r="K262" i="13"/>
  <c r="L262" i="13" s="1"/>
  <c r="K218" i="13"/>
  <c r="L218" i="13" s="1"/>
  <c r="K130" i="13"/>
  <c r="L130" i="13" s="1"/>
  <c r="O93" i="13"/>
  <c r="O225" i="13"/>
  <c r="O181" i="13"/>
  <c r="N229" i="13"/>
  <c r="N141" i="13"/>
  <c r="N185" i="13"/>
  <c r="N97" i="13"/>
  <c r="N51" i="13"/>
  <c r="L41" i="13"/>
  <c r="L42" i="13"/>
  <c r="L84" i="20"/>
  <c r="L128" i="20"/>
  <c r="K84" i="20"/>
  <c r="C63" i="13"/>
  <c r="F63" i="13"/>
  <c r="O49" i="13"/>
  <c r="O50" i="13"/>
  <c r="O51" i="13"/>
  <c r="O52" i="13"/>
  <c r="O53" i="13"/>
  <c r="O54" i="13"/>
  <c r="C67" i="20"/>
  <c r="C107" i="20"/>
  <c r="C69" i="20"/>
  <c r="F107" i="20"/>
  <c r="O141" i="20"/>
  <c r="O142" i="20"/>
  <c r="O93" i="20"/>
  <c r="O139" i="20"/>
  <c r="O94" i="20"/>
  <c r="A114" i="20"/>
  <c r="A102" i="20" s="1"/>
  <c r="O140" i="20"/>
  <c r="O98" i="20"/>
  <c r="N8" i="20"/>
  <c r="A158" i="20"/>
  <c r="A146" i="20" s="1"/>
  <c r="K174" i="20"/>
  <c r="L174" i="20" s="1"/>
  <c r="N139" i="20"/>
  <c r="O53" i="20"/>
  <c r="N51" i="20"/>
  <c r="K85" i="20"/>
  <c r="L85" i="20" s="1"/>
  <c r="L41" i="20"/>
  <c r="N95" i="4"/>
  <c r="N315" i="4"/>
  <c r="N272" i="4"/>
  <c r="N227" i="4"/>
  <c r="N183" i="4"/>
  <c r="N139" i="4"/>
  <c r="C25" i="4"/>
  <c r="C23" i="4"/>
  <c r="O11" i="4"/>
  <c r="O10" i="4"/>
  <c r="O54" i="4" s="1"/>
  <c r="O9" i="4"/>
  <c r="O53" i="4" s="1"/>
  <c r="O8" i="4"/>
  <c r="O52" i="4" s="1"/>
  <c r="O7" i="4"/>
  <c r="O51" i="4" s="1"/>
  <c r="O6" i="4"/>
  <c r="O50" i="4" s="1"/>
  <c r="O5" i="4"/>
  <c r="L40" i="4"/>
  <c r="K42" i="4"/>
  <c r="K40" i="4"/>
  <c r="K41" i="4"/>
  <c r="A26" i="4"/>
  <c r="P19" i="4"/>
  <c r="O19" i="4"/>
  <c r="N19" i="4"/>
  <c r="M19" i="4"/>
  <c r="B17" i="4"/>
  <c r="B16" i="4"/>
  <c r="P13" i="4"/>
  <c r="O13" i="4"/>
  <c r="N13" i="4"/>
  <c r="P1339" i="2"/>
  <c r="O1339" i="2"/>
  <c r="N1339" i="2"/>
  <c r="M1339" i="2"/>
  <c r="B1337" i="2"/>
  <c r="B1336" i="2"/>
  <c r="B1335" i="2"/>
  <c r="P1333" i="2"/>
  <c r="O1333" i="2"/>
  <c r="N1333" i="2"/>
  <c r="L1361" i="2"/>
  <c r="L1317" i="2"/>
  <c r="P1295" i="2"/>
  <c r="O1295" i="2"/>
  <c r="N1295" i="2"/>
  <c r="M1295" i="2"/>
  <c r="B1293" i="2"/>
  <c r="B1292" i="2"/>
  <c r="B1291" i="2"/>
  <c r="P1289" i="2"/>
  <c r="O1289" i="2"/>
  <c r="N1289" i="2"/>
  <c r="L1318" i="2"/>
  <c r="P1251" i="2"/>
  <c r="O1251" i="2"/>
  <c r="N1251" i="2"/>
  <c r="M1251" i="2"/>
  <c r="B1249" i="2"/>
  <c r="B1248" i="2"/>
  <c r="B1247" i="2"/>
  <c r="P1245" i="2"/>
  <c r="O1245" i="2"/>
  <c r="N1245" i="2"/>
  <c r="L1274" i="2"/>
  <c r="P1207" i="2"/>
  <c r="O1207" i="2"/>
  <c r="N1207" i="2"/>
  <c r="M1207" i="2"/>
  <c r="B1205" i="2"/>
  <c r="B1204" i="2"/>
  <c r="B1203" i="2"/>
  <c r="P1201" i="2"/>
  <c r="O1201" i="2"/>
  <c r="N1201" i="2"/>
  <c r="L1229" i="2"/>
  <c r="P1163" i="2"/>
  <c r="O1163" i="2"/>
  <c r="N1163" i="2"/>
  <c r="M1163" i="2"/>
  <c r="B1161" i="2"/>
  <c r="B1160" i="2"/>
  <c r="B1159" i="2"/>
  <c r="P1157" i="2"/>
  <c r="O1157" i="2"/>
  <c r="N1157" i="2"/>
  <c r="N1150" i="2"/>
  <c r="P1119" i="2"/>
  <c r="O1119" i="2"/>
  <c r="N1119" i="2"/>
  <c r="M1119" i="2"/>
  <c r="B1117" i="2"/>
  <c r="B1116" i="2"/>
  <c r="B1115" i="2"/>
  <c r="P1113" i="2"/>
  <c r="O1113" i="2"/>
  <c r="N1113" i="2"/>
  <c r="L1142" i="2"/>
  <c r="P1075" i="2"/>
  <c r="O1075" i="2"/>
  <c r="N1075" i="2"/>
  <c r="M1075" i="2"/>
  <c r="B1073" i="2"/>
  <c r="B1072" i="2"/>
  <c r="B1071" i="2"/>
  <c r="P1069" i="2"/>
  <c r="O1069" i="2"/>
  <c r="N1069" i="2"/>
  <c r="L1097" i="2"/>
  <c r="P1031" i="2"/>
  <c r="O1031" i="2"/>
  <c r="N1031" i="2"/>
  <c r="M1031" i="2"/>
  <c r="B1029" i="2"/>
  <c r="B1028" i="2"/>
  <c r="B1027" i="2"/>
  <c r="P1025" i="2"/>
  <c r="O1025" i="2"/>
  <c r="N1025" i="2"/>
  <c r="L1053" i="2"/>
  <c r="P987" i="2"/>
  <c r="O987" i="2"/>
  <c r="N987" i="2"/>
  <c r="M987" i="2"/>
  <c r="B985" i="2"/>
  <c r="B984" i="2"/>
  <c r="B983" i="2"/>
  <c r="P981" i="2"/>
  <c r="O981" i="2"/>
  <c r="N981" i="2"/>
  <c r="L1010" i="2"/>
  <c r="P943" i="2"/>
  <c r="O943" i="2"/>
  <c r="N943" i="2"/>
  <c r="M943" i="2"/>
  <c r="B941" i="2"/>
  <c r="B940" i="2"/>
  <c r="B939" i="2"/>
  <c r="P937" i="2"/>
  <c r="O937" i="2"/>
  <c r="N937" i="2"/>
  <c r="L966" i="2"/>
  <c r="P899" i="2"/>
  <c r="O899" i="2"/>
  <c r="N899" i="2"/>
  <c r="M899" i="2"/>
  <c r="B897" i="2"/>
  <c r="B896" i="2"/>
  <c r="B895" i="2"/>
  <c r="P893" i="2"/>
  <c r="O893" i="2"/>
  <c r="N893" i="2"/>
  <c r="L922" i="2"/>
  <c r="P855" i="2"/>
  <c r="O855" i="2"/>
  <c r="N855" i="2"/>
  <c r="M855" i="2"/>
  <c r="B853" i="2"/>
  <c r="B852" i="2"/>
  <c r="B851" i="2"/>
  <c r="P849" i="2"/>
  <c r="O849" i="2"/>
  <c r="N849" i="2"/>
  <c r="L878" i="2"/>
  <c r="P811" i="2"/>
  <c r="O811" i="2"/>
  <c r="N811" i="2"/>
  <c r="M811" i="2"/>
  <c r="B809" i="2"/>
  <c r="B808" i="2"/>
  <c r="B807" i="2"/>
  <c r="P805" i="2"/>
  <c r="O805" i="2"/>
  <c r="N805" i="2"/>
  <c r="P767" i="2"/>
  <c r="O767" i="2"/>
  <c r="N767" i="2"/>
  <c r="M767" i="2"/>
  <c r="B765" i="2"/>
  <c r="B764" i="2"/>
  <c r="B763" i="2"/>
  <c r="P761" i="2"/>
  <c r="O761" i="2"/>
  <c r="N761" i="2"/>
  <c r="L789" i="2"/>
  <c r="P723" i="2"/>
  <c r="O723" i="2"/>
  <c r="N723" i="2"/>
  <c r="M723" i="2"/>
  <c r="B721" i="2"/>
  <c r="B720" i="2"/>
  <c r="B719" i="2"/>
  <c r="P717" i="2"/>
  <c r="O717" i="2"/>
  <c r="N717" i="2"/>
  <c r="L746" i="2"/>
  <c r="P679" i="2"/>
  <c r="O679" i="2"/>
  <c r="N679" i="2"/>
  <c r="M679" i="2"/>
  <c r="B677" i="2"/>
  <c r="B676" i="2"/>
  <c r="B675" i="2"/>
  <c r="P673" i="2"/>
  <c r="O673" i="2"/>
  <c r="N673" i="2"/>
  <c r="N666" i="2"/>
  <c r="P635" i="2"/>
  <c r="O635" i="2"/>
  <c r="N635" i="2"/>
  <c r="M635" i="2"/>
  <c r="B633" i="2"/>
  <c r="B632" i="2"/>
  <c r="B631" i="2"/>
  <c r="P629" i="2"/>
  <c r="O629" i="2"/>
  <c r="N629" i="2"/>
  <c r="L657" i="2"/>
  <c r="N10" i="5" l="1"/>
  <c r="E30" i="5" s="1"/>
  <c r="B29" i="5"/>
  <c r="D29" i="5" s="1"/>
  <c r="N8" i="13"/>
  <c r="A70" i="4"/>
  <c r="A58" i="4" s="1"/>
  <c r="M57" i="4" s="1"/>
  <c r="A14" i="4"/>
  <c r="N95" i="20"/>
  <c r="N96" i="20" s="1"/>
  <c r="E166" i="19"/>
  <c r="L834" i="2"/>
  <c r="L833" i="2"/>
  <c r="C166" i="19"/>
  <c r="D123" i="19"/>
  <c r="F157" i="19"/>
  <c r="D166" i="19"/>
  <c r="F154" i="19"/>
  <c r="B166" i="19"/>
  <c r="F155" i="19"/>
  <c r="C123" i="19"/>
  <c r="B123" i="19"/>
  <c r="F122" i="19"/>
  <c r="F121" i="19"/>
  <c r="F120" i="19"/>
  <c r="F119" i="19"/>
  <c r="F118" i="19"/>
  <c r="F117" i="19"/>
  <c r="F162" i="19"/>
  <c r="F116" i="19"/>
  <c r="F158" i="19"/>
  <c r="F115" i="19"/>
  <c r="F165" i="19"/>
  <c r="F114" i="19"/>
  <c r="F164" i="19"/>
  <c r="F113" i="19"/>
  <c r="F156" i="19"/>
  <c r="F163" i="19"/>
  <c r="F112" i="19"/>
  <c r="F111" i="19"/>
  <c r="F161" i="19"/>
  <c r="F160" i="19"/>
  <c r="E123" i="19"/>
  <c r="F159" i="19"/>
  <c r="N1282" i="2"/>
  <c r="L1054" i="2"/>
  <c r="N842" i="2"/>
  <c r="L701" i="2"/>
  <c r="L702" i="2"/>
  <c r="L658" i="2"/>
  <c r="E80" i="19"/>
  <c r="D80" i="19"/>
  <c r="F79" i="19"/>
  <c r="F78" i="19"/>
  <c r="F77" i="19"/>
  <c r="F75" i="19"/>
  <c r="F74" i="19"/>
  <c r="F72" i="19"/>
  <c r="F73" i="19"/>
  <c r="F71" i="19"/>
  <c r="F70" i="19"/>
  <c r="F69" i="19"/>
  <c r="F68" i="19"/>
  <c r="B80" i="19"/>
  <c r="C80" i="19"/>
  <c r="F76" i="19"/>
  <c r="N142" i="5"/>
  <c r="C67" i="13"/>
  <c r="C107" i="13"/>
  <c r="C111" i="13" s="1"/>
  <c r="C69" i="13"/>
  <c r="F107" i="13"/>
  <c r="N230" i="13"/>
  <c r="N142" i="13"/>
  <c r="N143" i="13" s="1"/>
  <c r="N186" i="13"/>
  <c r="N98" i="13"/>
  <c r="N99" i="13" s="1"/>
  <c r="N52" i="13"/>
  <c r="C113" i="20"/>
  <c r="F151" i="20"/>
  <c r="C157" i="20" s="1"/>
  <c r="C111" i="20"/>
  <c r="C151" i="20"/>
  <c r="C155" i="20" s="1"/>
  <c r="N140" i="20"/>
  <c r="N97" i="20"/>
  <c r="N52" i="20"/>
  <c r="N9" i="20"/>
  <c r="K349" i="4"/>
  <c r="L349" i="4" s="1"/>
  <c r="K217" i="4"/>
  <c r="L217" i="4" s="1"/>
  <c r="K261" i="4"/>
  <c r="L261" i="4" s="1"/>
  <c r="K129" i="4"/>
  <c r="L129" i="4" s="1"/>
  <c r="K305" i="4"/>
  <c r="L305" i="4" s="1"/>
  <c r="K173" i="4"/>
  <c r="L173" i="4" s="1"/>
  <c r="K172" i="4"/>
  <c r="K348" i="4"/>
  <c r="K128" i="4"/>
  <c r="K304" i="4"/>
  <c r="K260" i="4"/>
  <c r="K216" i="4"/>
  <c r="K350" i="4"/>
  <c r="L350" i="4" s="1"/>
  <c r="K130" i="4"/>
  <c r="L130" i="4" s="1"/>
  <c r="K262" i="4"/>
  <c r="L262" i="4" s="1"/>
  <c r="K218" i="4"/>
  <c r="L218" i="4" s="1"/>
  <c r="K306" i="4"/>
  <c r="L306" i="4" s="1"/>
  <c r="K174" i="4"/>
  <c r="L174" i="4" s="1"/>
  <c r="L348" i="4"/>
  <c r="L128" i="4"/>
  <c r="L260" i="4"/>
  <c r="L172" i="4"/>
  <c r="L216" i="4"/>
  <c r="L304" i="4"/>
  <c r="O181" i="4"/>
  <c r="O137" i="4"/>
  <c r="O269" i="4"/>
  <c r="O313" i="4"/>
  <c r="O93" i="4"/>
  <c r="O225" i="4"/>
  <c r="O226" i="4"/>
  <c r="O182" i="4"/>
  <c r="O94" i="4"/>
  <c r="O138" i="4"/>
  <c r="O314" i="4"/>
  <c r="O270" i="4"/>
  <c r="O183" i="4"/>
  <c r="O139" i="4"/>
  <c r="O95" i="4"/>
  <c r="O315" i="4"/>
  <c r="O227" i="4"/>
  <c r="O271" i="4"/>
  <c r="O184" i="4"/>
  <c r="O96" i="4"/>
  <c r="O140" i="4"/>
  <c r="O316" i="4"/>
  <c r="O272" i="4"/>
  <c r="O228" i="4"/>
  <c r="O185" i="4"/>
  <c r="O97" i="4"/>
  <c r="O141" i="4"/>
  <c r="O317" i="4"/>
  <c r="O273" i="4"/>
  <c r="O229" i="4"/>
  <c r="O186" i="4"/>
  <c r="O142" i="4"/>
  <c r="O98" i="4"/>
  <c r="O318" i="4"/>
  <c r="O274" i="4"/>
  <c r="O230" i="4"/>
  <c r="N96" i="4"/>
  <c r="A202" i="4"/>
  <c r="A190" i="4" s="1"/>
  <c r="M189" i="4" s="1"/>
  <c r="A114" i="4"/>
  <c r="A102" i="4" s="1"/>
  <c r="M101" i="4" s="1"/>
  <c r="A158" i="4"/>
  <c r="A146" i="4" s="1"/>
  <c r="M145" i="4" s="1"/>
  <c r="A334" i="4"/>
  <c r="A322" i="4" s="1"/>
  <c r="M321" i="4" s="1"/>
  <c r="A246" i="4"/>
  <c r="A234" i="4" s="1"/>
  <c r="M233" i="4" s="1"/>
  <c r="A290" i="4"/>
  <c r="A278" i="4" s="1"/>
  <c r="M277" i="4" s="1"/>
  <c r="N316" i="4"/>
  <c r="N273" i="4"/>
  <c r="N228" i="4"/>
  <c r="N184" i="4"/>
  <c r="N140" i="4"/>
  <c r="N1326" i="2"/>
  <c r="L1362" i="2"/>
  <c r="N1283" i="2"/>
  <c r="N1238" i="2"/>
  <c r="L1273" i="2"/>
  <c r="N1194" i="2"/>
  <c r="L1230" i="2"/>
  <c r="L1185" i="2"/>
  <c r="L1186" i="2"/>
  <c r="N1151" i="2"/>
  <c r="N1106" i="2"/>
  <c r="L1141" i="2"/>
  <c r="N1062" i="2"/>
  <c r="L1098" i="2"/>
  <c r="N1018" i="2"/>
  <c r="N974" i="2"/>
  <c r="L1009" i="2"/>
  <c r="N930" i="2"/>
  <c r="L965" i="2"/>
  <c r="N886" i="2"/>
  <c r="L921" i="2"/>
  <c r="L877" i="2"/>
  <c r="N798" i="2"/>
  <c r="L790" i="2"/>
  <c r="N754" i="2"/>
  <c r="N710" i="2"/>
  <c r="L745" i="2"/>
  <c r="N667" i="2"/>
  <c r="N622" i="2"/>
  <c r="L117" i="19" l="1"/>
  <c r="K117" i="19"/>
  <c r="J117" i="19"/>
  <c r="I117" i="19"/>
  <c r="H117" i="19"/>
  <c r="G117" i="19"/>
  <c r="L122" i="19"/>
  <c r="K122" i="19"/>
  <c r="J122" i="19"/>
  <c r="I122" i="19"/>
  <c r="H122" i="19"/>
  <c r="G122" i="19"/>
  <c r="J116" i="19"/>
  <c r="L116" i="19"/>
  <c r="K116" i="19"/>
  <c r="I116" i="19"/>
  <c r="H116" i="19"/>
  <c r="G116" i="19"/>
  <c r="L75" i="19"/>
  <c r="K75" i="19"/>
  <c r="J75" i="19"/>
  <c r="I75" i="19"/>
  <c r="H75" i="19"/>
  <c r="G75" i="19"/>
  <c r="L160" i="19"/>
  <c r="K160" i="19"/>
  <c r="J160" i="19"/>
  <c r="I160" i="19"/>
  <c r="H160" i="19"/>
  <c r="G160" i="19"/>
  <c r="G70" i="19"/>
  <c r="H70" i="19"/>
  <c r="L70" i="19"/>
  <c r="K70" i="19"/>
  <c r="J70" i="19"/>
  <c r="I70" i="19"/>
  <c r="I121" i="19"/>
  <c r="J121" i="19"/>
  <c r="L121" i="19"/>
  <c r="H121" i="19"/>
  <c r="G121" i="19"/>
  <c r="K121" i="19"/>
  <c r="L157" i="19"/>
  <c r="K157" i="19"/>
  <c r="J157" i="19"/>
  <c r="G157" i="19"/>
  <c r="I157" i="19"/>
  <c r="H157" i="19"/>
  <c r="I161" i="19"/>
  <c r="H161" i="19"/>
  <c r="J161" i="19"/>
  <c r="K161" i="19"/>
  <c r="L161" i="19"/>
  <c r="G161" i="19"/>
  <c r="G69" i="19"/>
  <c r="L69" i="19"/>
  <c r="K69" i="19"/>
  <c r="J69" i="19"/>
  <c r="I69" i="19"/>
  <c r="H69" i="19"/>
  <c r="J119" i="19"/>
  <c r="H119" i="19"/>
  <c r="K119" i="19"/>
  <c r="I119" i="19"/>
  <c r="G119" i="19"/>
  <c r="L119" i="19"/>
  <c r="G79" i="19"/>
  <c r="H79" i="19"/>
  <c r="I79" i="19"/>
  <c r="J79" i="19"/>
  <c r="L79" i="19"/>
  <c r="K79" i="19"/>
  <c r="L111" i="19"/>
  <c r="K111" i="19"/>
  <c r="J111" i="19"/>
  <c r="I111" i="19"/>
  <c r="H111" i="19"/>
  <c r="G111" i="19"/>
  <c r="J158" i="19"/>
  <c r="I158" i="19"/>
  <c r="H158" i="19"/>
  <c r="G158" i="19"/>
  <c r="K158" i="19"/>
  <c r="L158" i="19"/>
  <c r="K73" i="19"/>
  <c r="J73" i="19"/>
  <c r="I73" i="19"/>
  <c r="H73" i="19"/>
  <c r="G73" i="19"/>
  <c r="L73" i="19"/>
  <c r="I74" i="19"/>
  <c r="L74" i="19"/>
  <c r="J74" i="19"/>
  <c r="H74" i="19"/>
  <c r="G74" i="19"/>
  <c r="K74" i="19"/>
  <c r="I118" i="19"/>
  <c r="H118" i="19"/>
  <c r="G118" i="19"/>
  <c r="L118" i="19"/>
  <c r="K118" i="19"/>
  <c r="J118" i="19"/>
  <c r="L154" i="19"/>
  <c r="K154" i="19"/>
  <c r="J154" i="19"/>
  <c r="I154" i="19"/>
  <c r="H154" i="19"/>
  <c r="G154" i="19"/>
  <c r="L113" i="19"/>
  <c r="K113" i="19"/>
  <c r="J113" i="19"/>
  <c r="I113" i="19"/>
  <c r="H113" i="19"/>
  <c r="G113" i="19"/>
  <c r="G115" i="19"/>
  <c r="L115" i="19"/>
  <c r="K115" i="19"/>
  <c r="J115" i="19"/>
  <c r="I115" i="19"/>
  <c r="H115" i="19"/>
  <c r="I71" i="19"/>
  <c r="L71" i="19"/>
  <c r="K71" i="19"/>
  <c r="J71" i="19"/>
  <c r="H71" i="19"/>
  <c r="G71" i="19"/>
  <c r="L77" i="19"/>
  <c r="K77" i="19"/>
  <c r="J77" i="19"/>
  <c r="I77" i="19"/>
  <c r="H77" i="19"/>
  <c r="G77" i="19"/>
  <c r="G155" i="19"/>
  <c r="H155" i="19"/>
  <c r="L155" i="19"/>
  <c r="K155" i="19"/>
  <c r="J155" i="19"/>
  <c r="I155" i="19"/>
  <c r="G163" i="19"/>
  <c r="L163" i="19"/>
  <c r="K163" i="19"/>
  <c r="J163" i="19"/>
  <c r="I163" i="19"/>
  <c r="H163" i="19"/>
  <c r="I164" i="19"/>
  <c r="H164" i="19"/>
  <c r="G164" i="19"/>
  <c r="L164" i="19"/>
  <c r="K164" i="19"/>
  <c r="J164" i="19"/>
  <c r="L68" i="19"/>
  <c r="K68" i="19"/>
  <c r="J68" i="19"/>
  <c r="I68" i="19"/>
  <c r="H68" i="19"/>
  <c r="G68" i="19"/>
  <c r="H72" i="19"/>
  <c r="G72" i="19"/>
  <c r="L72" i="19"/>
  <c r="K72" i="19"/>
  <c r="J72" i="19"/>
  <c r="I72" i="19"/>
  <c r="I112" i="19"/>
  <c r="G112" i="19"/>
  <c r="H112" i="19"/>
  <c r="L112" i="19"/>
  <c r="K112" i="19"/>
  <c r="J112" i="19"/>
  <c r="L76" i="19"/>
  <c r="K76" i="19"/>
  <c r="J76" i="19"/>
  <c r="I76" i="19"/>
  <c r="H76" i="19"/>
  <c r="G76" i="19"/>
  <c r="K114" i="19"/>
  <c r="J114" i="19"/>
  <c r="L114" i="19"/>
  <c r="I114" i="19"/>
  <c r="H114" i="19"/>
  <c r="G114" i="19"/>
  <c r="L162" i="19"/>
  <c r="K162" i="19"/>
  <c r="J162" i="19"/>
  <c r="I162" i="19"/>
  <c r="H162" i="19"/>
  <c r="G162" i="19"/>
  <c r="L120" i="19"/>
  <c r="K120" i="19"/>
  <c r="J120" i="19"/>
  <c r="I120" i="19"/>
  <c r="H120" i="19"/>
  <c r="G120" i="19"/>
  <c r="H78" i="19"/>
  <c r="G78" i="19"/>
  <c r="L78" i="19"/>
  <c r="K78" i="19"/>
  <c r="J78" i="19"/>
  <c r="I78" i="19"/>
  <c r="K159" i="19"/>
  <c r="I159" i="19"/>
  <c r="J159" i="19"/>
  <c r="L159" i="19"/>
  <c r="H159" i="19"/>
  <c r="G159" i="19"/>
  <c r="K156" i="19"/>
  <c r="L156" i="19"/>
  <c r="J156" i="19"/>
  <c r="I156" i="19"/>
  <c r="H156" i="19"/>
  <c r="G156" i="19"/>
  <c r="L165" i="19"/>
  <c r="K165" i="19"/>
  <c r="J165" i="19"/>
  <c r="I165" i="19"/>
  <c r="H165" i="19"/>
  <c r="G165" i="19"/>
  <c r="B30" i="5"/>
  <c r="D30" i="5" s="1"/>
  <c r="N11" i="5"/>
  <c r="E31" i="5" s="1"/>
  <c r="N9" i="13"/>
  <c r="N843" i="2"/>
  <c r="N799" i="2"/>
  <c r="N800" i="2" s="1"/>
  <c r="F123" i="19"/>
  <c r="F166" i="19"/>
  <c r="N975" i="2"/>
  <c r="N976" i="2" s="1"/>
  <c r="C113" i="13"/>
  <c r="F151" i="13"/>
  <c r="F80" i="19"/>
  <c r="P94" i="5"/>
  <c r="P50" i="5"/>
  <c r="N53" i="13"/>
  <c r="N141" i="20"/>
  <c r="N98" i="20"/>
  <c r="N53" i="20"/>
  <c r="N10" i="20"/>
  <c r="N97" i="4"/>
  <c r="C69" i="4"/>
  <c r="C67" i="4"/>
  <c r="N317" i="4"/>
  <c r="N274" i="4"/>
  <c r="N275" i="4" s="1"/>
  <c r="N229" i="4"/>
  <c r="N185" i="4"/>
  <c r="N141" i="4"/>
  <c r="N1107" i="2"/>
  <c r="N1063" i="2"/>
  <c r="N1019" i="2"/>
  <c r="N931" i="2"/>
  <c r="N887" i="2"/>
  <c r="N888" i="2" s="1"/>
  <c r="N711" i="2"/>
  <c r="N712" i="2" s="1"/>
  <c r="N1327" i="2"/>
  <c r="N1284" i="2"/>
  <c r="N1239" i="2"/>
  <c r="N1195" i="2"/>
  <c r="N1152" i="2"/>
  <c r="N801" i="2"/>
  <c r="N755" i="2"/>
  <c r="N668" i="2"/>
  <c r="N623" i="2"/>
  <c r="J84" i="36" l="1"/>
  <c r="O170" i="19"/>
  <c r="J83" i="36"/>
  <c r="O127" i="19"/>
  <c r="J82" i="36"/>
  <c r="O84" i="19"/>
  <c r="B31" i="5"/>
  <c r="D31" i="5" s="1"/>
  <c r="P6" i="5"/>
  <c r="E32" i="5" s="1"/>
  <c r="N10" i="13"/>
  <c r="N157" i="19"/>
  <c r="P84" i="36"/>
  <c r="P83" i="36"/>
  <c r="P82" i="36"/>
  <c r="N844" i="2"/>
  <c r="N158" i="19"/>
  <c r="N116" i="19"/>
  <c r="N113" i="19"/>
  <c r="N72" i="19"/>
  <c r="N117" i="19"/>
  <c r="N112" i="19"/>
  <c r="N70" i="19"/>
  <c r="N120" i="19"/>
  <c r="N160" i="19"/>
  <c r="N114" i="19"/>
  <c r="N73" i="19"/>
  <c r="N164" i="19"/>
  <c r="N165" i="19"/>
  <c r="N69" i="19"/>
  <c r="N68" i="19"/>
  <c r="N118" i="19"/>
  <c r="N156" i="19"/>
  <c r="N159" i="19"/>
  <c r="N119" i="19"/>
  <c r="N71" i="19"/>
  <c r="N121" i="19"/>
  <c r="N76" i="19"/>
  <c r="N122" i="19"/>
  <c r="N163" i="19"/>
  <c r="N77" i="19"/>
  <c r="N161" i="19"/>
  <c r="N78" i="19"/>
  <c r="N115" i="19"/>
  <c r="G123" i="19"/>
  <c r="K83" i="36" s="1"/>
  <c r="N154" i="19"/>
  <c r="G166" i="19"/>
  <c r="K84" i="36" s="1"/>
  <c r="N162" i="19"/>
  <c r="N75" i="19"/>
  <c r="N74" i="19"/>
  <c r="N155" i="19"/>
  <c r="N98" i="4"/>
  <c r="N1108" i="2"/>
  <c r="N1064" i="2"/>
  <c r="C157" i="13"/>
  <c r="F195" i="13"/>
  <c r="G80" i="19"/>
  <c r="K82" i="36" s="1"/>
  <c r="P138" i="5"/>
  <c r="P95" i="5"/>
  <c r="P51" i="5"/>
  <c r="P226" i="13"/>
  <c r="P182" i="13"/>
  <c r="P138" i="13"/>
  <c r="P94" i="13"/>
  <c r="N54" i="13"/>
  <c r="N142" i="20"/>
  <c r="N54" i="20"/>
  <c r="C113" i="4"/>
  <c r="C111" i="4"/>
  <c r="N318" i="4"/>
  <c r="N230" i="4"/>
  <c r="N186" i="4"/>
  <c r="N142" i="4"/>
  <c r="N1020" i="2"/>
  <c r="N932" i="2"/>
  <c r="N1328" i="2"/>
  <c r="N1329" i="2" s="1"/>
  <c r="N1285" i="2"/>
  <c r="N1240" i="2"/>
  <c r="N1196" i="2"/>
  <c r="N1153" i="2"/>
  <c r="N1109" i="2"/>
  <c r="N977" i="2"/>
  <c r="N889" i="2"/>
  <c r="N845" i="2"/>
  <c r="N802" i="2"/>
  <c r="N756" i="2"/>
  <c r="N713" i="2"/>
  <c r="N669" i="2"/>
  <c r="N624" i="2"/>
  <c r="N625" i="2" s="1"/>
  <c r="L140" i="19" l="1"/>
  <c r="P7" i="5"/>
  <c r="E33" i="5" s="1"/>
  <c r="B32" i="5"/>
  <c r="D32" i="5" s="1"/>
  <c r="N11" i="13"/>
  <c r="N1065" i="2"/>
  <c r="N166" i="19"/>
  <c r="M166" i="19"/>
  <c r="O84" i="36" s="1"/>
  <c r="M123" i="19"/>
  <c r="O83" i="36" s="1"/>
  <c r="N111" i="19"/>
  <c r="N933" i="2"/>
  <c r="N934" i="2" s="1"/>
  <c r="C201" i="13"/>
  <c r="F239" i="13"/>
  <c r="C245" i="13" s="1"/>
  <c r="M80" i="19"/>
  <c r="O82" i="36" s="1"/>
  <c r="N79" i="19"/>
  <c r="N80" i="19" s="1"/>
  <c r="P139" i="5"/>
  <c r="P96" i="5"/>
  <c r="P52" i="5"/>
  <c r="P227" i="13"/>
  <c r="P139" i="13"/>
  <c r="P183" i="13"/>
  <c r="P95" i="13"/>
  <c r="P94" i="20"/>
  <c r="P6" i="20"/>
  <c r="P7" i="20" s="1"/>
  <c r="P8" i="20" s="1"/>
  <c r="P9" i="20" s="1"/>
  <c r="P10" i="20" s="1"/>
  <c r="P11" i="20" s="1"/>
  <c r="C155" i="4"/>
  <c r="C157" i="4"/>
  <c r="P270" i="4"/>
  <c r="P94" i="4"/>
  <c r="N1241" i="2"/>
  <c r="N1242" i="2" s="1"/>
  <c r="N1197" i="2"/>
  <c r="N1198" i="2" s="1"/>
  <c r="N1021" i="2"/>
  <c r="N1330" i="2"/>
  <c r="N1286" i="2"/>
  <c r="N1154" i="2"/>
  <c r="N1110" i="2"/>
  <c r="N1066" i="2"/>
  <c r="N978" i="2"/>
  <c r="N890" i="2"/>
  <c r="N846" i="2"/>
  <c r="N757" i="2"/>
  <c r="N714" i="2"/>
  <c r="N670" i="2"/>
  <c r="N626" i="2"/>
  <c r="N123" i="19" l="1"/>
  <c r="L97" i="19"/>
  <c r="L54" i="19"/>
  <c r="P8" i="5"/>
  <c r="E34" i="5" s="1"/>
  <c r="B33" i="5"/>
  <c r="D33" i="5" s="1"/>
  <c r="P6" i="13"/>
  <c r="O126" i="19"/>
  <c r="O128" i="19" s="1"/>
  <c r="N1022" i="2"/>
  <c r="P140" i="5"/>
  <c r="P97" i="5"/>
  <c r="P53" i="5"/>
  <c r="P228" i="13"/>
  <c r="P184" i="13"/>
  <c r="P140" i="13"/>
  <c r="P96" i="13"/>
  <c r="P50" i="13"/>
  <c r="P138" i="20"/>
  <c r="P95" i="20"/>
  <c r="P50" i="20"/>
  <c r="C201" i="4"/>
  <c r="C199" i="4"/>
  <c r="P314" i="4"/>
  <c r="P271" i="4"/>
  <c r="P226" i="4"/>
  <c r="P182" i="4"/>
  <c r="P138" i="4"/>
  <c r="P95" i="4"/>
  <c r="P798" i="2"/>
  <c r="N758" i="2"/>
  <c r="P98" i="19" l="1"/>
  <c r="L98" i="19"/>
  <c r="G83" i="36" s="1"/>
  <c r="O83" i="19"/>
  <c r="O85" i="19" s="1"/>
  <c r="O169" i="19"/>
  <c r="P9" i="5"/>
  <c r="E35" i="5" s="1"/>
  <c r="B34" i="5"/>
  <c r="D34" i="5" s="1"/>
  <c r="P7" i="13"/>
  <c r="M83" i="36"/>
  <c r="Q83" i="36" s="1"/>
  <c r="M82" i="36"/>
  <c r="Q82" i="36" s="1"/>
  <c r="P141" i="5"/>
  <c r="P98" i="5"/>
  <c r="P99" i="5" s="1"/>
  <c r="P54" i="5"/>
  <c r="P55" i="5" s="1"/>
  <c r="P229" i="13"/>
  <c r="P141" i="13"/>
  <c r="P185" i="13"/>
  <c r="P97" i="13"/>
  <c r="P51" i="13"/>
  <c r="P139" i="20"/>
  <c r="P96" i="20"/>
  <c r="P51" i="20"/>
  <c r="C243" i="4"/>
  <c r="C245" i="4"/>
  <c r="P315" i="4"/>
  <c r="P272" i="4"/>
  <c r="P227" i="4"/>
  <c r="P183" i="4"/>
  <c r="P139" i="4"/>
  <c r="P96" i="4"/>
  <c r="P1326" i="2"/>
  <c r="P1282" i="2"/>
  <c r="P1238" i="2"/>
  <c r="P1194" i="2"/>
  <c r="P1150" i="2"/>
  <c r="P1106" i="2"/>
  <c r="P1062" i="2"/>
  <c r="P1018" i="2"/>
  <c r="P974" i="2"/>
  <c r="P930" i="2"/>
  <c r="P886" i="2"/>
  <c r="P842" i="2"/>
  <c r="P799" i="2"/>
  <c r="P710" i="2"/>
  <c r="P666" i="2"/>
  <c r="P622" i="2"/>
  <c r="M84" i="36" l="1"/>
  <c r="Q84" i="36" s="1"/>
  <c r="O171" i="19"/>
  <c r="P55" i="19"/>
  <c r="L55" i="19"/>
  <c r="G82" i="36" s="1"/>
  <c r="P10" i="5"/>
  <c r="E36" i="5" s="1"/>
  <c r="B35" i="5"/>
  <c r="D35" i="5" s="1"/>
  <c r="P8" i="13"/>
  <c r="P142" i="5"/>
  <c r="P143" i="5" s="1"/>
  <c r="P230" i="13"/>
  <c r="P231" i="13" s="1"/>
  <c r="P186" i="13"/>
  <c r="P187" i="13" s="1"/>
  <c r="P142" i="13"/>
  <c r="P143" i="13" s="1"/>
  <c r="P98" i="13"/>
  <c r="P99" i="13" s="1"/>
  <c r="P52" i="13"/>
  <c r="P140" i="20"/>
  <c r="P97" i="20"/>
  <c r="P52" i="20"/>
  <c r="C287" i="4"/>
  <c r="C331" i="4"/>
  <c r="C289" i="4"/>
  <c r="C333" i="4"/>
  <c r="P316" i="4"/>
  <c r="P273" i="4"/>
  <c r="P228" i="4"/>
  <c r="P184" i="4"/>
  <c r="P140" i="4"/>
  <c r="P97" i="4"/>
  <c r="P1327" i="2"/>
  <c r="P1283" i="2"/>
  <c r="P1239" i="2"/>
  <c r="P1195" i="2"/>
  <c r="P1151" i="2"/>
  <c r="P1107" i="2"/>
  <c r="P1063" i="2"/>
  <c r="P1019" i="2"/>
  <c r="P975" i="2"/>
  <c r="P931" i="2"/>
  <c r="P887" i="2"/>
  <c r="P843" i="2"/>
  <c r="P800" i="2"/>
  <c r="P754" i="2"/>
  <c r="P711" i="2"/>
  <c r="P667" i="2"/>
  <c r="P623" i="2"/>
  <c r="P141" i="19" l="1"/>
  <c r="L141" i="19"/>
  <c r="G84" i="36" s="1"/>
  <c r="P11" i="5"/>
  <c r="E37" i="5" s="1"/>
  <c r="B36" i="5"/>
  <c r="D36" i="5" s="1"/>
  <c r="P9" i="13"/>
  <c r="E126" i="5"/>
  <c r="L99" i="5"/>
  <c r="P100" i="5" s="1"/>
  <c r="L55" i="5"/>
  <c r="P56" i="5" s="1"/>
  <c r="P53" i="13"/>
  <c r="P141" i="20"/>
  <c r="P98" i="20"/>
  <c r="P99" i="20" s="1"/>
  <c r="P53" i="20"/>
  <c r="P317" i="4"/>
  <c r="P274" i="4"/>
  <c r="P275" i="4" s="1"/>
  <c r="P229" i="4"/>
  <c r="P185" i="4"/>
  <c r="P141" i="4"/>
  <c r="P98" i="4"/>
  <c r="P99" i="4" s="1"/>
  <c r="P1328" i="2"/>
  <c r="P1284" i="2"/>
  <c r="P1240" i="2"/>
  <c r="P1196" i="2"/>
  <c r="P1152" i="2"/>
  <c r="P1108" i="2"/>
  <c r="P1064" i="2"/>
  <c r="P1020" i="2"/>
  <c r="P976" i="2"/>
  <c r="P932" i="2"/>
  <c r="P888" i="2"/>
  <c r="P844" i="2"/>
  <c r="P801" i="2"/>
  <c r="P755" i="2"/>
  <c r="P712" i="2"/>
  <c r="P668" i="2"/>
  <c r="P624" i="2"/>
  <c r="B37" i="5" l="1"/>
  <c r="P10" i="13"/>
  <c r="E170" i="5"/>
  <c r="L143" i="5"/>
  <c r="P144" i="5" s="1"/>
  <c r="B126" i="5"/>
  <c r="P54" i="13"/>
  <c r="P55" i="13" s="1"/>
  <c r="P142" i="20"/>
  <c r="P143" i="20" s="1"/>
  <c r="P54" i="20"/>
  <c r="P55" i="20" s="1"/>
  <c r="P318" i="4"/>
  <c r="P319" i="4" s="1"/>
  <c r="P230" i="4"/>
  <c r="P231" i="4" s="1"/>
  <c r="P186" i="4"/>
  <c r="P187" i="4" s="1"/>
  <c r="P142" i="4"/>
  <c r="P143" i="4" s="1"/>
  <c r="P1329" i="2"/>
  <c r="P1285" i="2"/>
  <c r="P1241" i="2"/>
  <c r="P1197" i="2"/>
  <c r="P1153" i="2"/>
  <c r="P1109" i="2"/>
  <c r="P1065" i="2"/>
  <c r="P1021" i="2"/>
  <c r="P977" i="2"/>
  <c r="P933" i="2"/>
  <c r="P889" i="2"/>
  <c r="P845" i="2"/>
  <c r="P802" i="2"/>
  <c r="P803" i="2" s="1"/>
  <c r="P756" i="2"/>
  <c r="P713" i="2"/>
  <c r="P669" i="2"/>
  <c r="P625" i="2"/>
  <c r="C123" i="5" l="1"/>
  <c r="F123" i="5" s="1"/>
  <c r="C115" i="5"/>
  <c r="F115" i="5" s="1"/>
  <c r="C120" i="5"/>
  <c r="F120" i="5" s="1"/>
  <c r="C125" i="5"/>
  <c r="F125" i="5" s="1"/>
  <c r="C117" i="5"/>
  <c r="F117" i="5" s="1"/>
  <c r="C122" i="5"/>
  <c r="F122" i="5" s="1"/>
  <c r="C114" i="5"/>
  <c r="C119" i="5"/>
  <c r="F119" i="5" s="1"/>
  <c r="C124" i="5"/>
  <c r="F124" i="5" s="1"/>
  <c r="C116" i="5"/>
  <c r="F116" i="5" s="1"/>
  <c r="C121" i="5"/>
  <c r="F121" i="5" s="1"/>
  <c r="C118" i="5"/>
  <c r="F118" i="5" s="1"/>
  <c r="L11" i="5"/>
  <c r="P12" i="5" s="1"/>
  <c r="L12" i="5" s="1"/>
  <c r="G77" i="36" s="1"/>
  <c r="D37" i="5"/>
  <c r="P11" i="13"/>
  <c r="B170" i="5"/>
  <c r="P1330" i="2"/>
  <c r="P1331" i="2" s="1"/>
  <c r="P1286" i="2"/>
  <c r="P1287" i="2" s="1"/>
  <c r="P1242" i="2"/>
  <c r="P1243" i="2" s="1"/>
  <c r="P1198" i="2"/>
  <c r="P1199" i="2" s="1"/>
  <c r="P1154" i="2"/>
  <c r="P1155" i="2" s="1"/>
  <c r="P1110" i="2"/>
  <c r="P1111" i="2" s="1"/>
  <c r="P1066" i="2"/>
  <c r="P1067" i="2" s="1"/>
  <c r="P1022" i="2"/>
  <c r="P1023" i="2" s="1"/>
  <c r="P978" i="2"/>
  <c r="P979" i="2" s="1"/>
  <c r="P934" i="2"/>
  <c r="P935" i="2" s="1"/>
  <c r="P890" i="2"/>
  <c r="P891" i="2" s="1"/>
  <c r="P846" i="2"/>
  <c r="P847" i="2" s="1"/>
  <c r="P757" i="2"/>
  <c r="P714" i="2"/>
  <c r="P715" i="2" s="1"/>
  <c r="P670" i="2"/>
  <c r="P671" i="2" s="1"/>
  <c r="P626" i="2"/>
  <c r="P627" i="2" s="1"/>
  <c r="C167" i="5" l="1"/>
  <c r="F167" i="5" s="1"/>
  <c r="C159" i="5"/>
  <c r="F159" i="5" s="1"/>
  <c r="C164" i="5"/>
  <c r="F164" i="5" s="1"/>
  <c r="C169" i="5"/>
  <c r="F169" i="5" s="1"/>
  <c r="C161" i="5"/>
  <c r="F161" i="5" s="1"/>
  <c r="C162" i="5"/>
  <c r="F162" i="5" s="1"/>
  <c r="C166" i="5"/>
  <c r="F166" i="5" s="1"/>
  <c r="C158" i="5"/>
  <c r="C163" i="5"/>
  <c r="F163" i="5" s="1"/>
  <c r="C168" i="5"/>
  <c r="F168" i="5" s="1"/>
  <c r="C160" i="5"/>
  <c r="F160" i="5" s="1"/>
  <c r="C165" i="5"/>
  <c r="F165" i="5" s="1"/>
  <c r="H115" i="5"/>
  <c r="H123" i="5"/>
  <c r="K120" i="5"/>
  <c r="G123" i="5"/>
  <c r="L120" i="5"/>
  <c r="J120" i="5"/>
  <c r="G115" i="5"/>
  <c r="G121" i="5"/>
  <c r="K118" i="5"/>
  <c r="J118" i="5"/>
  <c r="M123" i="5"/>
  <c r="I118" i="5"/>
  <c r="M115" i="5"/>
  <c r="L123" i="5"/>
  <c r="H118" i="5"/>
  <c r="L115" i="5"/>
  <c r="K123" i="5"/>
  <c r="G118" i="5"/>
  <c r="K115" i="5"/>
  <c r="J123" i="5"/>
  <c r="J115" i="5"/>
  <c r="I123" i="5"/>
  <c r="M120" i="5"/>
  <c r="I115" i="5"/>
  <c r="M125" i="5"/>
  <c r="H119" i="5"/>
  <c r="I125" i="5"/>
  <c r="J117" i="5"/>
  <c r="L124" i="5"/>
  <c r="J125" i="5"/>
  <c r="M116" i="5"/>
  <c r="K117" i="5"/>
  <c r="L116" i="5"/>
  <c r="I119" i="5"/>
  <c r="G120" i="5"/>
  <c r="M124" i="5"/>
  <c r="K125" i="5"/>
  <c r="J124" i="5"/>
  <c r="M122" i="5"/>
  <c r="F114" i="5"/>
  <c r="L117" i="5"/>
  <c r="J119" i="5"/>
  <c r="H120" i="5"/>
  <c r="G114" i="5"/>
  <c r="L125" i="5"/>
  <c r="K119" i="5"/>
  <c r="M117" i="5"/>
  <c r="L118" i="5"/>
  <c r="G122" i="5"/>
  <c r="I120" i="5"/>
  <c r="H121" i="5"/>
  <c r="H114" i="5"/>
  <c r="H117" i="5"/>
  <c r="M118" i="5"/>
  <c r="L119" i="5"/>
  <c r="I121" i="5"/>
  <c r="H122" i="5"/>
  <c r="J121" i="5"/>
  <c r="I117" i="5"/>
  <c r="G116" i="5"/>
  <c r="I114" i="5"/>
  <c r="K121" i="5"/>
  <c r="M119" i="5"/>
  <c r="G124" i="5"/>
  <c r="I122" i="5"/>
  <c r="H116" i="5"/>
  <c r="J114" i="5"/>
  <c r="L121" i="5"/>
  <c r="J122" i="5"/>
  <c r="H124" i="5"/>
  <c r="K114" i="5"/>
  <c r="I116" i="5"/>
  <c r="G117" i="5"/>
  <c r="M121" i="5"/>
  <c r="K122" i="5"/>
  <c r="I124" i="5"/>
  <c r="G125" i="5"/>
  <c r="J116" i="5"/>
  <c r="L114" i="5"/>
  <c r="K116" i="5"/>
  <c r="L122" i="5"/>
  <c r="G119" i="5"/>
  <c r="H125" i="5"/>
  <c r="K124" i="5"/>
  <c r="M114" i="5"/>
  <c r="P758" i="2"/>
  <c r="P759" i="2" s="1"/>
  <c r="J164" i="5" l="1"/>
  <c r="G159" i="5"/>
  <c r="M162" i="5"/>
  <c r="G165" i="5"/>
  <c r="K162" i="5"/>
  <c r="J162" i="5"/>
  <c r="M167" i="5"/>
  <c r="I162" i="5"/>
  <c r="M159" i="5"/>
  <c r="L167" i="5"/>
  <c r="H162" i="5"/>
  <c r="L159" i="5"/>
  <c r="K167" i="5"/>
  <c r="G162" i="5"/>
  <c r="K159" i="5"/>
  <c r="J167" i="5"/>
  <c r="J159" i="5"/>
  <c r="I167" i="5"/>
  <c r="M164" i="5"/>
  <c r="I159" i="5"/>
  <c r="H167" i="5"/>
  <c r="L164" i="5"/>
  <c r="H159" i="5"/>
  <c r="G167" i="5"/>
  <c r="K164" i="5"/>
  <c r="M169" i="5"/>
  <c r="K168" i="5"/>
  <c r="H169" i="5"/>
  <c r="M158" i="5"/>
  <c r="L160" i="5"/>
  <c r="I161" i="5"/>
  <c r="L158" i="5"/>
  <c r="H163" i="5"/>
  <c r="M166" i="5"/>
  <c r="H161" i="5"/>
  <c r="L166" i="5"/>
  <c r="I169" i="5"/>
  <c r="L168" i="5"/>
  <c r="J161" i="5"/>
  <c r="M160" i="5"/>
  <c r="J169" i="5"/>
  <c r="I163" i="5"/>
  <c r="K161" i="5"/>
  <c r="M168" i="5"/>
  <c r="G164" i="5"/>
  <c r="F158" i="5"/>
  <c r="K169" i="5"/>
  <c r="J163" i="5"/>
  <c r="L161" i="5"/>
  <c r="J160" i="5"/>
  <c r="K160" i="5"/>
  <c r="G158" i="5"/>
  <c r="H164" i="5"/>
  <c r="K163" i="5"/>
  <c r="L169" i="5"/>
  <c r="L162" i="5"/>
  <c r="G166" i="5"/>
  <c r="M161" i="5"/>
  <c r="H165" i="5"/>
  <c r="H158" i="5"/>
  <c r="I164" i="5"/>
  <c r="I165" i="5"/>
  <c r="L163" i="5"/>
  <c r="J165" i="5"/>
  <c r="H166" i="5"/>
  <c r="G160" i="5"/>
  <c r="K165" i="5"/>
  <c r="I158" i="5"/>
  <c r="G168" i="5"/>
  <c r="M163" i="5"/>
  <c r="H160" i="5"/>
  <c r="I166" i="5"/>
  <c r="J158" i="5"/>
  <c r="L165" i="5"/>
  <c r="J166" i="5"/>
  <c r="H168" i="5"/>
  <c r="K158" i="5"/>
  <c r="I160" i="5"/>
  <c r="G161" i="5"/>
  <c r="M165" i="5"/>
  <c r="K166" i="5"/>
  <c r="I168" i="5"/>
  <c r="G169" i="5"/>
  <c r="J168" i="5"/>
  <c r="G163" i="5"/>
  <c r="P591" i="2"/>
  <c r="O591" i="2"/>
  <c r="N591" i="2"/>
  <c r="M591" i="2"/>
  <c r="B589" i="2"/>
  <c r="B588" i="2"/>
  <c r="B587" i="2"/>
  <c r="P585" i="2"/>
  <c r="O585" i="2"/>
  <c r="N585" i="2"/>
  <c r="O582" i="2"/>
  <c r="O579" i="2"/>
  <c r="P547" i="2"/>
  <c r="O547" i="2"/>
  <c r="N547" i="2"/>
  <c r="M547" i="2"/>
  <c r="B545" i="2"/>
  <c r="B544" i="2"/>
  <c r="B543" i="2"/>
  <c r="P541" i="2"/>
  <c r="O541" i="2"/>
  <c r="N541" i="2"/>
  <c r="N534" i="2"/>
  <c r="O535" i="2"/>
  <c r="P503" i="2"/>
  <c r="O503" i="2"/>
  <c r="N503" i="2"/>
  <c r="M503" i="2"/>
  <c r="B501" i="2"/>
  <c r="B500" i="2"/>
  <c r="B499" i="2"/>
  <c r="P497" i="2"/>
  <c r="O497" i="2"/>
  <c r="N497" i="2"/>
  <c r="O494" i="2"/>
  <c r="O493" i="2"/>
  <c r="O491" i="2"/>
  <c r="A125" i="1"/>
  <c r="P459" i="2"/>
  <c r="O459" i="2"/>
  <c r="N459" i="2"/>
  <c r="M459" i="2"/>
  <c r="B457" i="2"/>
  <c r="B456" i="2"/>
  <c r="B455" i="2"/>
  <c r="P453" i="2"/>
  <c r="O453" i="2"/>
  <c r="N453" i="2"/>
  <c r="O450" i="2"/>
  <c r="O449" i="2"/>
  <c r="N446" i="2"/>
  <c r="O403" i="2"/>
  <c r="O359" i="2"/>
  <c r="O315" i="2"/>
  <c r="O314" i="2"/>
  <c r="O271" i="2"/>
  <c r="O270" i="2"/>
  <c r="O230" i="2"/>
  <c r="O229" i="2"/>
  <c r="O186" i="2"/>
  <c r="O185" i="2"/>
  <c r="O182" i="2"/>
  <c r="O142" i="2"/>
  <c r="O141" i="2"/>
  <c r="O139" i="2"/>
  <c r="O98" i="2"/>
  <c r="O95" i="2"/>
  <c r="O51" i="2"/>
  <c r="A26" i="2"/>
  <c r="A598" i="2" s="1"/>
  <c r="A586" i="2" s="1"/>
  <c r="O11" i="2"/>
  <c r="O10" i="2"/>
  <c r="O318" i="2" s="1"/>
  <c r="O9" i="2"/>
  <c r="O8" i="2"/>
  <c r="O7" i="2"/>
  <c r="O227" i="2" s="1"/>
  <c r="O6" i="2"/>
  <c r="O226" i="2" s="1"/>
  <c r="A114" i="1"/>
  <c r="A102" i="1" s="1"/>
  <c r="A102" i="2" s="1"/>
  <c r="O97" i="1"/>
  <c r="O96" i="1"/>
  <c r="O95" i="1"/>
  <c r="O94" i="1"/>
  <c r="O55" i="1"/>
  <c r="O54" i="1"/>
  <c r="O53" i="1"/>
  <c r="O52" i="1"/>
  <c r="O51" i="1"/>
  <c r="O50" i="1"/>
  <c r="A70" i="1"/>
  <c r="A58" i="1" s="1"/>
  <c r="A58" i="2" s="1"/>
  <c r="P415" i="2"/>
  <c r="O415" i="2"/>
  <c r="N415" i="2"/>
  <c r="M415" i="2"/>
  <c r="B413" i="2"/>
  <c r="B412" i="2"/>
  <c r="B411" i="2"/>
  <c r="P409" i="2"/>
  <c r="O409" i="2"/>
  <c r="N409" i="2"/>
  <c r="P371" i="2"/>
  <c r="O371" i="2"/>
  <c r="N371" i="2"/>
  <c r="M371" i="2"/>
  <c r="B369" i="2"/>
  <c r="B368" i="2"/>
  <c r="B367" i="2"/>
  <c r="P365" i="2"/>
  <c r="O365" i="2"/>
  <c r="N365" i="2"/>
  <c r="P327" i="2"/>
  <c r="O327" i="2"/>
  <c r="N327" i="2"/>
  <c r="M327" i="2"/>
  <c r="B325" i="2"/>
  <c r="B324" i="2"/>
  <c r="B323" i="2"/>
  <c r="P321" i="2"/>
  <c r="O321" i="2"/>
  <c r="N321" i="2"/>
  <c r="B19" i="2"/>
  <c r="P283" i="2"/>
  <c r="O283" i="2"/>
  <c r="N283" i="2"/>
  <c r="M283" i="2"/>
  <c r="B281" i="2"/>
  <c r="B280" i="2"/>
  <c r="B279" i="2"/>
  <c r="P277" i="2"/>
  <c r="O277" i="2"/>
  <c r="N277" i="2"/>
  <c r="P239" i="2"/>
  <c r="O239" i="2"/>
  <c r="N239" i="2"/>
  <c r="M239" i="2"/>
  <c r="B237" i="2"/>
  <c r="B236" i="2"/>
  <c r="P233" i="2"/>
  <c r="O233" i="2"/>
  <c r="N233" i="2"/>
  <c r="A554" i="2" l="1"/>
  <c r="A542" i="2" s="1"/>
  <c r="A422" i="2"/>
  <c r="A410" i="2" s="1"/>
  <c r="A114" i="2"/>
  <c r="A466" i="2"/>
  <c r="A454" i="2" s="1"/>
  <c r="A117" i="1"/>
  <c r="A29" i="6"/>
  <c r="A73" i="17"/>
  <c r="A337" i="8"/>
  <c r="A29" i="17"/>
  <c r="A117" i="17"/>
  <c r="A29" i="8"/>
  <c r="A29" i="7"/>
  <c r="A249" i="8"/>
  <c r="A469" i="7"/>
  <c r="A249" i="6"/>
  <c r="A161" i="6"/>
  <c r="A381" i="7"/>
  <c r="A29" i="21"/>
  <c r="A117" i="15"/>
  <c r="A73" i="15"/>
  <c r="A79" i="17"/>
  <c r="A343" i="8"/>
  <c r="A167" i="6"/>
  <c r="A123" i="17"/>
  <c r="A35" i="6"/>
  <c r="A255" i="6"/>
  <c r="A35" i="8"/>
  <c r="A35" i="7"/>
  <c r="A255" i="8"/>
  <c r="A475" i="7"/>
  <c r="A387" i="7"/>
  <c r="A35" i="17"/>
  <c r="A123" i="15"/>
  <c r="A79" i="15"/>
  <c r="A35" i="21"/>
  <c r="A37" i="2"/>
  <c r="A785" i="2" s="1"/>
  <c r="A118" i="1"/>
  <c r="A30" i="6"/>
  <c r="A74" i="17"/>
  <c r="A338" i="8"/>
  <c r="A30" i="7"/>
  <c r="A30" i="17"/>
  <c r="A118" i="17"/>
  <c r="A30" i="8"/>
  <c r="A250" i="8"/>
  <c r="A470" i="7"/>
  <c r="A250" i="6"/>
  <c r="A382" i="7"/>
  <c r="A162" i="6"/>
  <c r="A74" i="15"/>
  <c r="A118" i="15"/>
  <c r="A30" i="21"/>
  <c r="A77" i="17"/>
  <c r="A341" i="8"/>
  <c r="A165" i="6"/>
  <c r="A33" i="7"/>
  <c r="A253" i="6"/>
  <c r="A121" i="17"/>
  <c r="A33" i="8"/>
  <c r="A253" i="8"/>
  <c r="A473" i="7"/>
  <c r="A385" i="7"/>
  <c r="A33" i="6"/>
  <c r="A33" i="17"/>
  <c r="A121" i="15"/>
  <c r="A77" i="15"/>
  <c r="A33" i="21"/>
  <c r="A123" i="1"/>
  <c r="A28" i="17"/>
  <c r="A72" i="17"/>
  <c r="A336" i="8"/>
  <c r="A116" i="17"/>
  <c r="A28" i="8"/>
  <c r="A28" i="7"/>
  <c r="A248" i="8"/>
  <c r="A468" i="7"/>
  <c r="A380" i="7"/>
  <c r="A248" i="6"/>
  <c r="A160" i="6"/>
  <c r="A28" i="6"/>
  <c r="A72" i="15"/>
  <c r="A116" i="15"/>
  <c r="A28" i="21"/>
  <c r="A27" i="17"/>
  <c r="A379" i="7"/>
  <c r="A71" i="17"/>
  <c r="A247" i="6"/>
  <c r="A335" i="8"/>
  <c r="A115" i="17"/>
  <c r="A27" i="8"/>
  <c r="A27" i="7"/>
  <c r="A247" i="8"/>
  <c r="A467" i="7"/>
  <c r="A159" i="6"/>
  <c r="A27" i="6"/>
  <c r="A27" i="21"/>
  <c r="A115" i="15"/>
  <c r="A71" i="15"/>
  <c r="A76" i="17"/>
  <c r="A164" i="6"/>
  <c r="A340" i="8"/>
  <c r="A32" i="7"/>
  <c r="A120" i="17"/>
  <c r="A252" i="6"/>
  <c r="A32" i="8"/>
  <c r="A252" i="8"/>
  <c r="A472" i="7"/>
  <c r="A384" i="7"/>
  <c r="A32" i="6"/>
  <c r="A32" i="17"/>
  <c r="A76" i="15"/>
  <c r="A120" i="15"/>
  <c r="A32" i="21"/>
  <c r="A124" i="1"/>
  <c r="A344" i="8"/>
  <c r="A36" i="6"/>
  <c r="A124" i="17"/>
  <c r="A80" i="17"/>
  <c r="A36" i="8"/>
  <c r="A36" i="7"/>
  <c r="A256" i="6"/>
  <c r="A168" i="6"/>
  <c r="A256" i="8"/>
  <c r="A476" i="7"/>
  <c r="A388" i="7"/>
  <c r="A36" i="17"/>
  <c r="A80" i="15"/>
  <c r="A36" i="21"/>
  <c r="A124" i="15"/>
  <c r="A78" i="17"/>
  <c r="A166" i="6"/>
  <c r="A342" i="8"/>
  <c r="A34" i="6"/>
  <c r="A122" i="17"/>
  <c r="A34" i="7"/>
  <c r="A34" i="17"/>
  <c r="A34" i="8"/>
  <c r="A254" i="6"/>
  <c r="A254" i="8"/>
  <c r="A474" i="7"/>
  <c r="A386" i="7"/>
  <c r="A78" i="15"/>
  <c r="A122" i="15"/>
  <c r="A34" i="21"/>
  <c r="A75" i="17"/>
  <c r="A31" i="17"/>
  <c r="A339" i="8"/>
  <c r="A31" i="6"/>
  <c r="A31" i="7"/>
  <c r="A119" i="17"/>
  <c r="A31" i="8"/>
  <c r="A251" i="8"/>
  <c r="A471" i="7"/>
  <c r="A383" i="7"/>
  <c r="A251" i="6"/>
  <c r="A163" i="6"/>
  <c r="A119" i="15"/>
  <c r="A75" i="15"/>
  <c r="A31" i="21"/>
  <c r="A345" i="8"/>
  <c r="A257" i="6"/>
  <c r="A169" i="6"/>
  <c r="A81" i="17"/>
  <c r="A125" i="17"/>
  <c r="A37" i="8"/>
  <c r="A37" i="7"/>
  <c r="A257" i="8"/>
  <c r="A477" i="7"/>
  <c r="A389" i="7"/>
  <c r="A37" i="6"/>
  <c r="A37" i="17"/>
  <c r="A81" i="15"/>
  <c r="A37" i="21"/>
  <c r="A125" i="15"/>
  <c r="A202" i="2"/>
  <c r="A190" i="2" s="1"/>
  <c r="A1478" i="2"/>
  <c r="A1466" i="2" s="1"/>
  <c r="A1390" i="2"/>
  <c r="A1378" i="2" s="1"/>
  <c r="A1522" i="2"/>
  <c r="A1510" i="2" s="1"/>
  <c r="A1434" i="2"/>
  <c r="A1422" i="2" s="1"/>
  <c r="O578" i="2"/>
  <c r="O402" i="2"/>
  <c r="O50" i="2"/>
  <c r="O94" i="2"/>
  <c r="O358" i="2"/>
  <c r="O138" i="2"/>
  <c r="O534" i="2"/>
  <c r="L613" i="2"/>
  <c r="L614" i="2"/>
  <c r="L569" i="2"/>
  <c r="L570" i="2"/>
  <c r="L525" i="2"/>
  <c r="L526" i="2"/>
  <c r="L481" i="2"/>
  <c r="L482" i="2"/>
  <c r="L437" i="2"/>
  <c r="L438" i="2"/>
  <c r="L393" i="2"/>
  <c r="L394" i="2"/>
  <c r="L349" i="2"/>
  <c r="L350" i="2"/>
  <c r="L305" i="2"/>
  <c r="L306" i="2"/>
  <c r="L261" i="2"/>
  <c r="L262" i="2"/>
  <c r="L218" i="2"/>
  <c r="L217" i="2"/>
  <c r="L174" i="2"/>
  <c r="L173" i="2"/>
  <c r="O274" i="2"/>
  <c r="O1418" i="2"/>
  <c r="O1374" i="2"/>
  <c r="O1506" i="2"/>
  <c r="O1462" i="2"/>
  <c r="O714" i="2"/>
  <c r="O1286" i="2"/>
  <c r="O1066" i="2"/>
  <c r="O1110" i="2"/>
  <c r="O890" i="2"/>
  <c r="O1330" i="2"/>
  <c r="O626" i="2"/>
  <c r="O670" i="2"/>
  <c r="O1154" i="2"/>
  <c r="O934" i="2"/>
  <c r="O1242" i="2"/>
  <c r="O1022" i="2"/>
  <c r="O802" i="2"/>
  <c r="O846" i="2"/>
  <c r="O758" i="2"/>
  <c r="O978" i="2"/>
  <c r="O1198" i="2"/>
  <c r="O362" i="2"/>
  <c r="O538" i="2"/>
  <c r="O54" i="2"/>
  <c r="O406" i="2"/>
  <c r="O1417" i="2"/>
  <c r="O1373" i="2"/>
  <c r="O1461" i="2"/>
  <c r="O1505" i="2"/>
  <c r="O713" i="2"/>
  <c r="O625" i="2"/>
  <c r="O889" i="2"/>
  <c r="O801" i="2"/>
  <c r="O1153" i="2"/>
  <c r="O1197" i="2"/>
  <c r="O845" i="2"/>
  <c r="O1329" i="2"/>
  <c r="O1109" i="2"/>
  <c r="O757" i="2"/>
  <c r="O669" i="2"/>
  <c r="O977" i="2"/>
  <c r="O1241" i="2"/>
  <c r="O1065" i="2"/>
  <c r="O1021" i="2"/>
  <c r="O1285" i="2"/>
  <c r="O933" i="2"/>
  <c r="O581" i="2"/>
  <c r="O361" i="2"/>
  <c r="O317" i="2"/>
  <c r="O537" i="2"/>
  <c r="O53" i="2"/>
  <c r="O97" i="2"/>
  <c r="O405" i="2"/>
  <c r="O273" i="2"/>
  <c r="O1460" i="2"/>
  <c r="O1416" i="2"/>
  <c r="O1504" i="2"/>
  <c r="O1372" i="2"/>
  <c r="O888" i="2"/>
  <c r="O1284" i="2"/>
  <c r="O1064" i="2"/>
  <c r="O932" i="2"/>
  <c r="O800" i="2"/>
  <c r="O1108" i="2"/>
  <c r="O1196" i="2"/>
  <c r="O1328" i="2"/>
  <c r="O712" i="2"/>
  <c r="O668" i="2"/>
  <c r="O844" i="2"/>
  <c r="O1152" i="2"/>
  <c r="O624" i="2"/>
  <c r="O976" i="2"/>
  <c r="O756" i="2"/>
  <c r="O1020" i="2"/>
  <c r="O1240" i="2"/>
  <c r="O360" i="2"/>
  <c r="O316" i="2"/>
  <c r="O404" i="2"/>
  <c r="O536" i="2"/>
  <c r="O184" i="2"/>
  <c r="O272" i="2"/>
  <c r="O448" i="2"/>
  <c r="O580" i="2"/>
  <c r="O492" i="2"/>
  <c r="O52" i="2"/>
  <c r="O96" i="2"/>
  <c r="O140" i="2"/>
  <c r="O228" i="2"/>
  <c r="O183" i="2"/>
  <c r="O447" i="2"/>
  <c r="O1503" i="2"/>
  <c r="O1459" i="2"/>
  <c r="O1415" i="2"/>
  <c r="O1371" i="2"/>
  <c r="O1151" i="2"/>
  <c r="O799" i="2"/>
  <c r="O1019" i="2"/>
  <c r="O887" i="2"/>
  <c r="O975" i="2"/>
  <c r="O931" i="2"/>
  <c r="O843" i="2"/>
  <c r="O1327" i="2"/>
  <c r="O755" i="2"/>
  <c r="O667" i="2"/>
  <c r="O1283" i="2"/>
  <c r="O1195" i="2"/>
  <c r="O1063" i="2"/>
  <c r="O623" i="2"/>
  <c r="O1239" i="2"/>
  <c r="O1107" i="2"/>
  <c r="O711" i="2"/>
  <c r="O446" i="2"/>
  <c r="O1458" i="2"/>
  <c r="O1370" i="2"/>
  <c r="O1502" i="2"/>
  <c r="O1414" i="2"/>
  <c r="O710" i="2"/>
  <c r="O974" i="2"/>
  <c r="O886" i="2"/>
  <c r="O930" i="2"/>
  <c r="O1106" i="2"/>
  <c r="O1194" i="2"/>
  <c r="O1150" i="2"/>
  <c r="O842" i="2"/>
  <c r="O622" i="2"/>
  <c r="O666" i="2"/>
  <c r="O1326" i="2"/>
  <c r="O754" i="2"/>
  <c r="O1062" i="2"/>
  <c r="O1018" i="2"/>
  <c r="O798" i="2"/>
  <c r="O1282" i="2"/>
  <c r="O1238" i="2"/>
  <c r="O490" i="2"/>
  <c r="A75" i="1"/>
  <c r="A31" i="15"/>
  <c r="A73" i="19"/>
  <c r="A159" i="19"/>
  <c r="A30" i="19"/>
  <c r="A116" i="19"/>
  <c r="A31" i="5"/>
  <c r="A163" i="13"/>
  <c r="A31" i="13"/>
  <c r="A31" i="20"/>
  <c r="A31" i="4"/>
  <c r="A28" i="2"/>
  <c r="A28" i="15"/>
  <c r="A70" i="19"/>
  <c r="A113" i="19"/>
  <c r="A27" i="19"/>
  <c r="A156" i="19"/>
  <c r="A160" i="13"/>
  <c r="A28" i="5"/>
  <c r="A28" i="13"/>
  <c r="A28" i="20"/>
  <c r="A28" i="4"/>
  <c r="A115" i="1"/>
  <c r="A27" i="15"/>
  <c r="A26" i="19"/>
  <c r="A155" i="19"/>
  <c r="A112" i="19"/>
  <c r="A69" i="19"/>
  <c r="A159" i="13"/>
  <c r="A27" i="5"/>
  <c r="A27" i="13"/>
  <c r="A27" i="20"/>
  <c r="A27" i="4"/>
  <c r="A36" i="2"/>
  <c r="A388" i="2" s="1"/>
  <c r="A33" i="2"/>
  <c r="A253" i="2" s="1"/>
  <c r="A33" i="15"/>
  <c r="A75" i="19"/>
  <c r="A32" i="19"/>
  <c r="A161" i="19"/>
  <c r="A118" i="19"/>
  <c r="A33" i="5"/>
  <c r="A165" i="13"/>
  <c r="A33" i="20"/>
  <c r="A33" i="13"/>
  <c r="A33" i="4"/>
  <c r="A81" i="1"/>
  <c r="A37" i="15"/>
  <c r="A36" i="19"/>
  <c r="A122" i="19"/>
  <c r="A79" i="19"/>
  <c r="A165" i="19"/>
  <c r="A169" i="13"/>
  <c r="A37" i="5"/>
  <c r="A37" i="13"/>
  <c r="A37" i="20"/>
  <c r="A37" i="4"/>
  <c r="A29" i="2"/>
  <c r="A161" i="2" s="1"/>
  <c r="A29" i="15"/>
  <c r="A157" i="19"/>
  <c r="A114" i="19"/>
  <c r="A28" i="19"/>
  <c r="A71" i="19"/>
  <c r="A29" i="5"/>
  <c r="A161" i="13"/>
  <c r="A29" i="13"/>
  <c r="A29" i="20"/>
  <c r="A29" i="4"/>
  <c r="A35" i="2"/>
  <c r="A35" i="15"/>
  <c r="A163" i="19"/>
  <c r="A34" i="19"/>
  <c r="A77" i="19"/>
  <c r="A120" i="19"/>
  <c r="A167" i="13"/>
  <c r="A35" i="5"/>
  <c r="A35" i="20"/>
  <c r="A35" i="13"/>
  <c r="A35" i="4"/>
  <c r="A290" i="2"/>
  <c r="A278" i="2" s="1"/>
  <c r="A862" i="2"/>
  <c r="A850" i="2" s="1"/>
  <c r="A1346" i="2"/>
  <c r="A1334" i="2" s="1"/>
  <c r="A774" i="2"/>
  <c r="A762" i="2" s="1"/>
  <c r="A686" i="2"/>
  <c r="A674" i="2" s="1"/>
  <c r="A1038" i="2"/>
  <c r="A1026" i="2" s="1"/>
  <c r="A642" i="2"/>
  <c r="A630" i="2" s="1"/>
  <c r="A950" i="2"/>
  <c r="A938" i="2" s="1"/>
  <c r="A1126" i="2"/>
  <c r="A1114" i="2" s="1"/>
  <c r="A1302" i="2"/>
  <c r="A1290" i="2" s="1"/>
  <c r="A730" i="2"/>
  <c r="A718" i="2" s="1"/>
  <c r="A994" i="2"/>
  <c r="A982" i="2" s="1"/>
  <c r="A1258" i="2"/>
  <c r="A1246" i="2" s="1"/>
  <c r="A1214" i="2"/>
  <c r="A1202" i="2" s="1"/>
  <c r="A906" i="2"/>
  <c r="A894" i="2" s="1"/>
  <c r="A1170" i="2"/>
  <c r="A1158" i="2" s="1"/>
  <c r="A818" i="2"/>
  <c r="A806" i="2" s="1"/>
  <c r="A1082" i="2"/>
  <c r="A1070" i="2" s="1"/>
  <c r="A246" i="2"/>
  <c r="A234" i="2" s="1"/>
  <c r="M145" i="13"/>
  <c r="A120" i="1"/>
  <c r="A32" i="15"/>
  <c r="A160" i="19"/>
  <c r="A117" i="19"/>
  <c r="A31" i="19"/>
  <c r="A74" i="19"/>
  <c r="A164" i="13"/>
  <c r="A32" i="5"/>
  <c r="A32" i="13"/>
  <c r="A32" i="20"/>
  <c r="A32" i="4"/>
  <c r="A121" i="1"/>
  <c r="A34" i="2"/>
  <c r="A34" i="15"/>
  <c r="A162" i="19"/>
  <c r="A119" i="19"/>
  <c r="A33" i="19"/>
  <c r="A76" i="19"/>
  <c r="A166" i="13"/>
  <c r="A34" i="5"/>
  <c r="A34" i="20"/>
  <c r="A34" i="13"/>
  <c r="A34" i="4"/>
  <c r="A510" i="2"/>
  <c r="A498" i="2" s="1"/>
  <c r="A116" i="1"/>
  <c r="A122" i="1"/>
  <c r="A334" i="2"/>
  <c r="A322" i="2" s="1"/>
  <c r="A74" i="1"/>
  <c r="A30" i="15"/>
  <c r="A115" i="19"/>
  <c r="A158" i="19"/>
  <c r="A29" i="19"/>
  <c r="A72" i="19"/>
  <c r="A30" i="5"/>
  <c r="A162" i="13"/>
  <c r="A30" i="13"/>
  <c r="A30" i="20"/>
  <c r="A30" i="4"/>
  <c r="A80" i="1"/>
  <c r="A36" i="15"/>
  <c r="A35" i="19"/>
  <c r="A78" i="19"/>
  <c r="A164" i="19"/>
  <c r="A121" i="19"/>
  <c r="A36" i="5"/>
  <c r="A168" i="13"/>
  <c r="A36" i="13"/>
  <c r="A36" i="20"/>
  <c r="A36" i="4"/>
  <c r="N578" i="2"/>
  <c r="N535" i="2"/>
  <c r="N490" i="2"/>
  <c r="N447" i="2"/>
  <c r="N448" i="2" s="1"/>
  <c r="O5" i="2"/>
  <c r="O49" i="1"/>
  <c r="O93" i="1"/>
  <c r="A119" i="1"/>
  <c r="A116" i="2"/>
  <c r="A336" i="2"/>
  <c r="A248" i="2"/>
  <c r="A468" i="2"/>
  <c r="A158" i="2"/>
  <c r="A146" i="2" s="1"/>
  <c r="A378" i="2"/>
  <c r="A366" i="2" s="1"/>
  <c r="A160" i="2"/>
  <c r="A78" i="1"/>
  <c r="A30" i="2"/>
  <c r="A79" i="1"/>
  <c r="A31" i="2"/>
  <c r="A32" i="2"/>
  <c r="A77" i="1"/>
  <c r="A70" i="2"/>
  <c r="A72" i="1"/>
  <c r="A76" i="1"/>
  <c r="A27" i="2"/>
  <c r="A71" i="1"/>
  <c r="A73" i="1"/>
  <c r="N402" i="2"/>
  <c r="N358" i="2"/>
  <c r="N314" i="2"/>
  <c r="N270" i="2"/>
  <c r="A117" i="2" l="1"/>
  <c r="F38" i="6"/>
  <c r="A425" i="2"/>
  <c r="A209" i="2"/>
  <c r="A77" i="2"/>
  <c r="A473" i="2"/>
  <c r="A297" i="2"/>
  <c r="A249" i="2"/>
  <c r="A165" i="2"/>
  <c r="A80" i="2"/>
  <c r="A429" i="2"/>
  <c r="A337" i="2"/>
  <c r="A121" i="2"/>
  <c r="A341" i="2"/>
  <c r="A212" i="2"/>
  <c r="A1357" i="2"/>
  <c r="A77" i="21"/>
  <c r="A121" i="21"/>
  <c r="A79" i="21"/>
  <c r="A123" i="21"/>
  <c r="A432" i="2"/>
  <c r="A873" i="2"/>
  <c r="G71" i="15"/>
  <c r="C82" i="15"/>
  <c r="G77" i="15"/>
  <c r="G79" i="15"/>
  <c r="A1269" i="2"/>
  <c r="G124" i="15"/>
  <c r="G115" i="15"/>
  <c r="C126" i="15"/>
  <c r="G121" i="15"/>
  <c r="G123" i="15"/>
  <c r="A477" i="2"/>
  <c r="A124" i="21"/>
  <c r="A80" i="21"/>
  <c r="A71" i="21"/>
  <c r="A115" i="21"/>
  <c r="A169" i="2"/>
  <c r="A75" i="21"/>
  <c r="A119" i="21"/>
  <c r="G80" i="15"/>
  <c r="A291" i="6"/>
  <c r="A71" i="6"/>
  <c r="A203" i="6"/>
  <c r="A115" i="6"/>
  <c r="A297" i="6"/>
  <c r="A209" i="6"/>
  <c r="A121" i="6"/>
  <c r="A77" i="6"/>
  <c r="G75" i="15"/>
  <c r="G170" i="6"/>
  <c r="C170" i="6"/>
  <c r="G119" i="15"/>
  <c r="G478" i="7"/>
  <c r="C478" i="7"/>
  <c r="G258" i="8"/>
  <c r="C258" i="8"/>
  <c r="A79" i="7"/>
  <c r="A519" i="7"/>
  <c r="A431" i="7"/>
  <c r="A123" i="7"/>
  <c r="A167" i="7"/>
  <c r="A211" i="7"/>
  <c r="A255" i="7"/>
  <c r="A343" i="7"/>
  <c r="A299" i="7"/>
  <c r="A335" i="7"/>
  <c r="A291" i="7"/>
  <c r="A247" i="7"/>
  <c r="A203" i="7"/>
  <c r="A159" i="7"/>
  <c r="A511" i="7"/>
  <c r="A423" i="7"/>
  <c r="A115" i="7"/>
  <c r="A71" i="7"/>
  <c r="A385" i="8"/>
  <c r="A209" i="8"/>
  <c r="A297" i="8"/>
  <c r="A165" i="8"/>
  <c r="A77" i="8"/>
  <c r="A121" i="8"/>
  <c r="A167" i="8"/>
  <c r="A123" i="8"/>
  <c r="A211" i="8"/>
  <c r="A387" i="8"/>
  <c r="A79" i="8"/>
  <c r="A299" i="8"/>
  <c r="A379" i="8"/>
  <c r="A203" i="8"/>
  <c r="A71" i="8"/>
  <c r="A291" i="8"/>
  <c r="A159" i="8"/>
  <c r="A115" i="8"/>
  <c r="C126" i="17"/>
  <c r="A299" i="6"/>
  <c r="A211" i="6"/>
  <c r="A79" i="6"/>
  <c r="A123" i="6"/>
  <c r="G346" i="8"/>
  <c r="C346" i="8"/>
  <c r="A77" i="7"/>
  <c r="A297" i="7"/>
  <c r="A341" i="7"/>
  <c r="A517" i="7"/>
  <c r="A429" i="7"/>
  <c r="A121" i="7"/>
  <c r="A165" i="7"/>
  <c r="A209" i="7"/>
  <c r="A253" i="7"/>
  <c r="G390" i="7"/>
  <c r="C390" i="7"/>
  <c r="C38" i="17"/>
  <c r="A74" i="21"/>
  <c r="A118" i="21"/>
  <c r="G73" i="15"/>
  <c r="G118" i="15"/>
  <c r="G117" i="15"/>
  <c r="A116" i="21"/>
  <c r="A72" i="21"/>
  <c r="A1529" i="2"/>
  <c r="A1485" i="2"/>
  <c r="A1441" i="2"/>
  <c r="A1397" i="2"/>
  <c r="G116" i="15"/>
  <c r="G74" i="15"/>
  <c r="A73" i="21"/>
  <c r="A117" i="21"/>
  <c r="A213" i="2"/>
  <c r="A609" i="2"/>
  <c r="A1526" i="2"/>
  <c r="A1394" i="2"/>
  <c r="A1438" i="2"/>
  <c r="A1482" i="2"/>
  <c r="A1005" i="2"/>
  <c r="A76" i="21"/>
  <c r="A120" i="21"/>
  <c r="G72" i="15"/>
  <c r="A75" i="6"/>
  <c r="A119" i="6"/>
  <c r="A295" i="6"/>
  <c r="A207" i="6"/>
  <c r="A1313" i="2"/>
  <c r="A122" i="21"/>
  <c r="A78" i="21"/>
  <c r="G120" i="15"/>
  <c r="A292" i="6"/>
  <c r="A204" i="6"/>
  <c r="A116" i="6"/>
  <c r="A72" i="6"/>
  <c r="A301" i="2"/>
  <c r="A1093" i="2"/>
  <c r="G122" i="15"/>
  <c r="G76" i="15"/>
  <c r="A75" i="8"/>
  <c r="A119" i="8"/>
  <c r="A295" i="8"/>
  <c r="A383" i="8"/>
  <c r="A207" i="8"/>
  <c r="A163" i="8"/>
  <c r="A829" i="2"/>
  <c r="G125" i="15"/>
  <c r="G78" i="15"/>
  <c r="A521" i="2"/>
  <c r="C82" i="17"/>
  <c r="A300" i="6"/>
  <c r="A124" i="6"/>
  <c r="A212" i="6"/>
  <c r="A80" i="6"/>
  <c r="A1137" i="2"/>
  <c r="A81" i="21"/>
  <c r="A125" i="21"/>
  <c r="A120" i="6"/>
  <c r="A76" i="6"/>
  <c r="A296" i="6"/>
  <c r="A208" i="6"/>
  <c r="A300" i="2"/>
  <c r="A257" i="2"/>
  <c r="A1528" i="2"/>
  <c r="A1396" i="2"/>
  <c r="A1484" i="2"/>
  <c r="A1440" i="2"/>
  <c r="A1527" i="2"/>
  <c r="A1483" i="2"/>
  <c r="A1439" i="2"/>
  <c r="A1395" i="2"/>
  <c r="A345" i="2"/>
  <c r="A1049" i="2"/>
  <c r="G81" i="15"/>
  <c r="A162" i="8"/>
  <c r="A118" i="8"/>
  <c r="A206" i="8"/>
  <c r="A294" i="8"/>
  <c r="A382" i="8"/>
  <c r="A74" i="8"/>
  <c r="A73" i="7"/>
  <c r="A117" i="7"/>
  <c r="A249" i="7"/>
  <c r="A293" i="7"/>
  <c r="A337" i="7"/>
  <c r="A513" i="7"/>
  <c r="A425" i="7"/>
  <c r="A161" i="7"/>
  <c r="A205" i="7"/>
  <c r="A1391" i="2"/>
  <c r="A1479" i="2"/>
  <c r="A1523" i="2"/>
  <c r="A1435" i="2"/>
  <c r="G258" i="6"/>
  <c r="C258" i="6"/>
  <c r="A207" i="7"/>
  <c r="A515" i="7"/>
  <c r="A119" i="7"/>
  <c r="A427" i="7"/>
  <c r="A163" i="7"/>
  <c r="A251" i="7"/>
  <c r="A339" i="7"/>
  <c r="A295" i="7"/>
  <c r="A75" i="7"/>
  <c r="A1181" i="2"/>
  <c r="A117" i="8"/>
  <c r="A381" i="8"/>
  <c r="A161" i="8"/>
  <c r="A293" i="8"/>
  <c r="A205" i="8"/>
  <c r="A73" i="8"/>
  <c r="A741" i="2"/>
  <c r="A520" i="7"/>
  <c r="A432" i="7"/>
  <c r="A80" i="7"/>
  <c r="A124" i="7"/>
  <c r="A168" i="7"/>
  <c r="A212" i="7"/>
  <c r="A256" i="7"/>
  <c r="A344" i="7"/>
  <c r="A300" i="7"/>
  <c r="A256" i="2"/>
  <c r="A125" i="2"/>
  <c r="A653" i="2"/>
  <c r="A81" i="6"/>
  <c r="A213" i="6"/>
  <c r="A125" i="6"/>
  <c r="A301" i="6"/>
  <c r="A424" i="7"/>
  <c r="A292" i="7"/>
  <c r="A204" i="7"/>
  <c r="A248" i="7"/>
  <c r="A72" i="7"/>
  <c r="A336" i="7"/>
  <c r="A512" i="7"/>
  <c r="A116" i="7"/>
  <c r="A160" i="7"/>
  <c r="A80" i="8"/>
  <c r="A212" i="8"/>
  <c r="A388" i="8"/>
  <c r="A124" i="8"/>
  <c r="A300" i="8"/>
  <c r="A168" i="8"/>
  <c r="A344" i="2"/>
  <c r="A917" i="2"/>
  <c r="A386" i="8"/>
  <c r="A166" i="8"/>
  <c r="A122" i="8"/>
  <c r="A78" i="8"/>
  <c r="A210" i="8"/>
  <c r="A298" i="8"/>
  <c r="A208" i="8"/>
  <c r="A164" i="8"/>
  <c r="A76" i="8"/>
  <c r="A120" i="8"/>
  <c r="A384" i="8"/>
  <c r="A296" i="8"/>
  <c r="A160" i="8"/>
  <c r="A72" i="8"/>
  <c r="A380" i="8"/>
  <c r="A204" i="8"/>
  <c r="A116" i="8"/>
  <c r="A292" i="8"/>
  <c r="A162" i="7"/>
  <c r="A338" i="7"/>
  <c r="A294" i="7"/>
  <c r="A514" i="7"/>
  <c r="A74" i="7"/>
  <c r="A426" i="7"/>
  <c r="A118" i="7"/>
  <c r="A206" i="7"/>
  <c r="A250" i="7"/>
  <c r="A565" i="2"/>
  <c r="A469" i="2"/>
  <c r="A1481" i="2"/>
  <c r="A1393" i="2"/>
  <c r="A1525" i="2"/>
  <c r="A1437" i="2"/>
  <c r="A81" i="2"/>
  <c r="A1445" i="2"/>
  <c r="A1489" i="2"/>
  <c r="A1533" i="2"/>
  <c r="A1401" i="2"/>
  <c r="A389" i="2"/>
  <c r="A433" i="2"/>
  <c r="A1400" i="2"/>
  <c r="A1488" i="2"/>
  <c r="A1444" i="2"/>
  <c r="A1532" i="2"/>
  <c r="A168" i="2"/>
  <c r="A1487" i="2"/>
  <c r="A1531" i="2"/>
  <c r="A1443" i="2"/>
  <c r="A1399" i="2"/>
  <c r="A124" i="2"/>
  <c r="A697" i="2"/>
  <c r="A1480" i="2"/>
  <c r="A1524" i="2"/>
  <c r="A1392" i="2"/>
  <c r="A1436" i="2"/>
  <c r="A518" i="7"/>
  <c r="A78" i="7"/>
  <c r="A430" i="7"/>
  <c r="A122" i="7"/>
  <c r="A166" i="7"/>
  <c r="A210" i="7"/>
  <c r="A254" i="7"/>
  <c r="A342" i="7"/>
  <c r="A298" i="7"/>
  <c r="A1225" i="2"/>
  <c r="A81" i="7"/>
  <c r="A521" i="7"/>
  <c r="A433" i="7"/>
  <c r="A125" i="7"/>
  <c r="A169" i="7"/>
  <c r="A213" i="7"/>
  <c r="A257" i="7"/>
  <c r="A345" i="7"/>
  <c r="A301" i="7"/>
  <c r="A252" i="7"/>
  <c r="A516" i="7"/>
  <c r="A76" i="7"/>
  <c r="A428" i="7"/>
  <c r="A120" i="7"/>
  <c r="A164" i="7"/>
  <c r="A208" i="7"/>
  <c r="A340" i="7"/>
  <c r="A296" i="7"/>
  <c r="A118" i="6"/>
  <c r="A206" i="6"/>
  <c r="A74" i="6"/>
  <c r="A294" i="6"/>
  <c r="A205" i="6"/>
  <c r="A293" i="6"/>
  <c r="A117" i="6"/>
  <c r="A73" i="6"/>
  <c r="A254" i="2"/>
  <c r="A1486" i="2"/>
  <c r="A1398" i="2"/>
  <c r="A1442" i="2"/>
  <c r="A1530" i="2"/>
  <c r="A123" i="2"/>
  <c r="A961" i="2"/>
  <c r="A125" i="8"/>
  <c r="A169" i="8"/>
  <c r="A213" i="8"/>
  <c r="A81" i="8"/>
  <c r="A389" i="8"/>
  <c r="A301" i="8"/>
  <c r="A210" i="6"/>
  <c r="A298" i="6"/>
  <c r="A122" i="6"/>
  <c r="A78" i="6"/>
  <c r="O1457" i="2"/>
  <c r="O1501" i="2"/>
  <c r="O1369" i="2"/>
  <c r="O1413" i="2"/>
  <c r="M1509" i="2"/>
  <c r="M1377" i="2"/>
  <c r="M1421" i="2"/>
  <c r="M1465" i="2"/>
  <c r="N579" i="2"/>
  <c r="N491" i="2"/>
  <c r="N492" i="2" s="1"/>
  <c r="N403" i="2"/>
  <c r="N404" i="2" s="1"/>
  <c r="N359" i="2"/>
  <c r="N360" i="2" s="1"/>
  <c r="N315" i="2"/>
  <c r="N316" i="2" s="1"/>
  <c r="M145" i="20"/>
  <c r="M101" i="20"/>
  <c r="M13" i="20"/>
  <c r="M57" i="20"/>
  <c r="A79" i="5"/>
  <c r="A123" i="5"/>
  <c r="A167" i="5"/>
  <c r="A77" i="13"/>
  <c r="A209" i="13"/>
  <c r="A121" i="13"/>
  <c r="A253" i="13"/>
  <c r="A74" i="5"/>
  <c r="A162" i="5"/>
  <c r="A118" i="5"/>
  <c r="A123" i="20"/>
  <c r="A79" i="20"/>
  <c r="A167" i="20"/>
  <c r="A72" i="4"/>
  <c r="A292" i="4"/>
  <c r="A248" i="4"/>
  <c r="A160" i="4"/>
  <c r="A204" i="4"/>
  <c r="A336" i="4"/>
  <c r="A116" i="4"/>
  <c r="A81" i="4"/>
  <c r="A213" i="4"/>
  <c r="A125" i="4"/>
  <c r="A345" i="4"/>
  <c r="A301" i="4"/>
  <c r="A169" i="4"/>
  <c r="A257" i="4"/>
  <c r="A380" i="2"/>
  <c r="A1348" i="2"/>
  <c r="A776" i="2"/>
  <c r="A1040" i="2"/>
  <c r="A952" i="2"/>
  <c r="A644" i="2"/>
  <c r="A1304" i="2"/>
  <c r="A688" i="2"/>
  <c r="A732" i="2"/>
  <c r="A1084" i="2"/>
  <c r="A996" i="2"/>
  <c r="A1128" i="2"/>
  <c r="A1260" i="2"/>
  <c r="A908" i="2"/>
  <c r="A1216" i="2"/>
  <c r="A1172" i="2"/>
  <c r="A864" i="2"/>
  <c r="A820" i="2"/>
  <c r="A512" i="2"/>
  <c r="A292" i="2"/>
  <c r="A204" i="2"/>
  <c r="A72" i="2"/>
  <c r="A556" i="2"/>
  <c r="A424" i="2"/>
  <c r="A600" i="2"/>
  <c r="A475" i="2"/>
  <c r="A1267" i="2"/>
  <c r="A651" i="2"/>
  <c r="A959" i="2"/>
  <c r="A827" i="2"/>
  <c r="A1223" i="2"/>
  <c r="A695" i="2"/>
  <c r="A915" i="2"/>
  <c r="A871" i="2"/>
  <c r="A1355" i="2"/>
  <c r="A783" i="2"/>
  <c r="A1179" i="2"/>
  <c r="A1047" i="2"/>
  <c r="A1135" i="2"/>
  <c r="A1091" i="2"/>
  <c r="A1311" i="2"/>
  <c r="A739" i="2"/>
  <c r="A1003" i="2"/>
  <c r="A387" i="2"/>
  <c r="A299" i="2"/>
  <c r="A167" i="2"/>
  <c r="A211" i="2"/>
  <c r="A79" i="2"/>
  <c r="A607" i="2"/>
  <c r="A519" i="2"/>
  <c r="A563" i="2"/>
  <c r="A431" i="2"/>
  <c r="A73" i="13"/>
  <c r="A205" i="13"/>
  <c r="A117" i="13"/>
  <c r="A249" i="13"/>
  <c r="A78" i="13"/>
  <c r="A122" i="13"/>
  <c r="A254" i="13"/>
  <c r="A210" i="13"/>
  <c r="A169" i="20"/>
  <c r="A125" i="20"/>
  <c r="A81" i="20"/>
  <c r="A207" i="4"/>
  <c r="A339" i="4"/>
  <c r="A75" i="4"/>
  <c r="A163" i="4"/>
  <c r="A119" i="4"/>
  <c r="A295" i="4"/>
  <c r="A251" i="4"/>
  <c r="A115" i="20"/>
  <c r="A71" i="20"/>
  <c r="A159" i="20"/>
  <c r="A1087" i="2"/>
  <c r="A1307" i="2"/>
  <c r="A691" i="2"/>
  <c r="A735" i="2"/>
  <c r="A999" i="2"/>
  <c r="A647" i="2"/>
  <c r="A911" i="2"/>
  <c r="A1263" i="2"/>
  <c r="A955" i="2"/>
  <c r="A867" i="2"/>
  <c r="A823" i="2"/>
  <c r="A1219" i="2"/>
  <c r="A1175" i="2"/>
  <c r="A1131" i="2"/>
  <c r="A1351" i="2"/>
  <c r="A779" i="2"/>
  <c r="A1043" i="2"/>
  <c r="A559" i="2"/>
  <c r="A515" i="2"/>
  <c r="A603" i="2"/>
  <c r="A81" i="13"/>
  <c r="A125" i="13"/>
  <c r="A257" i="13"/>
  <c r="A213" i="13"/>
  <c r="A75" i="20"/>
  <c r="A163" i="20"/>
  <c r="A119" i="20"/>
  <c r="A1347" i="2"/>
  <c r="A775" i="2"/>
  <c r="A1039" i="2"/>
  <c r="A1303" i="2"/>
  <c r="A731" i="2"/>
  <c r="A995" i="2"/>
  <c r="A951" i="2"/>
  <c r="A687" i="2"/>
  <c r="A643" i="2"/>
  <c r="A1259" i="2"/>
  <c r="A1127" i="2"/>
  <c r="A819" i="2"/>
  <c r="A1215" i="2"/>
  <c r="A907" i="2"/>
  <c r="A1171" i="2"/>
  <c r="A863" i="2"/>
  <c r="A1083" i="2"/>
  <c r="A511" i="2"/>
  <c r="A599" i="2"/>
  <c r="A555" i="2"/>
  <c r="A116" i="20"/>
  <c r="A72" i="20"/>
  <c r="A160" i="20"/>
  <c r="M1157" i="2"/>
  <c r="M717" i="2"/>
  <c r="M849" i="2"/>
  <c r="M1113" i="2"/>
  <c r="M761" i="2"/>
  <c r="M1245" i="2"/>
  <c r="M1069" i="2"/>
  <c r="M805" i="2"/>
  <c r="M1201" i="2"/>
  <c r="M1333" i="2"/>
  <c r="M1025" i="2"/>
  <c r="M1289" i="2"/>
  <c r="M937" i="2"/>
  <c r="M673" i="2"/>
  <c r="M981" i="2"/>
  <c r="M893" i="2"/>
  <c r="M629" i="2"/>
  <c r="M585" i="2"/>
  <c r="M497" i="2"/>
  <c r="M541" i="2"/>
  <c r="A169" i="5"/>
  <c r="A125" i="5"/>
  <c r="A81" i="5"/>
  <c r="A207" i="13"/>
  <c r="A119" i="13"/>
  <c r="A75" i="13"/>
  <c r="A251" i="13"/>
  <c r="A77" i="5"/>
  <c r="A121" i="5"/>
  <c r="A165" i="5"/>
  <c r="A73" i="4"/>
  <c r="A293" i="4"/>
  <c r="A161" i="4"/>
  <c r="A249" i="4"/>
  <c r="A205" i="4"/>
  <c r="A117" i="4"/>
  <c r="A337" i="4"/>
  <c r="A737" i="2"/>
  <c r="A1089" i="2"/>
  <c r="A1001" i="2"/>
  <c r="A693" i="2"/>
  <c r="A1265" i="2"/>
  <c r="A1045" i="2"/>
  <c r="A913" i="2"/>
  <c r="A957" i="2"/>
  <c r="A869" i="2"/>
  <c r="A1221" i="2"/>
  <c r="A1353" i="2"/>
  <c r="A649" i="2"/>
  <c r="A1177" i="2"/>
  <c r="A781" i="2"/>
  <c r="A1133" i="2"/>
  <c r="A825" i="2"/>
  <c r="A1309" i="2"/>
  <c r="A605" i="2"/>
  <c r="A517" i="2"/>
  <c r="A561" i="2"/>
  <c r="A255" i="2"/>
  <c r="A430" i="2"/>
  <c r="A1308" i="2"/>
  <c r="A736" i="2"/>
  <c r="A824" i="2"/>
  <c r="A1000" i="2"/>
  <c r="A868" i="2"/>
  <c r="A1264" i="2"/>
  <c r="A912" i="2"/>
  <c r="A648" i="2"/>
  <c r="A956" i="2"/>
  <c r="A692" i="2"/>
  <c r="A1220" i="2"/>
  <c r="A1352" i="2"/>
  <c r="A1088" i="2"/>
  <c r="A1176" i="2"/>
  <c r="A1132" i="2"/>
  <c r="A780" i="2"/>
  <c r="A1044" i="2"/>
  <c r="A560" i="2"/>
  <c r="A604" i="2"/>
  <c r="A516" i="2"/>
  <c r="A80" i="5"/>
  <c r="A124" i="5"/>
  <c r="A168" i="5"/>
  <c r="A122" i="2"/>
  <c r="A75" i="5"/>
  <c r="A119" i="5"/>
  <c r="A163" i="5"/>
  <c r="A117" i="20"/>
  <c r="A73" i="20"/>
  <c r="A161" i="20"/>
  <c r="A78" i="4"/>
  <c r="A342" i="4"/>
  <c r="A166" i="4"/>
  <c r="A122" i="4"/>
  <c r="A298" i="4"/>
  <c r="A254" i="4"/>
  <c r="A210" i="4"/>
  <c r="A166" i="5"/>
  <c r="A122" i="5"/>
  <c r="A78" i="5"/>
  <c r="A342" i="2"/>
  <c r="A76" i="4"/>
  <c r="A164" i="4"/>
  <c r="A120" i="4"/>
  <c r="A340" i="4"/>
  <c r="A208" i="4"/>
  <c r="A296" i="4"/>
  <c r="A252" i="4"/>
  <c r="A203" i="13"/>
  <c r="A115" i="13"/>
  <c r="A247" i="13"/>
  <c r="A71" i="13"/>
  <c r="M57" i="5"/>
  <c r="M101" i="5"/>
  <c r="M145" i="5"/>
  <c r="M13" i="5"/>
  <c r="A248" i="13"/>
  <c r="A116" i="13"/>
  <c r="A204" i="13"/>
  <c r="A72" i="13"/>
  <c r="A166" i="2"/>
  <c r="A386" i="2"/>
  <c r="A210" i="2"/>
  <c r="A164" i="20"/>
  <c r="A76" i="20"/>
  <c r="A120" i="20"/>
  <c r="A165" i="20"/>
  <c r="A121" i="20"/>
  <c r="A77" i="20"/>
  <c r="A166" i="20"/>
  <c r="A122" i="20"/>
  <c r="A78" i="20"/>
  <c r="A1002" i="2"/>
  <c r="A1266" i="2"/>
  <c r="A914" i="2"/>
  <c r="A1354" i="2"/>
  <c r="A958" i="2"/>
  <c r="A1222" i="2"/>
  <c r="A694" i="2"/>
  <c r="A650" i="2"/>
  <c r="A1178" i="2"/>
  <c r="A1046" i="2"/>
  <c r="A870" i="2"/>
  <c r="A782" i="2"/>
  <c r="A1134" i="2"/>
  <c r="A826" i="2"/>
  <c r="A1090" i="2"/>
  <c r="A1310" i="2"/>
  <c r="A738" i="2"/>
  <c r="A606" i="2"/>
  <c r="A562" i="2"/>
  <c r="A518" i="2"/>
  <c r="A78" i="2"/>
  <c r="A74" i="4"/>
  <c r="A162" i="4"/>
  <c r="A206" i="4"/>
  <c r="A118" i="4"/>
  <c r="A294" i="4"/>
  <c r="A338" i="4"/>
  <c r="A250" i="4"/>
  <c r="A120" i="13"/>
  <c r="A252" i="13"/>
  <c r="A76" i="13"/>
  <c r="A208" i="13"/>
  <c r="A381" i="2"/>
  <c r="A1041" i="2"/>
  <c r="A909" i="2"/>
  <c r="A689" i="2"/>
  <c r="A1305" i="2"/>
  <c r="A733" i="2"/>
  <c r="A997" i="2"/>
  <c r="A953" i="2"/>
  <c r="A645" i="2"/>
  <c r="A1085" i="2"/>
  <c r="A1261" i="2"/>
  <c r="A1217" i="2"/>
  <c r="A1173" i="2"/>
  <c r="A821" i="2"/>
  <c r="A865" i="2"/>
  <c r="A1129" i="2"/>
  <c r="A1349" i="2"/>
  <c r="A777" i="2"/>
  <c r="A513" i="2"/>
  <c r="A601" i="2"/>
  <c r="A557" i="2"/>
  <c r="A293" i="2"/>
  <c r="A205" i="2"/>
  <c r="A73" i="2"/>
  <c r="A474" i="2"/>
  <c r="A162" i="20"/>
  <c r="A74" i="20"/>
  <c r="A118" i="20"/>
  <c r="A76" i="5"/>
  <c r="A120" i="5"/>
  <c r="A164" i="5"/>
  <c r="A476" i="2"/>
  <c r="A1268" i="2"/>
  <c r="A872" i="2"/>
  <c r="A828" i="2"/>
  <c r="A1356" i="2"/>
  <c r="A960" i="2"/>
  <c r="A1224" i="2"/>
  <c r="A1048" i="2"/>
  <c r="A696" i="2"/>
  <c r="A916" i="2"/>
  <c r="A652" i="2"/>
  <c r="A1180" i="2"/>
  <c r="A784" i="2"/>
  <c r="A1312" i="2"/>
  <c r="A1136" i="2"/>
  <c r="A1092" i="2"/>
  <c r="A740" i="2"/>
  <c r="A1004" i="2"/>
  <c r="A608" i="2"/>
  <c r="A520" i="2"/>
  <c r="A564" i="2"/>
  <c r="M57" i="13"/>
  <c r="M13" i="13"/>
  <c r="M233" i="13"/>
  <c r="M189" i="13"/>
  <c r="M101" i="13"/>
  <c r="A117" i="5"/>
  <c r="A161" i="5"/>
  <c r="A73" i="5"/>
  <c r="A80" i="13"/>
  <c r="A124" i="13"/>
  <c r="A256" i="13"/>
  <c r="A212" i="13"/>
  <c r="A298" i="2"/>
  <c r="A74" i="13"/>
  <c r="A206" i="13"/>
  <c r="A118" i="13"/>
  <c r="A250" i="13"/>
  <c r="A79" i="4"/>
  <c r="A255" i="4"/>
  <c r="A299" i="4"/>
  <c r="A167" i="4"/>
  <c r="A343" i="4"/>
  <c r="A123" i="4"/>
  <c r="A211" i="4"/>
  <c r="A115" i="5"/>
  <c r="A159" i="5"/>
  <c r="A71" i="5"/>
  <c r="A116" i="5"/>
  <c r="A72" i="5"/>
  <c r="A160" i="5"/>
  <c r="A80" i="4"/>
  <c r="A168" i="4"/>
  <c r="A124" i="4"/>
  <c r="A344" i="4"/>
  <c r="A212" i="4"/>
  <c r="A256" i="4"/>
  <c r="A300" i="4"/>
  <c r="A124" i="20"/>
  <c r="A80" i="20"/>
  <c r="A168" i="20"/>
  <c r="A646" i="2"/>
  <c r="A1306" i="2"/>
  <c r="A734" i="2"/>
  <c r="A998" i="2"/>
  <c r="A910" i="2"/>
  <c r="A1262" i="2"/>
  <c r="A690" i="2"/>
  <c r="A954" i="2"/>
  <c r="A1218" i="2"/>
  <c r="A822" i="2"/>
  <c r="A1174" i="2"/>
  <c r="A1086" i="2"/>
  <c r="A866" i="2"/>
  <c r="A1130" i="2"/>
  <c r="A1350" i="2"/>
  <c r="A778" i="2"/>
  <c r="A1042" i="2"/>
  <c r="A514" i="2"/>
  <c r="A602" i="2"/>
  <c r="A558" i="2"/>
  <c r="A343" i="2"/>
  <c r="A385" i="2"/>
  <c r="A79" i="13"/>
  <c r="A123" i="13"/>
  <c r="A255" i="13"/>
  <c r="A211" i="13"/>
  <c r="A77" i="4"/>
  <c r="A209" i="4"/>
  <c r="A121" i="4"/>
  <c r="A341" i="4"/>
  <c r="A253" i="4"/>
  <c r="A297" i="4"/>
  <c r="A165" i="4"/>
  <c r="A71" i="4"/>
  <c r="A159" i="4"/>
  <c r="A203" i="4"/>
  <c r="A291" i="4"/>
  <c r="A335" i="4"/>
  <c r="A115" i="4"/>
  <c r="A247" i="4"/>
  <c r="O49" i="2"/>
  <c r="O621" i="2"/>
  <c r="O797" i="2"/>
  <c r="O1017" i="2"/>
  <c r="O929" i="2"/>
  <c r="O841" i="2"/>
  <c r="O1237" i="2"/>
  <c r="O665" i="2"/>
  <c r="O753" i="2"/>
  <c r="O973" i="2"/>
  <c r="O1193" i="2"/>
  <c r="O709" i="2"/>
  <c r="O1149" i="2"/>
  <c r="O885" i="2"/>
  <c r="O1105" i="2"/>
  <c r="O1325" i="2"/>
  <c r="O1061" i="2"/>
  <c r="O1281" i="2"/>
  <c r="O533" i="2"/>
  <c r="O489" i="2"/>
  <c r="O577" i="2"/>
  <c r="N580" i="2"/>
  <c r="N536" i="2"/>
  <c r="N493" i="2"/>
  <c r="A384" i="2"/>
  <c r="A164" i="2"/>
  <c r="A472" i="2"/>
  <c r="A252" i="2"/>
  <c r="A340" i="2"/>
  <c r="A120" i="2"/>
  <c r="A76" i="2"/>
  <c r="A428" i="2"/>
  <c r="A296" i="2"/>
  <c r="A208" i="2"/>
  <c r="A382" i="2"/>
  <c r="A162" i="2"/>
  <c r="A426" i="2"/>
  <c r="A470" i="2"/>
  <c r="A250" i="2"/>
  <c r="A338" i="2"/>
  <c r="A118" i="2"/>
  <c r="A206" i="2"/>
  <c r="A294" i="2"/>
  <c r="A74" i="2"/>
  <c r="O357" i="2"/>
  <c r="O313" i="2"/>
  <c r="O137" i="2"/>
  <c r="O93" i="2"/>
  <c r="O401" i="2"/>
  <c r="A383" i="2"/>
  <c r="A163" i="2"/>
  <c r="A471" i="2"/>
  <c r="A207" i="2"/>
  <c r="A251" i="2"/>
  <c r="A295" i="2"/>
  <c r="A339" i="2"/>
  <c r="A119" i="2"/>
  <c r="A427" i="2"/>
  <c r="A75" i="2"/>
  <c r="O445" i="2"/>
  <c r="O269" i="2"/>
  <c r="O225" i="2"/>
  <c r="A71" i="2"/>
  <c r="A379" i="2"/>
  <c r="A159" i="2"/>
  <c r="A423" i="2"/>
  <c r="A467" i="2"/>
  <c r="A247" i="2"/>
  <c r="A335" i="2"/>
  <c r="A115" i="2"/>
  <c r="A203" i="2"/>
  <c r="A291" i="2"/>
  <c r="O181" i="2"/>
  <c r="M277" i="2"/>
  <c r="M365" i="2"/>
  <c r="M453" i="2"/>
  <c r="M233" i="2"/>
  <c r="M409" i="2"/>
  <c r="M321" i="2"/>
  <c r="N449" i="2"/>
  <c r="N405" i="2"/>
  <c r="N271" i="2"/>
  <c r="N272" i="2" s="1"/>
  <c r="N361" i="2"/>
  <c r="N317" i="2"/>
  <c r="N228" i="2"/>
  <c r="I55" i="37" l="1"/>
  <c r="P263" i="8"/>
  <c r="I44" i="37"/>
  <c r="P483" i="7"/>
  <c r="I19" i="37"/>
  <c r="P175" i="6"/>
  <c r="I25" i="37"/>
  <c r="P263" i="6"/>
  <c r="I39" i="37"/>
  <c r="P395" i="7"/>
  <c r="I61" i="37"/>
  <c r="P351" i="8"/>
  <c r="O61" i="37" s="1"/>
  <c r="C170" i="7"/>
  <c r="C214" i="7"/>
  <c r="C258" i="7"/>
  <c r="H82" i="17"/>
  <c r="J68" i="37" s="1"/>
  <c r="E396" i="7"/>
  <c r="K396" i="7"/>
  <c r="F392" i="7"/>
  <c r="H392" i="7"/>
  <c r="F394" i="7"/>
  <c r="O39" i="37"/>
  <c r="F393" i="7"/>
  <c r="H396" i="7"/>
  <c r="C302" i="7"/>
  <c r="C346" i="7"/>
  <c r="G38" i="21"/>
  <c r="C38" i="21"/>
  <c r="G126" i="21"/>
  <c r="C126" i="21"/>
  <c r="G82" i="17"/>
  <c r="C38" i="8"/>
  <c r="G82" i="21"/>
  <c r="C82" i="21"/>
  <c r="C126" i="8"/>
  <c r="C170" i="8"/>
  <c r="G302" i="8"/>
  <c r="C302" i="8"/>
  <c r="C82" i="8"/>
  <c r="C214" i="8"/>
  <c r="H260" i="6"/>
  <c r="F260" i="6"/>
  <c r="K264" i="6"/>
  <c r="E264" i="6"/>
  <c r="H264" i="6"/>
  <c r="F261" i="6"/>
  <c r="O25" i="37"/>
  <c r="F262" i="6"/>
  <c r="G390" i="8"/>
  <c r="C390" i="8"/>
  <c r="C126" i="6"/>
  <c r="G214" i="6"/>
  <c r="C214" i="6"/>
  <c r="C82" i="6"/>
  <c r="G82" i="15"/>
  <c r="G302" i="6"/>
  <c r="C302" i="6"/>
  <c r="H82" i="15"/>
  <c r="K141" i="36" s="1"/>
  <c r="F262" i="8"/>
  <c r="H260" i="8"/>
  <c r="F260" i="8"/>
  <c r="E264" i="8"/>
  <c r="F261" i="8"/>
  <c r="O55" i="37"/>
  <c r="H264" i="8"/>
  <c r="K264" i="8"/>
  <c r="G38" i="17"/>
  <c r="H38" i="17"/>
  <c r="J67" i="37" s="1"/>
  <c r="K484" i="7"/>
  <c r="F482" i="7"/>
  <c r="O44" i="37"/>
  <c r="H480" i="7"/>
  <c r="F481" i="7"/>
  <c r="E484" i="7"/>
  <c r="H484" i="7"/>
  <c r="F480" i="7"/>
  <c r="H348" i="8"/>
  <c r="F348" i="8"/>
  <c r="H352" i="8"/>
  <c r="F350" i="8"/>
  <c r="F349" i="8"/>
  <c r="E352" i="8"/>
  <c r="K352" i="8"/>
  <c r="G126" i="15"/>
  <c r="G522" i="7"/>
  <c r="C522" i="7"/>
  <c r="H126" i="15"/>
  <c r="K142" i="36" s="1"/>
  <c r="H126" i="17"/>
  <c r="J69" i="37" s="1"/>
  <c r="G38" i="7"/>
  <c r="C38" i="7"/>
  <c r="C82" i="7"/>
  <c r="H172" i="6"/>
  <c r="O19" i="37"/>
  <c r="F173" i="6"/>
  <c r="H176" i="6"/>
  <c r="F174" i="6"/>
  <c r="K176" i="6"/>
  <c r="F172" i="6"/>
  <c r="E176" i="6"/>
  <c r="C126" i="7"/>
  <c r="G126" i="17"/>
  <c r="G434" i="7"/>
  <c r="C434" i="7"/>
  <c r="N581" i="2"/>
  <c r="N537" i="2"/>
  <c r="N494" i="2"/>
  <c r="N450" i="2"/>
  <c r="N406" i="2"/>
  <c r="N362" i="2"/>
  <c r="N318" i="2"/>
  <c r="N273" i="2"/>
  <c r="N229" i="2"/>
  <c r="F41" i="7" l="1"/>
  <c r="P41" i="7" s="1"/>
  <c r="M31" i="37" s="1"/>
  <c r="H40" i="7"/>
  <c r="F42" i="7"/>
  <c r="P42" i="7" s="1"/>
  <c r="N31" i="37" s="1"/>
  <c r="F40" i="7"/>
  <c r="K44" i="7"/>
  <c r="H44" i="7"/>
  <c r="E44" i="7"/>
  <c r="P392" i="7"/>
  <c r="L39" i="37" s="1"/>
  <c r="P480" i="7"/>
  <c r="P260" i="8"/>
  <c r="L55" i="37" s="1"/>
  <c r="P173" i="6"/>
  <c r="M19" i="37" s="1"/>
  <c r="P262" i="8"/>
  <c r="N55" i="37" s="1"/>
  <c r="I68" i="37"/>
  <c r="P87" i="17"/>
  <c r="P393" i="7"/>
  <c r="M39" i="37" s="1"/>
  <c r="P261" i="8"/>
  <c r="M55" i="37" s="1"/>
  <c r="P348" i="8"/>
  <c r="L61" i="37" s="1"/>
  <c r="P260" i="6"/>
  <c r="L25" i="37" s="1"/>
  <c r="I45" i="37"/>
  <c r="P527" i="7"/>
  <c r="O45" i="37" s="1"/>
  <c r="O46" i="37" s="1"/>
  <c r="I20" i="37"/>
  <c r="P219" i="6"/>
  <c r="P350" i="8"/>
  <c r="N61" i="37" s="1"/>
  <c r="P262" i="6"/>
  <c r="N25" i="37" s="1"/>
  <c r="P481" i="7"/>
  <c r="M44" i="37" s="1"/>
  <c r="I40" i="37"/>
  <c r="P439" i="7"/>
  <c r="O40" i="37" s="1"/>
  <c r="I26" i="37"/>
  <c r="I27" i="37" s="1"/>
  <c r="P307" i="6"/>
  <c r="O26" i="37" s="1"/>
  <c r="O27" i="37" s="1"/>
  <c r="P482" i="7"/>
  <c r="N44" i="37" s="1"/>
  <c r="I31" i="37"/>
  <c r="P43" i="7"/>
  <c r="O31" i="37" s="1"/>
  <c r="I56" i="37"/>
  <c r="P307" i="8"/>
  <c r="O56" i="37" s="1"/>
  <c r="J141" i="36"/>
  <c r="P87" i="15"/>
  <c r="P141" i="36" s="1"/>
  <c r="J142" i="36"/>
  <c r="P131" i="15"/>
  <c r="P142" i="36" s="1"/>
  <c r="I62" i="37"/>
  <c r="I63" i="37" s="1"/>
  <c r="P395" i="8"/>
  <c r="O62" i="37" s="1"/>
  <c r="O63" i="37" s="1"/>
  <c r="P394" i="7"/>
  <c r="N39" i="37" s="1"/>
  <c r="P349" i="8"/>
  <c r="M61" i="37" s="1"/>
  <c r="P172" i="6"/>
  <c r="L19" i="37" s="1"/>
  <c r="I67" i="37"/>
  <c r="P43" i="17"/>
  <c r="O67" i="37" s="1"/>
  <c r="J147" i="36"/>
  <c r="P43" i="21"/>
  <c r="I69" i="37"/>
  <c r="P131" i="17"/>
  <c r="O69" i="37" s="1"/>
  <c r="J149" i="36"/>
  <c r="P131" i="21"/>
  <c r="P149" i="36" s="1"/>
  <c r="P261" i="6"/>
  <c r="M25" i="37" s="1"/>
  <c r="P174" i="6"/>
  <c r="N19" i="37" s="1"/>
  <c r="J148" i="36"/>
  <c r="P87" i="21"/>
  <c r="P148" i="36" s="1"/>
  <c r="G214" i="8"/>
  <c r="E220" i="8" s="1"/>
  <c r="J150" i="36"/>
  <c r="I46" i="37"/>
  <c r="I70" i="37"/>
  <c r="J70" i="37"/>
  <c r="G82" i="7"/>
  <c r="K88" i="7" s="1"/>
  <c r="G126" i="8"/>
  <c r="O68" i="37"/>
  <c r="G82" i="8"/>
  <c r="G82" i="6"/>
  <c r="G170" i="8"/>
  <c r="G214" i="7"/>
  <c r="G38" i="8"/>
  <c r="G126" i="6"/>
  <c r="G346" i="7"/>
  <c r="G302" i="7"/>
  <c r="G126" i="7"/>
  <c r="G170" i="7"/>
  <c r="G258" i="7"/>
  <c r="E396" i="8"/>
  <c r="F393" i="8"/>
  <c r="H396" i="8"/>
  <c r="H392" i="8"/>
  <c r="F392" i="8"/>
  <c r="P392" i="8" s="1"/>
  <c r="K396" i="8"/>
  <c r="F394" i="8"/>
  <c r="F130" i="21"/>
  <c r="F128" i="21"/>
  <c r="K132" i="21"/>
  <c r="H132" i="21"/>
  <c r="E132" i="21"/>
  <c r="F129" i="21"/>
  <c r="H128" i="21"/>
  <c r="H44" i="21"/>
  <c r="F41" i="21"/>
  <c r="F40" i="21"/>
  <c r="E44" i="21"/>
  <c r="P147" i="36"/>
  <c r="H40" i="21"/>
  <c r="F42" i="21"/>
  <c r="K44" i="21"/>
  <c r="H308" i="6"/>
  <c r="K308" i="6"/>
  <c r="F306" i="6"/>
  <c r="E308" i="6"/>
  <c r="F305" i="6"/>
  <c r="F304" i="6"/>
  <c r="H304" i="6"/>
  <c r="F526" i="7"/>
  <c r="E528" i="7"/>
  <c r="F524" i="7"/>
  <c r="K528" i="7"/>
  <c r="H528" i="7"/>
  <c r="F525" i="7"/>
  <c r="H524" i="7"/>
  <c r="F306" i="8"/>
  <c r="H308" i="8"/>
  <c r="F304" i="8"/>
  <c r="F305" i="8"/>
  <c r="E308" i="8"/>
  <c r="K308" i="8"/>
  <c r="H304" i="8"/>
  <c r="F218" i="6"/>
  <c r="O20" i="37"/>
  <c r="H216" i="6"/>
  <c r="H220" i="6"/>
  <c r="E220" i="6"/>
  <c r="K220" i="6"/>
  <c r="F217" i="6"/>
  <c r="F216" i="6"/>
  <c r="F436" i="7"/>
  <c r="H440" i="7"/>
  <c r="E440" i="7"/>
  <c r="H436" i="7"/>
  <c r="F437" i="7"/>
  <c r="F438" i="7"/>
  <c r="K440" i="7"/>
  <c r="F84" i="21"/>
  <c r="K88" i="21"/>
  <c r="E88" i="21"/>
  <c r="F85" i="21"/>
  <c r="H84" i="21"/>
  <c r="H88" i="21"/>
  <c r="F86" i="21"/>
  <c r="L44" i="37"/>
  <c r="D170" i="5"/>
  <c r="C170" i="5"/>
  <c r="D126" i="5"/>
  <c r="C126" i="5"/>
  <c r="N582" i="2"/>
  <c r="N538" i="2"/>
  <c r="N274" i="2"/>
  <c r="N230" i="2"/>
  <c r="K44" i="8" l="1"/>
  <c r="E44" i="8"/>
  <c r="F42" i="8"/>
  <c r="P42" i="8" s="1"/>
  <c r="N50" i="37" s="1"/>
  <c r="H44" i="8"/>
  <c r="F41" i="8"/>
  <c r="P41" i="8" s="1"/>
  <c r="M50" i="37" s="1"/>
  <c r="H40" i="8"/>
  <c r="F40" i="8"/>
  <c r="P40" i="8" s="1"/>
  <c r="L50" i="37" s="1"/>
  <c r="P40" i="7"/>
  <c r="L31" i="37" s="1"/>
  <c r="P304" i="6"/>
  <c r="P524" i="7"/>
  <c r="L45" i="37" s="1"/>
  <c r="L46" i="37" s="1"/>
  <c r="H84" i="7"/>
  <c r="E88" i="7"/>
  <c r="H88" i="7"/>
  <c r="P40" i="21"/>
  <c r="F86" i="7"/>
  <c r="P86" i="7" s="1"/>
  <c r="N32" i="37" s="1"/>
  <c r="F218" i="8"/>
  <c r="F85" i="7"/>
  <c r="P85" i="7" s="1"/>
  <c r="M32" i="37" s="1"/>
  <c r="P305" i="6"/>
  <c r="M26" i="37" s="1"/>
  <c r="M27" i="37" s="1"/>
  <c r="P306" i="8"/>
  <c r="N56" i="37" s="1"/>
  <c r="I50" i="37"/>
  <c r="P43" i="8"/>
  <c r="O50" i="37" s="1"/>
  <c r="P306" i="6"/>
  <c r="N26" i="37" s="1"/>
  <c r="N27" i="37" s="1"/>
  <c r="K220" i="8"/>
  <c r="I36" i="37"/>
  <c r="P263" i="7"/>
  <c r="O36" i="37" s="1"/>
  <c r="I35" i="37"/>
  <c r="P219" i="7"/>
  <c r="O35" i="37" s="1"/>
  <c r="P525" i="7"/>
  <c r="M45" i="37" s="1"/>
  <c r="M46" i="37" s="1"/>
  <c r="F216" i="8"/>
  <c r="P216" i="8" s="1"/>
  <c r="L54" i="37" s="1"/>
  <c r="H216" i="8"/>
  <c r="P526" i="7"/>
  <c r="N45" i="37" s="1"/>
  <c r="N46" i="37" s="1"/>
  <c r="I17" i="37"/>
  <c r="P87" i="6"/>
  <c r="O17" i="37" s="1"/>
  <c r="P217" i="6"/>
  <c r="M20" i="37" s="1"/>
  <c r="H220" i="8"/>
  <c r="P129" i="21"/>
  <c r="N149" i="36" s="1"/>
  <c r="I51" i="37"/>
  <c r="P87" i="8"/>
  <c r="O51" i="37" s="1"/>
  <c r="F217" i="8"/>
  <c r="I34" i="37"/>
  <c r="P175" i="7"/>
  <c r="O34" i="37" s="1"/>
  <c r="P86" i="21"/>
  <c r="O148" i="36" s="1"/>
  <c r="P85" i="21"/>
  <c r="N148" i="36" s="1"/>
  <c r="P437" i="7"/>
  <c r="M40" i="37" s="1"/>
  <c r="P42" i="21"/>
  <c r="O147" i="36" s="1"/>
  <c r="I18" i="37"/>
  <c r="P131" i="6"/>
  <c r="O18" i="37" s="1"/>
  <c r="I52" i="37"/>
  <c r="P131" i="8"/>
  <c r="P218" i="6"/>
  <c r="N20" i="37" s="1"/>
  <c r="I54" i="37"/>
  <c r="P219" i="8"/>
  <c r="O54" i="37" s="1"/>
  <c r="P304" i="8"/>
  <c r="L56" i="37" s="1"/>
  <c r="I33" i="37"/>
  <c r="P131" i="7"/>
  <c r="O33" i="37" s="1"/>
  <c r="I53" i="37"/>
  <c r="P175" i="8"/>
  <c r="O53" i="37" s="1"/>
  <c r="P128" i="21"/>
  <c r="M149" i="36" s="1"/>
  <c r="P218" i="8"/>
  <c r="N54" i="37" s="1"/>
  <c r="P84" i="21"/>
  <c r="M148" i="36" s="1"/>
  <c r="P130" i="21"/>
  <c r="O149" i="36" s="1"/>
  <c r="P393" i="8"/>
  <c r="M62" i="37" s="1"/>
  <c r="M63" i="37" s="1"/>
  <c r="P305" i="8"/>
  <c r="M56" i="37" s="1"/>
  <c r="I37" i="37"/>
  <c r="P307" i="7"/>
  <c r="O37" i="37" s="1"/>
  <c r="P438" i="7"/>
  <c r="N40" i="37" s="1"/>
  <c r="P436" i="7"/>
  <c r="L40" i="37" s="1"/>
  <c r="P394" i="8"/>
  <c r="N62" i="37" s="1"/>
  <c r="N63" i="37" s="1"/>
  <c r="I38" i="37"/>
  <c r="P351" i="7"/>
  <c r="O38" i="37" s="1"/>
  <c r="P41" i="21"/>
  <c r="N147" i="36" s="1"/>
  <c r="P216" i="6"/>
  <c r="L20" i="37" s="1"/>
  <c r="I32" i="37"/>
  <c r="P87" i="7"/>
  <c r="O32" i="37" s="1"/>
  <c r="F84" i="7"/>
  <c r="P84" i="7" s="1"/>
  <c r="L32" i="37" s="1"/>
  <c r="H132" i="8"/>
  <c r="H128" i="8"/>
  <c r="O70" i="37"/>
  <c r="F129" i="8"/>
  <c r="K132" i="8"/>
  <c r="F128" i="8"/>
  <c r="E132" i="8"/>
  <c r="P150" i="36"/>
  <c r="O52" i="37"/>
  <c r="H352" i="7"/>
  <c r="E352" i="7"/>
  <c r="F349" i="7"/>
  <c r="F350" i="7"/>
  <c r="E176" i="7"/>
  <c r="L62" i="37"/>
  <c r="L63" i="37" s="1"/>
  <c r="E132" i="7"/>
  <c r="H128" i="7"/>
  <c r="F172" i="8"/>
  <c r="H84" i="8"/>
  <c r="H132" i="6"/>
  <c r="F128" i="6"/>
  <c r="H128" i="6"/>
  <c r="K132" i="6"/>
  <c r="H308" i="7"/>
  <c r="F304" i="7"/>
  <c r="F129" i="6"/>
  <c r="F174" i="7"/>
  <c r="F173" i="7"/>
  <c r="F306" i="7"/>
  <c r="K176" i="7"/>
  <c r="K308" i="7"/>
  <c r="F305" i="7"/>
  <c r="E308" i="7"/>
  <c r="E132" i="6"/>
  <c r="K132" i="7"/>
  <c r="H304" i="7"/>
  <c r="F130" i="6"/>
  <c r="F128" i="7"/>
  <c r="F348" i="7"/>
  <c r="F130" i="7"/>
  <c r="K352" i="7"/>
  <c r="F129" i="7"/>
  <c r="H348" i="7"/>
  <c r="H132" i="7"/>
  <c r="H88" i="8"/>
  <c r="K176" i="8"/>
  <c r="F173" i="8"/>
  <c r="K88" i="6"/>
  <c r="H172" i="8"/>
  <c r="H176" i="8"/>
  <c r="K220" i="7"/>
  <c r="E88" i="6"/>
  <c r="F86" i="6"/>
  <c r="H220" i="7"/>
  <c r="F84" i="6"/>
  <c r="E176" i="8"/>
  <c r="H216" i="7"/>
  <c r="H84" i="6"/>
  <c r="H260" i="7"/>
  <c r="F85" i="6"/>
  <c r="K88" i="8"/>
  <c r="H88" i="6"/>
  <c r="F84" i="8"/>
  <c r="F217" i="7"/>
  <c r="E88" i="8"/>
  <c r="F216" i="7"/>
  <c r="F174" i="8"/>
  <c r="F218" i="7"/>
  <c r="E220" i="7"/>
  <c r="F130" i="8"/>
  <c r="F86" i="8"/>
  <c r="F85" i="8"/>
  <c r="F172" i="7"/>
  <c r="F262" i="7"/>
  <c r="H176" i="7"/>
  <c r="H264" i="7"/>
  <c r="F260" i="7"/>
  <c r="H172" i="7"/>
  <c r="K264" i="7"/>
  <c r="F261" i="7"/>
  <c r="E264" i="7"/>
  <c r="L26" i="37"/>
  <c r="L27" i="37" s="1"/>
  <c r="M147" i="36"/>
  <c r="F126" i="5"/>
  <c r="F170" i="5"/>
  <c r="P490" i="2"/>
  <c r="P446" i="2"/>
  <c r="P402" i="2"/>
  <c r="P358" i="2"/>
  <c r="P314" i="2"/>
  <c r="I57" i="37" l="1"/>
  <c r="P84" i="6"/>
  <c r="P172" i="7"/>
  <c r="L34" i="37" s="1"/>
  <c r="I41" i="37"/>
  <c r="P216" i="7"/>
  <c r="O150" i="36"/>
  <c r="P128" i="7"/>
  <c r="L33" i="37" s="1"/>
  <c r="N150" i="36"/>
  <c r="P128" i="8"/>
  <c r="L52" i="37" s="1"/>
  <c r="P173" i="7"/>
  <c r="M34" i="37" s="1"/>
  <c r="P174" i="7"/>
  <c r="N34" i="37" s="1"/>
  <c r="J79" i="36"/>
  <c r="P131" i="5"/>
  <c r="P304" i="7"/>
  <c r="L37" i="37" s="1"/>
  <c r="P306" i="7"/>
  <c r="N37" i="37" s="1"/>
  <c r="J80" i="36"/>
  <c r="P175" i="5"/>
  <c r="P260" i="7"/>
  <c r="L36" i="37" s="1"/>
  <c r="P130" i="7"/>
  <c r="N33" i="37" s="1"/>
  <c r="P173" i="8"/>
  <c r="M53" i="37" s="1"/>
  <c r="P172" i="8"/>
  <c r="L53" i="37" s="1"/>
  <c r="P129" i="8"/>
  <c r="M52" i="37" s="1"/>
  <c r="P129" i="6"/>
  <c r="M18" i="37" s="1"/>
  <c r="P86" i="6"/>
  <c r="N17" i="37" s="1"/>
  <c r="P128" i="6"/>
  <c r="L18" i="37" s="1"/>
  <c r="P348" i="7"/>
  <c r="L38" i="37" s="1"/>
  <c r="P130" i="6"/>
  <c r="N18" i="37" s="1"/>
  <c r="P86" i="8"/>
  <c r="N51" i="37" s="1"/>
  <c r="P84" i="8"/>
  <c r="L51" i="37" s="1"/>
  <c r="P85" i="6"/>
  <c r="M17" i="37" s="1"/>
  <c r="M21" i="37" s="1"/>
  <c r="P130" i="8"/>
  <c r="N52" i="37" s="1"/>
  <c r="P217" i="8"/>
  <c r="M54" i="37" s="1"/>
  <c r="P305" i="7"/>
  <c r="M37" i="37" s="1"/>
  <c r="P217" i="7"/>
  <c r="M35" i="37" s="1"/>
  <c r="P262" i="7"/>
  <c r="N36" i="37" s="1"/>
  <c r="P218" i="7"/>
  <c r="N35" i="37" s="1"/>
  <c r="P129" i="7"/>
  <c r="M33" i="37" s="1"/>
  <c r="P350" i="7"/>
  <c r="N38" i="37" s="1"/>
  <c r="P261" i="7"/>
  <c r="M36" i="37" s="1"/>
  <c r="P85" i="8"/>
  <c r="M51" i="37" s="1"/>
  <c r="P174" i="8"/>
  <c r="N53" i="37" s="1"/>
  <c r="P349" i="7"/>
  <c r="M38" i="37" s="1"/>
  <c r="O41" i="37"/>
  <c r="D54" i="38" s="1"/>
  <c r="E50" i="40" s="1"/>
  <c r="G50" i="40" s="1"/>
  <c r="M150" i="36"/>
  <c r="O57" i="37"/>
  <c r="D65" i="38" s="1"/>
  <c r="E61" i="40" s="1"/>
  <c r="G61" i="40" s="1"/>
  <c r="L17" i="37"/>
  <c r="L35" i="37"/>
  <c r="P578" i="2"/>
  <c r="P534" i="2"/>
  <c r="P491" i="2"/>
  <c r="P492" i="2" s="1"/>
  <c r="P447" i="2"/>
  <c r="P403" i="2"/>
  <c r="P359" i="2"/>
  <c r="P315" i="2"/>
  <c r="P270" i="2"/>
  <c r="P226" i="2"/>
  <c r="N21" i="37" l="1"/>
  <c r="D42" i="38" s="1"/>
  <c r="E38" i="40" s="1"/>
  <c r="G38" i="40" s="1"/>
  <c r="M41" i="37"/>
  <c r="N41" i="37"/>
  <c r="D52" i="38" s="1"/>
  <c r="E48" i="40" s="1"/>
  <c r="G48" i="40" s="1"/>
  <c r="N57" i="37"/>
  <c r="D63" i="38" s="1"/>
  <c r="E59" i="40" s="1"/>
  <c r="G59" i="40" s="1"/>
  <c r="M57" i="37"/>
  <c r="L57" i="37"/>
  <c r="L41" i="37"/>
  <c r="L42" i="37" s="1"/>
  <c r="L58" i="37"/>
  <c r="D64" i="38"/>
  <c r="E60" i="40" s="1"/>
  <c r="G60" i="40" s="1"/>
  <c r="L21" i="37"/>
  <c r="P579" i="2"/>
  <c r="P535" i="2"/>
  <c r="P448" i="2"/>
  <c r="P404" i="2"/>
  <c r="P405" i="2" s="1"/>
  <c r="P360" i="2"/>
  <c r="P316" i="2"/>
  <c r="P271" i="2"/>
  <c r="P227" i="2"/>
  <c r="D53" i="38" l="1"/>
  <c r="E49" i="40" s="1"/>
  <c r="G49" i="40" s="1"/>
  <c r="L22" i="37"/>
  <c r="D43" i="38"/>
  <c r="E39" i="40" s="1"/>
  <c r="G39" i="40" s="1"/>
  <c r="P580" i="2"/>
  <c r="P536" i="2"/>
  <c r="P493" i="2"/>
  <c r="P449" i="2"/>
  <c r="P361" i="2"/>
  <c r="P317" i="2"/>
  <c r="P272" i="2"/>
  <c r="P228" i="2"/>
  <c r="P581" i="2" l="1"/>
  <c r="P537" i="2"/>
  <c r="P494" i="2"/>
  <c r="P495" i="2" s="1"/>
  <c r="P450" i="2"/>
  <c r="P451" i="2" s="1"/>
  <c r="P406" i="2"/>
  <c r="P407" i="2" s="1"/>
  <c r="P362" i="2"/>
  <c r="P363" i="2" s="1"/>
  <c r="P318" i="2"/>
  <c r="P319" i="2" s="1"/>
  <c r="P273" i="2"/>
  <c r="P229" i="2"/>
  <c r="L10" i="6" l="1"/>
  <c r="P12" i="6" s="1"/>
  <c r="P582" i="2"/>
  <c r="P583" i="2" s="1"/>
  <c r="P538" i="2"/>
  <c r="P539" i="2" s="1"/>
  <c r="P274" i="2"/>
  <c r="P275" i="2" s="1"/>
  <c r="P230" i="2"/>
  <c r="P231" i="2" s="1"/>
  <c r="L11" i="6" l="1"/>
  <c r="F16" i="37" s="1"/>
  <c r="F21" i="37" s="1"/>
  <c r="F22" i="37" s="1"/>
  <c r="E38" i="6"/>
  <c r="D38" i="6"/>
  <c r="B38" i="6"/>
  <c r="P195" i="2"/>
  <c r="O195" i="2"/>
  <c r="N195" i="2"/>
  <c r="M195" i="2"/>
  <c r="B193" i="2"/>
  <c r="B192" i="2"/>
  <c r="P189" i="2"/>
  <c r="O189" i="2"/>
  <c r="N189" i="2"/>
  <c r="M189" i="2"/>
  <c r="P151" i="2"/>
  <c r="O151" i="2"/>
  <c r="N151" i="2"/>
  <c r="M151" i="2"/>
  <c r="B149" i="2"/>
  <c r="B148" i="2"/>
  <c r="P145" i="2"/>
  <c r="O145" i="2"/>
  <c r="N145" i="2"/>
  <c r="M145" i="2"/>
  <c r="N138" i="2"/>
  <c r="C31" i="6" l="1"/>
  <c r="C33" i="6"/>
  <c r="C26" i="6"/>
  <c r="C35" i="6"/>
  <c r="C28" i="6"/>
  <c r="C36" i="6"/>
  <c r="C37" i="6"/>
  <c r="C30" i="6"/>
  <c r="C32" i="6"/>
  <c r="C29" i="6"/>
  <c r="C34" i="6"/>
  <c r="C27" i="6"/>
  <c r="N182" i="2"/>
  <c r="N139" i="2"/>
  <c r="O32" i="6" l="1"/>
  <c r="G32" i="6"/>
  <c r="O30" i="6"/>
  <c r="G30" i="6"/>
  <c r="G37" i="6"/>
  <c r="O37" i="6"/>
  <c r="O36" i="6"/>
  <c r="G36" i="6"/>
  <c r="O28" i="6"/>
  <c r="G28" i="6"/>
  <c r="O27" i="6"/>
  <c r="G27" i="6"/>
  <c r="O35" i="6"/>
  <c r="G35" i="6"/>
  <c r="H33" i="6"/>
  <c r="I31" i="6"/>
  <c r="O26" i="6"/>
  <c r="L30" i="6"/>
  <c r="H28" i="6"/>
  <c r="M33" i="6"/>
  <c r="H30" i="6"/>
  <c r="K32" i="6"/>
  <c r="N34" i="6"/>
  <c r="J32" i="6"/>
  <c r="M34" i="6"/>
  <c r="I32" i="6"/>
  <c r="L34" i="6"/>
  <c r="H32" i="6"/>
  <c r="N27" i="6"/>
  <c r="K33" i="6"/>
  <c r="K34" i="6"/>
  <c r="M27" i="6"/>
  <c r="N36" i="6"/>
  <c r="J34" i="6"/>
  <c r="L27" i="6"/>
  <c r="M36" i="6"/>
  <c r="I34" i="6"/>
  <c r="K27" i="6"/>
  <c r="L36" i="6"/>
  <c r="H34" i="6"/>
  <c r="N29" i="6"/>
  <c r="J27" i="6"/>
  <c r="K36" i="6"/>
  <c r="M29" i="6"/>
  <c r="I27" i="6"/>
  <c r="M26" i="6"/>
  <c r="J26" i="6"/>
  <c r="J36" i="6"/>
  <c r="L29" i="6"/>
  <c r="H27" i="6"/>
  <c r="I36" i="6"/>
  <c r="K29" i="6"/>
  <c r="H36" i="6"/>
  <c r="N31" i="6"/>
  <c r="J29" i="6"/>
  <c r="L35" i="6"/>
  <c r="M31" i="6"/>
  <c r="I29" i="6"/>
  <c r="L31" i="6"/>
  <c r="H29" i="6"/>
  <c r="N28" i="6"/>
  <c r="K31" i="6"/>
  <c r="N33" i="6"/>
  <c r="J31" i="6"/>
  <c r="L33" i="6"/>
  <c r="H31" i="6"/>
  <c r="N26" i="6"/>
  <c r="N35" i="6"/>
  <c r="J33" i="6"/>
  <c r="L26" i="6"/>
  <c r="M35" i="6"/>
  <c r="I33" i="6"/>
  <c r="K26" i="6"/>
  <c r="K35" i="6"/>
  <c r="J30" i="6"/>
  <c r="N37" i="6"/>
  <c r="N32" i="6"/>
  <c r="H26" i="6"/>
  <c r="H37" i="6"/>
  <c r="K30" i="6"/>
  <c r="I37" i="6"/>
  <c r="J37" i="6"/>
  <c r="L28" i="6"/>
  <c r="I28" i="6"/>
  <c r="M30" i="6"/>
  <c r="K37" i="6"/>
  <c r="J28" i="6"/>
  <c r="N30" i="6"/>
  <c r="H35" i="6"/>
  <c r="L37" i="6"/>
  <c r="G26" i="6"/>
  <c r="G38" i="6" s="1"/>
  <c r="I16" i="37" s="1"/>
  <c r="K28" i="6"/>
  <c r="I35" i="6"/>
  <c r="M37" i="6"/>
  <c r="J35" i="6"/>
  <c r="I26" i="6"/>
  <c r="L32" i="6"/>
  <c r="M28" i="6"/>
  <c r="I30" i="6"/>
  <c r="M32" i="6"/>
  <c r="O34" i="6"/>
  <c r="G34" i="6"/>
  <c r="O33" i="6"/>
  <c r="G33" i="6"/>
  <c r="O29" i="6"/>
  <c r="G29" i="6"/>
  <c r="G31" i="6"/>
  <c r="O31" i="6"/>
  <c r="C38" i="6"/>
  <c r="N183" i="2"/>
  <c r="N184" i="2" s="1"/>
  <c r="N185" i="2" s="1"/>
  <c r="N140" i="2"/>
  <c r="I21" i="37" l="1"/>
  <c r="O16" i="37"/>
  <c r="O21" i="37" s="1"/>
  <c r="D44" i="38" s="1"/>
  <c r="E40" i="40" s="1"/>
  <c r="G40" i="40" s="1"/>
  <c r="N186" i="2"/>
  <c r="N141" i="2"/>
  <c r="N142" i="2" l="1"/>
  <c r="P182" i="2" l="1"/>
  <c r="P183" i="2" l="1"/>
  <c r="P138" i="2"/>
  <c r="P184" i="2" l="1"/>
  <c r="P139" i="2"/>
  <c r="P185" i="2" l="1"/>
  <c r="P140" i="2"/>
  <c r="P186" i="2" l="1"/>
  <c r="P187" i="2" s="1"/>
  <c r="P141" i="2"/>
  <c r="P142" i="2" l="1"/>
  <c r="P143" i="2" s="1"/>
  <c r="P107" i="2" l="1"/>
  <c r="O107" i="2"/>
  <c r="N107" i="2"/>
  <c r="M107" i="2"/>
  <c r="B105" i="2"/>
  <c r="B104" i="2"/>
  <c r="B103" i="2"/>
  <c r="P101" i="2"/>
  <c r="O101" i="2"/>
  <c r="N101" i="2"/>
  <c r="M101" i="2"/>
  <c r="M63" i="2"/>
  <c r="B61" i="2"/>
  <c r="B60" i="2"/>
  <c r="P63" i="2"/>
  <c r="O63" i="2"/>
  <c r="N63" i="2"/>
  <c r="P57" i="2"/>
  <c r="O57" i="2"/>
  <c r="N57" i="2"/>
  <c r="M57" i="2"/>
  <c r="E25" i="2" l="1"/>
  <c r="D25" i="2"/>
  <c r="F19" i="2"/>
  <c r="C19" i="2"/>
  <c r="N113" i="1"/>
  <c r="K113" i="1"/>
  <c r="J113" i="1"/>
  <c r="I113" i="1"/>
  <c r="N69" i="1"/>
  <c r="K69" i="1"/>
  <c r="J69" i="1"/>
  <c r="I69" i="1"/>
  <c r="O69" i="1"/>
  <c r="N14" i="2"/>
  <c r="O14" i="2"/>
  <c r="P14" i="2"/>
  <c r="N15" i="2"/>
  <c r="O15" i="2"/>
  <c r="P15" i="2"/>
  <c r="N16" i="2"/>
  <c r="O16" i="2"/>
  <c r="P16" i="2"/>
  <c r="N17" i="2"/>
  <c r="O17" i="2"/>
  <c r="P17" i="2"/>
  <c r="N18" i="2"/>
  <c r="O18" i="2"/>
  <c r="P18" i="2"/>
  <c r="M15" i="2"/>
  <c r="M16" i="2"/>
  <c r="M17" i="2"/>
  <c r="M18" i="2"/>
  <c r="M14" i="2"/>
  <c r="K15" i="2"/>
  <c r="K16" i="2"/>
  <c r="K17" i="2"/>
  <c r="K18" i="2"/>
  <c r="K14" i="2"/>
  <c r="F14" i="2"/>
  <c r="F17" i="2"/>
  <c r="F16" i="2"/>
  <c r="F15" i="2"/>
  <c r="D15" i="2"/>
  <c r="E15" i="2"/>
  <c r="D16" i="2"/>
  <c r="E16" i="2"/>
  <c r="D17" i="2"/>
  <c r="E17" i="2"/>
  <c r="E14" i="2"/>
  <c r="D14" i="2"/>
  <c r="L157" i="6" l="1"/>
  <c r="L465" i="7"/>
  <c r="K25" i="6"/>
  <c r="L245" i="6"/>
  <c r="L333" i="8"/>
  <c r="K25" i="7"/>
  <c r="L377" i="7"/>
  <c r="K25" i="8"/>
  <c r="L245" i="8"/>
  <c r="K25" i="21"/>
  <c r="L157" i="13"/>
  <c r="J25" i="5"/>
  <c r="K377" i="7"/>
  <c r="K157" i="6"/>
  <c r="K245" i="6"/>
  <c r="J25" i="8"/>
  <c r="J25" i="6"/>
  <c r="K465" i="7"/>
  <c r="K333" i="8"/>
  <c r="J25" i="7"/>
  <c r="K245" i="8"/>
  <c r="J25" i="21"/>
  <c r="I25" i="6"/>
  <c r="J157" i="6"/>
  <c r="I25" i="7"/>
  <c r="J245" i="6"/>
  <c r="J245" i="8"/>
  <c r="J333" i="8"/>
  <c r="J465" i="7"/>
  <c r="I25" i="8"/>
  <c r="J377" i="7"/>
  <c r="I25" i="21"/>
  <c r="H25" i="5"/>
  <c r="J157" i="13"/>
  <c r="N25" i="7"/>
  <c r="N25" i="8"/>
  <c r="N25" i="6"/>
  <c r="N25" i="21"/>
  <c r="O157" i="6"/>
  <c r="O25" i="6"/>
  <c r="O25" i="7"/>
  <c r="O25" i="17"/>
  <c r="O69" i="17"/>
  <c r="O113" i="17"/>
  <c r="O245" i="8"/>
  <c r="O25" i="8"/>
  <c r="O377" i="7"/>
  <c r="O25" i="15"/>
  <c r="O69" i="15"/>
  <c r="O113" i="15"/>
  <c r="O25" i="21"/>
  <c r="I25" i="5"/>
  <c r="K157" i="13"/>
  <c r="M25" i="5"/>
  <c r="N25" i="20"/>
  <c r="O25" i="13"/>
  <c r="O69" i="13" s="1"/>
  <c r="O113" i="13" s="1"/>
  <c r="O157" i="13" s="1"/>
  <c r="O201" i="13" s="1"/>
  <c r="O245" i="13" s="1"/>
  <c r="O25" i="20"/>
  <c r="L25" i="13"/>
  <c r="K25" i="20"/>
  <c r="K25" i="13"/>
  <c r="J25" i="20"/>
  <c r="I25" i="20"/>
  <c r="J25" i="13"/>
  <c r="N69" i="2"/>
  <c r="N465" i="2" s="1"/>
  <c r="N25" i="4"/>
  <c r="O25" i="4"/>
  <c r="O69" i="4" s="1"/>
  <c r="O113" i="4" s="1"/>
  <c r="K69" i="2"/>
  <c r="K25" i="4"/>
  <c r="J69" i="2"/>
  <c r="J25" i="4"/>
  <c r="I69" i="2"/>
  <c r="I25" i="4"/>
  <c r="K377" i="2"/>
  <c r="K333" i="2"/>
  <c r="K993" i="2"/>
  <c r="K905" i="2"/>
  <c r="K157" i="2"/>
  <c r="K641" i="2"/>
  <c r="K729" i="2"/>
  <c r="K421" i="2"/>
  <c r="K509" i="2"/>
  <c r="K1037" i="2"/>
  <c r="K465" i="2"/>
  <c r="K597" i="2"/>
  <c r="K245" i="2"/>
  <c r="K201" i="2"/>
  <c r="K289" i="2"/>
  <c r="K949" i="2"/>
  <c r="O113" i="1"/>
  <c r="C69" i="2"/>
  <c r="C67" i="2"/>
  <c r="I1037" i="2" l="1"/>
  <c r="L509" i="7"/>
  <c r="L421" i="7"/>
  <c r="L201" i="6"/>
  <c r="L289" i="6"/>
  <c r="L377" i="8"/>
  <c r="L289" i="8"/>
  <c r="K377" i="8"/>
  <c r="K289" i="8"/>
  <c r="K201" i="6"/>
  <c r="K289" i="6"/>
  <c r="K509" i="7"/>
  <c r="K421" i="7"/>
  <c r="J289" i="8"/>
  <c r="J377" i="8"/>
  <c r="J201" i="6"/>
  <c r="J289" i="6"/>
  <c r="J509" i="7"/>
  <c r="J421" i="7"/>
  <c r="K289" i="7"/>
  <c r="K245" i="7"/>
  <c r="K201" i="7"/>
  <c r="K157" i="7"/>
  <c r="K69" i="7"/>
  <c r="K113" i="7"/>
  <c r="K333" i="7"/>
  <c r="K113" i="21"/>
  <c r="K69" i="21"/>
  <c r="K201" i="8"/>
  <c r="K69" i="8"/>
  <c r="K113" i="8"/>
  <c r="K157" i="8"/>
  <c r="K113" i="6"/>
  <c r="K69" i="6"/>
  <c r="J113" i="5"/>
  <c r="J69" i="5"/>
  <c r="J157" i="5"/>
  <c r="K1169" i="2"/>
  <c r="K1477" i="2"/>
  <c r="K1389" i="2"/>
  <c r="K1433" i="2"/>
  <c r="K1521" i="2"/>
  <c r="J817" i="2"/>
  <c r="J1433" i="2"/>
  <c r="J1477" i="2"/>
  <c r="J1389" i="2"/>
  <c r="J1521" i="2"/>
  <c r="J69" i="6"/>
  <c r="J113" i="6"/>
  <c r="J201" i="8"/>
  <c r="J157" i="8"/>
  <c r="J69" i="8"/>
  <c r="J113" i="8"/>
  <c r="J113" i="21"/>
  <c r="J69" i="21"/>
  <c r="J289" i="7"/>
  <c r="J245" i="7"/>
  <c r="J201" i="7"/>
  <c r="J157" i="7"/>
  <c r="J69" i="7"/>
  <c r="J113" i="7"/>
  <c r="J333" i="7"/>
  <c r="I1125" i="2"/>
  <c r="I1213" i="2"/>
  <c r="I1301" i="2"/>
  <c r="I1433" i="2"/>
  <c r="I1477" i="2"/>
  <c r="I1389" i="2"/>
  <c r="I1521" i="2"/>
  <c r="I113" i="2"/>
  <c r="I201" i="8"/>
  <c r="I157" i="8"/>
  <c r="I69" i="8"/>
  <c r="I113" i="8"/>
  <c r="H157" i="5"/>
  <c r="H69" i="5"/>
  <c r="H113" i="5"/>
  <c r="I1081" i="2"/>
  <c r="I949" i="2"/>
  <c r="I905" i="2"/>
  <c r="I113" i="7"/>
  <c r="I333" i="7"/>
  <c r="I69" i="7"/>
  <c r="I289" i="7"/>
  <c r="I157" i="7"/>
  <c r="I245" i="7"/>
  <c r="I201" i="7"/>
  <c r="I1169" i="2"/>
  <c r="I729" i="2"/>
  <c r="I993" i="2"/>
  <c r="I69" i="21"/>
  <c r="I113" i="21"/>
  <c r="I289" i="2"/>
  <c r="I685" i="2"/>
  <c r="I113" i="6"/>
  <c r="I69" i="6"/>
  <c r="N157" i="2"/>
  <c r="N685" i="2"/>
  <c r="N553" i="2"/>
  <c r="N773" i="2"/>
  <c r="N597" i="2"/>
  <c r="N245" i="2"/>
  <c r="N113" i="2"/>
  <c r="N641" i="2"/>
  <c r="N69" i="21"/>
  <c r="N113" i="21"/>
  <c r="N861" i="2"/>
  <c r="N421" i="2"/>
  <c r="N113" i="6"/>
  <c r="N69" i="6"/>
  <c r="N1037" i="2"/>
  <c r="N1477" i="2"/>
  <c r="N1389" i="2"/>
  <c r="N1521" i="2"/>
  <c r="N1433" i="2"/>
  <c r="N817" i="2"/>
  <c r="N509" i="2"/>
  <c r="N157" i="8"/>
  <c r="N201" i="8"/>
  <c r="N113" i="8"/>
  <c r="N69" i="8"/>
  <c r="N289" i="2"/>
  <c r="N993" i="2"/>
  <c r="N333" i="2"/>
  <c r="N69" i="7"/>
  <c r="N157" i="7"/>
  <c r="N333" i="7"/>
  <c r="N245" i="7"/>
  <c r="N113" i="7"/>
  <c r="N201" i="7"/>
  <c r="N289" i="7"/>
  <c r="P117" i="17"/>
  <c r="P122" i="17"/>
  <c r="P118" i="17"/>
  <c r="P121" i="17"/>
  <c r="P123" i="17"/>
  <c r="P124" i="17"/>
  <c r="P120" i="17"/>
  <c r="P115" i="17"/>
  <c r="P119" i="17"/>
  <c r="P125" i="17"/>
  <c r="P116" i="17"/>
  <c r="O69" i="21"/>
  <c r="P79" i="15"/>
  <c r="P80" i="15"/>
  <c r="P72" i="15"/>
  <c r="P74" i="15"/>
  <c r="P76" i="15"/>
  <c r="P81" i="15"/>
  <c r="P71" i="15"/>
  <c r="P73" i="15"/>
  <c r="P77" i="15"/>
  <c r="P75" i="15"/>
  <c r="P78" i="15"/>
  <c r="P73" i="17"/>
  <c r="P77" i="17"/>
  <c r="P79" i="17"/>
  <c r="P72" i="17"/>
  <c r="P74" i="17"/>
  <c r="P78" i="17"/>
  <c r="P71" i="17"/>
  <c r="P76" i="17"/>
  <c r="P80" i="17"/>
  <c r="P81" i="17"/>
  <c r="P75" i="17"/>
  <c r="P116" i="15"/>
  <c r="P119" i="15"/>
  <c r="P124" i="15"/>
  <c r="P118" i="15"/>
  <c r="P123" i="15"/>
  <c r="P115" i="15"/>
  <c r="P122" i="15"/>
  <c r="P120" i="15"/>
  <c r="P117" i="15"/>
  <c r="P121" i="15"/>
  <c r="P125" i="15"/>
  <c r="P32" i="17"/>
  <c r="P28" i="17"/>
  <c r="P33" i="17"/>
  <c r="P29" i="17"/>
  <c r="P27" i="17"/>
  <c r="P36" i="17"/>
  <c r="P35" i="17"/>
  <c r="P31" i="17"/>
  <c r="P34" i="17"/>
  <c r="P37" i="17"/>
  <c r="O421" i="7"/>
  <c r="O69" i="7"/>
  <c r="O289" i="8"/>
  <c r="O69" i="6"/>
  <c r="O201" i="6"/>
  <c r="O69" i="8"/>
  <c r="J1037" i="2"/>
  <c r="J333" i="2"/>
  <c r="J1081" i="2"/>
  <c r="J245" i="2"/>
  <c r="J553" i="2"/>
  <c r="J993" i="2"/>
  <c r="J773" i="2"/>
  <c r="J641" i="2"/>
  <c r="J157" i="2"/>
  <c r="J597" i="2"/>
  <c r="J905" i="2"/>
  <c r="J289" i="2"/>
  <c r="J685" i="2"/>
  <c r="J201" i="2"/>
  <c r="J949" i="2"/>
  <c r="J421" i="2"/>
  <c r="I157" i="5"/>
  <c r="I69" i="5"/>
  <c r="I113" i="5"/>
  <c r="M69" i="5"/>
  <c r="M113" i="5"/>
  <c r="M157" i="5"/>
  <c r="N1081" i="2"/>
  <c r="N1257" i="2"/>
  <c r="N1125" i="2"/>
  <c r="N905" i="2"/>
  <c r="N1169" i="2"/>
  <c r="N949" i="2"/>
  <c r="N1345" i="2"/>
  <c r="N1301" i="2"/>
  <c r="N729" i="2"/>
  <c r="N201" i="2"/>
  <c r="N113" i="20"/>
  <c r="N69" i="20"/>
  <c r="N157" i="20"/>
  <c r="N1213" i="2"/>
  <c r="N377" i="2"/>
  <c r="O69" i="20"/>
  <c r="J69" i="13"/>
  <c r="J201" i="13"/>
  <c r="J113" i="13"/>
  <c r="J245" i="13"/>
  <c r="K201" i="13"/>
  <c r="K113" i="13"/>
  <c r="K69" i="13"/>
  <c r="K245" i="13"/>
  <c r="L113" i="13"/>
  <c r="L201" i="13"/>
  <c r="L245" i="13"/>
  <c r="L69" i="13"/>
  <c r="K1345" i="2"/>
  <c r="K1213" i="2"/>
  <c r="K1081" i="2"/>
  <c r="K113" i="2"/>
  <c r="K553" i="2"/>
  <c r="K817" i="2"/>
  <c r="K685" i="2"/>
  <c r="K861" i="2"/>
  <c r="K69" i="20"/>
  <c r="K157" i="20"/>
  <c r="K113" i="20"/>
  <c r="K773" i="2"/>
  <c r="J1301" i="2"/>
  <c r="J1125" i="2"/>
  <c r="J1169" i="2"/>
  <c r="J1257" i="2"/>
  <c r="J1213" i="2"/>
  <c r="J113" i="20"/>
  <c r="J69" i="20"/>
  <c r="J157" i="20"/>
  <c r="J1345" i="2"/>
  <c r="J729" i="2"/>
  <c r="I597" i="2"/>
  <c r="I465" i="2"/>
  <c r="I245" i="2"/>
  <c r="I773" i="2"/>
  <c r="I201" i="2"/>
  <c r="I641" i="2"/>
  <c r="I817" i="2"/>
  <c r="I157" i="2"/>
  <c r="I333" i="2"/>
  <c r="I553" i="2"/>
  <c r="I113" i="20"/>
  <c r="I69" i="20"/>
  <c r="I157" i="20"/>
  <c r="I69" i="4"/>
  <c r="I157" i="4"/>
  <c r="I245" i="4"/>
  <c r="I113" i="4"/>
  <c r="I201" i="4"/>
  <c r="I333" i="4"/>
  <c r="I289" i="4"/>
  <c r="O157" i="4"/>
  <c r="J69" i="4"/>
  <c r="J245" i="4"/>
  <c r="J157" i="4"/>
  <c r="J201" i="4"/>
  <c r="J333" i="4"/>
  <c r="J113" i="4"/>
  <c r="J289" i="4"/>
  <c r="N69" i="4"/>
  <c r="N245" i="4"/>
  <c r="N201" i="4"/>
  <c r="N157" i="4"/>
  <c r="N333" i="4"/>
  <c r="N113" i="4"/>
  <c r="N289" i="4"/>
  <c r="K69" i="4"/>
  <c r="K245" i="4"/>
  <c r="K157" i="4"/>
  <c r="K289" i="4"/>
  <c r="K201" i="4"/>
  <c r="K333" i="4"/>
  <c r="K113" i="4"/>
  <c r="I509" i="2"/>
  <c r="I377" i="2"/>
  <c r="J113" i="2"/>
  <c r="I1345" i="2"/>
  <c r="K1257" i="2"/>
  <c r="J861" i="2"/>
  <c r="J465" i="2"/>
  <c r="J509" i="2"/>
  <c r="I421" i="2"/>
  <c r="K1301" i="2"/>
  <c r="J377" i="2"/>
  <c r="I1257" i="2"/>
  <c r="K1125" i="2"/>
  <c r="I861" i="2"/>
  <c r="C113" i="2"/>
  <c r="F151" i="2"/>
  <c r="F195" i="2" s="1"/>
  <c r="C151" i="2"/>
  <c r="C111" i="2"/>
  <c r="P381" i="7" l="1"/>
  <c r="P35" i="7"/>
  <c r="P250" i="8"/>
  <c r="P386" i="7"/>
  <c r="P388" i="7"/>
  <c r="P380" i="7"/>
  <c r="P379" i="7"/>
  <c r="P384" i="7"/>
  <c r="P383" i="7"/>
  <c r="P249" i="8"/>
  <c r="P253" i="8"/>
  <c r="H258" i="8"/>
  <c r="J55" i="37" s="1"/>
  <c r="P252" i="8"/>
  <c r="P255" i="8"/>
  <c r="P247" i="8"/>
  <c r="P256" i="8"/>
  <c r="P248" i="8"/>
  <c r="P387" i="7"/>
  <c r="P165" i="6"/>
  <c r="P254" i="8"/>
  <c r="P163" i="6"/>
  <c r="H258" i="6"/>
  <c r="J25" i="37" s="1"/>
  <c r="H170" i="6"/>
  <c r="J19" i="37" s="1"/>
  <c r="H478" i="7"/>
  <c r="J44" i="37" s="1"/>
  <c r="P169" i="6"/>
  <c r="P162" i="6"/>
  <c r="P168" i="6"/>
  <c r="P37" i="6"/>
  <c r="P28" i="7"/>
  <c r="P167" i="6"/>
  <c r="P159" i="6"/>
  <c r="P164" i="6"/>
  <c r="H346" i="8"/>
  <c r="J61" i="37" s="1"/>
  <c r="P251" i="8"/>
  <c r="P33" i="6"/>
  <c r="P257" i="8"/>
  <c r="H390" i="7"/>
  <c r="J39" i="37" s="1"/>
  <c r="P32" i="6"/>
  <c r="P27" i="6"/>
  <c r="P160" i="6"/>
  <c r="P166" i="6"/>
  <c r="P385" i="7"/>
  <c r="P161" i="6"/>
  <c r="P382" i="7"/>
  <c r="P31" i="6"/>
  <c r="P35" i="6"/>
  <c r="P389" i="7"/>
  <c r="P32" i="7"/>
  <c r="P36" i="7"/>
  <c r="P37" i="7"/>
  <c r="P34" i="7"/>
  <c r="P29" i="21"/>
  <c r="P35" i="21"/>
  <c r="P33" i="7"/>
  <c r="P34" i="21"/>
  <c r="H38" i="6"/>
  <c r="J16" i="37" s="1"/>
  <c r="H38" i="21"/>
  <c r="K147" i="36" s="1"/>
  <c r="P27" i="7"/>
  <c r="P36" i="6"/>
  <c r="P37" i="8"/>
  <c r="P32" i="21"/>
  <c r="P29" i="6"/>
  <c r="P28" i="21"/>
  <c r="H38" i="8"/>
  <c r="J50" i="37" s="1"/>
  <c r="P34" i="6"/>
  <c r="P28" i="8"/>
  <c r="P31" i="21"/>
  <c r="P31" i="7"/>
  <c r="P30" i="21"/>
  <c r="P35" i="8"/>
  <c r="P33" i="8"/>
  <c r="P36" i="21"/>
  <c r="P36" i="8"/>
  <c r="P27" i="21"/>
  <c r="P28" i="6"/>
  <c r="P37" i="21"/>
  <c r="P29" i="7"/>
  <c r="P34" i="8"/>
  <c r="P33" i="21"/>
  <c r="P32" i="8"/>
  <c r="P27" i="8"/>
  <c r="H38" i="7"/>
  <c r="J31" i="37" s="1"/>
  <c r="P31" i="8"/>
  <c r="P29" i="8"/>
  <c r="O245" i="6"/>
  <c r="O38" i="21"/>
  <c r="L147" i="36" s="1"/>
  <c r="P26" i="21"/>
  <c r="O113" i="21"/>
  <c r="O38" i="8"/>
  <c r="K50" i="37" s="1"/>
  <c r="P26" i="8"/>
  <c r="P30" i="8"/>
  <c r="O258" i="8"/>
  <c r="K55" i="37" s="1"/>
  <c r="P246" i="8"/>
  <c r="O38" i="6"/>
  <c r="K16" i="37" s="1"/>
  <c r="P26" i="6"/>
  <c r="O465" i="7"/>
  <c r="O113" i="6"/>
  <c r="O82" i="17"/>
  <c r="K68" i="37" s="1"/>
  <c r="P68" i="37" s="1"/>
  <c r="P70" i="17"/>
  <c r="P114" i="17"/>
  <c r="P126" i="17" s="1"/>
  <c r="P132" i="17" s="1"/>
  <c r="O126" i="17"/>
  <c r="K69" i="37" s="1"/>
  <c r="P69" i="37" s="1"/>
  <c r="P30" i="17"/>
  <c r="O126" i="15"/>
  <c r="L142" i="36" s="1"/>
  <c r="Q142" i="36" s="1"/>
  <c r="P114" i="15"/>
  <c r="P126" i="15" s="1"/>
  <c r="P132" i="15" s="1"/>
  <c r="P26" i="7"/>
  <c r="O38" i="7"/>
  <c r="K31" i="37" s="1"/>
  <c r="O390" i="7"/>
  <c r="K39" i="37" s="1"/>
  <c r="P378" i="7"/>
  <c r="P30" i="6"/>
  <c r="O113" i="8"/>
  <c r="O157" i="8" s="1"/>
  <c r="O333" i="8"/>
  <c r="O113" i="7"/>
  <c r="P30" i="7"/>
  <c r="P158" i="6"/>
  <c r="O170" i="6"/>
  <c r="K19" i="37" s="1"/>
  <c r="O38" i="17"/>
  <c r="K67" i="37" s="1"/>
  <c r="P26" i="17"/>
  <c r="P70" i="15"/>
  <c r="O82" i="15"/>
  <c r="L141" i="36" s="1"/>
  <c r="Q141" i="36" s="1"/>
  <c r="O113" i="20"/>
  <c r="O201" i="4"/>
  <c r="C157" i="2"/>
  <c r="C195" i="2"/>
  <c r="C155" i="2"/>
  <c r="K70" i="37" l="1"/>
  <c r="P67" i="37"/>
  <c r="P70" i="37" s="1"/>
  <c r="P55" i="37"/>
  <c r="P39" i="37"/>
  <c r="P16" i="37"/>
  <c r="Q147" i="36"/>
  <c r="P50" i="37"/>
  <c r="P31" i="37"/>
  <c r="P19" i="37"/>
  <c r="P297" i="8"/>
  <c r="P292" i="8"/>
  <c r="P429" i="7"/>
  <c r="P295" i="8"/>
  <c r="P300" i="8"/>
  <c r="P212" i="6"/>
  <c r="P81" i="8"/>
  <c r="P423" i="7"/>
  <c r="P206" i="6"/>
  <c r="P73" i="21"/>
  <c r="P427" i="7"/>
  <c r="P426" i="7"/>
  <c r="P430" i="7"/>
  <c r="P425" i="7"/>
  <c r="P428" i="7"/>
  <c r="P210" i="6"/>
  <c r="P432" i="7"/>
  <c r="P431" i="7"/>
  <c r="P433" i="7"/>
  <c r="P211" i="6"/>
  <c r="P424" i="7"/>
  <c r="H522" i="7"/>
  <c r="J45" i="37" s="1"/>
  <c r="J46" i="37" s="1"/>
  <c r="H390" i="8"/>
  <c r="J62" i="37" s="1"/>
  <c r="J63" i="37" s="1"/>
  <c r="H302" i="8"/>
  <c r="J56" i="37" s="1"/>
  <c r="P209" i="6"/>
  <c r="P203" i="6"/>
  <c r="P205" i="6"/>
  <c r="H214" i="6"/>
  <c r="J20" i="37" s="1"/>
  <c r="H434" i="7"/>
  <c r="J40" i="37" s="1"/>
  <c r="P213" i="6"/>
  <c r="P294" i="8"/>
  <c r="P204" i="6"/>
  <c r="P207" i="6"/>
  <c r="P298" i="8"/>
  <c r="P208" i="6"/>
  <c r="H302" i="6"/>
  <c r="J26" i="37" s="1"/>
  <c r="P296" i="8"/>
  <c r="P258" i="8"/>
  <c r="P264" i="8" s="1"/>
  <c r="P293" i="8"/>
  <c r="P301" i="8"/>
  <c r="P76" i="21"/>
  <c r="P291" i="8"/>
  <c r="P299" i="8"/>
  <c r="P71" i="6"/>
  <c r="P170" i="6"/>
  <c r="P176" i="6" s="1"/>
  <c r="P390" i="7"/>
  <c r="P396" i="7" s="1"/>
  <c r="P77" i="6"/>
  <c r="P78" i="7"/>
  <c r="P74" i="7"/>
  <c r="P80" i="8"/>
  <c r="P72" i="8"/>
  <c r="P75" i="8"/>
  <c r="P73" i="8"/>
  <c r="P78" i="8"/>
  <c r="P76" i="8"/>
  <c r="P79" i="8"/>
  <c r="P77" i="8"/>
  <c r="P81" i="7"/>
  <c r="P71" i="7"/>
  <c r="H126" i="6"/>
  <c r="J18" i="37" s="1"/>
  <c r="P74" i="6"/>
  <c r="P75" i="6"/>
  <c r="P72" i="6"/>
  <c r="P81" i="6"/>
  <c r="P73" i="6"/>
  <c r="P76" i="6"/>
  <c r="P79" i="6"/>
  <c r="P78" i="6"/>
  <c r="P80" i="6"/>
  <c r="P71" i="21"/>
  <c r="P75" i="21"/>
  <c r="O162" i="5"/>
  <c r="P78" i="21"/>
  <c r="O159" i="5"/>
  <c r="O161" i="5"/>
  <c r="O167" i="5"/>
  <c r="P79" i="21"/>
  <c r="P72" i="21"/>
  <c r="H82" i="8"/>
  <c r="J51" i="37" s="1"/>
  <c r="P75" i="7"/>
  <c r="P74" i="8"/>
  <c r="P38" i="17"/>
  <c r="P44" i="17" s="1"/>
  <c r="P38" i="7"/>
  <c r="P44" i="7" s="1"/>
  <c r="H82" i="21"/>
  <c r="K148" i="36" s="1"/>
  <c r="H126" i="21"/>
  <c r="K149" i="36" s="1"/>
  <c r="H126" i="7"/>
  <c r="J33" i="37" s="1"/>
  <c r="H346" i="7"/>
  <c r="J38" i="37" s="1"/>
  <c r="H82" i="7"/>
  <c r="J32" i="37" s="1"/>
  <c r="H214" i="8"/>
  <c r="J54" i="37" s="1"/>
  <c r="P81" i="21"/>
  <c r="H214" i="7"/>
  <c r="J35" i="37" s="1"/>
  <c r="H302" i="7"/>
  <c r="J37" i="37" s="1"/>
  <c r="P72" i="7"/>
  <c r="P77" i="21"/>
  <c r="P73" i="7"/>
  <c r="P80" i="7"/>
  <c r="P74" i="21"/>
  <c r="P79" i="7"/>
  <c r="P71" i="8"/>
  <c r="P77" i="7"/>
  <c r="P80" i="21"/>
  <c r="P76" i="7"/>
  <c r="P38" i="21"/>
  <c r="P44" i="21" s="1"/>
  <c r="H258" i="7"/>
  <c r="J36" i="37" s="1"/>
  <c r="H170" i="8"/>
  <c r="J53" i="37" s="1"/>
  <c r="H82" i="6"/>
  <c r="J17" i="37" s="1"/>
  <c r="H170" i="7"/>
  <c r="J34" i="37" s="1"/>
  <c r="H126" i="8"/>
  <c r="J52" i="37" s="1"/>
  <c r="O509" i="7"/>
  <c r="P468" i="7"/>
  <c r="P475" i="7"/>
  <c r="P470" i="7"/>
  <c r="P474" i="7"/>
  <c r="P476" i="7"/>
  <c r="P469" i="7"/>
  <c r="P473" i="7"/>
  <c r="P471" i="7"/>
  <c r="P472" i="7"/>
  <c r="P467" i="7"/>
  <c r="P477" i="7"/>
  <c r="P122" i="8"/>
  <c r="P121" i="8"/>
  <c r="P123" i="8"/>
  <c r="P118" i="8"/>
  <c r="P124" i="8"/>
  <c r="P116" i="8"/>
  <c r="P119" i="8"/>
  <c r="P115" i="8"/>
  <c r="P125" i="8"/>
  <c r="P120" i="8"/>
  <c r="P117" i="8"/>
  <c r="P38" i="6"/>
  <c r="P44" i="6" s="1"/>
  <c r="O82" i="21"/>
  <c r="L148" i="36" s="1"/>
  <c r="P70" i="21"/>
  <c r="P125" i="21"/>
  <c r="P122" i="21"/>
  <c r="P123" i="21"/>
  <c r="P121" i="21"/>
  <c r="P120" i="21"/>
  <c r="P119" i="21"/>
  <c r="P124" i="21"/>
  <c r="P117" i="21"/>
  <c r="P116" i="21"/>
  <c r="P115" i="21"/>
  <c r="P118" i="21"/>
  <c r="P121" i="6"/>
  <c r="P116" i="6"/>
  <c r="P118" i="6"/>
  <c r="P120" i="6"/>
  <c r="P124" i="6"/>
  <c r="P125" i="6"/>
  <c r="P123" i="6"/>
  <c r="P115" i="6"/>
  <c r="P119" i="6"/>
  <c r="P117" i="6"/>
  <c r="P122" i="6"/>
  <c r="P38" i="8"/>
  <c r="P44" i="8" s="1"/>
  <c r="O302" i="8"/>
  <c r="K56" i="37" s="1"/>
  <c r="P290" i="8"/>
  <c r="P82" i="17"/>
  <c r="P88" i="17" s="1"/>
  <c r="P70" i="6"/>
  <c r="O82" i="6"/>
  <c r="K17" i="37" s="1"/>
  <c r="P82" i="15"/>
  <c r="P88" i="15" s="1"/>
  <c r="O377" i="8"/>
  <c r="P338" i="8"/>
  <c r="P335" i="8"/>
  <c r="P343" i="8"/>
  <c r="P337" i="8"/>
  <c r="P340" i="8"/>
  <c r="P345" i="8"/>
  <c r="P339" i="8"/>
  <c r="P344" i="8"/>
  <c r="P342" i="8"/>
  <c r="P336" i="8"/>
  <c r="P341" i="8"/>
  <c r="P202" i="6"/>
  <c r="O214" i="6"/>
  <c r="K20" i="37" s="1"/>
  <c r="P422" i="7"/>
  <c r="O434" i="7"/>
  <c r="K40" i="37" s="1"/>
  <c r="O157" i="7"/>
  <c r="P124" i="7"/>
  <c r="P125" i="7"/>
  <c r="P122" i="7"/>
  <c r="P118" i="7"/>
  <c r="P119" i="7"/>
  <c r="P123" i="7"/>
  <c r="P117" i="7"/>
  <c r="P116" i="7"/>
  <c r="P121" i="7"/>
  <c r="P120" i="7"/>
  <c r="P115" i="7"/>
  <c r="O82" i="7"/>
  <c r="K32" i="37" s="1"/>
  <c r="P70" i="7"/>
  <c r="O82" i="8"/>
  <c r="K51" i="37" s="1"/>
  <c r="P70" i="8"/>
  <c r="O289" i="6"/>
  <c r="P257" i="6"/>
  <c r="P255" i="6"/>
  <c r="P254" i="6"/>
  <c r="P250" i="6"/>
  <c r="P253" i="6"/>
  <c r="P248" i="6"/>
  <c r="P252" i="6"/>
  <c r="P256" i="6"/>
  <c r="P249" i="6"/>
  <c r="P251" i="6"/>
  <c r="P247" i="6"/>
  <c r="O168" i="5"/>
  <c r="O160" i="5"/>
  <c r="O164" i="5"/>
  <c r="O166" i="5"/>
  <c r="O119" i="5"/>
  <c r="O123" i="5"/>
  <c r="O118" i="5"/>
  <c r="O117" i="5"/>
  <c r="O120" i="5"/>
  <c r="O124" i="5"/>
  <c r="O116" i="5"/>
  <c r="O122" i="5"/>
  <c r="O125" i="5"/>
  <c r="O115" i="5"/>
  <c r="O121" i="5"/>
  <c r="O165" i="5"/>
  <c r="O163" i="5"/>
  <c r="O169" i="5"/>
  <c r="G126" i="5"/>
  <c r="K79" i="36" s="1"/>
  <c r="O114" i="5"/>
  <c r="G170" i="5"/>
  <c r="K80" i="36" s="1"/>
  <c r="O158" i="5"/>
  <c r="O157" i="20"/>
  <c r="O245" i="4"/>
  <c r="C201" i="2"/>
  <c r="F239" i="2"/>
  <c r="C239" i="2"/>
  <c r="C199" i="2"/>
  <c r="P17" i="37" l="1"/>
  <c r="J57" i="37"/>
  <c r="P40" i="37"/>
  <c r="P20" i="37"/>
  <c r="P32" i="37"/>
  <c r="P56" i="37"/>
  <c r="J41" i="37"/>
  <c r="Q148" i="36"/>
  <c r="K150" i="36"/>
  <c r="J27" i="37"/>
  <c r="P51" i="37"/>
  <c r="J21" i="37"/>
  <c r="F129" i="5"/>
  <c r="P129" i="5" s="1"/>
  <c r="H128" i="5"/>
  <c r="F128" i="5"/>
  <c r="E132" i="5"/>
  <c r="H132" i="5"/>
  <c r="K132" i="5"/>
  <c r="H172" i="5"/>
  <c r="F173" i="5"/>
  <c r="P173" i="5" s="1"/>
  <c r="K176" i="5"/>
  <c r="H176" i="5"/>
  <c r="E176" i="5"/>
  <c r="F172" i="5"/>
  <c r="P172" i="5" s="1"/>
  <c r="P434" i="7"/>
  <c r="P440" i="7" s="1"/>
  <c r="P214" i="6"/>
  <c r="P220" i="6" s="1"/>
  <c r="P302" i="8"/>
  <c r="P308" i="8" s="1"/>
  <c r="P82" i="21"/>
  <c r="P88" i="21" s="1"/>
  <c r="P387" i="8"/>
  <c r="P381" i="8"/>
  <c r="P384" i="8"/>
  <c r="P385" i="8"/>
  <c r="P386" i="8"/>
  <c r="P382" i="8"/>
  <c r="P389" i="8"/>
  <c r="P379" i="8"/>
  <c r="P388" i="8"/>
  <c r="P383" i="8"/>
  <c r="P380" i="8"/>
  <c r="O201" i="8"/>
  <c r="P162" i="8"/>
  <c r="P161" i="8"/>
  <c r="P166" i="8"/>
  <c r="P167" i="8"/>
  <c r="P168" i="8"/>
  <c r="P159" i="8"/>
  <c r="P163" i="8"/>
  <c r="P165" i="8"/>
  <c r="P169" i="8"/>
  <c r="P160" i="8"/>
  <c r="P164" i="8"/>
  <c r="P466" i="7"/>
  <c r="P478" i="7" s="1"/>
  <c r="P484" i="7" s="1"/>
  <c r="O478" i="7"/>
  <c r="K44" i="37" s="1"/>
  <c r="O126" i="8"/>
  <c r="K52" i="37" s="1"/>
  <c r="P114" i="8"/>
  <c r="P126" i="8" s="1"/>
  <c r="P132" i="8" s="1"/>
  <c r="O126" i="7"/>
  <c r="K33" i="37" s="1"/>
  <c r="P114" i="7"/>
  <c r="P126" i="7" s="1"/>
  <c r="P132" i="7" s="1"/>
  <c r="O126" i="21"/>
  <c r="L149" i="36" s="1"/>
  <c r="L150" i="36" s="1"/>
  <c r="P114" i="21"/>
  <c r="P126" i="21" s="1"/>
  <c r="P132" i="21" s="1"/>
  <c r="P246" i="6"/>
  <c r="P258" i="6" s="1"/>
  <c r="P264" i="6" s="1"/>
  <c r="O258" i="6"/>
  <c r="K25" i="37" s="1"/>
  <c r="P25" i="37" s="1"/>
  <c r="O201" i="7"/>
  <c r="P163" i="7"/>
  <c r="P162" i="7"/>
  <c r="P168" i="7"/>
  <c r="P161" i="7"/>
  <c r="P165" i="7"/>
  <c r="P169" i="7"/>
  <c r="P159" i="7"/>
  <c r="P160" i="7"/>
  <c r="P167" i="7"/>
  <c r="P166" i="7"/>
  <c r="P164" i="7"/>
  <c r="P114" i="6"/>
  <c r="P126" i="6" s="1"/>
  <c r="P132" i="6" s="1"/>
  <c r="O126" i="6"/>
  <c r="K18" i="37" s="1"/>
  <c r="P18" i="37" s="1"/>
  <c r="P21" i="37" s="1"/>
  <c r="P299" i="6"/>
  <c r="P301" i="6"/>
  <c r="P294" i="6"/>
  <c r="P292" i="6"/>
  <c r="P291" i="6"/>
  <c r="P296" i="6"/>
  <c r="P297" i="6"/>
  <c r="P293" i="6"/>
  <c r="P295" i="6"/>
  <c r="P298" i="6"/>
  <c r="P300" i="6"/>
  <c r="O346" i="8"/>
  <c r="K61" i="37" s="1"/>
  <c r="P334" i="8"/>
  <c r="P346" i="8" s="1"/>
  <c r="P352" i="8" s="1"/>
  <c r="P514" i="7"/>
  <c r="P512" i="7"/>
  <c r="P518" i="7"/>
  <c r="P519" i="7"/>
  <c r="P521" i="7"/>
  <c r="P515" i="7"/>
  <c r="P516" i="7"/>
  <c r="P513" i="7"/>
  <c r="P520" i="7"/>
  <c r="P511" i="7"/>
  <c r="P517" i="7"/>
  <c r="P82" i="8"/>
  <c r="P88" i="8" s="1"/>
  <c r="P82" i="6"/>
  <c r="P88" i="6" s="1"/>
  <c r="P82" i="7"/>
  <c r="P88" i="7" s="1"/>
  <c r="O126" i="5"/>
  <c r="O170" i="5"/>
  <c r="O289" i="4"/>
  <c r="C245" i="2"/>
  <c r="F283" i="2"/>
  <c r="C283" i="2"/>
  <c r="C327" i="2" s="1"/>
  <c r="C243" i="2"/>
  <c r="L6" i="2"/>
  <c r="L7" i="2"/>
  <c r="H11" i="2"/>
  <c r="D10" i="2"/>
  <c r="D8" i="2"/>
  <c r="D9" i="2"/>
  <c r="L40" i="2"/>
  <c r="P19" i="2"/>
  <c r="O19" i="2"/>
  <c r="N19" i="2"/>
  <c r="M19" i="2"/>
  <c r="P13" i="2"/>
  <c r="O13" i="2"/>
  <c r="N13" i="2"/>
  <c r="M13" i="2"/>
  <c r="P128" i="5" l="1"/>
  <c r="Q149" i="36"/>
  <c r="Q150" i="36" s="1"/>
  <c r="D152" i="38" s="1"/>
  <c r="D153" i="38" s="1"/>
  <c r="P33" i="37"/>
  <c r="P44" i="37"/>
  <c r="P52" i="37"/>
  <c r="P61" i="37"/>
  <c r="K21" i="37"/>
  <c r="I22" i="37" s="1"/>
  <c r="D41" i="38" s="1"/>
  <c r="L1536" i="2"/>
  <c r="L1404" i="2"/>
  <c r="L1492" i="2"/>
  <c r="L1448" i="2"/>
  <c r="M79" i="36"/>
  <c r="M80" i="36"/>
  <c r="O170" i="7"/>
  <c r="K34" i="37" s="1"/>
  <c r="P34" i="37" s="1"/>
  <c r="P158" i="7"/>
  <c r="P170" i="7" s="1"/>
  <c r="P176" i="7" s="1"/>
  <c r="P213" i="8"/>
  <c r="P208" i="8"/>
  <c r="P211" i="8"/>
  <c r="P205" i="8"/>
  <c r="P206" i="8"/>
  <c r="P212" i="8"/>
  <c r="P204" i="8"/>
  <c r="P207" i="8"/>
  <c r="P203" i="8"/>
  <c r="P210" i="8"/>
  <c r="P209" i="8"/>
  <c r="P158" i="8"/>
  <c r="P170" i="8" s="1"/>
  <c r="P176" i="8" s="1"/>
  <c r="O170" i="8"/>
  <c r="K53" i="37" s="1"/>
  <c r="P53" i="37" s="1"/>
  <c r="P290" i="6"/>
  <c r="P302" i="6" s="1"/>
  <c r="P308" i="6" s="1"/>
  <c r="O302" i="6"/>
  <c r="K26" i="37" s="1"/>
  <c r="O245" i="7"/>
  <c r="P212" i="7"/>
  <c r="P207" i="7"/>
  <c r="P204" i="7"/>
  <c r="P211" i="7"/>
  <c r="P213" i="7"/>
  <c r="P210" i="7"/>
  <c r="P206" i="7"/>
  <c r="P209" i="7"/>
  <c r="P205" i="7"/>
  <c r="P208" i="7"/>
  <c r="P203" i="7"/>
  <c r="O390" i="8"/>
  <c r="K62" i="37" s="1"/>
  <c r="P62" i="37" s="1"/>
  <c r="P378" i="8"/>
  <c r="P390" i="8" s="1"/>
  <c r="P396" i="8" s="1"/>
  <c r="P510" i="7"/>
  <c r="P522" i="7" s="1"/>
  <c r="P528" i="7" s="1"/>
  <c r="O522" i="7"/>
  <c r="K45" i="37" s="1"/>
  <c r="P45" i="37" s="1"/>
  <c r="C289" i="2"/>
  <c r="F327" i="2"/>
  <c r="O333" i="4"/>
  <c r="L656" i="2"/>
  <c r="L920" i="2"/>
  <c r="L260" i="2"/>
  <c r="L1184" i="2"/>
  <c r="L612" i="2"/>
  <c r="L788" i="2"/>
  <c r="L436" i="2"/>
  <c r="L1316" i="2"/>
  <c r="L392" i="2"/>
  <c r="L1008" i="2"/>
  <c r="L876" i="2"/>
  <c r="L744" i="2"/>
  <c r="L172" i="2"/>
  <c r="L216" i="2"/>
  <c r="L524" i="2"/>
  <c r="L480" i="2"/>
  <c r="L700" i="2"/>
  <c r="L568" i="2"/>
  <c r="L1052" i="2"/>
  <c r="L1228" i="2"/>
  <c r="L1096" i="2"/>
  <c r="L964" i="2"/>
  <c r="L1360" i="2"/>
  <c r="L348" i="2"/>
  <c r="L1272" i="2"/>
  <c r="L832" i="2"/>
  <c r="L1140" i="2"/>
  <c r="L304" i="2"/>
  <c r="L128" i="2"/>
  <c r="L84" i="2"/>
  <c r="C371" i="2"/>
  <c r="C331" i="2"/>
  <c r="C287" i="2"/>
  <c r="F23" i="2"/>
  <c r="C23" i="2"/>
  <c r="E165" i="40" l="1"/>
  <c r="G165" i="40" s="1"/>
  <c r="E37" i="40"/>
  <c r="P46" i="37"/>
  <c r="D56" i="38" s="1"/>
  <c r="E52" i="40" s="1"/>
  <c r="G52" i="40" s="1"/>
  <c r="K46" i="37"/>
  <c r="K63" i="37"/>
  <c r="P63" i="37" s="1"/>
  <c r="D67" i="38" s="1"/>
  <c r="E63" i="40" s="1"/>
  <c r="G63" i="40" s="1"/>
  <c r="K27" i="37"/>
  <c r="P26" i="37"/>
  <c r="P27" i="37" s="1"/>
  <c r="D46" i="38" s="1"/>
  <c r="E42" i="40" s="1"/>
  <c r="G42" i="40" s="1"/>
  <c r="P202" i="8"/>
  <c r="P214" i="8" s="1"/>
  <c r="P220" i="8" s="1"/>
  <c r="O214" i="8"/>
  <c r="K54" i="37" s="1"/>
  <c r="O289" i="7"/>
  <c r="P248" i="7"/>
  <c r="P255" i="7"/>
  <c r="P254" i="7"/>
  <c r="P253" i="7"/>
  <c r="P249" i="7"/>
  <c r="P251" i="7"/>
  <c r="P257" i="7"/>
  <c r="P250" i="7"/>
  <c r="P247" i="7"/>
  <c r="P256" i="7"/>
  <c r="P202" i="7"/>
  <c r="P214" i="7" s="1"/>
  <c r="P220" i="7" s="1"/>
  <c r="O214" i="7"/>
  <c r="K35" i="37" s="1"/>
  <c r="P35" i="37" s="1"/>
  <c r="C333" i="2"/>
  <c r="F371" i="2"/>
  <c r="C415" i="2"/>
  <c r="C375" i="2"/>
  <c r="K130" i="1"/>
  <c r="K129" i="1"/>
  <c r="L128" i="1"/>
  <c r="K128" i="1"/>
  <c r="K86" i="1"/>
  <c r="K85" i="1"/>
  <c r="L84" i="1"/>
  <c r="K84" i="1"/>
  <c r="P107" i="1"/>
  <c r="O107" i="1"/>
  <c r="N107" i="1"/>
  <c r="M107" i="1"/>
  <c r="B105" i="1"/>
  <c r="B104" i="1"/>
  <c r="B103" i="1"/>
  <c r="P101" i="1"/>
  <c r="O101" i="1"/>
  <c r="N101" i="1"/>
  <c r="M101" i="1"/>
  <c r="K101" i="1"/>
  <c r="F101" i="1"/>
  <c r="P63" i="1"/>
  <c r="O63" i="1"/>
  <c r="N63" i="1"/>
  <c r="M63" i="1"/>
  <c r="B61" i="1"/>
  <c r="B60" i="1"/>
  <c r="P57" i="1"/>
  <c r="O57" i="1"/>
  <c r="N57" i="1"/>
  <c r="M57" i="1"/>
  <c r="K57" i="1"/>
  <c r="F57" i="1"/>
  <c r="E166" i="40" l="1"/>
  <c r="G166" i="40" s="1"/>
  <c r="G168" i="40" s="1"/>
  <c r="G170" i="40" s="1"/>
  <c r="P54" i="37"/>
  <c r="P57" i="37" s="1"/>
  <c r="K57" i="37"/>
  <c r="I58" i="37" s="1"/>
  <c r="D62" i="38" s="1"/>
  <c r="D48" i="38"/>
  <c r="G37" i="40"/>
  <c r="E44" i="40"/>
  <c r="O258" i="7"/>
  <c r="K36" i="37" s="1"/>
  <c r="P36" i="37" s="1"/>
  <c r="P246" i="7"/>
  <c r="P252" i="7"/>
  <c r="O333" i="7"/>
  <c r="P295" i="7"/>
  <c r="P294" i="7"/>
  <c r="P297" i="7"/>
  <c r="P293" i="7"/>
  <c r="P292" i="7"/>
  <c r="P299" i="7"/>
  <c r="P291" i="7"/>
  <c r="P298" i="7"/>
  <c r="P301" i="7"/>
  <c r="P300" i="7"/>
  <c r="P296" i="7"/>
  <c r="C377" i="2"/>
  <c r="F415" i="2"/>
  <c r="C459" i="2"/>
  <c r="C419" i="2"/>
  <c r="C69" i="1"/>
  <c r="C25" i="2"/>
  <c r="C113" i="1"/>
  <c r="C111" i="1"/>
  <c r="E168" i="40" l="1"/>
  <c r="E170" i="40" s="1"/>
  <c r="E58" i="40"/>
  <c r="D69" i="38"/>
  <c r="G44" i="40"/>
  <c r="O302" i="7"/>
  <c r="K37" i="37" s="1"/>
  <c r="P37" i="37" s="1"/>
  <c r="P290" i="7"/>
  <c r="P302" i="7" s="1"/>
  <c r="P308" i="7" s="1"/>
  <c r="P338" i="7"/>
  <c r="P345" i="7"/>
  <c r="P343" i="7"/>
  <c r="P342" i="7"/>
  <c r="P341" i="7"/>
  <c r="P340" i="7"/>
  <c r="P339" i="7"/>
  <c r="P344" i="7"/>
  <c r="P337" i="7"/>
  <c r="P336" i="7"/>
  <c r="P335" i="7"/>
  <c r="P258" i="7"/>
  <c r="P264" i="7" s="1"/>
  <c r="C421" i="2"/>
  <c r="F459" i="2"/>
  <c r="C463" i="2"/>
  <c r="C503" i="2"/>
  <c r="G58" i="40" l="1"/>
  <c r="E65" i="40"/>
  <c r="G65" i="40" s="1"/>
  <c r="P334" i="7"/>
  <c r="P346" i="7" s="1"/>
  <c r="P352" i="7" s="1"/>
  <c r="O346" i="7"/>
  <c r="K38" i="37" s="1"/>
  <c r="C465" i="2"/>
  <c r="F503" i="2"/>
  <c r="C507" i="2"/>
  <c r="C547" i="2"/>
  <c r="P38" i="37" l="1"/>
  <c r="P41" i="37" s="1"/>
  <c r="K41" i="37"/>
  <c r="I42" i="37" s="1"/>
  <c r="D51" i="38" s="1"/>
  <c r="C509" i="2"/>
  <c r="F547" i="2"/>
  <c r="C551" i="2"/>
  <c r="C591" i="2"/>
  <c r="E47" i="40" l="1"/>
  <c r="D59" i="38"/>
  <c r="C553" i="2"/>
  <c r="F591" i="2"/>
  <c r="C595" i="2"/>
  <c r="C635" i="2"/>
  <c r="E55" i="40" l="1"/>
  <c r="G47" i="40"/>
  <c r="C597" i="2"/>
  <c r="F635" i="2"/>
  <c r="C639" i="2"/>
  <c r="C679" i="2"/>
  <c r="G55" i="40" l="1"/>
  <c r="E99" i="40"/>
  <c r="C641" i="2"/>
  <c r="F679" i="2"/>
  <c r="C683" i="2"/>
  <c r="C723" i="2"/>
  <c r="G99" i="40" l="1"/>
  <c r="B31" i="41"/>
  <c r="C685" i="2"/>
  <c r="F723" i="2"/>
  <c r="C727" i="2"/>
  <c r="C767" i="2"/>
  <c r="C729" i="2" l="1"/>
  <c r="F767" i="2"/>
  <c r="C771" i="2"/>
  <c r="C811" i="2"/>
  <c r="C773" i="2" l="1"/>
  <c r="F811" i="2"/>
  <c r="C855" i="2"/>
  <c r="C815" i="2"/>
  <c r="F855" i="2" l="1"/>
  <c r="C817" i="2"/>
  <c r="C859" i="2"/>
  <c r="C899" i="2"/>
  <c r="C861" i="2" l="1"/>
  <c r="F899" i="2"/>
  <c r="C903" i="2"/>
  <c r="C943" i="2"/>
  <c r="C905" i="2" l="1"/>
  <c r="F943" i="2"/>
  <c r="C947" i="2"/>
  <c r="C987" i="2"/>
  <c r="C949" i="2" l="1"/>
  <c r="F987" i="2"/>
  <c r="C991" i="2"/>
  <c r="C1031" i="2"/>
  <c r="C993" i="2" l="1"/>
  <c r="F1031" i="2"/>
  <c r="C1035" i="2"/>
  <c r="C1075" i="2"/>
  <c r="C23" i="1"/>
  <c r="C25" i="1"/>
  <c r="C1037" i="2" l="1"/>
  <c r="F1075" i="2"/>
  <c r="C1079" i="2"/>
  <c r="C1119" i="2"/>
  <c r="N19" i="1"/>
  <c r="O19" i="1"/>
  <c r="P19" i="1"/>
  <c r="M19" i="1"/>
  <c r="C1081" i="2" l="1"/>
  <c r="F1119" i="2"/>
  <c r="C1123" i="2"/>
  <c r="C1163" i="2"/>
  <c r="P13" i="1"/>
  <c r="O13" i="1"/>
  <c r="N13" i="1"/>
  <c r="M13" i="1"/>
  <c r="B17" i="1"/>
  <c r="C1125" i="2" l="1"/>
  <c r="F1163" i="2"/>
  <c r="C1167" i="2"/>
  <c r="C1207" i="2"/>
  <c r="F23" i="1"/>
  <c r="C1169" i="2" l="1"/>
  <c r="F1207" i="2"/>
  <c r="C1211" i="2"/>
  <c r="C1251" i="2"/>
  <c r="C1213" i="2" l="1"/>
  <c r="F1251" i="2"/>
  <c r="C1255" i="2"/>
  <c r="C1295" i="2"/>
  <c r="C1257" i="2" l="1"/>
  <c r="F1295" i="2"/>
  <c r="C1299" i="2"/>
  <c r="C1339" i="2"/>
  <c r="C1383" i="2" s="1"/>
  <c r="C1387" i="2" l="1"/>
  <c r="C1427" i="2"/>
  <c r="C1301" i="2"/>
  <c r="F1339" i="2"/>
  <c r="C1343" i="2"/>
  <c r="C1431" i="2" l="1"/>
  <c r="C1471" i="2"/>
  <c r="C1345" i="2"/>
  <c r="F1383" i="2"/>
  <c r="C1475" i="2" l="1"/>
  <c r="C1515" i="2"/>
  <c r="C1519" i="2" s="1"/>
  <c r="C1389" i="2"/>
  <c r="F1427" i="2"/>
  <c r="C1433" i="2" l="1"/>
  <c r="F1471" i="2"/>
  <c r="C1477" i="2" l="1"/>
  <c r="F1515" i="2"/>
  <c r="C1521" i="2" l="1"/>
  <c r="B2" i="14" l="1"/>
  <c r="D2" i="19"/>
  <c r="D2" i="5"/>
  <c r="B1" i="14"/>
  <c r="D1" i="19"/>
  <c r="D1" i="5"/>
  <c r="D3" i="4"/>
  <c r="D3" i="13"/>
  <c r="D3" i="20"/>
  <c r="N3" i="20"/>
  <c r="N3" i="13"/>
  <c r="D1" i="4"/>
  <c r="D221" i="4" s="1"/>
  <c r="D1" i="13"/>
  <c r="D1" i="20"/>
  <c r="D2" i="4"/>
  <c r="D222" i="4" s="1"/>
  <c r="D2" i="20"/>
  <c r="D2" i="13"/>
  <c r="N3" i="2"/>
  <c r="N3" i="4"/>
  <c r="B102" i="1"/>
  <c r="B58" i="1"/>
  <c r="B59" i="1" s="1"/>
  <c r="D3" i="2"/>
  <c r="B14" i="1"/>
  <c r="B15" i="1" s="1"/>
  <c r="B16" i="1" s="1"/>
  <c r="D46" i="1"/>
  <c r="D2" i="2"/>
  <c r="D45" i="1"/>
  <c r="D1" i="2"/>
  <c r="N47" i="1"/>
  <c r="D47" i="1"/>
  <c r="F13" i="1"/>
  <c r="K13" i="1"/>
  <c r="D267" i="4" l="1"/>
  <c r="B278" i="4"/>
  <c r="B146" i="4"/>
  <c r="B234" i="4"/>
  <c r="B322" i="4"/>
  <c r="B323" i="4" s="1"/>
  <c r="B102" i="4"/>
  <c r="B190" i="4"/>
  <c r="B58" i="4"/>
  <c r="G61" i="1"/>
  <c r="H61" i="1" s="1"/>
  <c r="G58" i="1"/>
  <c r="H58" i="1" s="1"/>
  <c r="G60" i="1"/>
  <c r="H60" i="1" s="1"/>
  <c r="G59" i="1"/>
  <c r="H59" i="1" s="1"/>
  <c r="G17" i="4"/>
  <c r="H17" i="4" s="1"/>
  <c r="G16" i="4"/>
  <c r="H16" i="4" s="1"/>
  <c r="G15" i="4"/>
  <c r="H15" i="4" s="1"/>
  <c r="G14" i="4"/>
  <c r="N267" i="2"/>
  <c r="F277" i="2" s="1"/>
  <c r="G14" i="2"/>
  <c r="G15" i="2"/>
  <c r="G16" i="2"/>
  <c r="G17" i="2"/>
  <c r="G16" i="20"/>
  <c r="H16" i="20" s="1"/>
  <c r="G14" i="20"/>
  <c r="H14" i="20" s="1"/>
  <c r="F23" i="20" s="1"/>
  <c r="G17" i="20"/>
  <c r="H17" i="20" s="1"/>
  <c r="G15" i="20"/>
  <c r="H15" i="20" s="1"/>
  <c r="G17" i="13"/>
  <c r="H17" i="13" s="1"/>
  <c r="G16" i="13"/>
  <c r="H16" i="13" s="1"/>
  <c r="G15" i="13"/>
  <c r="H15" i="13" s="1"/>
  <c r="G14" i="13"/>
  <c r="D179" i="4"/>
  <c r="D135" i="4"/>
  <c r="F302" i="2"/>
  <c r="D223" i="4"/>
  <c r="D91" i="4"/>
  <c r="N311" i="2"/>
  <c r="N575" i="2"/>
  <c r="K585" i="2" s="1"/>
  <c r="N223" i="2"/>
  <c r="N47" i="2"/>
  <c r="N355" i="2"/>
  <c r="N91" i="2"/>
  <c r="D1453" i="2"/>
  <c r="D1365" i="2"/>
  <c r="D1409" i="2"/>
  <c r="D1497" i="2"/>
  <c r="K13" i="2"/>
  <c r="D1499" i="2"/>
  <c r="D1455" i="2"/>
  <c r="B1510" i="2"/>
  <c r="B1466" i="2"/>
  <c r="D1367" i="2"/>
  <c r="B1422" i="2"/>
  <c r="B1378" i="2"/>
  <c r="D1411" i="2"/>
  <c r="N135" i="2"/>
  <c r="N179" i="2"/>
  <c r="N487" i="2"/>
  <c r="N443" i="2"/>
  <c r="N1455" i="2"/>
  <c r="N1367" i="2"/>
  <c r="N1499" i="2"/>
  <c r="N1411" i="2"/>
  <c r="D1410" i="2"/>
  <c r="D1454" i="2"/>
  <c r="D1366" i="2"/>
  <c r="D1498" i="2"/>
  <c r="N531" i="2"/>
  <c r="N399" i="2"/>
  <c r="D178" i="4"/>
  <c r="D90" i="4"/>
  <c r="D134" i="4"/>
  <c r="D310" i="4"/>
  <c r="D266" i="4"/>
  <c r="D311" i="4"/>
  <c r="D46" i="5"/>
  <c r="D90" i="5"/>
  <c r="D134" i="5"/>
  <c r="D45" i="19"/>
  <c r="D88" i="19"/>
  <c r="D131" i="19"/>
  <c r="D309" i="4"/>
  <c r="D265" i="4"/>
  <c r="D133" i="4"/>
  <c r="D177" i="4"/>
  <c r="D89" i="4"/>
  <c r="D45" i="5"/>
  <c r="D133" i="5"/>
  <c r="D89" i="5"/>
  <c r="D130" i="19"/>
  <c r="D87" i="19"/>
  <c r="D44" i="19"/>
  <c r="D45" i="13"/>
  <c r="D133" i="13"/>
  <c r="D177" i="13"/>
  <c r="D221" i="13"/>
  <c r="D89" i="13"/>
  <c r="N179" i="13"/>
  <c r="N223" i="13"/>
  <c r="N135" i="13"/>
  <c r="N91" i="13"/>
  <c r="D46" i="13"/>
  <c r="D178" i="13"/>
  <c r="D134" i="13"/>
  <c r="D222" i="13"/>
  <c r="D90" i="13"/>
  <c r="B234" i="13"/>
  <c r="D135" i="13"/>
  <c r="B190" i="13"/>
  <c r="D179" i="13"/>
  <c r="B146" i="13"/>
  <c r="D223" i="13"/>
  <c r="D91" i="13"/>
  <c r="B102" i="13"/>
  <c r="D90" i="20"/>
  <c r="D134" i="20"/>
  <c r="D46" i="20"/>
  <c r="D45" i="20"/>
  <c r="D133" i="20"/>
  <c r="D89" i="20"/>
  <c r="K13" i="13"/>
  <c r="N47" i="13"/>
  <c r="F13" i="13"/>
  <c r="F13" i="20"/>
  <c r="N91" i="20"/>
  <c r="K13" i="20"/>
  <c r="N47" i="20"/>
  <c r="N135" i="20"/>
  <c r="D91" i="20"/>
  <c r="D47" i="20"/>
  <c r="D135" i="20"/>
  <c r="B58" i="13"/>
  <c r="D47" i="13"/>
  <c r="B14" i="13"/>
  <c r="N135" i="4"/>
  <c r="N179" i="4"/>
  <c r="N311" i="4"/>
  <c r="N91" i="4"/>
  <c r="N267" i="4"/>
  <c r="N223" i="4"/>
  <c r="D1278" i="2"/>
  <c r="D882" i="2"/>
  <c r="D1014" i="2"/>
  <c r="D1146" i="2"/>
  <c r="D970" i="2"/>
  <c r="D1058" i="2"/>
  <c r="D750" i="2"/>
  <c r="D662" i="2"/>
  <c r="D794" i="2"/>
  <c r="D618" i="2"/>
  <c r="D1234" i="2"/>
  <c r="D838" i="2"/>
  <c r="D1102" i="2"/>
  <c r="D1322" i="2"/>
  <c r="D926" i="2"/>
  <c r="D706" i="2"/>
  <c r="D1190" i="2"/>
  <c r="D1279" i="2"/>
  <c r="D883" i="2"/>
  <c r="B1334" i="2"/>
  <c r="B938" i="2"/>
  <c r="B718" i="2"/>
  <c r="D751" i="2"/>
  <c r="B806" i="2"/>
  <c r="D971" i="2"/>
  <c r="B850" i="2"/>
  <c r="B1026" i="2"/>
  <c r="D1059" i="2"/>
  <c r="B1114" i="2"/>
  <c r="B630" i="2"/>
  <c r="D663" i="2"/>
  <c r="D1147" i="2"/>
  <c r="B1202" i="2"/>
  <c r="D1235" i="2"/>
  <c r="B1290" i="2"/>
  <c r="B894" i="2"/>
  <c r="D839" i="2"/>
  <c r="D1323" i="2"/>
  <c r="B982" i="2"/>
  <c r="D927" i="2"/>
  <c r="B1158" i="2"/>
  <c r="B1070" i="2"/>
  <c r="D1015" i="2"/>
  <c r="D1103" i="2"/>
  <c r="D619" i="2"/>
  <c r="D707" i="2"/>
  <c r="B674" i="2"/>
  <c r="B762" i="2"/>
  <c r="D1191" i="2"/>
  <c r="D795" i="2"/>
  <c r="B1246" i="2"/>
  <c r="D793" i="2"/>
  <c r="D1277" i="2"/>
  <c r="D881" i="2"/>
  <c r="D749" i="2"/>
  <c r="D969" i="2"/>
  <c r="D661" i="2"/>
  <c r="D1057" i="2"/>
  <c r="D1145" i="2"/>
  <c r="D1233" i="2"/>
  <c r="D837" i="2"/>
  <c r="D1321" i="2"/>
  <c r="D925" i="2"/>
  <c r="D1013" i="2"/>
  <c r="D1101" i="2"/>
  <c r="D617" i="2"/>
  <c r="D1189" i="2"/>
  <c r="D705" i="2"/>
  <c r="N1279" i="2"/>
  <c r="N883" i="2"/>
  <c r="N663" i="2"/>
  <c r="N971" i="2"/>
  <c r="N1147" i="2"/>
  <c r="N619" i="2"/>
  <c r="N1059" i="2"/>
  <c r="N751" i="2"/>
  <c r="N1103" i="2"/>
  <c r="N707" i="2"/>
  <c r="N1235" i="2"/>
  <c r="N839" i="2"/>
  <c r="N1323" i="2"/>
  <c r="N927" i="2"/>
  <c r="N1015" i="2"/>
  <c r="N1191" i="2"/>
  <c r="N795" i="2"/>
  <c r="B234" i="2"/>
  <c r="B235" i="2" s="1"/>
  <c r="D355" i="2"/>
  <c r="B410" i="2"/>
  <c r="D223" i="2"/>
  <c r="B366" i="2"/>
  <c r="B454" i="2"/>
  <c r="B278" i="2"/>
  <c r="D575" i="2"/>
  <c r="B542" i="2"/>
  <c r="B322" i="2"/>
  <c r="D399" i="2"/>
  <c r="D267" i="2"/>
  <c r="D487" i="2"/>
  <c r="D531" i="2"/>
  <c r="D311" i="2"/>
  <c r="D443" i="2"/>
  <c r="B586" i="2"/>
  <c r="B498" i="2"/>
  <c r="F566" i="2"/>
  <c r="F610" i="2"/>
  <c r="D529" i="2"/>
  <c r="D353" i="2"/>
  <c r="D221" i="2"/>
  <c r="D441" i="2"/>
  <c r="D265" i="2"/>
  <c r="D573" i="2"/>
  <c r="D397" i="2"/>
  <c r="D485" i="2"/>
  <c r="D309" i="2"/>
  <c r="D354" i="2"/>
  <c r="D222" i="2"/>
  <c r="D266" i="2"/>
  <c r="D574" i="2"/>
  <c r="D398" i="2"/>
  <c r="D486" i="2"/>
  <c r="D310" i="2"/>
  <c r="D442" i="2"/>
  <c r="D530" i="2"/>
  <c r="D135" i="2"/>
  <c r="B102" i="2"/>
  <c r="B58" i="2"/>
  <c r="B59" i="2" s="1"/>
  <c r="D179" i="2"/>
  <c r="B14" i="2"/>
  <c r="B17" i="2" s="1"/>
  <c r="B190" i="2"/>
  <c r="B191" i="2" s="1"/>
  <c r="B146" i="2"/>
  <c r="B147" i="2" s="1"/>
  <c r="D133" i="2"/>
  <c r="D177" i="2"/>
  <c r="D178" i="2"/>
  <c r="D134" i="2"/>
  <c r="D46" i="2"/>
  <c r="D90" i="2"/>
  <c r="D89" i="2"/>
  <c r="D45" i="2"/>
  <c r="D47" i="2"/>
  <c r="D91" i="2"/>
  <c r="F38" i="20" l="1"/>
  <c r="H14" i="13"/>
  <c r="B26" i="13"/>
  <c r="G237" i="4"/>
  <c r="H237" i="4" s="1"/>
  <c r="G236" i="4"/>
  <c r="H236" i="4" s="1"/>
  <c r="F233" i="4"/>
  <c r="G235" i="4"/>
  <c r="H235" i="4" s="1"/>
  <c r="G234" i="4"/>
  <c r="H234" i="4" s="1"/>
  <c r="F243" i="4" s="1"/>
  <c r="K233" i="4"/>
  <c r="G280" i="4"/>
  <c r="H280" i="4" s="1"/>
  <c r="G278" i="4"/>
  <c r="H278" i="4" s="1"/>
  <c r="F287" i="4" s="1"/>
  <c r="G279" i="4"/>
  <c r="H279" i="4" s="1"/>
  <c r="F277" i="4"/>
  <c r="K277" i="4"/>
  <c r="G281" i="4"/>
  <c r="H281" i="4" s="1"/>
  <c r="G103" i="4"/>
  <c r="H103" i="4" s="1"/>
  <c r="G102" i="4"/>
  <c r="H102" i="4" s="1"/>
  <c r="F111" i="4" s="1"/>
  <c r="F101" i="4"/>
  <c r="G104" i="4"/>
  <c r="H104" i="4" s="1"/>
  <c r="K101" i="4"/>
  <c r="G105" i="4"/>
  <c r="H105" i="4" s="1"/>
  <c r="G323" i="4"/>
  <c r="H323" i="4" s="1"/>
  <c r="K321" i="4"/>
  <c r="F321" i="4"/>
  <c r="G325" i="4"/>
  <c r="H325" i="4" s="1"/>
  <c r="G324" i="4"/>
  <c r="H324" i="4" s="1"/>
  <c r="G322" i="4"/>
  <c r="H322" i="4" s="1"/>
  <c r="F331" i="4" s="1"/>
  <c r="K189" i="4"/>
  <c r="F189" i="4"/>
  <c r="G190" i="4"/>
  <c r="H190" i="4" s="1"/>
  <c r="F199" i="4" s="1"/>
  <c r="G193" i="4"/>
  <c r="H193" i="4" s="1"/>
  <c r="G192" i="4"/>
  <c r="H192" i="4" s="1"/>
  <c r="G191" i="4"/>
  <c r="H191" i="4" s="1"/>
  <c r="F67" i="2"/>
  <c r="F67" i="1"/>
  <c r="G147" i="4"/>
  <c r="H147" i="4" s="1"/>
  <c r="K145" i="4"/>
  <c r="G149" i="4"/>
  <c r="H149" i="4" s="1"/>
  <c r="G146" i="4"/>
  <c r="H146" i="4" s="1"/>
  <c r="F155" i="4" s="1"/>
  <c r="G148" i="4"/>
  <c r="H148" i="4" s="1"/>
  <c r="F145" i="4"/>
  <c r="H14" i="4"/>
  <c r="F23" i="4" s="1"/>
  <c r="K277" i="2"/>
  <c r="F585" i="2"/>
  <c r="G192" i="13"/>
  <c r="H192" i="13" s="1"/>
  <c r="G190" i="13"/>
  <c r="H190" i="13" s="1"/>
  <c r="F199" i="13" s="1"/>
  <c r="G191" i="13"/>
  <c r="H191" i="13" s="1"/>
  <c r="G193" i="13"/>
  <c r="H193" i="13" s="1"/>
  <c r="G938" i="2"/>
  <c r="H938" i="2" s="1"/>
  <c r="F947" i="2" s="1"/>
  <c r="G940" i="2"/>
  <c r="H940" i="2" s="1"/>
  <c r="G941" i="2"/>
  <c r="H941" i="2" s="1"/>
  <c r="G939" i="2"/>
  <c r="H939" i="2" s="1"/>
  <c r="G105" i="20"/>
  <c r="H105" i="20" s="1"/>
  <c r="G104" i="20"/>
  <c r="H104" i="20" s="1"/>
  <c r="G103" i="20"/>
  <c r="H103" i="20" s="1"/>
  <c r="G102" i="20"/>
  <c r="H102" i="20" s="1"/>
  <c r="F111" i="20" s="1"/>
  <c r="G1468" i="2"/>
  <c r="H1468" i="2" s="1"/>
  <c r="G1466" i="2"/>
  <c r="H1466" i="2" s="1"/>
  <c r="F1475" i="2" s="1"/>
  <c r="G1469" i="2"/>
  <c r="H1469" i="2" s="1"/>
  <c r="G1467" i="2"/>
  <c r="H1467" i="2" s="1"/>
  <c r="G894" i="2"/>
  <c r="H894" i="2" s="1"/>
  <c r="F903" i="2" s="1"/>
  <c r="G895" i="2"/>
  <c r="H895" i="2" s="1"/>
  <c r="G897" i="2"/>
  <c r="H897" i="2" s="1"/>
  <c r="G896" i="2"/>
  <c r="H896" i="2" s="1"/>
  <c r="G633" i="2"/>
  <c r="H633" i="2" s="1"/>
  <c r="G630" i="2"/>
  <c r="H630" i="2" s="1"/>
  <c r="F639" i="2" s="1"/>
  <c r="G632" i="2"/>
  <c r="H632" i="2" s="1"/>
  <c r="G631" i="2"/>
  <c r="H631" i="2" s="1"/>
  <c r="G1337" i="2"/>
  <c r="H1337" i="2" s="1"/>
  <c r="G1334" i="2"/>
  <c r="H1334" i="2" s="1"/>
  <c r="F1343" i="2" s="1"/>
  <c r="G1336" i="2"/>
  <c r="H1336" i="2" s="1"/>
  <c r="G1335" i="2"/>
  <c r="H1335" i="2" s="1"/>
  <c r="G720" i="2"/>
  <c r="H720" i="2" s="1"/>
  <c r="G721" i="2"/>
  <c r="H721" i="2" s="1"/>
  <c r="G719" i="2"/>
  <c r="H719" i="2" s="1"/>
  <c r="G718" i="2"/>
  <c r="H718" i="2" s="1"/>
  <c r="F727" i="2" s="1"/>
  <c r="G58" i="13"/>
  <c r="H58" i="13" s="1"/>
  <c r="F67" i="13" s="1"/>
  <c r="G59" i="13"/>
  <c r="H59" i="13" s="1"/>
  <c r="G61" i="13"/>
  <c r="H61" i="13" s="1"/>
  <c r="G60" i="13"/>
  <c r="H60" i="13" s="1"/>
  <c r="F497" i="2"/>
  <c r="G501" i="2"/>
  <c r="H501" i="2" s="1"/>
  <c r="G500" i="2"/>
  <c r="H500" i="2" s="1"/>
  <c r="G499" i="2"/>
  <c r="H499" i="2" s="1"/>
  <c r="G498" i="2"/>
  <c r="H498" i="2" s="1"/>
  <c r="F507" i="2" s="1"/>
  <c r="G675" i="2"/>
  <c r="H675" i="2" s="1"/>
  <c r="G676" i="2"/>
  <c r="H676" i="2" s="1"/>
  <c r="G674" i="2"/>
  <c r="H674" i="2" s="1"/>
  <c r="F683" i="2" s="1"/>
  <c r="G677" i="2"/>
  <c r="H677" i="2" s="1"/>
  <c r="G281" i="2"/>
  <c r="H281" i="2" s="1"/>
  <c r="G280" i="2"/>
  <c r="H280" i="2" s="1"/>
  <c r="G279" i="2"/>
  <c r="H279" i="2" s="1"/>
  <c r="G278" i="2"/>
  <c r="H278" i="2" s="1"/>
  <c r="F287" i="2" s="1"/>
  <c r="G1425" i="2"/>
  <c r="H1425" i="2" s="1"/>
  <c r="G1424" i="2"/>
  <c r="H1424" i="2" s="1"/>
  <c r="G1422" i="2"/>
  <c r="H1422" i="2" s="1"/>
  <c r="F1431" i="2" s="1"/>
  <c r="G1423" i="2"/>
  <c r="H1423" i="2" s="1"/>
  <c r="G1381" i="2"/>
  <c r="H1381" i="2" s="1"/>
  <c r="G1379" i="2"/>
  <c r="H1379" i="2" s="1"/>
  <c r="G1378" i="2"/>
  <c r="H1378" i="2" s="1"/>
  <c r="F1387" i="2" s="1"/>
  <c r="G1380" i="2"/>
  <c r="H1380" i="2" s="1"/>
  <c r="G1072" i="2"/>
  <c r="H1072" i="2" s="1"/>
  <c r="G1071" i="2"/>
  <c r="H1071" i="2" s="1"/>
  <c r="G1070" i="2"/>
  <c r="H1070" i="2" s="1"/>
  <c r="F1079" i="2" s="1"/>
  <c r="G1073" i="2"/>
  <c r="H1073" i="2" s="1"/>
  <c r="G764" i="2"/>
  <c r="H764" i="2" s="1"/>
  <c r="G762" i="2"/>
  <c r="H762" i="2" s="1"/>
  <c r="F771" i="2" s="1"/>
  <c r="G765" i="2"/>
  <c r="H765" i="2" s="1"/>
  <c r="G763" i="2"/>
  <c r="H763" i="2" s="1"/>
  <c r="G149" i="2"/>
  <c r="H149" i="2" s="1"/>
  <c r="G148" i="2"/>
  <c r="H148" i="2" s="1"/>
  <c r="G147" i="2"/>
  <c r="H147" i="2" s="1"/>
  <c r="G146" i="2"/>
  <c r="H146" i="2" s="1"/>
  <c r="G1292" i="2"/>
  <c r="H1292" i="2" s="1"/>
  <c r="G1293" i="2"/>
  <c r="H1293" i="2" s="1"/>
  <c r="G1290" i="2"/>
  <c r="H1290" i="2" s="1"/>
  <c r="F1299" i="2" s="1"/>
  <c r="G1291" i="2"/>
  <c r="H1291" i="2" s="1"/>
  <c r="G105" i="2"/>
  <c r="G104" i="2"/>
  <c r="G103" i="2"/>
  <c r="G1114" i="2"/>
  <c r="H1114" i="2" s="1"/>
  <c r="F1123" i="2" s="1"/>
  <c r="G1117" i="2"/>
  <c r="H1117" i="2" s="1"/>
  <c r="G1116" i="2"/>
  <c r="H1116" i="2" s="1"/>
  <c r="G1115" i="2"/>
  <c r="H1115" i="2" s="1"/>
  <c r="G1158" i="2"/>
  <c r="H1158" i="2" s="1"/>
  <c r="F1167" i="2" s="1"/>
  <c r="G1161" i="2"/>
  <c r="H1161" i="2" s="1"/>
  <c r="G1160" i="2"/>
  <c r="H1160" i="2" s="1"/>
  <c r="G1159" i="2"/>
  <c r="H1159" i="2" s="1"/>
  <c r="K365" i="2"/>
  <c r="G368" i="2"/>
  <c r="H368" i="2" s="1"/>
  <c r="G366" i="2"/>
  <c r="H366" i="2" s="1"/>
  <c r="F375" i="2" s="1"/>
  <c r="G369" i="2"/>
  <c r="H369" i="2" s="1"/>
  <c r="G367" i="2"/>
  <c r="H367" i="2" s="1"/>
  <c r="G58" i="20"/>
  <c r="H58" i="20" s="1"/>
  <c r="F67" i="20" s="1"/>
  <c r="G61" i="20"/>
  <c r="H61" i="20" s="1"/>
  <c r="G60" i="20"/>
  <c r="H60" i="20" s="1"/>
  <c r="G59" i="20"/>
  <c r="H59" i="20" s="1"/>
  <c r="F57" i="2"/>
  <c r="G58" i="2"/>
  <c r="G60" i="2"/>
  <c r="G61" i="2"/>
  <c r="G59" i="2"/>
  <c r="G237" i="2"/>
  <c r="H237" i="2" s="1"/>
  <c r="G236" i="2"/>
  <c r="H236" i="2" s="1"/>
  <c r="G234" i="2"/>
  <c r="G235" i="2"/>
  <c r="H235" i="2" s="1"/>
  <c r="G853" i="2"/>
  <c r="H853" i="2" s="1"/>
  <c r="G852" i="2"/>
  <c r="H852" i="2" s="1"/>
  <c r="G851" i="2"/>
  <c r="H851" i="2" s="1"/>
  <c r="G850" i="2"/>
  <c r="H850" i="2" s="1"/>
  <c r="F859" i="2" s="1"/>
  <c r="G984" i="2"/>
  <c r="H984" i="2" s="1"/>
  <c r="G982" i="2"/>
  <c r="H982" i="2" s="1"/>
  <c r="F991" i="2" s="1"/>
  <c r="G985" i="2"/>
  <c r="H985" i="2" s="1"/>
  <c r="G983" i="2"/>
  <c r="H983" i="2" s="1"/>
  <c r="G102" i="13"/>
  <c r="H102" i="13" s="1"/>
  <c r="F111" i="13" s="1"/>
  <c r="G105" i="13"/>
  <c r="H105" i="13" s="1"/>
  <c r="G104" i="13"/>
  <c r="H104" i="13" s="1"/>
  <c r="G103" i="13"/>
  <c r="H103" i="13" s="1"/>
  <c r="G589" i="2"/>
  <c r="H589" i="2" s="1"/>
  <c r="G588" i="2"/>
  <c r="H588" i="2" s="1"/>
  <c r="G586" i="2"/>
  <c r="H586" i="2" s="1"/>
  <c r="F595" i="2" s="1"/>
  <c r="G587" i="2"/>
  <c r="H587" i="2" s="1"/>
  <c r="G1028" i="2"/>
  <c r="H1028" i="2" s="1"/>
  <c r="G1027" i="2"/>
  <c r="H1027" i="2" s="1"/>
  <c r="G1029" i="2"/>
  <c r="H1029" i="2" s="1"/>
  <c r="G1026" i="2"/>
  <c r="H1026" i="2" s="1"/>
  <c r="F1035" i="2" s="1"/>
  <c r="G1246" i="2"/>
  <c r="H1246" i="2" s="1"/>
  <c r="F1255" i="2" s="1"/>
  <c r="G1249" i="2"/>
  <c r="H1249" i="2" s="1"/>
  <c r="G1248" i="2"/>
  <c r="H1248" i="2" s="1"/>
  <c r="G1247" i="2"/>
  <c r="H1247" i="2" s="1"/>
  <c r="G190" i="2"/>
  <c r="H190" i="2" s="1"/>
  <c r="F199" i="2" s="1"/>
  <c r="G193" i="2"/>
  <c r="H193" i="2" s="1"/>
  <c r="G192" i="2"/>
  <c r="H192" i="2" s="1"/>
  <c r="G191" i="2"/>
  <c r="H191" i="2" s="1"/>
  <c r="G806" i="2"/>
  <c r="H806" i="2" s="1"/>
  <c r="F815" i="2" s="1"/>
  <c r="G809" i="2"/>
  <c r="H809" i="2" s="1"/>
  <c r="G808" i="2"/>
  <c r="H808" i="2" s="1"/>
  <c r="G807" i="2"/>
  <c r="H807" i="2" s="1"/>
  <c r="G148" i="13"/>
  <c r="H148" i="13" s="1"/>
  <c r="G149" i="13"/>
  <c r="H149" i="13" s="1"/>
  <c r="G146" i="13"/>
  <c r="H146" i="13" s="1"/>
  <c r="F155" i="13" s="1"/>
  <c r="G147" i="13"/>
  <c r="H147" i="13" s="1"/>
  <c r="G412" i="2"/>
  <c r="H412" i="2" s="1"/>
  <c r="G413" i="2"/>
  <c r="H413" i="2" s="1"/>
  <c r="G410" i="2"/>
  <c r="H410" i="2" s="1"/>
  <c r="F419" i="2" s="1"/>
  <c r="G411" i="2"/>
  <c r="H411" i="2" s="1"/>
  <c r="G323" i="2"/>
  <c r="H323" i="2" s="1"/>
  <c r="G325" i="2"/>
  <c r="H325" i="2" s="1"/>
  <c r="G324" i="2"/>
  <c r="H324" i="2" s="1"/>
  <c r="G322" i="2"/>
  <c r="H322" i="2" s="1"/>
  <c r="F331" i="2" s="1"/>
  <c r="G1513" i="2"/>
  <c r="H1513" i="2" s="1"/>
  <c r="G1510" i="2"/>
  <c r="H1510" i="2" s="1"/>
  <c r="F1519" i="2" s="1"/>
  <c r="G1512" i="2"/>
  <c r="H1512" i="2" s="1"/>
  <c r="G1511" i="2"/>
  <c r="H1511" i="2" s="1"/>
  <c r="G454" i="2"/>
  <c r="H454" i="2" s="1"/>
  <c r="F463" i="2" s="1"/>
  <c r="G457" i="2"/>
  <c r="H457" i="2" s="1"/>
  <c r="G456" i="2"/>
  <c r="H456" i="2" s="1"/>
  <c r="G455" i="2"/>
  <c r="H455" i="2" s="1"/>
  <c r="G1205" i="2"/>
  <c r="H1205" i="2" s="1"/>
  <c r="G1204" i="2"/>
  <c r="H1204" i="2" s="1"/>
  <c r="G1203" i="2"/>
  <c r="H1203" i="2" s="1"/>
  <c r="G1202" i="2"/>
  <c r="H1202" i="2" s="1"/>
  <c r="F1211" i="2" s="1"/>
  <c r="G146" i="20"/>
  <c r="H146" i="20" s="1"/>
  <c r="F155" i="20" s="1"/>
  <c r="G147" i="20"/>
  <c r="H147" i="20" s="1"/>
  <c r="G149" i="20"/>
  <c r="H149" i="20" s="1"/>
  <c r="G148" i="20"/>
  <c r="H148" i="20" s="1"/>
  <c r="G235" i="13"/>
  <c r="H235" i="13" s="1"/>
  <c r="G234" i="13"/>
  <c r="G237" i="13"/>
  <c r="H237" i="13" s="1"/>
  <c r="G236" i="13"/>
  <c r="H236" i="13" s="1"/>
  <c r="F541" i="2"/>
  <c r="G542" i="2"/>
  <c r="H542" i="2" s="1"/>
  <c r="F551" i="2" s="1"/>
  <c r="G543" i="2"/>
  <c r="H543" i="2" s="1"/>
  <c r="G545" i="2"/>
  <c r="H545" i="2" s="1"/>
  <c r="G544" i="2"/>
  <c r="H544" i="2" s="1"/>
  <c r="K101" i="2"/>
  <c r="F365" i="2"/>
  <c r="K57" i="2"/>
  <c r="F321" i="2"/>
  <c r="K233" i="2"/>
  <c r="K541" i="2"/>
  <c r="K321" i="2"/>
  <c r="F522" i="2"/>
  <c r="F82" i="20"/>
  <c r="F126" i="20"/>
  <c r="F390" i="2"/>
  <c r="F434" i="2"/>
  <c r="F346" i="2"/>
  <c r="F1270" i="2"/>
  <c r="F786" i="2"/>
  <c r="F1094" i="2"/>
  <c r="F654" i="2"/>
  <c r="F346" i="4"/>
  <c r="F1138" i="2"/>
  <c r="F1182" i="2"/>
  <c r="F742" i="2"/>
  <c r="F1006" i="2"/>
  <c r="F1446" i="2"/>
  <c r="F258" i="2"/>
  <c r="F698" i="2"/>
  <c r="F1534" i="2"/>
  <c r="F918" i="2"/>
  <c r="F1402" i="2"/>
  <c r="F1314" i="2"/>
  <c r="F1490" i="2"/>
  <c r="F1226" i="2"/>
  <c r="F214" i="4"/>
  <c r="F214" i="2"/>
  <c r="F170" i="2"/>
  <c r="F233" i="2"/>
  <c r="F962" i="2"/>
  <c r="F874" i="2"/>
  <c r="F258" i="4"/>
  <c r="F830" i="2"/>
  <c r="F1050" i="2"/>
  <c r="F1358" i="2"/>
  <c r="F101" i="2"/>
  <c r="F302" i="4"/>
  <c r="F126" i="4"/>
  <c r="F189" i="2"/>
  <c r="K189" i="2"/>
  <c r="K497" i="2"/>
  <c r="K145" i="2"/>
  <c r="F145" i="2"/>
  <c r="F1421" i="2"/>
  <c r="K1421" i="2"/>
  <c r="K1509" i="2"/>
  <c r="F1509" i="2"/>
  <c r="K1377" i="2"/>
  <c r="F1377" i="2"/>
  <c r="K1465" i="2"/>
  <c r="F1465" i="2"/>
  <c r="K409" i="2"/>
  <c r="F453" i="2"/>
  <c r="F409" i="2"/>
  <c r="K453" i="2"/>
  <c r="K101" i="13"/>
  <c r="F101" i="13"/>
  <c r="K145" i="13"/>
  <c r="F145" i="13"/>
  <c r="K233" i="13"/>
  <c r="F233" i="13"/>
  <c r="F258" i="13"/>
  <c r="F189" i="13"/>
  <c r="K189" i="13"/>
  <c r="F214" i="13"/>
  <c r="K145" i="20"/>
  <c r="F145" i="20"/>
  <c r="F57" i="20"/>
  <c r="K57" i="20"/>
  <c r="F101" i="20"/>
  <c r="K101" i="20"/>
  <c r="F57" i="13"/>
  <c r="K57" i="13"/>
  <c r="K1025" i="2"/>
  <c r="F1025" i="2"/>
  <c r="F937" i="2"/>
  <c r="K937" i="2"/>
  <c r="F717" i="2"/>
  <c r="K717" i="2"/>
  <c r="F761" i="2"/>
  <c r="K761" i="2"/>
  <c r="K1069" i="2"/>
  <c r="F1069" i="2"/>
  <c r="K629" i="2"/>
  <c r="F629" i="2"/>
  <c r="K1157" i="2"/>
  <c r="F1157" i="2"/>
  <c r="K981" i="2"/>
  <c r="F981" i="2"/>
  <c r="F673" i="2"/>
  <c r="K673" i="2"/>
  <c r="K1201" i="2"/>
  <c r="F1201" i="2"/>
  <c r="F893" i="2"/>
  <c r="K893" i="2"/>
  <c r="F1245" i="2"/>
  <c r="K1245" i="2"/>
  <c r="K1289" i="2"/>
  <c r="F1289" i="2"/>
  <c r="F805" i="2"/>
  <c r="K805" i="2"/>
  <c r="K1333" i="2"/>
  <c r="F1333" i="2"/>
  <c r="K1113" i="2"/>
  <c r="F1113" i="2"/>
  <c r="K849" i="2"/>
  <c r="F849" i="2"/>
  <c r="B27" i="13" l="1"/>
  <c r="E26" i="13"/>
  <c r="D26" i="13"/>
  <c r="F23" i="13"/>
  <c r="F26" i="13"/>
  <c r="F27" i="13" s="1"/>
  <c r="F28" i="13" s="1"/>
  <c r="F29" i="13" s="1"/>
  <c r="F30" i="13" s="1"/>
  <c r="F31" i="13" s="1"/>
  <c r="F32" i="13" s="1"/>
  <c r="F33" i="13" s="1"/>
  <c r="F34" i="13" s="1"/>
  <c r="F35" i="13" s="1"/>
  <c r="F36" i="13" s="1"/>
  <c r="F37" i="13" s="1"/>
  <c r="F126" i="13"/>
  <c r="H234" i="2"/>
  <c r="F243" i="2" s="1"/>
  <c r="F155" i="2"/>
  <c r="H234" i="13"/>
  <c r="F243" i="13" s="1"/>
  <c r="F170" i="20"/>
  <c r="F170" i="4"/>
  <c r="F478" i="2"/>
  <c r="F170" i="13"/>
  <c r="O37" i="19"/>
  <c r="E37" i="19"/>
  <c r="D37" i="19"/>
  <c r="C37" i="19"/>
  <c r="B37" i="19"/>
  <c r="F35" i="19"/>
  <c r="F34" i="19"/>
  <c r="F33" i="19"/>
  <c r="F32" i="19"/>
  <c r="F31" i="19"/>
  <c r="F30" i="19"/>
  <c r="F29" i="19"/>
  <c r="F28" i="19"/>
  <c r="F27" i="19"/>
  <c r="F26" i="19"/>
  <c r="F25" i="19"/>
  <c r="L81" i="36" l="1"/>
  <c r="L28" i="19"/>
  <c r="J28" i="19"/>
  <c r="G28" i="19"/>
  <c r="I28" i="19"/>
  <c r="K28" i="19"/>
  <c r="H28" i="19"/>
  <c r="L31" i="19"/>
  <c r="I31" i="19"/>
  <c r="J31" i="19"/>
  <c r="G31" i="19"/>
  <c r="M31" i="19" s="1"/>
  <c r="H31" i="19"/>
  <c r="K31" i="19"/>
  <c r="G34" i="19"/>
  <c r="I34" i="19"/>
  <c r="L34" i="19"/>
  <c r="K34" i="19"/>
  <c r="H34" i="19"/>
  <c r="J34" i="19"/>
  <c r="J33" i="19"/>
  <c r="I33" i="19"/>
  <c r="G33" i="19"/>
  <c r="L33" i="19"/>
  <c r="K33" i="19"/>
  <c r="H33" i="19"/>
  <c r="J29" i="19"/>
  <c r="L29" i="19"/>
  <c r="G29" i="19"/>
  <c r="I29" i="19"/>
  <c r="K29" i="19"/>
  <c r="H29" i="19"/>
  <c r="G26" i="19"/>
  <c r="J26" i="19"/>
  <c r="L26" i="19"/>
  <c r="I26" i="19"/>
  <c r="K26" i="19"/>
  <c r="H26" i="19"/>
  <c r="J32" i="19"/>
  <c r="I32" i="19"/>
  <c r="G32" i="19"/>
  <c r="M32" i="19" s="1"/>
  <c r="H32" i="19"/>
  <c r="L32" i="19"/>
  <c r="K32" i="19"/>
  <c r="J27" i="19"/>
  <c r="G27" i="19"/>
  <c r="L27" i="19"/>
  <c r="I27" i="19"/>
  <c r="H27" i="19"/>
  <c r="K27" i="19"/>
  <c r="G35" i="19"/>
  <c r="I35" i="19"/>
  <c r="L35" i="19"/>
  <c r="K35" i="19"/>
  <c r="H35" i="19"/>
  <c r="J35" i="19"/>
  <c r="H25" i="19"/>
  <c r="L25" i="19"/>
  <c r="J25" i="19"/>
  <c r="G25" i="19"/>
  <c r="M25" i="19" s="1"/>
  <c r="I25" i="19"/>
  <c r="K25" i="19"/>
  <c r="I30" i="19"/>
  <c r="J30" i="19"/>
  <c r="K30" i="19"/>
  <c r="G30" i="19"/>
  <c r="L30" i="19"/>
  <c r="H30" i="19"/>
  <c r="N26" i="13"/>
  <c r="D27" i="13"/>
  <c r="E27" i="13"/>
  <c r="N27" i="13" s="1"/>
  <c r="B28" i="13"/>
  <c r="N91" i="1"/>
  <c r="M34" i="19" l="1"/>
  <c r="N34" i="19" s="1"/>
  <c r="M33" i="19"/>
  <c r="M27" i="19"/>
  <c r="M30" i="19"/>
  <c r="M26" i="19"/>
  <c r="N26" i="19" s="1"/>
  <c r="M29" i="19"/>
  <c r="N29" i="19" s="1"/>
  <c r="M28" i="19"/>
  <c r="N28" i="19" s="1"/>
  <c r="M35" i="19"/>
  <c r="N35" i="19" s="1"/>
  <c r="D28" i="13"/>
  <c r="B29" i="13"/>
  <c r="E28" i="13"/>
  <c r="N28" i="13" s="1"/>
  <c r="G102" i="2"/>
  <c r="G102" i="1"/>
  <c r="H102" i="1" s="1"/>
  <c r="G103" i="1"/>
  <c r="H103" i="1" s="1"/>
  <c r="G104" i="1"/>
  <c r="H104" i="1" s="1"/>
  <c r="G105" i="1"/>
  <c r="H105" i="1" s="1"/>
  <c r="N27" i="19"/>
  <c r="N33" i="19"/>
  <c r="N31" i="19"/>
  <c r="N32" i="19"/>
  <c r="F36" i="19"/>
  <c r="F37" i="19" l="1"/>
  <c r="J81" i="36" s="1"/>
  <c r="G36" i="19"/>
  <c r="L36" i="19"/>
  <c r="I36" i="19"/>
  <c r="K36" i="19"/>
  <c r="H36" i="19"/>
  <c r="J36" i="19"/>
  <c r="B30" i="13"/>
  <c r="D29" i="13"/>
  <c r="E29" i="13"/>
  <c r="N29" i="13" s="1"/>
  <c r="F111" i="2"/>
  <c r="F111" i="1"/>
  <c r="N30" i="19"/>
  <c r="N25" i="19"/>
  <c r="M36" i="19" l="1"/>
  <c r="D30" i="13"/>
  <c r="B31" i="13"/>
  <c r="E30" i="13"/>
  <c r="N30" i="13" s="1"/>
  <c r="G37" i="19"/>
  <c r="K81" i="36" s="1"/>
  <c r="D31" i="13" l="1"/>
  <c r="B32" i="13"/>
  <c r="E31" i="13"/>
  <c r="N31" i="13" s="1"/>
  <c r="N36" i="19"/>
  <c r="M37" i="19"/>
  <c r="O81" i="36" s="1"/>
  <c r="N37" i="19" l="1"/>
  <c r="L11" i="19"/>
  <c r="B33" i="13"/>
  <c r="D32" i="13"/>
  <c r="E32" i="13"/>
  <c r="N32" i="13" s="1"/>
  <c r="D90" i="1"/>
  <c r="D89" i="1"/>
  <c r="D91" i="1"/>
  <c r="B26" i="14"/>
  <c r="O40" i="19" l="1"/>
  <c r="D33" i="13"/>
  <c r="B34" i="13"/>
  <c r="E33" i="13"/>
  <c r="N33" i="13" s="1"/>
  <c r="N38" i="15"/>
  <c r="D38" i="15"/>
  <c r="F82" i="13"/>
  <c r="E82" i="5"/>
  <c r="D82" i="5"/>
  <c r="B82" i="5"/>
  <c r="M81" i="36" l="1"/>
  <c r="Q81" i="36" s="1"/>
  <c r="O42" i="19"/>
  <c r="C79" i="5"/>
  <c r="F79" i="5" s="1"/>
  <c r="C71" i="5"/>
  <c r="F71" i="5" s="1"/>
  <c r="C76" i="5"/>
  <c r="F76" i="5" s="1"/>
  <c r="C81" i="5"/>
  <c r="F81" i="5" s="1"/>
  <c r="C73" i="5"/>
  <c r="F73" i="5" s="1"/>
  <c r="C78" i="5"/>
  <c r="F78" i="5" s="1"/>
  <c r="C70" i="5"/>
  <c r="C75" i="5"/>
  <c r="F75" i="5" s="1"/>
  <c r="C80" i="5"/>
  <c r="F80" i="5" s="1"/>
  <c r="C72" i="5"/>
  <c r="F72" i="5" s="1"/>
  <c r="C77" i="5"/>
  <c r="F77" i="5" s="1"/>
  <c r="C74" i="5"/>
  <c r="F74" i="5" s="1"/>
  <c r="D34" i="13"/>
  <c r="B35" i="13"/>
  <c r="E34" i="13"/>
  <c r="N34" i="13" s="1"/>
  <c r="P12" i="19" l="1"/>
  <c r="L12" i="19" s="1"/>
  <c r="G81" i="36" s="1"/>
  <c r="G85" i="36" s="1"/>
  <c r="G86" i="36" s="1"/>
  <c r="J76" i="5"/>
  <c r="K74" i="5"/>
  <c r="J74" i="5"/>
  <c r="I74" i="5"/>
  <c r="M71" i="5"/>
  <c r="L79" i="5"/>
  <c r="H74" i="5"/>
  <c r="L71" i="5"/>
  <c r="K79" i="5"/>
  <c r="G74" i="5"/>
  <c r="K71" i="5"/>
  <c r="J79" i="5"/>
  <c r="J71" i="5"/>
  <c r="I79" i="5"/>
  <c r="M76" i="5"/>
  <c r="I71" i="5"/>
  <c r="H79" i="5"/>
  <c r="L76" i="5"/>
  <c r="H71" i="5"/>
  <c r="G79" i="5"/>
  <c r="K76" i="5"/>
  <c r="G71" i="5"/>
  <c r="M81" i="5"/>
  <c r="G75" i="5"/>
  <c r="L78" i="5"/>
  <c r="K80" i="5"/>
  <c r="H81" i="5"/>
  <c r="K72" i="5"/>
  <c r="M70" i="5"/>
  <c r="L72" i="5"/>
  <c r="I73" i="5"/>
  <c r="H75" i="5"/>
  <c r="M78" i="5"/>
  <c r="I81" i="5"/>
  <c r="L80" i="5"/>
  <c r="J73" i="5"/>
  <c r="M72" i="5"/>
  <c r="J81" i="5"/>
  <c r="I75" i="5"/>
  <c r="K73" i="5"/>
  <c r="J80" i="5"/>
  <c r="M80" i="5"/>
  <c r="G76" i="5"/>
  <c r="F70" i="5"/>
  <c r="K81" i="5"/>
  <c r="M79" i="5"/>
  <c r="J75" i="5"/>
  <c r="L73" i="5"/>
  <c r="G77" i="5"/>
  <c r="G70" i="5"/>
  <c r="H76" i="5"/>
  <c r="K75" i="5"/>
  <c r="L81" i="5"/>
  <c r="L74" i="5"/>
  <c r="G78" i="5"/>
  <c r="M73" i="5"/>
  <c r="H77" i="5"/>
  <c r="H70" i="5"/>
  <c r="I76" i="5"/>
  <c r="M74" i="5"/>
  <c r="L75" i="5"/>
  <c r="I77" i="5"/>
  <c r="H78" i="5"/>
  <c r="J77" i="5"/>
  <c r="G72" i="5"/>
  <c r="I70" i="5"/>
  <c r="K77" i="5"/>
  <c r="M75" i="5"/>
  <c r="G80" i="5"/>
  <c r="I78" i="5"/>
  <c r="H72" i="5"/>
  <c r="J70" i="5"/>
  <c r="L77" i="5"/>
  <c r="J78" i="5"/>
  <c r="H80" i="5"/>
  <c r="K70" i="5"/>
  <c r="I72" i="5"/>
  <c r="G73" i="5"/>
  <c r="M77" i="5"/>
  <c r="K78" i="5"/>
  <c r="I80" i="5"/>
  <c r="G81" i="5"/>
  <c r="J72" i="5"/>
  <c r="L70" i="5"/>
  <c r="H73" i="5"/>
  <c r="D35" i="13"/>
  <c r="B36" i="13"/>
  <c r="E35" i="13"/>
  <c r="N35" i="13" s="1"/>
  <c r="L1287" i="2"/>
  <c r="P1288" i="2" s="1"/>
  <c r="L1155" i="2"/>
  <c r="P1156" i="2" s="1"/>
  <c r="L363" i="2"/>
  <c r="P364" i="2" s="1"/>
  <c r="L319" i="2"/>
  <c r="P320" i="2" s="1"/>
  <c r="L275" i="2"/>
  <c r="P276" i="2" s="1"/>
  <c r="L231" i="2"/>
  <c r="P232" i="2" s="1"/>
  <c r="C82" i="5"/>
  <c r="L11" i="20"/>
  <c r="P12" i="20" s="1"/>
  <c r="L539" i="2"/>
  <c r="P540" i="2" s="1"/>
  <c r="L583" i="2"/>
  <c r="P584" i="2" s="1"/>
  <c r="L495" i="2"/>
  <c r="P496" i="2" s="1"/>
  <c r="L451" i="2"/>
  <c r="P452" i="2" s="1"/>
  <c r="D36" i="13" l="1"/>
  <c r="B37" i="13"/>
  <c r="E36" i="13"/>
  <c r="N36" i="13" s="1"/>
  <c r="L143" i="20"/>
  <c r="P144" i="20" s="1"/>
  <c r="L99" i="20"/>
  <c r="P100" i="20" s="1"/>
  <c r="L55" i="20"/>
  <c r="P56" i="20" s="1"/>
  <c r="L1507" i="2"/>
  <c r="P1508" i="2" s="1"/>
  <c r="L1463" i="2"/>
  <c r="P1464" i="2" s="1"/>
  <c r="L1419" i="2"/>
  <c r="P1420" i="2" s="1"/>
  <c r="L1375" i="2"/>
  <c r="P1376" i="2" s="1"/>
  <c r="L1331" i="2"/>
  <c r="P1332" i="2" s="1"/>
  <c r="E1314" i="2"/>
  <c r="D1314" i="2"/>
  <c r="B1314" i="2"/>
  <c r="L1243" i="2"/>
  <c r="P1244" i="2" s="1"/>
  <c r="L1199" i="2"/>
  <c r="P1200" i="2" s="1"/>
  <c r="D1182" i="2"/>
  <c r="E1182" i="2"/>
  <c r="B1182" i="2"/>
  <c r="L1111" i="2"/>
  <c r="P1112" i="2" s="1"/>
  <c r="L1067" i="2"/>
  <c r="P1068" i="2" s="1"/>
  <c r="L1023" i="2"/>
  <c r="P1024" i="2" s="1"/>
  <c r="L979" i="2"/>
  <c r="P980" i="2" s="1"/>
  <c r="L935" i="2"/>
  <c r="P936" i="2" s="1"/>
  <c r="L891" i="2"/>
  <c r="P892" i="2" s="1"/>
  <c r="L847" i="2"/>
  <c r="P848" i="2" s="1"/>
  <c r="L803" i="2"/>
  <c r="P804" i="2" s="1"/>
  <c r="L759" i="2"/>
  <c r="P760" i="2" s="1"/>
  <c r="L715" i="2"/>
  <c r="P716" i="2" s="1"/>
  <c r="L671" i="2"/>
  <c r="P672" i="2" s="1"/>
  <c r="L627" i="2"/>
  <c r="P628" i="2" s="1"/>
  <c r="L407" i="2"/>
  <c r="P408" i="2" s="1"/>
  <c r="E390" i="2"/>
  <c r="D390" i="2"/>
  <c r="B390" i="2"/>
  <c r="D346" i="2"/>
  <c r="E346" i="2"/>
  <c r="B346" i="2"/>
  <c r="E302" i="2"/>
  <c r="D302" i="2"/>
  <c r="B302" i="2"/>
  <c r="D258" i="2"/>
  <c r="E258" i="2"/>
  <c r="B258" i="2"/>
  <c r="L187" i="2"/>
  <c r="P188" i="2" s="1"/>
  <c r="L143" i="2"/>
  <c r="P144" i="2" s="1"/>
  <c r="O79" i="5"/>
  <c r="O71" i="5"/>
  <c r="O72" i="5"/>
  <c r="O81" i="5"/>
  <c r="O73" i="5"/>
  <c r="O78" i="5"/>
  <c r="O75" i="5"/>
  <c r="G82" i="5"/>
  <c r="K78" i="36" s="1"/>
  <c r="O77" i="5"/>
  <c r="O76" i="5"/>
  <c r="O80" i="5"/>
  <c r="O74" i="5"/>
  <c r="O70" i="5"/>
  <c r="F82" i="5"/>
  <c r="D38" i="20"/>
  <c r="E38" i="20"/>
  <c r="B38" i="20"/>
  <c r="C26" i="20" s="1"/>
  <c r="H26" i="20" s="1"/>
  <c r="L99" i="13"/>
  <c r="P100" i="13" s="1"/>
  <c r="L100" i="13" s="1"/>
  <c r="G109" i="36" s="1"/>
  <c r="L143" i="13"/>
  <c r="P144" i="13" s="1"/>
  <c r="L55" i="13"/>
  <c r="P56" i="13" s="1"/>
  <c r="L231" i="13"/>
  <c r="P232" i="13" s="1"/>
  <c r="E478" i="2"/>
  <c r="D478" i="2"/>
  <c r="B478" i="2"/>
  <c r="E522" i="2"/>
  <c r="B522" i="2"/>
  <c r="E610" i="2"/>
  <c r="D610" i="2"/>
  <c r="B610" i="2"/>
  <c r="E566" i="2"/>
  <c r="B566" i="2"/>
  <c r="J78" i="36" l="1"/>
  <c r="P87" i="5"/>
  <c r="C31" i="20"/>
  <c r="O31" i="20" s="1"/>
  <c r="C37" i="20"/>
  <c r="O37" i="20" s="1"/>
  <c r="C30" i="20"/>
  <c r="O30" i="20" s="1"/>
  <c r="C36" i="20"/>
  <c r="O36" i="20" s="1"/>
  <c r="C29" i="20"/>
  <c r="O29" i="20" s="1"/>
  <c r="C35" i="20"/>
  <c r="O35" i="20" s="1"/>
  <c r="C28" i="20"/>
  <c r="O28" i="20" s="1"/>
  <c r="C34" i="20"/>
  <c r="O34" i="20" s="1"/>
  <c r="C27" i="20"/>
  <c r="O27" i="20" s="1"/>
  <c r="C33" i="20"/>
  <c r="O33" i="20" s="1"/>
  <c r="C32" i="20"/>
  <c r="O32" i="20" s="1"/>
  <c r="D37" i="13"/>
  <c r="E37" i="13"/>
  <c r="N37" i="13" s="1"/>
  <c r="L11" i="13"/>
  <c r="P12" i="13" s="1"/>
  <c r="L12" i="13" s="1"/>
  <c r="G107" i="36" s="1"/>
  <c r="G110" i="36" s="1"/>
  <c r="D38" i="13"/>
  <c r="C1307" i="2"/>
  <c r="O1307" i="2" s="1"/>
  <c r="C1313" i="2"/>
  <c r="O1313" i="2" s="1"/>
  <c r="C1302" i="2"/>
  <c r="C1308" i="2"/>
  <c r="O1308" i="2" s="1"/>
  <c r="C1306" i="2"/>
  <c r="O1306" i="2" s="1"/>
  <c r="C1312" i="2"/>
  <c r="O1312" i="2" s="1"/>
  <c r="C1305" i="2"/>
  <c r="O1305" i="2" s="1"/>
  <c r="C1311" i="2"/>
  <c r="O1311" i="2" s="1"/>
  <c r="C1304" i="2"/>
  <c r="O1304" i="2" s="1"/>
  <c r="C1310" i="2"/>
  <c r="O1310" i="2" s="1"/>
  <c r="C1303" i="2"/>
  <c r="C1309" i="2"/>
  <c r="O1309" i="2" s="1"/>
  <c r="C1175" i="2"/>
  <c r="O1175" i="2" s="1"/>
  <c r="C1181" i="2"/>
  <c r="O1181" i="2" s="1"/>
  <c r="C1174" i="2"/>
  <c r="O1174" i="2" s="1"/>
  <c r="C1180" i="2"/>
  <c r="O1180" i="2" s="1"/>
  <c r="C1173" i="2"/>
  <c r="O1173" i="2" s="1"/>
  <c r="C1179" i="2"/>
  <c r="O1179" i="2" s="1"/>
  <c r="C1172" i="2"/>
  <c r="O1172" i="2" s="1"/>
  <c r="C1178" i="2"/>
  <c r="O1178" i="2" s="1"/>
  <c r="C1171" i="2"/>
  <c r="O1171" i="2" s="1"/>
  <c r="C1177" i="2"/>
  <c r="O1177" i="2" s="1"/>
  <c r="C1170" i="2"/>
  <c r="C1176" i="2"/>
  <c r="C603" i="2"/>
  <c r="O603" i="2" s="1"/>
  <c r="C609" i="2"/>
  <c r="O609" i="2" s="1"/>
  <c r="C602" i="2"/>
  <c r="O602" i="2" s="1"/>
  <c r="C608" i="2"/>
  <c r="O608" i="2" s="1"/>
  <c r="C606" i="2"/>
  <c r="O606" i="2" s="1"/>
  <c r="C601" i="2"/>
  <c r="O601" i="2" s="1"/>
  <c r="C607" i="2"/>
  <c r="O607" i="2" s="1"/>
  <c r="C605" i="2"/>
  <c r="O605" i="2" s="1"/>
  <c r="C600" i="2"/>
  <c r="O600" i="2" s="1"/>
  <c r="C599" i="2"/>
  <c r="O599" i="2" s="1"/>
  <c r="C598" i="2"/>
  <c r="G598" i="2" s="1"/>
  <c r="C604" i="2"/>
  <c r="O604" i="2" s="1"/>
  <c r="C559" i="2"/>
  <c r="O559" i="2" s="1"/>
  <c r="C561" i="2"/>
  <c r="O561" i="2" s="1"/>
  <c r="C565" i="2"/>
  <c r="O565" i="2" s="1"/>
  <c r="C555" i="2"/>
  <c r="O555" i="2" s="1"/>
  <c r="C558" i="2"/>
  <c r="O558" i="2" s="1"/>
  <c r="C564" i="2"/>
  <c r="O564" i="2" s="1"/>
  <c r="C557" i="2"/>
  <c r="O557" i="2" s="1"/>
  <c r="C563" i="2"/>
  <c r="O563" i="2" s="1"/>
  <c r="C556" i="2"/>
  <c r="O556" i="2" s="1"/>
  <c r="C562" i="2"/>
  <c r="O562" i="2" s="1"/>
  <c r="C554" i="2"/>
  <c r="C560" i="2"/>
  <c r="C515" i="2"/>
  <c r="O515" i="2" s="1"/>
  <c r="C521" i="2"/>
  <c r="O521" i="2" s="1"/>
  <c r="C516" i="2"/>
  <c r="O516" i="2" s="1"/>
  <c r="C514" i="2"/>
  <c r="O514" i="2" s="1"/>
  <c r="C510" i="2"/>
  <c r="C520" i="2"/>
  <c r="O520" i="2" s="1"/>
  <c r="C513" i="2"/>
  <c r="O513" i="2" s="1"/>
  <c r="C519" i="2"/>
  <c r="O519" i="2" s="1"/>
  <c r="C512" i="2"/>
  <c r="O512" i="2" s="1"/>
  <c r="C518" i="2"/>
  <c r="O518" i="2" s="1"/>
  <c r="C517" i="2"/>
  <c r="O517" i="2" s="1"/>
  <c r="C511" i="2"/>
  <c r="C471" i="2"/>
  <c r="O471" i="2" s="1"/>
  <c r="C477" i="2"/>
  <c r="O477" i="2" s="1"/>
  <c r="C473" i="2"/>
  <c r="O473" i="2" s="1"/>
  <c r="C470" i="2"/>
  <c r="O470" i="2" s="1"/>
  <c r="C472" i="2"/>
  <c r="O472" i="2" s="1"/>
  <c r="C476" i="2"/>
  <c r="O476" i="2" s="1"/>
  <c r="C469" i="2"/>
  <c r="O469" i="2" s="1"/>
  <c r="C475" i="2"/>
  <c r="O475" i="2" s="1"/>
  <c r="C468" i="2"/>
  <c r="C474" i="2"/>
  <c r="C467" i="2"/>
  <c r="C466" i="2"/>
  <c r="C383" i="2"/>
  <c r="O383" i="2" s="1"/>
  <c r="C389" i="2"/>
  <c r="O389" i="2" s="1"/>
  <c r="C382" i="2"/>
  <c r="O382" i="2" s="1"/>
  <c r="C388" i="2"/>
  <c r="O388" i="2" s="1"/>
  <c r="C381" i="2"/>
  <c r="O381" i="2" s="1"/>
  <c r="C387" i="2"/>
  <c r="O387" i="2" s="1"/>
  <c r="C384" i="2"/>
  <c r="O384" i="2" s="1"/>
  <c r="C380" i="2"/>
  <c r="O380" i="2" s="1"/>
  <c r="C378" i="2"/>
  <c r="C385" i="2"/>
  <c r="O385" i="2" s="1"/>
  <c r="C386" i="2"/>
  <c r="O386" i="2" s="1"/>
  <c r="C379" i="2"/>
  <c r="O379" i="2" s="1"/>
  <c r="C339" i="2"/>
  <c r="O339" i="2" s="1"/>
  <c r="C345" i="2"/>
  <c r="O345" i="2" s="1"/>
  <c r="C338" i="2"/>
  <c r="O338" i="2" s="1"/>
  <c r="C344" i="2"/>
  <c r="O344" i="2" s="1"/>
  <c r="C334" i="2"/>
  <c r="C340" i="2"/>
  <c r="O340" i="2" s="1"/>
  <c r="C337" i="2"/>
  <c r="O337" i="2" s="1"/>
  <c r="C343" i="2"/>
  <c r="O343" i="2" s="1"/>
  <c r="C336" i="2"/>
  <c r="O336" i="2" s="1"/>
  <c r="C342" i="2"/>
  <c r="O342" i="2" s="1"/>
  <c r="C335" i="2"/>
  <c r="O335" i="2" s="1"/>
  <c r="C341" i="2"/>
  <c r="O341" i="2" s="1"/>
  <c r="C295" i="2"/>
  <c r="O295" i="2" s="1"/>
  <c r="C290" i="2"/>
  <c r="C301" i="2"/>
  <c r="O301" i="2" s="1"/>
  <c r="C294" i="2"/>
  <c r="O294" i="2" s="1"/>
  <c r="C300" i="2"/>
  <c r="O300" i="2" s="1"/>
  <c r="C293" i="2"/>
  <c r="O293" i="2" s="1"/>
  <c r="C291" i="2"/>
  <c r="O291" i="2" s="1"/>
  <c r="C299" i="2"/>
  <c r="O299" i="2" s="1"/>
  <c r="C298" i="2"/>
  <c r="O298" i="2" s="1"/>
  <c r="C297" i="2"/>
  <c r="O297" i="2" s="1"/>
  <c r="C292" i="2"/>
  <c r="O292" i="2" s="1"/>
  <c r="C296" i="2"/>
  <c r="C251" i="2"/>
  <c r="O251" i="2" s="1"/>
  <c r="C250" i="2"/>
  <c r="O250" i="2" s="1"/>
  <c r="C257" i="2"/>
  <c r="O257" i="2" s="1"/>
  <c r="C246" i="2"/>
  <c r="C256" i="2"/>
  <c r="O256" i="2" s="1"/>
  <c r="C247" i="2"/>
  <c r="O247" i="2" s="1"/>
  <c r="C252" i="2"/>
  <c r="O252" i="2" s="1"/>
  <c r="C249" i="2"/>
  <c r="O249" i="2" s="1"/>
  <c r="C253" i="2"/>
  <c r="O253" i="2" s="1"/>
  <c r="C255" i="2"/>
  <c r="O255" i="2" s="1"/>
  <c r="C248" i="2"/>
  <c r="C254" i="2"/>
  <c r="L100" i="4"/>
  <c r="G63" i="36" s="1"/>
  <c r="L99" i="4"/>
  <c r="P100" i="4" s="1"/>
  <c r="L232" i="4"/>
  <c r="G66" i="36" s="1"/>
  <c r="L231" i="4"/>
  <c r="P232" i="4" s="1"/>
  <c r="L276" i="4"/>
  <c r="G67" i="36" s="1"/>
  <c r="L275" i="4"/>
  <c r="P276" i="4" s="1"/>
  <c r="L320" i="4"/>
  <c r="G68" i="36" s="1"/>
  <c r="L319" i="4"/>
  <c r="P320" i="4" s="1"/>
  <c r="L144" i="4"/>
  <c r="G64" i="36" s="1"/>
  <c r="L143" i="4"/>
  <c r="P144" i="4" s="1"/>
  <c r="L188" i="4"/>
  <c r="G65" i="36" s="1"/>
  <c r="L187" i="4"/>
  <c r="P188" i="4" s="1"/>
  <c r="L187" i="13"/>
  <c r="P188" i="13" s="1"/>
  <c r="D170" i="13"/>
  <c r="L144" i="13"/>
  <c r="G114" i="36" s="1"/>
  <c r="G117" i="36" s="1"/>
  <c r="G118" i="36" s="1"/>
  <c r="D126" i="13"/>
  <c r="F85" i="5"/>
  <c r="P85" i="5" s="1"/>
  <c r="K88" i="5"/>
  <c r="E88" i="5"/>
  <c r="H84" i="5"/>
  <c r="F84" i="5"/>
  <c r="P84" i="5" s="1"/>
  <c r="H88" i="5"/>
  <c r="E170" i="20"/>
  <c r="D170" i="20"/>
  <c r="B170" i="20"/>
  <c r="E126" i="20"/>
  <c r="D126" i="20"/>
  <c r="B126" i="20"/>
  <c r="D82" i="20"/>
  <c r="E82" i="20"/>
  <c r="B82" i="20"/>
  <c r="E346" i="4"/>
  <c r="D346" i="4"/>
  <c r="B346" i="4"/>
  <c r="D302" i="4"/>
  <c r="E302" i="4"/>
  <c r="B302" i="4"/>
  <c r="D258" i="4"/>
  <c r="E258" i="4"/>
  <c r="B258" i="4"/>
  <c r="D214" i="4"/>
  <c r="E214" i="4"/>
  <c r="B214" i="4"/>
  <c r="D170" i="4"/>
  <c r="E170" i="4"/>
  <c r="B170" i="4"/>
  <c r="D126" i="4"/>
  <c r="E126" i="4"/>
  <c r="B126" i="4"/>
  <c r="D1534" i="2"/>
  <c r="E1534" i="2"/>
  <c r="B1534" i="2"/>
  <c r="C1525" i="2" s="1"/>
  <c r="O1525" i="2" s="1"/>
  <c r="E1490" i="2"/>
  <c r="D1490" i="2"/>
  <c r="B1490" i="2"/>
  <c r="D1446" i="2"/>
  <c r="E1446" i="2"/>
  <c r="B1446" i="2"/>
  <c r="D1402" i="2"/>
  <c r="E1402" i="2"/>
  <c r="B1402" i="2"/>
  <c r="D1358" i="2"/>
  <c r="E1358" i="2"/>
  <c r="B1358" i="2"/>
  <c r="D1270" i="2"/>
  <c r="E1270" i="2"/>
  <c r="B1270" i="2"/>
  <c r="D1226" i="2"/>
  <c r="E1226" i="2"/>
  <c r="B1226" i="2"/>
  <c r="G1179" i="2"/>
  <c r="G1178" i="2"/>
  <c r="G1171" i="2"/>
  <c r="G1173" i="2"/>
  <c r="E1138" i="2"/>
  <c r="D1138" i="2"/>
  <c r="B1138" i="2"/>
  <c r="D1094" i="2"/>
  <c r="E1094" i="2"/>
  <c r="B1094" i="2"/>
  <c r="E1050" i="2"/>
  <c r="D1050" i="2"/>
  <c r="B1050" i="2"/>
  <c r="E1006" i="2"/>
  <c r="D1006" i="2"/>
  <c r="B1006" i="2"/>
  <c r="D962" i="2"/>
  <c r="E962" i="2"/>
  <c r="B962" i="2"/>
  <c r="E918" i="2"/>
  <c r="D918" i="2"/>
  <c r="B918" i="2"/>
  <c r="E874" i="2"/>
  <c r="D874" i="2"/>
  <c r="B874" i="2"/>
  <c r="E830" i="2"/>
  <c r="D830" i="2"/>
  <c r="B830" i="2"/>
  <c r="E786" i="2"/>
  <c r="D786" i="2"/>
  <c r="B786" i="2"/>
  <c r="E742" i="2"/>
  <c r="D742" i="2"/>
  <c r="B742" i="2"/>
  <c r="E698" i="2"/>
  <c r="D698" i="2"/>
  <c r="B698" i="2"/>
  <c r="E654" i="2"/>
  <c r="D654" i="2"/>
  <c r="B654" i="2"/>
  <c r="E434" i="2"/>
  <c r="D434" i="2"/>
  <c r="B434" i="2"/>
  <c r="G379" i="2"/>
  <c r="G386" i="2"/>
  <c r="G385" i="2"/>
  <c r="G380" i="2"/>
  <c r="E214" i="2"/>
  <c r="D214" i="2"/>
  <c r="B214" i="2"/>
  <c r="D170" i="2"/>
  <c r="E170" i="2"/>
  <c r="B170" i="2"/>
  <c r="O82" i="5"/>
  <c r="E258" i="13"/>
  <c r="D258" i="13"/>
  <c r="B258" i="13"/>
  <c r="C250" i="13" s="1"/>
  <c r="O250" i="13" s="1"/>
  <c r="E126" i="13"/>
  <c r="B126" i="13"/>
  <c r="B170" i="13"/>
  <c r="E170" i="13"/>
  <c r="B82" i="13"/>
  <c r="D214" i="13"/>
  <c r="E214" i="13"/>
  <c r="B214" i="13"/>
  <c r="G603" i="2"/>
  <c r="G515" i="2"/>
  <c r="G516" i="2"/>
  <c r="D566" i="2"/>
  <c r="D522" i="2"/>
  <c r="G469" i="2" l="1"/>
  <c r="G475" i="2"/>
  <c r="G1307" i="2"/>
  <c r="G599" i="2"/>
  <c r="G1306" i="2"/>
  <c r="G1308" i="2"/>
  <c r="G384" i="2"/>
  <c r="G1174" i="2"/>
  <c r="G1305" i="2"/>
  <c r="G299" i="2"/>
  <c r="G555" i="2"/>
  <c r="G561" i="2"/>
  <c r="G1311" i="2"/>
  <c r="G292" i="2"/>
  <c r="G562" i="2"/>
  <c r="G383" i="2"/>
  <c r="G600" i="2"/>
  <c r="G381" i="2"/>
  <c r="G297" i="2"/>
  <c r="G1304" i="2"/>
  <c r="G382" i="2"/>
  <c r="G604" i="2"/>
  <c r="G558" i="2"/>
  <c r="G294" i="2"/>
  <c r="G291" i="2"/>
  <c r="G559" i="2"/>
  <c r="G1309" i="2"/>
  <c r="G387" i="2"/>
  <c r="G557" i="2"/>
  <c r="G298" i="2"/>
  <c r="G295" i="2"/>
  <c r="G563" i="2"/>
  <c r="G293" i="2"/>
  <c r="G556" i="2"/>
  <c r="G1310" i="2"/>
  <c r="G1175" i="2"/>
  <c r="M37" i="20"/>
  <c r="M33" i="20"/>
  <c r="M29" i="20"/>
  <c r="N26" i="20"/>
  <c r="O26" i="20"/>
  <c r="L34" i="20"/>
  <c r="K32" i="20"/>
  <c r="K28" i="20"/>
  <c r="J36" i="20"/>
  <c r="J32" i="20"/>
  <c r="J28" i="20"/>
  <c r="M34" i="20"/>
  <c r="L26" i="20"/>
  <c r="I36" i="20"/>
  <c r="I32" i="20"/>
  <c r="I28" i="20"/>
  <c r="K26" i="20"/>
  <c r="H36" i="20"/>
  <c r="H32" i="20"/>
  <c r="H28" i="20"/>
  <c r="N35" i="20"/>
  <c r="N31" i="20"/>
  <c r="N27" i="20"/>
  <c r="M35" i="20"/>
  <c r="M31" i="20"/>
  <c r="M27" i="20"/>
  <c r="M26" i="20"/>
  <c r="L30" i="20"/>
  <c r="L35" i="20"/>
  <c r="L31" i="20"/>
  <c r="L27" i="20"/>
  <c r="K30" i="20"/>
  <c r="K35" i="20"/>
  <c r="K31" i="20"/>
  <c r="K27" i="20"/>
  <c r="J35" i="20"/>
  <c r="J31" i="20"/>
  <c r="J27" i="20"/>
  <c r="M30" i="20"/>
  <c r="I35" i="20"/>
  <c r="I31" i="20"/>
  <c r="I27" i="20"/>
  <c r="N34" i="20"/>
  <c r="H35" i="20"/>
  <c r="H31" i="20"/>
  <c r="H27" i="20"/>
  <c r="N30" i="20"/>
  <c r="J34" i="20"/>
  <c r="J30" i="20"/>
  <c r="J26" i="20"/>
  <c r="I34" i="20"/>
  <c r="I30" i="20"/>
  <c r="I26" i="20"/>
  <c r="H34" i="20"/>
  <c r="H30" i="20"/>
  <c r="N37" i="20"/>
  <c r="N33" i="20"/>
  <c r="N29" i="20"/>
  <c r="K34" i="20"/>
  <c r="L33" i="20"/>
  <c r="L37" i="20"/>
  <c r="K36" i="20"/>
  <c r="L28" i="20"/>
  <c r="L32" i="20"/>
  <c r="L36" i="20"/>
  <c r="M28" i="20"/>
  <c r="J33" i="20"/>
  <c r="M32" i="20"/>
  <c r="J29" i="20"/>
  <c r="L29" i="20"/>
  <c r="M36" i="20"/>
  <c r="N28" i="20"/>
  <c r="N32" i="20"/>
  <c r="N36" i="20"/>
  <c r="H29" i="20"/>
  <c r="H33" i="20"/>
  <c r="H37" i="20"/>
  <c r="I29" i="20"/>
  <c r="I33" i="20"/>
  <c r="I37" i="20"/>
  <c r="J37" i="20"/>
  <c r="K29" i="20"/>
  <c r="K33" i="20"/>
  <c r="K37" i="20"/>
  <c r="C163" i="20"/>
  <c r="O163" i="20" s="1"/>
  <c r="C169" i="20"/>
  <c r="O169" i="20" s="1"/>
  <c r="C162" i="20"/>
  <c r="O162" i="20" s="1"/>
  <c r="C168" i="20"/>
  <c r="O168" i="20" s="1"/>
  <c r="C161" i="20"/>
  <c r="O161" i="20" s="1"/>
  <c r="C167" i="20"/>
  <c r="O167" i="20" s="1"/>
  <c r="C160" i="20"/>
  <c r="O160" i="20" s="1"/>
  <c r="C166" i="20"/>
  <c r="O166" i="20" s="1"/>
  <c r="C159" i="20"/>
  <c r="O159" i="20" s="1"/>
  <c r="C165" i="20"/>
  <c r="O165" i="20" s="1"/>
  <c r="C158" i="20"/>
  <c r="C164" i="20"/>
  <c r="O164" i="20" s="1"/>
  <c r="C119" i="20"/>
  <c r="O119" i="20" s="1"/>
  <c r="C125" i="20"/>
  <c r="O125" i="20" s="1"/>
  <c r="C118" i="20"/>
  <c r="O118" i="20" s="1"/>
  <c r="C124" i="20"/>
  <c r="O124" i="20" s="1"/>
  <c r="C114" i="20"/>
  <c r="C117" i="20"/>
  <c r="O117" i="20" s="1"/>
  <c r="C123" i="20"/>
  <c r="O123" i="20" s="1"/>
  <c r="C116" i="20"/>
  <c r="O116" i="20" s="1"/>
  <c r="C122" i="20"/>
  <c r="O122" i="20" s="1"/>
  <c r="C115" i="20"/>
  <c r="O115" i="20" s="1"/>
  <c r="C121" i="20"/>
  <c r="O121" i="20" s="1"/>
  <c r="C120" i="20"/>
  <c r="O120" i="20" s="1"/>
  <c r="C75" i="20"/>
  <c r="O75" i="20" s="1"/>
  <c r="C70" i="20"/>
  <c r="C81" i="20"/>
  <c r="O81" i="20" s="1"/>
  <c r="C74" i="20"/>
  <c r="O74" i="20" s="1"/>
  <c r="C80" i="20"/>
  <c r="O80" i="20" s="1"/>
  <c r="C73" i="20"/>
  <c r="O73" i="20" s="1"/>
  <c r="C79" i="20"/>
  <c r="O79" i="20" s="1"/>
  <c r="C72" i="20"/>
  <c r="O72" i="20" s="1"/>
  <c r="C78" i="20"/>
  <c r="O78" i="20" s="1"/>
  <c r="C71" i="20"/>
  <c r="O71" i="20" s="1"/>
  <c r="C77" i="20"/>
  <c r="O77" i="20" s="1"/>
  <c r="C76" i="20"/>
  <c r="O76" i="20" s="1"/>
  <c r="C251" i="13"/>
  <c r="O251" i="13" s="1"/>
  <c r="C257" i="13"/>
  <c r="O257" i="13" s="1"/>
  <c r="C246" i="13"/>
  <c r="C248" i="13"/>
  <c r="O248" i="13" s="1"/>
  <c r="C247" i="13"/>
  <c r="O247" i="13" s="1"/>
  <c r="C256" i="13"/>
  <c r="O256" i="13" s="1"/>
  <c r="C249" i="13"/>
  <c r="O249" i="13" s="1"/>
  <c r="C254" i="13"/>
  <c r="O254" i="13" s="1"/>
  <c r="C255" i="13"/>
  <c r="O255" i="13" s="1"/>
  <c r="C253" i="13"/>
  <c r="O253" i="13" s="1"/>
  <c r="C252" i="13"/>
  <c r="O252" i="13" s="1"/>
  <c r="C204" i="13"/>
  <c r="O204" i="13" s="1"/>
  <c r="C207" i="13"/>
  <c r="O207" i="13" s="1"/>
  <c r="C213" i="13"/>
  <c r="O213" i="13" s="1"/>
  <c r="C205" i="13"/>
  <c r="O205" i="13" s="1"/>
  <c r="C209" i="13"/>
  <c r="O209" i="13" s="1"/>
  <c r="C206" i="13"/>
  <c r="O206" i="13" s="1"/>
  <c r="C202" i="13"/>
  <c r="C208" i="13"/>
  <c r="O208" i="13" s="1"/>
  <c r="C212" i="13"/>
  <c r="O212" i="13" s="1"/>
  <c r="C203" i="13"/>
  <c r="O203" i="13" s="1"/>
  <c r="C211" i="13"/>
  <c r="O211" i="13" s="1"/>
  <c r="C210" i="13"/>
  <c r="O210" i="13" s="1"/>
  <c r="C163" i="13"/>
  <c r="O163" i="13" s="1"/>
  <c r="C159" i="13"/>
  <c r="O159" i="13" s="1"/>
  <c r="C169" i="13"/>
  <c r="O169" i="13" s="1"/>
  <c r="C165" i="13"/>
  <c r="O165" i="13" s="1"/>
  <c r="C162" i="13"/>
  <c r="O162" i="13" s="1"/>
  <c r="C168" i="13"/>
  <c r="O168" i="13" s="1"/>
  <c r="C167" i="13"/>
  <c r="O167" i="13" s="1"/>
  <c r="C160" i="13"/>
  <c r="O160" i="13" s="1"/>
  <c r="C164" i="13"/>
  <c r="O164" i="13" s="1"/>
  <c r="C161" i="13"/>
  <c r="O161" i="13" s="1"/>
  <c r="C166" i="13"/>
  <c r="O166" i="13" s="1"/>
  <c r="C158" i="13"/>
  <c r="C119" i="13"/>
  <c r="O119" i="13" s="1"/>
  <c r="C125" i="13"/>
  <c r="O125" i="13" s="1"/>
  <c r="C116" i="13"/>
  <c r="O116" i="13" s="1"/>
  <c r="C115" i="13"/>
  <c r="O115" i="13" s="1"/>
  <c r="C118" i="13"/>
  <c r="O118" i="13" s="1"/>
  <c r="C121" i="13"/>
  <c r="O121" i="13" s="1"/>
  <c r="C120" i="13"/>
  <c r="O120" i="13" s="1"/>
  <c r="C117" i="13"/>
  <c r="O117" i="13" s="1"/>
  <c r="C123" i="13"/>
  <c r="O123" i="13" s="1"/>
  <c r="C124" i="13"/>
  <c r="O124" i="13" s="1"/>
  <c r="C122" i="13"/>
  <c r="O122" i="13" s="1"/>
  <c r="C114" i="13"/>
  <c r="C75" i="13"/>
  <c r="O75" i="13" s="1"/>
  <c r="C81" i="13"/>
  <c r="O81" i="13" s="1"/>
  <c r="C72" i="13"/>
  <c r="O72" i="13" s="1"/>
  <c r="C77" i="13"/>
  <c r="O77" i="13" s="1"/>
  <c r="C74" i="13"/>
  <c r="O74" i="13" s="1"/>
  <c r="C76" i="13"/>
  <c r="O76" i="13" s="1"/>
  <c r="C80" i="13"/>
  <c r="O80" i="13" s="1"/>
  <c r="C70" i="13"/>
  <c r="C79" i="13"/>
  <c r="O79" i="13" s="1"/>
  <c r="C71" i="13"/>
  <c r="O71" i="13" s="1"/>
  <c r="C73" i="13"/>
  <c r="O73" i="13" s="1"/>
  <c r="C78" i="13"/>
  <c r="O78" i="13" s="1"/>
  <c r="G111" i="36"/>
  <c r="C10" i="39"/>
  <c r="I10" i="39" s="1"/>
  <c r="G606" i="2"/>
  <c r="C336" i="4"/>
  <c r="O336" i="4" s="1"/>
  <c r="C339" i="4"/>
  <c r="O339" i="4" s="1"/>
  <c r="C345" i="4"/>
  <c r="O345" i="4" s="1"/>
  <c r="C343" i="4"/>
  <c r="O343" i="4" s="1"/>
  <c r="C334" i="4"/>
  <c r="C338" i="4"/>
  <c r="O338" i="4" s="1"/>
  <c r="C342" i="4"/>
  <c r="O342" i="4" s="1"/>
  <c r="C340" i="4"/>
  <c r="O340" i="4" s="1"/>
  <c r="C344" i="4"/>
  <c r="O344" i="4" s="1"/>
  <c r="C337" i="4"/>
  <c r="O337" i="4" s="1"/>
  <c r="C335" i="4"/>
  <c r="O335" i="4" s="1"/>
  <c r="C341" i="4"/>
  <c r="O341" i="4" s="1"/>
  <c r="C295" i="4"/>
  <c r="O295" i="4" s="1"/>
  <c r="C301" i="4"/>
  <c r="O301" i="4" s="1"/>
  <c r="C292" i="4"/>
  <c r="O292" i="4" s="1"/>
  <c r="C298" i="4"/>
  <c r="O298" i="4" s="1"/>
  <c r="C297" i="4"/>
  <c r="O297" i="4" s="1"/>
  <c r="C294" i="4"/>
  <c r="O294" i="4" s="1"/>
  <c r="C293" i="4"/>
  <c r="O293" i="4" s="1"/>
  <c r="C291" i="4"/>
  <c r="O291" i="4" s="1"/>
  <c r="C299" i="4"/>
  <c r="O299" i="4" s="1"/>
  <c r="C300" i="4"/>
  <c r="O300" i="4" s="1"/>
  <c r="C296" i="4"/>
  <c r="O296" i="4" s="1"/>
  <c r="C290" i="4"/>
  <c r="C255" i="4"/>
  <c r="O255" i="4" s="1"/>
  <c r="C251" i="4"/>
  <c r="O251" i="4" s="1"/>
  <c r="C249" i="4"/>
  <c r="O249" i="4" s="1"/>
  <c r="C248" i="4"/>
  <c r="O248" i="4" s="1"/>
  <c r="C246" i="4"/>
  <c r="C257" i="4"/>
  <c r="O257" i="4" s="1"/>
  <c r="C253" i="4"/>
  <c r="O253" i="4" s="1"/>
  <c r="C250" i="4"/>
  <c r="O250" i="4" s="1"/>
  <c r="C254" i="4"/>
  <c r="O254" i="4" s="1"/>
  <c r="C252" i="4"/>
  <c r="O252" i="4" s="1"/>
  <c r="C256" i="4"/>
  <c r="O256" i="4" s="1"/>
  <c r="C247" i="4"/>
  <c r="O247" i="4" s="1"/>
  <c r="C207" i="4"/>
  <c r="O207" i="4" s="1"/>
  <c r="C204" i="4"/>
  <c r="O204" i="4" s="1"/>
  <c r="C213" i="4"/>
  <c r="O213" i="4" s="1"/>
  <c r="C205" i="4"/>
  <c r="O205" i="4" s="1"/>
  <c r="C210" i="4"/>
  <c r="O210" i="4" s="1"/>
  <c r="C208" i="4"/>
  <c r="O208" i="4" s="1"/>
  <c r="C211" i="4"/>
  <c r="O211" i="4" s="1"/>
  <c r="C206" i="4"/>
  <c r="O206" i="4" s="1"/>
  <c r="C212" i="4"/>
  <c r="O212" i="4" s="1"/>
  <c r="C209" i="4"/>
  <c r="O209" i="4" s="1"/>
  <c r="C202" i="4"/>
  <c r="C203" i="4"/>
  <c r="O203" i="4" s="1"/>
  <c r="C164" i="4"/>
  <c r="O164" i="4" s="1"/>
  <c r="C163" i="4"/>
  <c r="O163" i="4" s="1"/>
  <c r="C169" i="4"/>
  <c r="O169" i="4" s="1"/>
  <c r="C161" i="4"/>
  <c r="O161" i="4" s="1"/>
  <c r="C167" i="4"/>
  <c r="O167" i="4" s="1"/>
  <c r="C165" i="4"/>
  <c r="O165" i="4" s="1"/>
  <c r="C162" i="4"/>
  <c r="O162" i="4" s="1"/>
  <c r="C158" i="4"/>
  <c r="C168" i="4"/>
  <c r="O168" i="4" s="1"/>
  <c r="C159" i="4"/>
  <c r="O159" i="4" s="1"/>
  <c r="C160" i="4"/>
  <c r="O160" i="4" s="1"/>
  <c r="C166" i="4"/>
  <c r="O166" i="4" s="1"/>
  <c r="C119" i="4"/>
  <c r="O119" i="4" s="1"/>
  <c r="C125" i="4"/>
  <c r="O125" i="4" s="1"/>
  <c r="C116" i="4"/>
  <c r="O116" i="4" s="1"/>
  <c r="C114" i="4"/>
  <c r="C120" i="4"/>
  <c r="O120" i="4" s="1"/>
  <c r="C118" i="4"/>
  <c r="O118" i="4" s="1"/>
  <c r="C117" i="4"/>
  <c r="O117" i="4" s="1"/>
  <c r="C115" i="4"/>
  <c r="O115" i="4" s="1"/>
  <c r="C124" i="4"/>
  <c r="O124" i="4" s="1"/>
  <c r="C123" i="4"/>
  <c r="O123" i="4" s="1"/>
  <c r="C121" i="4"/>
  <c r="O121" i="4" s="1"/>
  <c r="C122" i="4"/>
  <c r="O122" i="4" s="1"/>
  <c r="G248" i="2"/>
  <c r="O248" i="2"/>
  <c r="L1176" i="2"/>
  <c r="H1172" i="2"/>
  <c r="N1178" i="2"/>
  <c r="M1178" i="2"/>
  <c r="M1177" i="2"/>
  <c r="L1177" i="2"/>
  <c r="H1176" i="2"/>
  <c r="N1176" i="2"/>
  <c r="L1172" i="2"/>
  <c r="M1171" i="2"/>
  <c r="H1171" i="2"/>
  <c r="L1170" i="2"/>
  <c r="O1170" i="2"/>
  <c r="L1171" i="2"/>
  <c r="M1173" i="2"/>
  <c r="N1177" i="2"/>
  <c r="L1175" i="2"/>
  <c r="N1181" i="2"/>
  <c r="N1171" i="2"/>
  <c r="M1180" i="2"/>
  <c r="H1178" i="2"/>
  <c r="H1174" i="2"/>
  <c r="M1172" i="2"/>
  <c r="M1175" i="2"/>
  <c r="L1173" i="2"/>
  <c r="N1179" i="2"/>
  <c r="L1174" i="2"/>
  <c r="N1175" i="2"/>
  <c r="L1178" i="2"/>
  <c r="N1180" i="2"/>
  <c r="N1172" i="2"/>
  <c r="H1179" i="2"/>
  <c r="H1170" i="2"/>
  <c r="M1176" i="2"/>
  <c r="N1173" i="2"/>
  <c r="H1180" i="2"/>
  <c r="H1177" i="2"/>
  <c r="H1173" i="2"/>
  <c r="N1170" i="2"/>
  <c r="M1174" i="2"/>
  <c r="M1181" i="2"/>
  <c r="M1179" i="2"/>
  <c r="H1181" i="2"/>
  <c r="L1179" i="2"/>
  <c r="H1175" i="2"/>
  <c r="N1174" i="2"/>
  <c r="L1181" i="2"/>
  <c r="L1180" i="2"/>
  <c r="M1170" i="2"/>
  <c r="K1173" i="2"/>
  <c r="K1180" i="2"/>
  <c r="K1179" i="2"/>
  <c r="K1176" i="2"/>
  <c r="I1176" i="2"/>
  <c r="J1181" i="2"/>
  <c r="K1172" i="2"/>
  <c r="J1177" i="2"/>
  <c r="I1173" i="2"/>
  <c r="J1173" i="2"/>
  <c r="I1180" i="2"/>
  <c r="J1180" i="2"/>
  <c r="I1172" i="2"/>
  <c r="J1176" i="2"/>
  <c r="J1172" i="2"/>
  <c r="J1174" i="2"/>
  <c r="J1179" i="2"/>
  <c r="J1175" i="2"/>
  <c r="K1181" i="2"/>
  <c r="I1181" i="2"/>
  <c r="J1171" i="2"/>
  <c r="J1170" i="2"/>
  <c r="I1178" i="2"/>
  <c r="K1177" i="2"/>
  <c r="I1177" i="2"/>
  <c r="J1178" i="2"/>
  <c r="K1171" i="2"/>
  <c r="I1170" i="2"/>
  <c r="K1178" i="2"/>
  <c r="I1179" i="2"/>
  <c r="K1174" i="2"/>
  <c r="I1175" i="2"/>
  <c r="I1174" i="2"/>
  <c r="I1171" i="2"/>
  <c r="K1175" i="2"/>
  <c r="K1170" i="2"/>
  <c r="N518" i="2"/>
  <c r="M519" i="2"/>
  <c r="L519" i="2"/>
  <c r="L518" i="2"/>
  <c r="H518" i="2"/>
  <c r="M517" i="2"/>
  <c r="H517" i="2"/>
  <c r="N516" i="2"/>
  <c r="H513" i="2"/>
  <c r="N511" i="2"/>
  <c r="H511" i="2"/>
  <c r="N510" i="2"/>
  <c r="M510" i="2"/>
  <c r="L510" i="2"/>
  <c r="L512" i="2"/>
  <c r="M514" i="2"/>
  <c r="M515" i="2"/>
  <c r="L511" i="2"/>
  <c r="N513" i="2"/>
  <c r="N517" i="2"/>
  <c r="H520" i="2"/>
  <c r="N514" i="2"/>
  <c r="M511" i="2"/>
  <c r="H521" i="2"/>
  <c r="N515" i="2"/>
  <c r="L520" i="2"/>
  <c r="H516" i="2"/>
  <c r="H512" i="2"/>
  <c r="M518" i="2"/>
  <c r="M512" i="2"/>
  <c r="H514" i="2"/>
  <c r="L516" i="2"/>
  <c r="N520" i="2"/>
  <c r="O510" i="2"/>
  <c r="L517" i="2"/>
  <c r="N512" i="2"/>
  <c r="M513" i="2"/>
  <c r="H519" i="2"/>
  <c r="L514" i="2"/>
  <c r="H515" i="2"/>
  <c r="N521" i="2"/>
  <c r="M521" i="2"/>
  <c r="M520" i="2"/>
  <c r="H510" i="2"/>
  <c r="L513" i="2"/>
  <c r="M516" i="2"/>
  <c r="N519" i="2"/>
  <c r="L515" i="2"/>
  <c r="L521" i="2"/>
  <c r="K521" i="2"/>
  <c r="K517" i="2"/>
  <c r="K513" i="2"/>
  <c r="K520" i="2"/>
  <c r="K512" i="2"/>
  <c r="K516" i="2"/>
  <c r="K515" i="2"/>
  <c r="K519" i="2"/>
  <c r="K511" i="2"/>
  <c r="K518" i="2"/>
  <c r="K510" i="2"/>
  <c r="K514" i="2"/>
  <c r="J517" i="2"/>
  <c r="I521" i="2"/>
  <c r="J513" i="2"/>
  <c r="I518" i="2"/>
  <c r="J521" i="2"/>
  <c r="I514" i="2"/>
  <c r="J520" i="2"/>
  <c r="I510" i="2"/>
  <c r="J516" i="2"/>
  <c r="I515" i="2"/>
  <c r="J512" i="2"/>
  <c r="I512" i="2"/>
  <c r="J519" i="2"/>
  <c r="I519" i="2"/>
  <c r="J515" i="2"/>
  <c r="I517" i="2"/>
  <c r="J511" i="2"/>
  <c r="I511" i="2"/>
  <c r="J518" i="2"/>
  <c r="I516" i="2"/>
  <c r="J514" i="2"/>
  <c r="I520" i="2"/>
  <c r="J510" i="2"/>
  <c r="I513" i="2"/>
  <c r="G607" i="2"/>
  <c r="N388" i="2"/>
  <c r="H385" i="2"/>
  <c r="M389" i="2"/>
  <c r="H389" i="2"/>
  <c r="N379" i="2"/>
  <c r="M379" i="2"/>
  <c r="N385" i="2"/>
  <c r="L379" i="2"/>
  <c r="M385" i="2"/>
  <c r="H379" i="2"/>
  <c r="L382" i="2"/>
  <c r="L384" i="2"/>
  <c r="L385" i="2"/>
  <c r="O378" i="2"/>
  <c r="N384" i="2"/>
  <c r="L378" i="2"/>
  <c r="M384" i="2"/>
  <c r="H383" i="2"/>
  <c r="H378" i="2"/>
  <c r="H384" i="2"/>
  <c r="M383" i="2"/>
  <c r="L388" i="2"/>
  <c r="N389" i="2"/>
  <c r="N378" i="2"/>
  <c r="H388" i="2"/>
  <c r="L383" i="2"/>
  <c r="N381" i="2"/>
  <c r="L389" i="2"/>
  <c r="M381" i="2"/>
  <c r="M388" i="2"/>
  <c r="N387" i="2"/>
  <c r="H382" i="2"/>
  <c r="L381" i="2"/>
  <c r="M386" i="2"/>
  <c r="H380" i="2"/>
  <c r="N382" i="2"/>
  <c r="N383" i="2"/>
  <c r="M387" i="2"/>
  <c r="H381" i="2"/>
  <c r="L387" i="2"/>
  <c r="M382" i="2"/>
  <c r="H387" i="2"/>
  <c r="N380" i="2"/>
  <c r="M380" i="2"/>
  <c r="N386" i="2"/>
  <c r="L380" i="2"/>
  <c r="L386" i="2"/>
  <c r="H386" i="2"/>
  <c r="M378" i="2"/>
  <c r="K382" i="2"/>
  <c r="K386" i="2"/>
  <c r="K385" i="2"/>
  <c r="K381" i="2"/>
  <c r="K389" i="2"/>
  <c r="K388" i="2"/>
  <c r="K380" i="2"/>
  <c r="K384" i="2"/>
  <c r="K387" i="2"/>
  <c r="K379" i="2"/>
  <c r="K383" i="2"/>
  <c r="K378" i="2"/>
  <c r="I384" i="2"/>
  <c r="I389" i="2"/>
  <c r="I383" i="2"/>
  <c r="I388" i="2"/>
  <c r="I387" i="2"/>
  <c r="I381" i="2"/>
  <c r="I380" i="2"/>
  <c r="I385" i="2"/>
  <c r="J385" i="2"/>
  <c r="J389" i="2"/>
  <c r="J381" i="2"/>
  <c r="J388" i="2"/>
  <c r="J380" i="2"/>
  <c r="J384" i="2"/>
  <c r="J383" i="2"/>
  <c r="J387" i="2"/>
  <c r="J379" i="2"/>
  <c r="J386" i="2"/>
  <c r="J382" i="2"/>
  <c r="J378" i="2"/>
  <c r="I386" i="2"/>
  <c r="I382" i="2"/>
  <c r="I378" i="2"/>
  <c r="I379" i="2"/>
  <c r="G560" i="2"/>
  <c r="O560" i="2"/>
  <c r="G554" i="2"/>
  <c r="N557" i="2"/>
  <c r="H557" i="2"/>
  <c r="N556" i="2"/>
  <c r="M556" i="2"/>
  <c r="M555" i="2"/>
  <c r="L564" i="2"/>
  <c r="L555" i="2"/>
  <c r="H555" i="2"/>
  <c r="N561" i="2"/>
  <c r="H564" i="2"/>
  <c r="M561" i="2"/>
  <c r="M563" i="2"/>
  <c r="H563" i="2"/>
  <c r="L562" i="2"/>
  <c r="H562" i="2"/>
  <c r="L558" i="2"/>
  <c r="H560" i="2"/>
  <c r="N564" i="2"/>
  <c r="L559" i="2"/>
  <c r="L560" i="2"/>
  <c r="N565" i="2"/>
  <c r="M560" i="2"/>
  <c r="N558" i="2"/>
  <c r="L554" i="2"/>
  <c r="N560" i="2"/>
  <c r="H556" i="2"/>
  <c r="M558" i="2"/>
  <c r="H565" i="2"/>
  <c r="M562" i="2"/>
  <c r="N562" i="2"/>
  <c r="L556" i="2"/>
  <c r="M559" i="2"/>
  <c r="H554" i="2"/>
  <c r="M554" i="2"/>
  <c r="L563" i="2"/>
  <c r="L557" i="2"/>
  <c r="H558" i="2"/>
  <c r="N559" i="2"/>
  <c r="N555" i="2"/>
  <c r="N554" i="2"/>
  <c r="L565" i="2"/>
  <c r="M557" i="2"/>
  <c r="H559" i="2"/>
  <c r="M565" i="2"/>
  <c r="L561" i="2"/>
  <c r="H561" i="2"/>
  <c r="N563" i="2"/>
  <c r="O554" i="2"/>
  <c r="M564" i="2"/>
  <c r="J556" i="2"/>
  <c r="J560" i="2"/>
  <c r="K556" i="2"/>
  <c r="J555" i="2"/>
  <c r="J559" i="2"/>
  <c r="J563" i="2"/>
  <c r="J562" i="2"/>
  <c r="K560" i="2"/>
  <c r="J558" i="2"/>
  <c r="J554" i="2"/>
  <c r="I565" i="2"/>
  <c r="I561" i="2"/>
  <c r="I557" i="2"/>
  <c r="I562" i="2"/>
  <c r="I558" i="2"/>
  <c r="K565" i="2"/>
  <c r="K564" i="2"/>
  <c r="I554" i="2"/>
  <c r="I555" i="2"/>
  <c r="I560" i="2"/>
  <c r="I559" i="2"/>
  <c r="I564" i="2"/>
  <c r="I563" i="2"/>
  <c r="I556" i="2"/>
  <c r="K561" i="2"/>
  <c r="K557" i="2"/>
  <c r="K563" i="2"/>
  <c r="J565" i="2"/>
  <c r="K559" i="2"/>
  <c r="J561" i="2"/>
  <c r="K558" i="2"/>
  <c r="J557" i="2"/>
  <c r="K555" i="2"/>
  <c r="K554" i="2"/>
  <c r="K562" i="2"/>
  <c r="J564" i="2"/>
  <c r="G1177" i="2"/>
  <c r="M247" i="2"/>
  <c r="M248" i="2"/>
  <c r="M250" i="2"/>
  <c r="N253" i="2"/>
  <c r="H254" i="2"/>
  <c r="L247" i="2"/>
  <c r="N247" i="2"/>
  <c r="M253" i="2"/>
  <c r="H247" i="2"/>
  <c r="L253" i="2"/>
  <c r="O246" i="2"/>
  <c r="H253" i="2"/>
  <c r="L246" i="2"/>
  <c r="N246" i="2"/>
  <c r="L248" i="2"/>
  <c r="M246" i="2"/>
  <c r="L254" i="2"/>
  <c r="H255" i="2"/>
  <c r="N252" i="2"/>
  <c r="M249" i="2"/>
  <c r="M252" i="2"/>
  <c r="L249" i="2"/>
  <c r="H246" i="2"/>
  <c r="L252" i="2"/>
  <c r="L256" i="2"/>
  <c r="H252" i="2"/>
  <c r="N251" i="2"/>
  <c r="M251" i="2"/>
  <c r="N250" i="2"/>
  <c r="N257" i="2"/>
  <c r="L251" i="2"/>
  <c r="N249" i="2"/>
  <c r="H248" i="2"/>
  <c r="H257" i="2"/>
  <c r="M257" i="2"/>
  <c r="H251" i="2"/>
  <c r="L257" i="2"/>
  <c r="N255" i="2"/>
  <c r="N256" i="2"/>
  <c r="L250" i="2"/>
  <c r="M256" i="2"/>
  <c r="L255" i="2"/>
  <c r="H250" i="2"/>
  <c r="H256" i="2"/>
  <c r="M255" i="2"/>
  <c r="N254" i="2"/>
  <c r="H249" i="2"/>
  <c r="M254" i="2"/>
  <c r="N248" i="2"/>
  <c r="K254" i="2"/>
  <c r="K250" i="2"/>
  <c r="K255" i="2"/>
  <c r="K248" i="2"/>
  <c r="K257" i="2"/>
  <c r="K252" i="2"/>
  <c r="K249" i="2"/>
  <c r="K246" i="2"/>
  <c r="K256" i="2"/>
  <c r="K253" i="2"/>
  <c r="K251" i="2"/>
  <c r="K247" i="2"/>
  <c r="J253" i="2"/>
  <c r="J249" i="2"/>
  <c r="I255" i="2"/>
  <c r="J257" i="2"/>
  <c r="J247" i="2"/>
  <c r="J251" i="2"/>
  <c r="I254" i="2"/>
  <c r="I246" i="2"/>
  <c r="J255" i="2"/>
  <c r="I249" i="2"/>
  <c r="J254" i="2"/>
  <c r="I253" i="2"/>
  <c r="J250" i="2"/>
  <c r="I248" i="2"/>
  <c r="J248" i="2"/>
  <c r="I250" i="2"/>
  <c r="J252" i="2"/>
  <c r="I257" i="2"/>
  <c r="J256" i="2"/>
  <c r="I251" i="2"/>
  <c r="J246" i="2"/>
  <c r="I252" i="2"/>
  <c r="I247" i="2"/>
  <c r="I256" i="2"/>
  <c r="G296" i="2"/>
  <c r="O296" i="2"/>
  <c r="G514" i="2"/>
  <c r="G1172" i="2"/>
  <c r="G1303" i="2"/>
  <c r="O1303" i="2"/>
  <c r="G254" i="2"/>
  <c r="O254" i="2"/>
  <c r="G471" i="2"/>
  <c r="G513" i="2"/>
  <c r="G342" i="2"/>
  <c r="H339" i="2"/>
  <c r="M339" i="2"/>
  <c r="M345" i="2"/>
  <c r="L345" i="2"/>
  <c r="N344" i="2"/>
  <c r="L344" i="2"/>
  <c r="H344" i="2"/>
  <c r="L340" i="2"/>
  <c r="H340" i="2"/>
  <c r="L338" i="2"/>
  <c r="N337" i="2"/>
  <c r="M337" i="2"/>
  <c r="M338" i="2"/>
  <c r="M334" i="2"/>
  <c r="H342" i="2"/>
  <c r="N338" i="2"/>
  <c r="M335" i="2"/>
  <c r="H345" i="2"/>
  <c r="N334" i="2"/>
  <c r="M336" i="2"/>
  <c r="H341" i="2"/>
  <c r="L341" i="2"/>
  <c r="N336" i="2"/>
  <c r="N345" i="2"/>
  <c r="H343" i="2"/>
  <c r="O334" i="2"/>
  <c r="N335" i="2"/>
  <c r="L339" i="2"/>
  <c r="L343" i="2"/>
  <c r="N339" i="2"/>
  <c r="N340" i="2"/>
  <c r="N341" i="2"/>
  <c r="L336" i="2"/>
  <c r="M341" i="2"/>
  <c r="H335" i="2"/>
  <c r="M340" i="2"/>
  <c r="L342" i="2"/>
  <c r="L334" i="2"/>
  <c r="H336" i="2"/>
  <c r="H338" i="2"/>
  <c r="N342" i="2"/>
  <c r="H337" i="2"/>
  <c r="L335" i="2"/>
  <c r="M343" i="2"/>
  <c r="H334" i="2"/>
  <c r="L337" i="2"/>
  <c r="N343" i="2"/>
  <c r="M342" i="2"/>
  <c r="M344" i="2"/>
  <c r="K339" i="2"/>
  <c r="K342" i="2"/>
  <c r="K334" i="2"/>
  <c r="K340" i="2"/>
  <c r="K338" i="2"/>
  <c r="K345" i="2"/>
  <c r="K341" i="2"/>
  <c r="K337" i="2"/>
  <c r="K335" i="2"/>
  <c r="K343" i="2"/>
  <c r="K336" i="2"/>
  <c r="K344" i="2"/>
  <c r="J335" i="2"/>
  <c r="I342" i="2"/>
  <c r="I338" i="2"/>
  <c r="I337" i="2"/>
  <c r="I341" i="2"/>
  <c r="I336" i="2"/>
  <c r="J343" i="2"/>
  <c r="I343" i="2"/>
  <c r="I345" i="2"/>
  <c r="I340" i="2"/>
  <c r="I335" i="2"/>
  <c r="J337" i="2"/>
  <c r="I339" i="2"/>
  <c r="I344" i="2"/>
  <c r="I334" i="2"/>
  <c r="J339" i="2"/>
  <c r="J342" i="2"/>
  <c r="J341" i="2"/>
  <c r="J345" i="2"/>
  <c r="J334" i="2"/>
  <c r="J336" i="2"/>
  <c r="J340" i="2"/>
  <c r="J338" i="2"/>
  <c r="J344" i="2"/>
  <c r="G253" i="2"/>
  <c r="G339" i="2"/>
  <c r="G466" i="2"/>
  <c r="L472" i="2"/>
  <c r="H472" i="2"/>
  <c r="L468" i="2"/>
  <c r="H468" i="2"/>
  <c r="M467" i="2"/>
  <c r="H467" i="2"/>
  <c r="O466" i="2"/>
  <c r="L466" i="2"/>
  <c r="L473" i="2"/>
  <c r="M474" i="2"/>
  <c r="M473" i="2"/>
  <c r="N474" i="2"/>
  <c r="N472" i="2"/>
  <c r="M466" i="2"/>
  <c r="L475" i="2"/>
  <c r="N477" i="2"/>
  <c r="L467" i="2"/>
  <c r="N466" i="2"/>
  <c r="L476" i="2"/>
  <c r="M477" i="2"/>
  <c r="H473" i="2"/>
  <c r="L477" i="2"/>
  <c r="H469" i="2"/>
  <c r="H471" i="2"/>
  <c r="L471" i="2"/>
  <c r="M475" i="2"/>
  <c r="M471" i="2"/>
  <c r="N473" i="2"/>
  <c r="N467" i="2"/>
  <c r="H474" i="2"/>
  <c r="L469" i="2"/>
  <c r="N475" i="2"/>
  <c r="M476" i="2"/>
  <c r="M472" i="2"/>
  <c r="M470" i="2"/>
  <c r="L474" i="2"/>
  <c r="H475" i="2"/>
  <c r="H470" i="2"/>
  <c r="M469" i="2"/>
  <c r="N469" i="2"/>
  <c r="L470" i="2"/>
  <c r="N476" i="2"/>
  <c r="H477" i="2"/>
  <c r="H466" i="2"/>
  <c r="N470" i="2"/>
  <c r="M468" i="2"/>
  <c r="N468" i="2"/>
  <c r="N471" i="2"/>
  <c r="H476" i="2"/>
  <c r="K469" i="2"/>
  <c r="K477" i="2"/>
  <c r="K473" i="2"/>
  <c r="K472" i="2"/>
  <c r="K476" i="2"/>
  <c r="K468" i="2"/>
  <c r="K471" i="2"/>
  <c r="K467" i="2"/>
  <c r="K475" i="2"/>
  <c r="K470" i="2"/>
  <c r="K474" i="2"/>
  <c r="K466" i="2"/>
  <c r="J475" i="2"/>
  <c r="J472" i="2"/>
  <c r="I477" i="2"/>
  <c r="I476" i="2"/>
  <c r="J476" i="2"/>
  <c r="J468" i="2"/>
  <c r="I474" i="2"/>
  <c r="J473" i="2"/>
  <c r="I470" i="2"/>
  <c r="I466" i="2"/>
  <c r="I471" i="2"/>
  <c r="I467" i="2"/>
  <c r="I475" i="2"/>
  <c r="I469" i="2"/>
  <c r="I468" i="2"/>
  <c r="I473" i="2"/>
  <c r="J477" i="2"/>
  <c r="I472" i="2"/>
  <c r="J469" i="2"/>
  <c r="J467" i="2"/>
  <c r="J474" i="2"/>
  <c r="J466" i="2"/>
  <c r="J470" i="2"/>
  <c r="J471" i="2"/>
  <c r="G470" i="2"/>
  <c r="G338" i="2"/>
  <c r="G467" i="2"/>
  <c r="O467" i="2"/>
  <c r="G341" i="2"/>
  <c r="G474" i="2"/>
  <c r="O474" i="2"/>
  <c r="G511" i="2"/>
  <c r="O511" i="2"/>
  <c r="G517" i="2"/>
  <c r="G337" i="2"/>
  <c r="G468" i="2"/>
  <c r="O468" i="2"/>
  <c r="G247" i="2"/>
  <c r="G255" i="2"/>
  <c r="G519" i="2"/>
  <c r="G340" i="2"/>
  <c r="G601" i="2"/>
  <c r="G602" i="2"/>
  <c r="G249" i="2"/>
  <c r="G252" i="2"/>
  <c r="G512" i="2"/>
  <c r="G335" i="2"/>
  <c r="H609" i="2"/>
  <c r="L608" i="2"/>
  <c r="N606" i="2"/>
  <c r="N600" i="2"/>
  <c r="N607" i="2"/>
  <c r="H607" i="2"/>
  <c r="L600" i="2"/>
  <c r="M606" i="2"/>
  <c r="L606" i="2"/>
  <c r="N602" i="2"/>
  <c r="M602" i="2"/>
  <c r="M601" i="2"/>
  <c r="L601" i="2"/>
  <c r="H600" i="2"/>
  <c r="O598" i="2"/>
  <c r="M600" i="2"/>
  <c r="M598" i="2"/>
  <c r="H603" i="2"/>
  <c r="H601" i="2"/>
  <c r="M603" i="2"/>
  <c r="M609" i="2"/>
  <c r="N598" i="2"/>
  <c r="H604" i="2"/>
  <c r="H605" i="2"/>
  <c r="L603" i="2"/>
  <c r="N609" i="2"/>
  <c r="L604" i="2"/>
  <c r="H599" i="2"/>
  <c r="L607" i="2"/>
  <c r="L605" i="2"/>
  <c r="M607" i="2"/>
  <c r="N601" i="2"/>
  <c r="H608" i="2"/>
  <c r="N599" i="2"/>
  <c r="L599" i="2"/>
  <c r="M599" i="2"/>
  <c r="M605" i="2"/>
  <c r="L602" i="2"/>
  <c r="M604" i="2"/>
  <c r="N608" i="2"/>
  <c r="L598" i="2"/>
  <c r="N603" i="2"/>
  <c r="N604" i="2"/>
  <c r="H598" i="2"/>
  <c r="H602" i="2"/>
  <c r="N605" i="2"/>
  <c r="M608" i="2"/>
  <c r="H606" i="2"/>
  <c r="L609" i="2"/>
  <c r="K604" i="2"/>
  <c r="K608" i="2"/>
  <c r="K607" i="2"/>
  <c r="K603" i="2"/>
  <c r="K599" i="2"/>
  <c r="K598" i="2"/>
  <c r="K602" i="2"/>
  <c r="K606" i="2"/>
  <c r="K600" i="2"/>
  <c r="K605" i="2"/>
  <c r="K601" i="2"/>
  <c r="K609" i="2"/>
  <c r="I609" i="2"/>
  <c r="I605" i="2"/>
  <c r="J602" i="2"/>
  <c r="I601" i="2"/>
  <c r="I606" i="2"/>
  <c r="I602" i="2"/>
  <c r="J599" i="2"/>
  <c r="I598" i="2"/>
  <c r="J607" i="2"/>
  <c r="I604" i="2"/>
  <c r="I603" i="2"/>
  <c r="I608" i="2"/>
  <c r="I607" i="2"/>
  <c r="I600" i="2"/>
  <c r="I599" i="2"/>
  <c r="J609" i="2"/>
  <c r="J601" i="2"/>
  <c r="J605" i="2"/>
  <c r="J603" i="2"/>
  <c r="J600" i="2"/>
  <c r="J608" i="2"/>
  <c r="J606" i="2"/>
  <c r="J604" i="2"/>
  <c r="J598" i="2"/>
  <c r="M1310" i="2"/>
  <c r="L1310" i="2"/>
  <c r="M1305" i="2"/>
  <c r="M1313" i="2"/>
  <c r="H1307" i="2"/>
  <c r="L1313" i="2"/>
  <c r="N1311" i="2"/>
  <c r="N1312" i="2"/>
  <c r="L1306" i="2"/>
  <c r="M1312" i="2"/>
  <c r="H1306" i="2"/>
  <c r="L1311" i="2"/>
  <c r="H1312" i="2"/>
  <c r="N1305" i="2"/>
  <c r="H1304" i="2"/>
  <c r="M1311" i="2"/>
  <c r="M1306" i="2"/>
  <c r="H1305" i="2"/>
  <c r="M1303" i="2"/>
  <c r="H1311" i="2"/>
  <c r="N1309" i="2"/>
  <c r="M1304" i="2"/>
  <c r="L1305" i="2"/>
  <c r="L1303" i="2"/>
  <c r="H1310" i="2"/>
  <c r="H1313" i="2"/>
  <c r="M1309" i="2"/>
  <c r="N1303" i="2"/>
  <c r="H1303" i="2"/>
  <c r="L1309" i="2"/>
  <c r="O1302" i="2"/>
  <c r="H1309" i="2"/>
  <c r="N1307" i="2"/>
  <c r="H1302" i="2"/>
  <c r="L1312" i="2"/>
  <c r="H1308" i="2"/>
  <c r="L1307" i="2"/>
  <c r="M1307" i="2"/>
  <c r="N1310" i="2"/>
  <c r="L1304" i="2"/>
  <c r="N1304" i="2"/>
  <c r="N1313" i="2"/>
  <c r="N1306" i="2"/>
  <c r="N1302" i="2"/>
  <c r="M1302" i="2"/>
  <c r="N1308" i="2"/>
  <c r="L1302" i="2"/>
  <c r="M1308" i="2"/>
  <c r="L1308" i="2"/>
  <c r="I1312" i="2"/>
  <c r="I1305" i="2"/>
  <c r="K1302" i="2"/>
  <c r="K1306" i="2"/>
  <c r="J1311" i="2"/>
  <c r="J1306" i="2"/>
  <c r="K1313" i="2"/>
  <c r="J1307" i="2"/>
  <c r="K1309" i="2"/>
  <c r="I1304" i="2"/>
  <c r="K1305" i="2"/>
  <c r="K1312" i="2"/>
  <c r="J1303" i="2"/>
  <c r="K1308" i="2"/>
  <c r="J1313" i="2"/>
  <c r="I1310" i="2"/>
  <c r="K1304" i="2"/>
  <c r="J1309" i="2"/>
  <c r="K1311" i="2"/>
  <c r="J1305" i="2"/>
  <c r="K1307" i="2"/>
  <c r="J1312" i="2"/>
  <c r="K1303" i="2"/>
  <c r="I1313" i="2"/>
  <c r="J1308" i="2"/>
  <c r="K1310" i="2"/>
  <c r="I1309" i="2"/>
  <c r="J1304" i="2"/>
  <c r="I1308" i="2"/>
  <c r="J1310" i="2"/>
  <c r="I1302" i="2"/>
  <c r="I1311" i="2"/>
  <c r="I1303" i="2"/>
  <c r="I1306" i="2"/>
  <c r="I1307" i="2"/>
  <c r="J1302" i="2"/>
  <c r="G518" i="2"/>
  <c r="G336" i="2"/>
  <c r="G343" i="2"/>
  <c r="M300" i="2"/>
  <c r="H290" i="2"/>
  <c r="L296" i="2"/>
  <c r="H296" i="2"/>
  <c r="H301" i="2"/>
  <c r="N295" i="2"/>
  <c r="M301" i="2"/>
  <c r="H294" i="2"/>
  <c r="L299" i="2"/>
  <c r="H295" i="2"/>
  <c r="L301" i="2"/>
  <c r="N301" i="2"/>
  <c r="M294" i="2"/>
  <c r="L300" i="2"/>
  <c r="H300" i="2"/>
  <c r="L295" i="2"/>
  <c r="N293" i="2"/>
  <c r="N299" i="2"/>
  <c r="N298" i="2"/>
  <c r="L293" i="2"/>
  <c r="L292" i="2"/>
  <c r="M292" i="2"/>
  <c r="M293" i="2"/>
  <c r="M298" i="2"/>
  <c r="H292" i="2"/>
  <c r="L298" i="2"/>
  <c r="H298" i="2"/>
  <c r="N291" i="2"/>
  <c r="M291" i="2"/>
  <c r="M290" i="2"/>
  <c r="H299" i="2"/>
  <c r="N296" i="2"/>
  <c r="M299" i="2"/>
  <c r="N300" i="2"/>
  <c r="L294" i="2"/>
  <c r="N297" i="2"/>
  <c r="L291" i="2"/>
  <c r="N294" i="2"/>
  <c r="M297" i="2"/>
  <c r="N292" i="2"/>
  <c r="H291" i="2"/>
  <c r="L297" i="2"/>
  <c r="O290" i="2"/>
  <c r="H297" i="2"/>
  <c r="M295" i="2"/>
  <c r="N290" i="2"/>
  <c r="L290" i="2"/>
  <c r="M296" i="2"/>
  <c r="H293" i="2"/>
  <c r="K295" i="2"/>
  <c r="K296" i="2"/>
  <c r="K294" i="2"/>
  <c r="K290" i="2"/>
  <c r="K291" i="2"/>
  <c r="K299" i="2"/>
  <c r="K293" i="2"/>
  <c r="K301" i="2"/>
  <c r="K297" i="2"/>
  <c r="K292" i="2"/>
  <c r="K300" i="2"/>
  <c r="K298" i="2"/>
  <c r="J295" i="2"/>
  <c r="J299" i="2"/>
  <c r="J298" i="2"/>
  <c r="I294" i="2"/>
  <c r="J300" i="2"/>
  <c r="J290" i="2"/>
  <c r="J294" i="2"/>
  <c r="J292" i="2"/>
  <c r="I299" i="2"/>
  <c r="I298" i="2"/>
  <c r="J296" i="2"/>
  <c r="I293" i="2"/>
  <c r="I290" i="2"/>
  <c r="I300" i="2"/>
  <c r="I295" i="2"/>
  <c r="I297" i="2"/>
  <c r="J301" i="2"/>
  <c r="I292" i="2"/>
  <c r="J293" i="2"/>
  <c r="J297" i="2"/>
  <c r="J291" i="2"/>
  <c r="I301" i="2"/>
  <c r="I296" i="2"/>
  <c r="I291" i="2"/>
  <c r="G605" i="2"/>
  <c r="G1176" i="2"/>
  <c r="O1176" i="2"/>
  <c r="C1527" i="2"/>
  <c r="O1527" i="2" s="1"/>
  <c r="C1533" i="2"/>
  <c r="O1533" i="2" s="1"/>
  <c r="C1526" i="2"/>
  <c r="O1526" i="2" s="1"/>
  <c r="C1532" i="2"/>
  <c r="O1532" i="2" s="1"/>
  <c r="C1531" i="2"/>
  <c r="O1531" i="2" s="1"/>
  <c r="C1524" i="2"/>
  <c r="O1524" i="2" s="1"/>
  <c r="C1530" i="2"/>
  <c r="O1530" i="2" s="1"/>
  <c r="C1523" i="2"/>
  <c r="O1523" i="2" s="1"/>
  <c r="C1529" i="2"/>
  <c r="O1529" i="2" s="1"/>
  <c r="C1522" i="2"/>
  <c r="C1528" i="2"/>
  <c r="O1528" i="2" s="1"/>
  <c r="C1483" i="2"/>
  <c r="O1483" i="2" s="1"/>
  <c r="C1489" i="2"/>
  <c r="O1489" i="2" s="1"/>
  <c r="C1482" i="2"/>
  <c r="O1482" i="2" s="1"/>
  <c r="C1488" i="2"/>
  <c r="O1488" i="2" s="1"/>
  <c r="C1481" i="2"/>
  <c r="O1481" i="2" s="1"/>
  <c r="C1487" i="2"/>
  <c r="O1487" i="2" s="1"/>
  <c r="C1480" i="2"/>
  <c r="O1480" i="2" s="1"/>
  <c r="C1484" i="2"/>
  <c r="O1484" i="2" s="1"/>
  <c r="C1486" i="2"/>
  <c r="O1486" i="2" s="1"/>
  <c r="C1479" i="2"/>
  <c r="O1479" i="2" s="1"/>
  <c r="C1485" i="2"/>
  <c r="O1485" i="2" s="1"/>
  <c r="C1478" i="2"/>
  <c r="C1439" i="2"/>
  <c r="O1439" i="2" s="1"/>
  <c r="C1445" i="2"/>
  <c r="O1445" i="2" s="1"/>
  <c r="C1435" i="2"/>
  <c r="O1435" i="2" s="1"/>
  <c r="C1438" i="2"/>
  <c r="O1438" i="2" s="1"/>
  <c r="C1441" i="2"/>
  <c r="O1441" i="2" s="1"/>
  <c r="C1444" i="2"/>
  <c r="O1444" i="2" s="1"/>
  <c r="C1437" i="2"/>
  <c r="O1437" i="2" s="1"/>
  <c r="C1443" i="2"/>
  <c r="O1443" i="2" s="1"/>
  <c r="C1436" i="2"/>
  <c r="O1436" i="2" s="1"/>
  <c r="C1442" i="2"/>
  <c r="O1442" i="2" s="1"/>
  <c r="C1434" i="2"/>
  <c r="C1440" i="2"/>
  <c r="O1440" i="2" s="1"/>
  <c r="C1395" i="2"/>
  <c r="O1395" i="2" s="1"/>
  <c r="C1401" i="2"/>
  <c r="O1401" i="2" s="1"/>
  <c r="C1391" i="2"/>
  <c r="O1391" i="2" s="1"/>
  <c r="C1394" i="2"/>
  <c r="O1394" i="2" s="1"/>
  <c r="C1397" i="2"/>
  <c r="O1397" i="2" s="1"/>
  <c r="C1400" i="2"/>
  <c r="O1400" i="2" s="1"/>
  <c r="C1393" i="2"/>
  <c r="O1393" i="2" s="1"/>
  <c r="C1399" i="2"/>
  <c r="O1399" i="2" s="1"/>
  <c r="C1392" i="2"/>
  <c r="O1392" i="2" s="1"/>
  <c r="C1398" i="2"/>
  <c r="O1398" i="2" s="1"/>
  <c r="C1390" i="2"/>
  <c r="C1396" i="2"/>
  <c r="C1351" i="2"/>
  <c r="O1351" i="2" s="1"/>
  <c r="C1357" i="2"/>
  <c r="O1357" i="2" s="1"/>
  <c r="C1350" i="2"/>
  <c r="O1350" i="2" s="1"/>
  <c r="C1356" i="2"/>
  <c r="O1356" i="2" s="1"/>
  <c r="C1349" i="2"/>
  <c r="O1349" i="2" s="1"/>
  <c r="C1355" i="2"/>
  <c r="O1355" i="2" s="1"/>
  <c r="C1353" i="2"/>
  <c r="O1353" i="2" s="1"/>
  <c r="C1348" i="2"/>
  <c r="O1348" i="2" s="1"/>
  <c r="C1354" i="2"/>
  <c r="O1354" i="2" s="1"/>
  <c r="C1347" i="2"/>
  <c r="O1347" i="2" s="1"/>
  <c r="C1346" i="2"/>
  <c r="C1352" i="2"/>
  <c r="C1263" i="2"/>
  <c r="O1263" i="2" s="1"/>
  <c r="C1269" i="2"/>
  <c r="O1269" i="2" s="1"/>
  <c r="C1262" i="2"/>
  <c r="O1262" i="2" s="1"/>
  <c r="C1259" i="2"/>
  <c r="O1259" i="2" s="1"/>
  <c r="C1268" i="2"/>
  <c r="O1268" i="2" s="1"/>
  <c r="C1261" i="2"/>
  <c r="O1261" i="2" s="1"/>
  <c r="C1267" i="2"/>
  <c r="O1267" i="2" s="1"/>
  <c r="C1260" i="2"/>
  <c r="O1260" i="2" s="1"/>
  <c r="C1266" i="2"/>
  <c r="O1266" i="2" s="1"/>
  <c r="C1265" i="2"/>
  <c r="O1265" i="2" s="1"/>
  <c r="C1258" i="2"/>
  <c r="C1264" i="2"/>
  <c r="O1264" i="2" s="1"/>
  <c r="C1219" i="2"/>
  <c r="O1219" i="2" s="1"/>
  <c r="C1225" i="2"/>
  <c r="O1225" i="2" s="1"/>
  <c r="C1215" i="2"/>
  <c r="O1215" i="2" s="1"/>
  <c r="C1218" i="2"/>
  <c r="O1218" i="2" s="1"/>
  <c r="C1214" i="2"/>
  <c r="C1222" i="2"/>
  <c r="O1222" i="2" s="1"/>
  <c r="C1221" i="2"/>
  <c r="O1221" i="2" s="1"/>
  <c r="C1224" i="2"/>
  <c r="O1224" i="2" s="1"/>
  <c r="C1220" i="2"/>
  <c r="O1220" i="2" s="1"/>
  <c r="C1217" i="2"/>
  <c r="C1223" i="2"/>
  <c r="C1216" i="2"/>
  <c r="C1131" i="2"/>
  <c r="O1131" i="2" s="1"/>
  <c r="C1132" i="2"/>
  <c r="O1132" i="2" s="1"/>
  <c r="C1137" i="2"/>
  <c r="O1137" i="2" s="1"/>
  <c r="C1130" i="2"/>
  <c r="O1130" i="2" s="1"/>
  <c r="C1134" i="2"/>
  <c r="O1134" i="2" s="1"/>
  <c r="C1136" i="2"/>
  <c r="O1136" i="2" s="1"/>
  <c r="C1129" i="2"/>
  <c r="O1129" i="2" s="1"/>
  <c r="C1135" i="2"/>
  <c r="O1135" i="2" s="1"/>
  <c r="C1128" i="2"/>
  <c r="O1128" i="2" s="1"/>
  <c r="C1127" i="2"/>
  <c r="O1127" i="2" s="1"/>
  <c r="C1133" i="2"/>
  <c r="O1133" i="2" s="1"/>
  <c r="C1126" i="2"/>
  <c r="C1087" i="2"/>
  <c r="O1087" i="2" s="1"/>
  <c r="C1093" i="2"/>
  <c r="O1093" i="2" s="1"/>
  <c r="C1086" i="2"/>
  <c r="O1086" i="2" s="1"/>
  <c r="C1092" i="2"/>
  <c r="O1092" i="2" s="1"/>
  <c r="C1085" i="2"/>
  <c r="O1085" i="2" s="1"/>
  <c r="C1091" i="2"/>
  <c r="O1091" i="2" s="1"/>
  <c r="C1084" i="2"/>
  <c r="O1084" i="2" s="1"/>
  <c r="C1090" i="2"/>
  <c r="O1090" i="2" s="1"/>
  <c r="C1083" i="2"/>
  <c r="O1083" i="2" s="1"/>
  <c r="C1089" i="2"/>
  <c r="O1089" i="2" s="1"/>
  <c r="C1082" i="2"/>
  <c r="C1088" i="2"/>
  <c r="O1088" i="2" s="1"/>
  <c r="C1043" i="2"/>
  <c r="O1043" i="2" s="1"/>
  <c r="C1049" i="2"/>
  <c r="O1049" i="2" s="1"/>
  <c r="C1042" i="2"/>
  <c r="O1042" i="2" s="1"/>
  <c r="C1048" i="2"/>
  <c r="O1048" i="2" s="1"/>
  <c r="C1041" i="2"/>
  <c r="O1041" i="2" s="1"/>
  <c r="C1038" i="2"/>
  <c r="C1044" i="2"/>
  <c r="O1044" i="2" s="1"/>
  <c r="C1047" i="2"/>
  <c r="O1047" i="2" s="1"/>
  <c r="C1040" i="2"/>
  <c r="O1040" i="2" s="1"/>
  <c r="C1046" i="2"/>
  <c r="O1046" i="2" s="1"/>
  <c r="C1039" i="2"/>
  <c r="O1039" i="2" s="1"/>
  <c r="C1045" i="2"/>
  <c r="O1045" i="2" s="1"/>
  <c r="C999" i="2"/>
  <c r="O999" i="2" s="1"/>
  <c r="C1005" i="2"/>
  <c r="O1005" i="2" s="1"/>
  <c r="C998" i="2"/>
  <c r="O998" i="2" s="1"/>
  <c r="C1004" i="2"/>
  <c r="O1004" i="2" s="1"/>
  <c r="C997" i="2"/>
  <c r="O997" i="2" s="1"/>
  <c r="C1003" i="2"/>
  <c r="O1003" i="2" s="1"/>
  <c r="C1001" i="2"/>
  <c r="O1001" i="2" s="1"/>
  <c r="C996" i="2"/>
  <c r="O996" i="2" s="1"/>
  <c r="C1002" i="2"/>
  <c r="O1002" i="2" s="1"/>
  <c r="C995" i="2"/>
  <c r="O995" i="2" s="1"/>
  <c r="C994" i="2"/>
  <c r="C1000" i="2"/>
  <c r="O1000" i="2" s="1"/>
  <c r="C958" i="2"/>
  <c r="O958" i="2" s="1"/>
  <c r="C955" i="2"/>
  <c r="O955" i="2" s="1"/>
  <c r="C961" i="2"/>
  <c r="O961" i="2" s="1"/>
  <c r="C954" i="2"/>
  <c r="O954" i="2" s="1"/>
  <c r="C960" i="2"/>
  <c r="O960" i="2" s="1"/>
  <c r="C953" i="2"/>
  <c r="O953" i="2" s="1"/>
  <c r="C959" i="2"/>
  <c r="O959" i="2" s="1"/>
  <c r="C952" i="2"/>
  <c r="O952" i="2" s="1"/>
  <c r="C951" i="2"/>
  <c r="O951" i="2" s="1"/>
  <c r="C957" i="2"/>
  <c r="O957" i="2" s="1"/>
  <c r="C950" i="2"/>
  <c r="C956" i="2"/>
  <c r="O956" i="2" s="1"/>
  <c r="C911" i="2"/>
  <c r="O911" i="2" s="1"/>
  <c r="C917" i="2"/>
  <c r="O917" i="2" s="1"/>
  <c r="C910" i="2"/>
  <c r="O910" i="2" s="1"/>
  <c r="C915" i="2"/>
  <c r="O915" i="2" s="1"/>
  <c r="C916" i="2"/>
  <c r="O916" i="2" s="1"/>
  <c r="C909" i="2"/>
  <c r="O909" i="2" s="1"/>
  <c r="C908" i="2"/>
  <c r="O908" i="2" s="1"/>
  <c r="C914" i="2"/>
  <c r="O914" i="2" s="1"/>
  <c r="C907" i="2"/>
  <c r="O907" i="2" s="1"/>
  <c r="C913" i="2"/>
  <c r="O913" i="2" s="1"/>
  <c r="C906" i="2"/>
  <c r="C912" i="2"/>
  <c r="O912" i="2" s="1"/>
  <c r="C864" i="2"/>
  <c r="O864" i="2" s="1"/>
  <c r="C867" i="2"/>
  <c r="O867" i="2" s="1"/>
  <c r="C873" i="2"/>
  <c r="O873" i="2" s="1"/>
  <c r="C866" i="2"/>
  <c r="O866" i="2" s="1"/>
  <c r="C872" i="2"/>
  <c r="O872" i="2" s="1"/>
  <c r="C865" i="2"/>
  <c r="O865" i="2" s="1"/>
  <c r="C871" i="2"/>
  <c r="O871" i="2" s="1"/>
  <c r="C870" i="2"/>
  <c r="O870" i="2" s="1"/>
  <c r="C863" i="2"/>
  <c r="O863" i="2" s="1"/>
  <c r="C862" i="2"/>
  <c r="C869" i="2"/>
  <c r="O869" i="2" s="1"/>
  <c r="C868" i="2"/>
  <c r="O868" i="2" s="1"/>
  <c r="C823" i="2"/>
  <c r="O823" i="2" s="1"/>
  <c r="C829" i="2"/>
  <c r="O829" i="2" s="1"/>
  <c r="C822" i="2"/>
  <c r="O822" i="2" s="1"/>
  <c r="C828" i="2"/>
  <c r="O828" i="2" s="1"/>
  <c r="C821" i="2"/>
  <c r="O821" i="2" s="1"/>
  <c r="C826" i="2"/>
  <c r="O826" i="2" s="1"/>
  <c r="C827" i="2"/>
  <c r="O827" i="2" s="1"/>
  <c r="C820" i="2"/>
  <c r="O820" i="2" s="1"/>
  <c r="C819" i="2"/>
  <c r="O819" i="2" s="1"/>
  <c r="C825" i="2"/>
  <c r="O825" i="2" s="1"/>
  <c r="C818" i="2"/>
  <c r="C824" i="2"/>
  <c r="O824" i="2" s="1"/>
  <c r="C779" i="2"/>
  <c r="O779" i="2" s="1"/>
  <c r="C785" i="2"/>
  <c r="O785" i="2" s="1"/>
  <c r="C781" i="2"/>
  <c r="O781" i="2" s="1"/>
  <c r="C778" i="2"/>
  <c r="O778" i="2" s="1"/>
  <c r="C784" i="2"/>
  <c r="O784" i="2" s="1"/>
  <c r="C777" i="2"/>
  <c r="O777" i="2" s="1"/>
  <c r="C783" i="2"/>
  <c r="O783" i="2" s="1"/>
  <c r="C776" i="2"/>
  <c r="O776" i="2" s="1"/>
  <c r="C782" i="2"/>
  <c r="O782" i="2" s="1"/>
  <c r="C775" i="2"/>
  <c r="O775" i="2" s="1"/>
  <c r="C774" i="2"/>
  <c r="C780" i="2"/>
  <c r="O780" i="2" s="1"/>
  <c r="C733" i="2"/>
  <c r="O733" i="2" s="1"/>
  <c r="C735" i="2"/>
  <c r="O735" i="2" s="1"/>
  <c r="C741" i="2"/>
  <c r="O741" i="2" s="1"/>
  <c r="C734" i="2"/>
  <c r="O734" i="2" s="1"/>
  <c r="C730" i="2"/>
  <c r="C740" i="2"/>
  <c r="O740" i="2" s="1"/>
  <c r="C737" i="2"/>
  <c r="O737" i="2" s="1"/>
  <c r="C736" i="2"/>
  <c r="O736" i="2" s="1"/>
  <c r="C739" i="2"/>
  <c r="C738" i="2"/>
  <c r="O738" i="2" s="1"/>
  <c r="C732" i="2"/>
  <c r="O732" i="2" s="1"/>
  <c r="C731" i="2"/>
  <c r="O731" i="2" s="1"/>
  <c r="C692" i="2"/>
  <c r="O692" i="2" s="1"/>
  <c r="C691" i="2"/>
  <c r="O691" i="2" s="1"/>
  <c r="C697" i="2"/>
  <c r="O697" i="2" s="1"/>
  <c r="C694" i="2"/>
  <c r="O694" i="2" s="1"/>
  <c r="C690" i="2"/>
  <c r="O690" i="2" s="1"/>
  <c r="C696" i="2"/>
  <c r="O696" i="2" s="1"/>
  <c r="C689" i="2"/>
  <c r="O689" i="2" s="1"/>
  <c r="C695" i="2"/>
  <c r="O695" i="2" s="1"/>
  <c r="C688" i="2"/>
  <c r="O688" i="2" s="1"/>
  <c r="C687" i="2"/>
  <c r="O687" i="2" s="1"/>
  <c r="C693" i="2"/>
  <c r="O693" i="2" s="1"/>
  <c r="C686" i="2"/>
  <c r="C647" i="2"/>
  <c r="O647" i="2" s="1"/>
  <c r="C642" i="2"/>
  <c r="C653" i="2"/>
  <c r="O653" i="2" s="1"/>
  <c r="C646" i="2"/>
  <c r="O646" i="2" s="1"/>
  <c r="C652" i="2"/>
  <c r="O652" i="2" s="1"/>
  <c r="C649" i="2"/>
  <c r="O649" i="2" s="1"/>
  <c r="C645" i="2"/>
  <c r="O645" i="2" s="1"/>
  <c r="C651" i="2"/>
  <c r="O651" i="2" s="1"/>
  <c r="C644" i="2"/>
  <c r="O644" i="2" s="1"/>
  <c r="C650" i="2"/>
  <c r="O650" i="2" s="1"/>
  <c r="C648" i="2"/>
  <c r="O648" i="2" s="1"/>
  <c r="C643" i="2"/>
  <c r="O643" i="2" s="1"/>
  <c r="C427" i="2"/>
  <c r="O427" i="2" s="1"/>
  <c r="C433" i="2"/>
  <c r="O433" i="2" s="1"/>
  <c r="C422" i="2"/>
  <c r="C426" i="2"/>
  <c r="O426" i="2" s="1"/>
  <c r="C432" i="2"/>
  <c r="O432" i="2" s="1"/>
  <c r="C425" i="2"/>
  <c r="O425" i="2" s="1"/>
  <c r="C431" i="2"/>
  <c r="O431" i="2" s="1"/>
  <c r="C424" i="2"/>
  <c r="O424" i="2" s="1"/>
  <c r="C428" i="2"/>
  <c r="O428" i="2" s="1"/>
  <c r="C430" i="2"/>
  <c r="O430" i="2" s="1"/>
  <c r="C423" i="2"/>
  <c r="O423" i="2" s="1"/>
  <c r="C429" i="2"/>
  <c r="O429" i="2" s="1"/>
  <c r="C209" i="2"/>
  <c r="O209" i="2" s="1"/>
  <c r="C207" i="2"/>
  <c r="O207" i="2" s="1"/>
  <c r="C208" i="2"/>
  <c r="O208" i="2" s="1"/>
  <c r="C213" i="2"/>
  <c r="O213" i="2" s="1"/>
  <c r="C206" i="2"/>
  <c r="O206" i="2" s="1"/>
  <c r="C212" i="2"/>
  <c r="O212" i="2" s="1"/>
  <c r="C205" i="2"/>
  <c r="O205" i="2" s="1"/>
  <c r="C211" i="2"/>
  <c r="O211" i="2" s="1"/>
  <c r="C204" i="2"/>
  <c r="O204" i="2" s="1"/>
  <c r="C203" i="2"/>
  <c r="O203" i="2" s="1"/>
  <c r="C202" i="2"/>
  <c r="C210" i="2"/>
  <c r="O210" i="2" s="1"/>
  <c r="C163" i="2"/>
  <c r="O163" i="2" s="1"/>
  <c r="C169" i="2"/>
  <c r="O169" i="2" s="1"/>
  <c r="C162" i="2"/>
  <c r="O162" i="2" s="1"/>
  <c r="C168" i="2"/>
  <c r="O168" i="2" s="1"/>
  <c r="C161" i="2"/>
  <c r="O161" i="2" s="1"/>
  <c r="C165" i="2"/>
  <c r="O165" i="2" s="1"/>
  <c r="C167" i="2"/>
  <c r="O167" i="2" s="1"/>
  <c r="C160" i="2"/>
  <c r="O160" i="2" s="1"/>
  <c r="C159" i="2"/>
  <c r="O159" i="2" s="1"/>
  <c r="C164" i="2"/>
  <c r="O164" i="2" s="1"/>
  <c r="C166" i="2"/>
  <c r="O166" i="2" s="1"/>
  <c r="C158" i="2"/>
  <c r="G300" i="2"/>
  <c r="G1312" i="2"/>
  <c r="G301" i="2"/>
  <c r="G1180" i="2"/>
  <c r="G476" i="2"/>
  <c r="G1181" i="2"/>
  <c r="G345" i="2"/>
  <c r="G608" i="2"/>
  <c r="G521" i="2"/>
  <c r="G477" i="2"/>
  <c r="G609" i="2"/>
  <c r="G520" i="2"/>
  <c r="G256" i="2"/>
  <c r="G565" i="2"/>
  <c r="G388" i="2"/>
  <c r="G564" i="2"/>
  <c r="G257" i="2"/>
  <c r="G344" i="2"/>
  <c r="G389" i="2"/>
  <c r="G1313" i="2"/>
  <c r="M78" i="36"/>
  <c r="G1525" i="2"/>
  <c r="G1302" i="2"/>
  <c r="C1314" i="2"/>
  <c r="G1170" i="2"/>
  <c r="C1182" i="2"/>
  <c r="G378" i="2"/>
  <c r="C390" i="2"/>
  <c r="G334" i="2"/>
  <c r="C346" i="2"/>
  <c r="G290" i="2"/>
  <c r="C302" i="2"/>
  <c r="G250" i="2"/>
  <c r="G246" i="2"/>
  <c r="C258" i="2"/>
  <c r="G251" i="2"/>
  <c r="G510" i="2"/>
  <c r="G472" i="2"/>
  <c r="D82" i="13"/>
  <c r="G473" i="2"/>
  <c r="G29" i="20"/>
  <c r="G28" i="20"/>
  <c r="G30" i="20"/>
  <c r="G36" i="20"/>
  <c r="G31" i="20"/>
  <c r="G37" i="20"/>
  <c r="G35" i="20"/>
  <c r="G33" i="20"/>
  <c r="G27" i="20"/>
  <c r="G26" i="20"/>
  <c r="C38" i="20"/>
  <c r="G34" i="20"/>
  <c r="G32" i="20"/>
  <c r="N258" i="13"/>
  <c r="N214" i="13"/>
  <c r="N170" i="13"/>
  <c r="N82" i="13"/>
  <c r="E82" i="13"/>
  <c r="N126" i="13"/>
  <c r="C566" i="2"/>
  <c r="C478" i="2"/>
  <c r="C610" i="2"/>
  <c r="C522" i="2"/>
  <c r="G1531" i="2" l="1"/>
  <c r="G425" i="2"/>
  <c r="G955" i="2"/>
  <c r="G910" i="2"/>
  <c r="G823" i="2"/>
  <c r="G952" i="2"/>
  <c r="G424" i="2"/>
  <c r="G959" i="2"/>
  <c r="G1088" i="2"/>
  <c r="G738" i="2"/>
  <c r="G1083" i="2"/>
  <c r="G1090" i="2"/>
  <c r="G1042" i="2"/>
  <c r="G915" i="2"/>
  <c r="G957" i="2"/>
  <c r="G1041" i="2"/>
  <c r="G1523" i="2"/>
  <c r="G1089" i="2"/>
  <c r="G1264" i="2"/>
  <c r="G1397" i="2"/>
  <c r="G1219" i="2"/>
  <c r="G1394" i="2"/>
  <c r="G1529" i="2"/>
  <c r="G1222" i="2"/>
  <c r="G1399" i="2"/>
  <c r="G1215" i="2"/>
  <c r="G1528" i="2"/>
  <c r="G1393" i="2"/>
  <c r="G1350" i="2"/>
  <c r="G1347" i="2"/>
  <c r="G429" i="2"/>
  <c r="G428" i="2"/>
  <c r="G423" i="2"/>
  <c r="G1398" i="2"/>
  <c r="G431" i="2"/>
  <c r="G1480" i="2"/>
  <c r="G1263" i="2"/>
  <c r="G820" i="2"/>
  <c r="G1259" i="2"/>
  <c r="G911" i="2"/>
  <c r="G1392" i="2"/>
  <c r="G819" i="2"/>
  <c r="G866" i="2"/>
  <c r="G913" i="2"/>
  <c r="G1351" i="2"/>
  <c r="G1437" i="2"/>
  <c r="G956" i="2"/>
  <c r="G1481" i="2"/>
  <c r="G1483" i="2"/>
  <c r="G780" i="2"/>
  <c r="G951" i="2"/>
  <c r="G1487" i="2"/>
  <c r="G1482" i="2"/>
  <c r="G164" i="2"/>
  <c r="K160" i="20"/>
  <c r="I169" i="20"/>
  <c r="I165" i="20"/>
  <c r="M160" i="20"/>
  <c r="L160" i="20"/>
  <c r="L164" i="20"/>
  <c r="K164" i="20"/>
  <c r="I161" i="20"/>
  <c r="K168" i="20"/>
  <c r="L168" i="20"/>
  <c r="M169" i="20"/>
  <c r="M165" i="20"/>
  <c r="M161" i="20"/>
  <c r="H169" i="20"/>
  <c r="H165" i="20"/>
  <c r="H161" i="20"/>
  <c r="N168" i="20"/>
  <c r="N164" i="20"/>
  <c r="N160" i="20"/>
  <c r="M168" i="20"/>
  <c r="M164" i="20"/>
  <c r="J168" i="20"/>
  <c r="J164" i="20"/>
  <c r="J160" i="20"/>
  <c r="K163" i="20"/>
  <c r="L167" i="20"/>
  <c r="J161" i="20"/>
  <c r="I159" i="20"/>
  <c r="K167" i="20"/>
  <c r="I163" i="20"/>
  <c r="M158" i="20"/>
  <c r="I167" i="20"/>
  <c r="L162" i="20"/>
  <c r="M162" i="20"/>
  <c r="M166" i="20"/>
  <c r="L165" i="20"/>
  <c r="I168" i="20"/>
  <c r="K158" i="20"/>
  <c r="J159" i="20"/>
  <c r="K162" i="20"/>
  <c r="K161" i="20"/>
  <c r="K166" i="20"/>
  <c r="K159" i="20"/>
  <c r="K165" i="20"/>
  <c r="L158" i="20"/>
  <c r="K169" i="20"/>
  <c r="H158" i="20"/>
  <c r="J158" i="20"/>
  <c r="N161" i="20"/>
  <c r="H162" i="20"/>
  <c r="N166" i="20"/>
  <c r="N165" i="20"/>
  <c r="H166" i="20"/>
  <c r="N169" i="20"/>
  <c r="L166" i="20"/>
  <c r="J165" i="20"/>
  <c r="I160" i="20"/>
  <c r="O158" i="20"/>
  <c r="I158" i="20"/>
  <c r="I164" i="20"/>
  <c r="I162" i="20"/>
  <c r="M159" i="20"/>
  <c r="I166" i="20"/>
  <c r="H159" i="20"/>
  <c r="M163" i="20"/>
  <c r="J169" i="20"/>
  <c r="H163" i="20"/>
  <c r="M167" i="20"/>
  <c r="H160" i="20"/>
  <c r="L169" i="20"/>
  <c r="H167" i="20"/>
  <c r="N159" i="20"/>
  <c r="H164" i="20"/>
  <c r="N163" i="20"/>
  <c r="H168" i="20"/>
  <c r="N158" i="20"/>
  <c r="L159" i="20"/>
  <c r="N167" i="20"/>
  <c r="N162" i="20"/>
  <c r="L163" i="20"/>
  <c r="J162" i="20"/>
  <c r="J163" i="20"/>
  <c r="L161" i="20"/>
  <c r="J166" i="20"/>
  <c r="J167" i="20"/>
  <c r="G1527" i="2"/>
  <c r="M158" i="13"/>
  <c r="L158" i="13"/>
  <c r="H166" i="13"/>
  <c r="K165" i="13"/>
  <c r="L162" i="13"/>
  <c r="H161" i="13"/>
  <c r="L161" i="13"/>
  <c r="M162" i="13"/>
  <c r="K169" i="13"/>
  <c r="K159" i="13"/>
  <c r="O158" i="13"/>
  <c r="H169" i="13"/>
  <c r="M166" i="13"/>
  <c r="H162" i="13"/>
  <c r="L169" i="13"/>
  <c r="K161" i="13"/>
  <c r="I163" i="13"/>
  <c r="I159" i="13"/>
  <c r="L166" i="13"/>
  <c r="J161" i="13"/>
  <c r="K166" i="13"/>
  <c r="K162" i="13"/>
  <c r="K158" i="13"/>
  <c r="J165" i="13"/>
  <c r="J166" i="13"/>
  <c r="J162" i="13"/>
  <c r="J158" i="13"/>
  <c r="I166" i="13"/>
  <c r="I162" i="13"/>
  <c r="I158" i="13"/>
  <c r="H158" i="13"/>
  <c r="J169" i="13"/>
  <c r="L165" i="13"/>
  <c r="M169" i="13"/>
  <c r="M165" i="13"/>
  <c r="M161" i="13"/>
  <c r="I169" i="13"/>
  <c r="I165" i="13"/>
  <c r="I161" i="13"/>
  <c r="H165" i="13"/>
  <c r="M168" i="13"/>
  <c r="M164" i="13"/>
  <c r="M160" i="13"/>
  <c r="L160" i="13"/>
  <c r="H160" i="13"/>
  <c r="L164" i="13"/>
  <c r="H164" i="13"/>
  <c r="J160" i="13"/>
  <c r="L168" i="13"/>
  <c r="H168" i="13"/>
  <c r="J164" i="13"/>
  <c r="K160" i="13"/>
  <c r="I160" i="13"/>
  <c r="J168" i="13"/>
  <c r="K164" i="13"/>
  <c r="I164" i="13"/>
  <c r="K168" i="13"/>
  <c r="K163" i="13"/>
  <c r="I168" i="13"/>
  <c r="K167" i="13"/>
  <c r="I167" i="13"/>
  <c r="J159" i="13"/>
  <c r="M159" i="13"/>
  <c r="J163" i="13"/>
  <c r="M163" i="13"/>
  <c r="J167" i="13"/>
  <c r="M167" i="13"/>
  <c r="L159" i="13"/>
  <c r="L163" i="13"/>
  <c r="L167" i="13"/>
  <c r="H159" i="13"/>
  <c r="H163" i="13"/>
  <c r="H167" i="13"/>
  <c r="J257" i="13"/>
  <c r="H249" i="13"/>
  <c r="L257" i="13"/>
  <c r="L253" i="13"/>
  <c r="K249" i="13"/>
  <c r="L249" i="13"/>
  <c r="K257" i="13"/>
  <c r="H257" i="13"/>
  <c r="J253" i="13"/>
  <c r="J249" i="13"/>
  <c r="H253" i="13"/>
  <c r="H254" i="13"/>
  <c r="H250" i="13"/>
  <c r="H246" i="13"/>
  <c r="K253" i="13"/>
  <c r="I257" i="13"/>
  <c r="I253" i="13"/>
  <c r="I249" i="13"/>
  <c r="M256" i="13"/>
  <c r="M252" i="13"/>
  <c r="M248" i="13"/>
  <c r="L255" i="13"/>
  <c r="M246" i="13"/>
  <c r="M249" i="13"/>
  <c r="K246" i="13"/>
  <c r="L248" i="13"/>
  <c r="I246" i="13"/>
  <c r="K250" i="13"/>
  <c r="O246" i="13"/>
  <c r="H248" i="13"/>
  <c r="L252" i="13"/>
  <c r="H247" i="13"/>
  <c r="H255" i="13"/>
  <c r="I250" i="13"/>
  <c r="K254" i="13"/>
  <c r="H252" i="13"/>
  <c r="J248" i="13"/>
  <c r="L256" i="13"/>
  <c r="I254" i="13"/>
  <c r="H256" i="13"/>
  <c r="J252" i="13"/>
  <c r="K248" i="13"/>
  <c r="M254" i="13"/>
  <c r="I248" i="13"/>
  <c r="J256" i="13"/>
  <c r="K252" i="13"/>
  <c r="K247" i="13"/>
  <c r="I252" i="13"/>
  <c r="K256" i="13"/>
  <c r="L246" i="13"/>
  <c r="K251" i="13"/>
  <c r="I256" i="13"/>
  <c r="L250" i="13"/>
  <c r="K255" i="13"/>
  <c r="L254" i="13"/>
  <c r="J246" i="13"/>
  <c r="I247" i="13"/>
  <c r="J250" i="13"/>
  <c r="I251" i="13"/>
  <c r="H251" i="13"/>
  <c r="J254" i="13"/>
  <c r="I255" i="13"/>
  <c r="J247" i="13"/>
  <c r="M247" i="13"/>
  <c r="J251" i="13"/>
  <c r="M251" i="13"/>
  <c r="J255" i="13"/>
  <c r="M255" i="13"/>
  <c r="M250" i="13"/>
  <c r="L247" i="13"/>
  <c r="L251" i="13"/>
  <c r="M253" i="13"/>
  <c r="M257" i="13"/>
  <c r="G161" i="2"/>
  <c r="G162" i="2"/>
  <c r="G996" i="2"/>
  <c r="L114" i="20"/>
  <c r="L116" i="20"/>
  <c r="K124" i="20"/>
  <c r="I121" i="20"/>
  <c r="K120" i="20"/>
  <c r="I125" i="20"/>
  <c r="H117" i="20"/>
  <c r="M124" i="20"/>
  <c r="L118" i="20"/>
  <c r="L122" i="20"/>
  <c r="L120" i="20"/>
  <c r="I117" i="20"/>
  <c r="L124" i="20"/>
  <c r="K122" i="20"/>
  <c r="K118" i="20"/>
  <c r="K114" i="20"/>
  <c r="J122" i="20"/>
  <c r="J118" i="20"/>
  <c r="J114" i="20"/>
  <c r="I122" i="20"/>
  <c r="I118" i="20"/>
  <c r="I114" i="20"/>
  <c r="H122" i="20"/>
  <c r="H118" i="20"/>
  <c r="H114" i="20"/>
  <c r="N125" i="20"/>
  <c r="N121" i="20"/>
  <c r="N117" i="20"/>
  <c r="K116" i="20"/>
  <c r="M125" i="20"/>
  <c r="M121" i="20"/>
  <c r="M117" i="20"/>
  <c r="L125" i="20"/>
  <c r="L121" i="20"/>
  <c r="L117" i="20"/>
  <c r="K125" i="20"/>
  <c r="K121" i="20"/>
  <c r="K117" i="20"/>
  <c r="J125" i="20"/>
  <c r="J121" i="20"/>
  <c r="J117" i="20"/>
  <c r="H125" i="20"/>
  <c r="H121" i="20"/>
  <c r="N124" i="20"/>
  <c r="N120" i="20"/>
  <c r="N116" i="20"/>
  <c r="M120" i="20"/>
  <c r="M116" i="20"/>
  <c r="J124" i="20"/>
  <c r="J120" i="20"/>
  <c r="J116" i="20"/>
  <c r="I124" i="20"/>
  <c r="M114" i="20"/>
  <c r="I123" i="20"/>
  <c r="M118" i="20"/>
  <c r="I115" i="20"/>
  <c r="M122" i="20"/>
  <c r="K123" i="20"/>
  <c r="K119" i="20"/>
  <c r="I116" i="20"/>
  <c r="M115" i="20"/>
  <c r="I120" i="20"/>
  <c r="H115" i="20"/>
  <c r="M119" i="20"/>
  <c r="H119" i="20"/>
  <c r="M123" i="20"/>
  <c r="H116" i="20"/>
  <c r="H123" i="20"/>
  <c r="N115" i="20"/>
  <c r="H120" i="20"/>
  <c r="N119" i="20"/>
  <c r="H124" i="20"/>
  <c r="N114" i="20"/>
  <c r="L115" i="20"/>
  <c r="N123" i="20"/>
  <c r="N118" i="20"/>
  <c r="L119" i="20"/>
  <c r="N122" i="20"/>
  <c r="J115" i="20"/>
  <c r="L123" i="20"/>
  <c r="J119" i="20"/>
  <c r="J123" i="20"/>
  <c r="O114" i="20"/>
  <c r="K115" i="20"/>
  <c r="I119" i="20"/>
  <c r="G1001" i="2"/>
  <c r="G995" i="2"/>
  <c r="G1002" i="2"/>
  <c r="G165" i="2"/>
  <c r="H80" i="13"/>
  <c r="J76" i="13"/>
  <c r="K72" i="13"/>
  <c r="J70" i="13"/>
  <c r="I72" i="13"/>
  <c r="J80" i="13"/>
  <c r="K76" i="13"/>
  <c r="H77" i="13"/>
  <c r="I76" i="13"/>
  <c r="K80" i="13"/>
  <c r="I80" i="13"/>
  <c r="J73" i="13"/>
  <c r="L77" i="13"/>
  <c r="L81" i="13"/>
  <c r="H78" i="13"/>
  <c r="K71" i="13"/>
  <c r="I74" i="13"/>
  <c r="M74" i="13"/>
  <c r="H74" i="13"/>
  <c r="J77" i="13"/>
  <c r="K75" i="13"/>
  <c r="I78" i="13"/>
  <c r="M72" i="13"/>
  <c r="L74" i="13"/>
  <c r="K79" i="13"/>
  <c r="K74" i="13"/>
  <c r="L80" i="13"/>
  <c r="M76" i="13"/>
  <c r="K78" i="13"/>
  <c r="J71" i="13"/>
  <c r="L70" i="13"/>
  <c r="M71" i="13"/>
  <c r="L72" i="13"/>
  <c r="H73" i="13"/>
  <c r="M80" i="13"/>
  <c r="I70" i="13"/>
  <c r="J75" i="13"/>
  <c r="M75" i="13"/>
  <c r="J81" i="13"/>
  <c r="H72" i="13"/>
  <c r="J79" i="13"/>
  <c r="M79" i="13"/>
  <c r="K73" i="13"/>
  <c r="I71" i="13"/>
  <c r="O70" i="13"/>
  <c r="L76" i="13"/>
  <c r="I75" i="13"/>
  <c r="L71" i="13"/>
  <c r="H76" i="13"/>
  <c r="K70" i="13"/>
  <c r="I79" i="13"/>
  <c r="L75" i="13"/>
  <c r="L78" i="13"/>
  <c r="L79" i="13"/>
  <c r="M78" i="13"/>
  <c r="J74" i="13"/>
  <c r="I73" i="13"/>
  <c r="L73" i="13"/>
  <c r="J78" i="13"/>
  <c r="H71" i="13"/>
  <c r="I77" i="13"/>
  <c r="H75" i="13"/>
  <c r="I81" i="13"/>
  <c r="H79" i="13"/>
  <c r="J72" i="13"/>
  <c r="M73" i="13"/>
  <c r="M70" i="13"/>
  <c r="M77" i="13"/>
  <c r="M81" i="13"/>
  <c r="K81" i="13"/>
  <c r="K77" i="13"/>
  <c r="H70" i="13"/>
  <c r="H81" i="13"/>
  <c r="G865" i="2"/>
  <c r="G1443" i="2"/>
  <c r="K78" i="20"/>
  <c r="I73" i="20"/>
  <c r="H77" i="20"/>
  <c r="L80" i="20"/>
  <c r="L78" i="20"/>
  <c r="H73" i="20"/>
  <c r="M72" i="20"/>
  <c r="K80" i="20"/>
  <c r="I81" i="20"/>
  <c r="L72" i="20"/>
  <c r="J79" i="20"/>
  <c r="J75" i="20"/>
  <c r="J71" i="20"/>
  <c r="H79" i="20"/>
  <c r="H75" i="20"/>
  <c r="H71" i="20"/>
  <c r="K74" i="20"/>
  <c r="L74" i="20"/>
  <c r="N78" i="20"/>
  <c r="N74" i="20"/>
  <c r="N70" i="20"/>
  <c r="M80" i="20"/>
  <c r="L76" i="20"/>
  <c r="K72" i="20"/>
  <c r="M78" i="20"/>
  <c r="M74" i="20"/>
  <c r="M70" i="20"/>
  <c r="I77" i="20"/>
  <c r="H81" i="20"/>
  <c r="M76" i="20"/>
  <c r="L70" i="20"/>
  <c r="K70" i="20"/>
  <c r="K76" i="20"/>
  <c r="J78" i="20"/>
  <c r="J74" i="20"/>
  <c r="J70" i="20"/>
  <c r="I78" i="20"/>
  <c r="I74" i="20"/>
  <c r="I70" i="20"/>
  <c r="H78" i="20"/>
  <c r="H74" i="20"/>
  <c r="H70" i="20"/>
  <c r="N81" i="20"/>
  <c r="N77" i="20"/>
  <c r="N73" i="20"/>
  <c r="M81" i="20"/>
  <c r="M77" i="20"/>
  <c r="M73" i="20"/>
  <c r="L81" i="20"/>
  <c r="L77" i="20"/>
  <c r="L73" i="20"/>
  <c r="K81" i="20"/>
  <c r="K77" i="20"/>
  <c r="K73" i="20"/>
  <c r="J81" i="20"/>
  <c r="J77" i="20"/>
  <c r="J73" i="20"/>
  <c r="N80" i="20"/>
  <c r="N76" i="20"/>
  <c r="N72" i="20"/>
  <c r="J80" i="20"/>
  <c r="J76" i="20"/>
  <c r="J72" i="20"/>
  <c r="I79" i="20"/>
  <c r="I72" i="20"/>
  <c r="M71" i="20"/>
  <c r="I76" i="20"/>
  <c r="M75" i="20"/>
  <c r="I80" i="20"/>
  <c r="K75" i="20"/>
  <c r="M79" i="20"/>
  <c r="H72" i="20"/>
  <c r="N71" i="20"/>
  <c r="H76" i="20"/>
  <c r="N75" i="20"/>
  <c r="H80" i="20"/>
  <c r="L71" i="20"/>
  <c r="N79" i="20"/>
  <c r="L75" i="20"/>
  <c r="L79" i="20"/>
  <c r="O70" i="20"/>
  <c r="K71" i="20"/>
  <c r="I71" i="20"/>
  <c r="K79" i="20"/>
  <c r="I75" i="20"/>
  <c r="G1442" i="2"/>
  <c r="G1044" i="2"/>
  <c r="G1436" i="2"/>
  <c r="G1262" i="2"/>
  <c r="G1261" i="2"/>
  <c r="G693" i="2"/>
  <c r="L210" i="13"/>
  <c r="J209" i="13"/>
  <c r="L205" i="13"/>
  <c r="J205" i="13"/>
  <c r="M206" i="13"/>
  <c r="L209" i="13"/>
  <c r="K209" i="13"/>
  <c r="M202" i="13"/>
  <c r="H213" i="13"/>
  <c r="L202" i="13"/>
  <c r="H202" i="13"/>
  <c r="K213" i="13"/>
  <c r="J213" i="13"/>
  <c r="H206" i="13"/>
  <c r="L213" i="13"/>
  <c r="K205" i="13"/>
  <c r="M210" i="13"/>
  <c r="H209" i="13"/>
  <c r="L206" i="13"/>
  <c r="K210" i="13"/>
  <c r="K206" i="13"/>
  <c r="K202" i="13"/>
  <c r="J210" i="13"/>
  <c r="J206" i="13"/>
  <c r="J202" i="13"/>
  <c r="I210" i="13"/>
  <c r="I206" i="13"/>
  <c r="I202" i="13"/>
  <c r="H210" i="13"/>
  <c r="M213" i="13"/>
  <c r="M209" i="13"/>
  <c r="M205" i="13"/>
  <c r="H205" i="13"/>
  <c r="I213" i="13"/>
  <c r="I209" i="13"/>
  <c r="I205" i="13"/>
  <c r="M212" i="13"/>
  <c r="M208" i="13"/>
  <c r="M204" i="13"/>
  <c r="H203" i="13"/>
  <c r="L204" i="13"/>
  <c r="H204" i="13"/>
  <c r="L208" i="13"/>
  <c r="H208" i="13"/>
  <c r="J204" i="13"/>
  <c r="L212" i="13"/>
  <c r="H212" i="13"/>
  <c r="J208" i="13"/>
  <c r="K204" i="13"/>
  <c r="I204" i="13"/>
  <c r="J212" i="13"/>
  <c r="K208" i="13"/>
  <c r="K203" i="13"/>
  <c r="I208" i="13"/>
  <c r="K212" i="13"/>
  <c r="K207" i="13"/>
  <c r="I212" i="13"/>
  <c r="K211" i="13"/>
  <c r="I203" i="13"/>
  <c r="I207" i="13"/>
  <c r="I211" i="13"/>
  <c r="J203" i="13"/>
  <c r="M203" i="13"/>
  <c r="J207" i="13"/>
  <c r="M207" i="13"/>
  <c r="J211" i="13"/>
  <c r="M211" i="13"/>
  <c r="L203" i="13"/>
  <c r="L207" i="13"/>
  <c r="L211" i="13"/>
  <c r="H207" i="13"/>
  <c r="H211" i="13"/>
  <c r="O202" i="13"/>
  <c r="G1003" i="2"/>
  <c r="G733" i="2"/>
  <c r="G1486" i="2"/>
  <c r="G651" i="2"/>
  <c r="G648" i="2"/>
  <c r="G1087" i="2"/>
  <c r="G1260" i="2"/>
  <c r="G735" i="2"/>
  <c r="G1133" i="2"/>
  <c r="I118" i="13"/>
  <c r="H114" i="13"/>
  <c r="L121" i="13"/>
  <c r="H121" i="13"/>
  <c r="L114" i="13"/>
  <c r="I114" i="13"/>
  <c r="M118" i="13"/>
  <c r="L122" i="13"/>
  <c r="K125" i="13"/>
  <c r="M114" i="13"/>
  <c r="K114" i="13"/>
  <c r="H122" i="13"/>
  <c r="L125" i="13"/>
  <c r="K118" i="13"/>
  <c r="H118" i="13"/>
  <c r="J117" i="13"/>
  <c r="K117" i="13"/>
  <c r="O114" i="13"/>
  <c r="K119" i="13"/>
  <c r="K115" i="13"/>
  <c r="L118" i="13"/>
  <c r="I123" i="13"/>
  <c r="I119" i="13"/>
  <c r="I115" i="13"/>
  <c r="M122" i="13"/>
  <c r="K122" i="13"/>
  <c r="L117" i="13"/>
  <c r="J122" i="13"/>
  <c r="J118" i="13"/>
  <c r="J114" i="13"/>
  <c r="J125" i="13"/>
  <c r="I122" i="13"/>
  <c r="H125" i="13"/>
  <c r="M125" i="13"/>
  <c r="M121" i="13"/>
  <c r="M117" i="13"/>
  <c r="K121" i="13"/>
  <c r="J121" i="13"/>
  <c r="H117" i="13"/>
  <c r="I125" i="13"/>
  <c r="I121" i="13"/>
  <c r="I117" i="13"/>
  <c r="M124" i="13"/>
  <c r="M120" i="13"/>
  <c r="M116" i="13"/>
  <c r="L116" i="13"/>
  <c r="H116" i="13"/>
  <c r="L120" i="13"/>
  <c r="H120" i="13"/>
  <c r="J116" i="13"/>
  <c r="L124" i="13"/>
  <c r="H124" i="13"/>
  <c r="J120" i="13"/>
  <c r="K116" i="13"/>
  <c r="I116" i="13"/>
  <c r="J124" i="13"/>
  <c r="K120" i="13"/>
  <c r="I120" i="13"/>
  <c r="K124" i="13"/>
  <c r="I124" i="13"/>
  <c r="K123" i="13"/>
  <c r="J115" i="13"/>
  <c r="M115" i="13"/>
  <c r="J119" i="13"/>
  <c r="M119" i="13"/>
  <c r="J123" i="13"/>
  <c r="M123" i="13"/>
  <c r="L115" i="13"/>
  <c r="L119" i="13"/>
  <c r="L123" i="13"/>
  <c r="H115" i="13"/>
  <c r="H119" i="13"/>
  <c r="H123" i="13"/>
  <c r="G1000" i="2"/>
  <c r="G1435" i="2"/>
  <c r="G775" i="2"/>
  <c r="G1127" i="2"/>
  <c r="G166" i="2"/>
  <c r="G160" i="2"/>
  <c r="G737" i="2"/>
  <c r="G1526" i="2"/>
  <c r="G167" i="2"/>
  <c r="G736" i="2"/>
  <c r="G1524" i="2"/>
  <c r="L204" i="4"/>
  <c r="L208" i="4"/>
  <c r="K208" i="4"/>
  <c r="M209" i="4"/>
  <c r="M205" i="4"/>
  <c r="L212" i="4"/>
  <c r="J208" i="4"/>
  <c r="M213" i="4"/>
  <c r="K204" i="4"/>
  <c r="K212" i="4"/>
  <c r="J204" i="4"/>
  <c r="I204" i="4"/>
  <c r="J212" i="4"/>
  <c r="K202" i="4"/>
  <c r="H208" i="4"/>
  <c r="N213" i="4"/>
  <c r="K206" i="4"/>
  <c r="H212" i="4"/>
  <c r="I205" i="4"/>
  <c r="K210" i="4"/>
  <c r="J203" i="4"/>
  <c r="M210" i="4"/>
  <c r="I209" i="4"/>
  <c r="J207" i="4"/>
  <c r="N205" i="4"/>
  <c r="I213" i="4"/>
  <c r="I203" i="4"/>
  <c r="J211" i="4"/>
  <c r="L202" i="4"/>
  <c r="I207" i="4"/>
  <c r="K207" i="4"/>
  <c r="I202" i="4"/>
  <c r="I211" i="4"/>
  <c r="N209" i="4"/>
  <c r="I206" i="4"/>
  <c r="N204" i="4"/>
  <c r="I210" i="4"/>
  <c r="I208" i="4"/>
  <c r="I212" i="4"/>
  <c r="H203" i="4"/>
  <c r="L205" i="4"/>
  <c r="H207" i="4"/>
  <c r="K209" i="4"/>
  <c r="L209" i="4"/>
  <c r="H211" i="4"/>
  <c r="N203" i="4"/>
  <c r="L213" i="4"/>
  <c r="O202" i="4"/>
  <c r="N207" i="4"/>
  <c r="L206" i="4"/>
  <c r="J205" i="4"/>
  <c r="N211" i="4"/>
  <c r="N208" i="4"/>
  <c r="J209" i="4"/>
  <c r="J213" i="4"/>
  <c r="L210" i="4"/>
  <c r="M203" i="4"/>
  <c r="N202" i="4"/>
  <c r="M207" i="4"/>
  <c r="M204" i="4"/>
  <c r="N206" i="4"/>
  <c r="M211" i="4"/>
  <c r="M208" i="4"/>
  <c r="N210" i="4"/>
  <c r="M212" i="4"/>
  <c r="L203" i="4"/>
  <c r="H205" i="4"/>
  <c r="J202" i="4"/>
  <c r="L207" i="4"/>
  <c r="K205" i="4"/>
  <c r="H209" i="4"/>
  <c r="J206" i="4"/>
  <c r="L211" i="4"/>
  <c r="H213" i="4"/>
  <c r="H202" i="4"/>
  <c r="J210" i="4"/>
  <c r="H206" i="4"/>
  <c r="M202" i="4"/>
  <c r="H210" i="4"/>
  <c r="M206" i="4"/>
  <c r="N212" i="4"/>
  <c r="K213" i="4"/>
  <c r="K211" i="4"/>
  <c r="H204" i="4"/>
  <c r="K203" i="4"/>
  <c r="G1391" i="2"/>
  <c r="G1084" i="2"/>
  <c r="G869" i="2"/>
  <c r="K336" i="4"/>
  <c r="J344" i="4"/>
  <c r="K344" i="4"/>
  <c r="J340" i="4"/>
  <c r="J336" i="4"/>
  <c r="L334" i="4"/>
  <c r="K334" i="4"/>
  <c r="J334" i="4"/>
  <c r="I334" i="4"/>
  <c r="H334" i="4"/>
  <c r="K340" i="4"/>
  <c r="M345" i="4"/>
  <c r="M341" i="4"/>
  <c r="M337" i="4"/>
  <c r="L337" i="4"/>
  <c r="K337" i="4"/>
  <c r="J341" i="4"/>
  <c r="J337" i="4"/>
  <c r="I345" i="4"/>
  <c r="I341" i="4"/>
  <c r="I337" i="4"/>
  <c r="H345" i="4"/>
  <c r="H341" i="4"/>
  <c r="H337" i="4"/>
  <c r="L340" i="4"/>
  <c r="N344" i="4"/>
  <c r="N340" i="4"/>
  <c r="N336" i="4"/>
  <c r="L344" i="4"/>
  <c r="M344" i="4"/>
  <c r="M340" i="4"/>
  <c r="M336" i="4"/>
  <c r="L336" i="4"/>
  <c r="I344" i="4"/>
  <c r="I340" i="4"/>
  <c r="I336" i="4"/>
  <c r="L343" i="4"/>
  <c r="N337" i="4"/>
  <c r="N342" i="4"/>
  <c r="K341" i="4"/>
  <c r="N341" i="4"/>
  <c r="M334" i="4"/>
  <c r="J338" i="4"/>
  <c r="K345" i="4"/>
  <c r="N345" i="4"/>
  <c r="M338" i="4"/>
  <c r="M342" i="4"/>
  <c r="K335" i="4"/>
  <c r="K338" i="4"/>
  <c r="K339" i="4"/>
  <c r="K342" i="4"/>
  <c r="K343" i="4"/>
  <c r="N334" i="4"/>
  <c r="H336" i="4"/>
  <c r="H340" i="4"/>
  <c r="N338" i="4"/>
  <c r="L338" i="4"/>
  <c r="H344" i="4"/>
  <c r="J342" i="4"/>
  <c r="L342" i="4"/>
  <c r="J335" i="4"/>
  <c r="I338" i="4"/>
  <c r="J339" i="4"/>
  <c r="I342" i="4"/>
  <c r="I335" i="4"/>
  <c r="J343" i="4"/>
  <c r="I339" i="4"/>
  <c r="I343" i="4"/>
  <c r="L341" i="4"/>
  <c r="L345" i="4"/>
  <c r="H335" i="4"/>
  <c r="J345" i="4"/>
  <c r="H339" i="4"/>
  <c r="H343" i="4"/>
  <c r="N335" i="4"/>
  <c r="O334" i="4"/>
  <c r="N339" i="4"/>
  <c r="N343" i="4"/>
  <c r="M339" i="4"/>
  <c r="M335" i="4"/>
  <c r="H338" i="4"/>
  <c r="L335" i="4"/>
  <c r="H342" i="4"/>
  <c r="L339" i="4"/>
  <c r="M343" i="4"/>
  <c r="G1395" i="2"/>
  <c r="G863" i="2"/>
  <c r="G610" i="2"/>
  <c r="J35" i="36" s="1"/>
  <c r="G159" i="2"/>
  <c r="K124" i="4"/>
  <c r="M125" i="4"/>
  <c r="L120" i="4"/>
  <c r="L116" i="4"/>
  <c r="M121" i="4"/>
  <c r="L124" i="4"/>
  <c r="K116" i="4"/>
  <c r="M117" i="4"/>
  <c r="J120" i="4"/>
  <c r="K120" i="4"/>
  <c r="J116" i="4"/>
  <c r="N124" i="4"/>
  <c r="N120" i="4"/>
  <c r="N116" i="4"/>
  <c r="J124" i="4"/>
  <c r="M124" i="4"/>
  <c r="M120" i="4"/>
  <c r="M116" i="4"/>
  <c r="I124" i="4"/>
  <c r="I120" i="4"/>
  <c r="I116" i="4"/>
  <c r="I114" i="4"/>
  <c r="L114" i="4"/>
  <c r="I123" i="4"/>
  <c r="J115" i="4"/>
  <c r="I118" i="4"/>
  <c r="I122" i="4"/>
  <c r="H115" i="4"/>
  <c r="L117" i="4"/>
  <c r="H119" i="4"/>
  <c r="L121" i="4"/>
  <c r="H123" i="4"/>
  <c r="N115" i="4"/>
  <c r="L125" i="4"/>
  <c r="O114" i="4"/>
  <c r="N119" i="4"/>
  <c r="J119" i="4"/>
  <c r="J117" i="4"/>
  <c r="L122" i="4"/>
  <c r="N123" i="4"/>
  <c r="J121" i="4"/>
  <c r="J125" i="4"/>
  <c r="I117" i="4"/>
  <c r="M115" i="4"/>
  <c r="N114" i="4"/>
  <c r="M119" i="4"/>
  <c r="N118" i="4"/>
  <c r="M123" i="4"/>
  <c r="K118" i="4"/>
  <c r="N122" i="4"/>
  <c r="L115" i="4"/>
  <c r="I121" i="4"/>
  <c r="H117" i="4"/>
  <c r="J114" i="4"/>
  <c r="L119" i="4"/>
  <c r="H121" i="4"/>
  <c r="J118" i="4"/>
  <c r="L123" i="4"/>
  <c r="H125" i="4"/>
  <c r="H114" i="4"/>
  <c r="J122" i="4"/>
  <c r="K114" i="4"/>
  <c r="H124" i="4"/>
  <c r="H118" i="4"/>
  <c r="M114" i="4"/>
  <c r="H122" i="4"/>
  <c r="M118" i="4"/>
  <c r="N117" i="4"/>
  <c r="M122" i="4"/>
  <c r="K117" i="4"/>
  <c r="N121" i="4"/>
  <c r="K115" i="4"/>
  <c r="K121" i="4"/>
  <c r="N125" i="4"/>
  <c r="K119" i="4"/>
  <c r="K125" i="4"/>
  <c r="K123" i="4"/>
  <c r="H116" i="4"/>
  <c r="K122" i="4"/>
  <c r="H120" i="4"/>
  <c r="I125" i="4"/>
  <c r="I115" i="4"/>
  <c r="J123" i="4"/>
  <c r="L118" i="4"/>
  <c r="I119" i="4"/>
  <c r="G734" i="2"/>
  <c r="G1440" i="2"/>
  <c r="G1091" i="2"/>
  <c r="G430" i="2"/>
  <c r="G864" i="2"/>
  <c r="G871" i="2"/>
  <c r="G867" i="2"/>
  <c r="J252" i="4"/>
  <c r="J248" i="4"/>
  <c r="K248" i="4"/>
  <c r="L248" i="4"/>
  <c r="K252" i="4"/>
  <c r="L252" i="4"/>
  <c r="L256" i="4"/>
  <c r="J256" i="4"/>
  <c r="K256" i="4"/>
  <c r="N252" i="4"/>
  <c r="K253" i="4"/>
  <c r="N257" i="4"/>
  <c r="K251" i="4"/>
  <c r="N256" i="4"/>
  <c r="K257" i="4"/>
  <c r="K255" i="4"/>
  <c r="H250" i="4"/>
  <c r="H248" i="4"/>
  <c r="K246" i="4"/>
  <c r="H252" i="4"/>
  <c r="K250" i="4"/>
  <c r="H256" i="4"/>
  <c r="I249" i="4"/>
  <c r="K254" i="4"/>
  <c r="J247" i="4"/>
  <c r="I253" i="4"/>
  <c r="J251" i="4"/>
  <c r="J254" i="4"/>
  <c r="I257" i="4"/>
  <c r="I247" i="4"/>
  <c r="J255" i="4"/>
  <c r="I251" i="4"/>
  <c r="L250" i="4"/>
  <c r="H257" i="4"/>
  <c r="M246" i="4"/>
  <c r="I246" i="4"/>
  <c r="L254" i="4"/>
  <c r="I255" i="4"/>
  <c r="H254" i="4"/>
  <c r="I250" i="4"/>
  <c r="H246" i="4"/>
  <c r="I248" i="4"/>
  <c r="I254" i="4"/>
  <c r="I252" i="4"/>
  <c r="I256" i="4"/>
  <c r="M257" i="4"/>
  <c r="H247" i="4"/>
  <c r="L249" i="4"/>
  <c r="H251" i="4"/>
  <c r="M253" i="4"/>
  <c r="L253" i="4"/>
  <c r="H255" i="4"/>
  <c r="N247" i="4"/>
  <c r="L257" i="4"/>
  <c r="O246" i="4"/>
  <c r="N251" i="4"/>
  <c r="J249" i="4"/>
  <c r="N255" i="4"/>
  <c r="J253" i="4"/>
  <c r="J257" i="4"/>
  <c r="M247" i="4"/>
  <c r="N246" i="4"/>
  <c r="M251" i="4"/>
  <c r="M248" i="4"/>
  <c r="N250" i="4"/>
  <c r="M249" i="4"/>
  <c r="M255" i="4"/>
  <c r="M252" i="4"/>
  <c r="N254" i="4"/>
  <c r="M256" i="4"/>
  <c r="L246" i="4"/>
  <c r="L247" i="4"/>
  <c r="H249" i="4"/>
  <c r="J246" i="4"/>
  <c r="L251" i="4"/>
  <c r="H253" i="4"/>
  <c r="J250" i="4"/>
  <c r="L255" i="4"/>
  <c r="N249" i="4"/>
  <c r="M254" i="4"/>
  <c r="M250" i="4"/>
  <c r="N248" i="4"/>
  <c r="K249" i="4"/>
  <c r="N253" i="4"/>
  <c r="K247" i="4"/>
  <c r="G868" i="2"/>
  <c r="G427" i="2"/>
  <c r="G870" i="2"/>
  <c r="G1085" i="2"/>
  <c r="G909" i="2"/>
  <c r="G1086" i="2"/>
  <c r="G426" i="2"/>
  <c r="G644" i="2"/>
  <c r="L168" i="4"/>
  <c r="K168" i="4"/>
  <c r="L164" i="4"/>
  <c r="L160" i="4"/>
  <c r="K164" i="4"/>
  <c r="K160" i="4"/>
  <c r="J164" i="4"/>
  <c r="J168" i="4"/>
  <c r="J160" i="4"/>
  <c r="I165" i="4"/>
  <c r="J163" i="4"/>
  <c r="K169" i="4"/>
  <c r="I169" i="4"/>
  <c r="I159" i="4"/>
  <c r="J167" i="4"/>
  <c r="M165" i="4"/>
  <c r="I163" i="4"/>
  <c r="I158" i="4"/>
  <c r="I167" i="4"/>
  <c r="H160" i="4"/>
  <c r="I162" i="4"/>
  <c r="I166" i="4"/>
  <c r="I160" i="4"/>
  <c r="I164" i="4"/>
  <c r="H159" i="4"/>
  <c r="I168" i="4"/>
  <c r="L161" i="4"/>
  <c r="H163" i="4"/>
  <c r="L165" i="4"/>
  <c r="H167" i="4"/>
  <c r="N159" i="4"/>
  <c r="N168" i="4"/>
  <c r="L169" i="4"/>
  <c r="O158" i="4"/>
  <c r="N163" i="4"/>
  <c r="J161" i="4"/>
  <c r="N167" i="4"/>
  <c r="J165" i="4"/>
  <c r="J169" i="4"/>
  <c r="M169" i="4"/>
  <c r="M159" i="4"/>
  <c r="N158" i="4"/>
  <c r="M163" i="4"/>
  <c r="M160" i="4"/>
  <c r="N162" i="4"/>
  <c r="M161" i="4"/>
  <c r="M167" i="4"/>
  <c r="L162" i="4"/>
  <c r="M164" i="4"/>
  <c r="N166" i="4"/>
  <c r="H164" i="4"/>
  <c r="M168" i="4"/>
  <c r="L159" i="4"/>
  <c r="H161" i="4"/>
  <c r="J158" i="4"/>
  <c r="L158" i="4"/>
  <c r="L163" i="4"/>
  <c r="H165" i="4"/>
  <c r="J162" i="4"/>
  <c r="L167" i="4"/>
  <c r="H169" i="4"/>
  <c r="H158" i="4"/>
  <c r="J166" i="4"/>
  <c r="H162" i="4"/>
  <c r="M158" i="4"/>
  <c r="H166" i="4"/>
  <c r="M162" i="4"/>
  <c r="N161" i="4"/>
  <c r="M166" i="4"/>
  <c r="N160" i="4"/>
  <c r="K161" i="4"/>
  <c r="N165" i="4"/>
  <c r="K159" i="4"/>
  <c r="L166" i="4"/>
  <c r="N164" i="4"/>
  <c r="K165" i="4"/>
  <c r="N169" i="4"/>
  <c r="K163" i="4"/>
  <c r="K167" i="4"/>
  <c r="K162" i="4"/>
  <c r="H168" i="4"/>
  <c r="I161" i="4"/>
  <c r="K166" i="4"/>
  <c r="K158" i="4"/>
  <c r="J159" i="4"/>
  <c r="J300" i="4"/>
  <c r="M293" i="4"/>
  <c r="L298" i="4"/>
  <c r="L294" i="4"/>
  <c r="L290" i="4"/>
  <c r="K298" i="4"/>
  <c r="K294" i="4"/>
  <c r="K290" i="4"/>
  <c r="K296" i="4"/>
  <c r="J298" i="4"/>
  <c r="J294" i="4"/>
  <c r="J290" i="4"/>
  <c r="K300" i="4"/>
  <c r="I298" i="4"/>
  <c r="I294" i="4"/>
  <c r="I290" i="4"/>
  <c r="H298" i="4"/>
  <c r="H294" i="4"/>
  <c r="H290" i="4"/>
  <c r="J296" i="4"/>
  <c r="N301" i="4"/>
  <c r="N297" i="4"/>
  <c r="N293" i="4"/>
  <c r="M301" i="4"/>
  <c r="M297" i="4"/>
  <c r="L301" i="4"/>
  <c r="L297" i="4"/>
  <c r="L293" i="4"/>
  <c r="K301" i="4"/>
  <c r="K297" i="4"/>
  <c r="K293" i="4"/>
  <c r="J301" i="4"/>
  <c r="J297" i="4"/>
  <c r="J293" i="4"/>
  <c r="L292" i="4"/>
  <c r="I301" i="4"/>
  <c r="I297" i="4"/>
  <c r="I293" i="4"/>
  <c r="L296" i="4"/>
  <c r="K292" i="4"/>
  <c r="H301" i="4"/>
  <c r="H297" i="4"/>
  <c r="H293" i="4"/>
  <c r="L300" i="4"/>
  <c r="J292" i="4"/>
  <c r="N300" i="4"/>
  <c r="N296" i="4"/>
  <c r="N292" i="4"/>
  <c r="M300" i="4"/>
  <c r="M296" i="4"/>
  <c r="M292" i="4"/>
  <c r="I300" i="4"/>
  <c r="I296" i="4"/>
  <c r="I292" i="4"/>
  <c r="M294" i="4"/>
  <c r="M298" i="4"/>
  <c r="K291" i="4"/>
  <c r="K295" i="4"/>
  <c r="K299" i="4"/>
  <c r="L295" i="4"/>
  <c r="H292" i="4"/>
  <c r="H296" i="4"/>
  <c r="H300" i="4"/>
  <c r="J291" i="4"/>
  <c r="J295" i="4"/>
  <c r="I291" i="4"/>
  <c r="J299" i="4"/>
  <c r="I295" i="4"/>
  <c r="I299" i="4"/>
  <c r="L299" i="4"/>
  <c r="H291" i="4"/>
  <c r="H295" i="4"/>
  <c r="H299" i="4"/>
  <c r="N291" i="4"/>
  <c r="O290" i="4"/>
  <c r="N295" i="4"/>
  <c r="N299" i="4"/>
  <c r="M291" i="4"/>
  <c r="N290" i="4"/>
  <c r="M295" i="4"/>
  <c r="N294" i="4"/>
  <c r="M299" i="4"/>
  <c r="L291" i="4"/>
  <c r="N298" i="4"/>
  <c r="M290" i="4"/>
  <c r="G643" i="2"/>
  <c r="G958" i="2"/>
  <c r="G1265" i="2"/>
  <c r="G650" i="2"/>
  <c r="G1266" i="2"/>
  <c r="G649" i="2"/>
  <c r="G1530" i="2"/>
  <c r="G645" i="2"/>
  <c r="G1267" i="2"/>
  <c r="G1352" i="2"/>
  <c r="O1352" i="2"/>
  <c r="H211" i="2"/>
  <c r="L212" i="2"/>
  <c r="L210" i="2"/>
  <c r="N209" i="2"/>
  <c r="M209" i="2"/>
  <c r="M204" i="2"/>
  <c r="N205" i="2"/>
  <c r="H205" i="2"/>
  <c r="N204" i="2"/>
  <c r="M203" i="2"/>
  <c r="L203" i="2"/>
  <c r="H203" i="2"/>
  <c r="M211" i="2"/>
  <c r="H212" i="2"/>
  <c r="L204" i="2"/>
  <c r="N210" i="2"/>
  <c r="N206" i="2"/>
  <c r="H213" i="2"/>
  <c r="M207" i="2"/>
  <c r="H202" i="2"/>
  <c r="M208" i="2"/>
  <c r="L202" i="2"/>
  <c r="N208" i="2"/>
  <c r="L213" i="2"/>
  <c r="N202" i="2"/>
  <c r="H209" i="2"/>
  <c r="N207" i="2"/>
  <c r="L211" i="2"/>
  <c r="M202" i="2"/>
  <c r="L205" i="2"/>
  <c r="N211" i="2"/>
  <c r="M205" i="2"/>
  <c r="O202" i="2"/>
  <c r="L207" i="2"/>
  <c r="N213" i="2"/>
  <c r="N212" i="2"/>
  <c r="H204" i="2"/>
  <c r="N203" i="2"/>
  <c r="L208" i="2"/>
  <c r="M210" i="2"/>
  <c r="H206" i="2"/>
  <c r="H207" i="2"/>
  <c r="M212" i="2"/>
  <c r="H210" i="2"/>
  <c r="L206" i="2"/>
  <c r="L209" i="2"/>
  <c r="M206" i="2"/>
  <c r="M213" i="2"/>
  <c r="H208" i="2"/>
  <c r="K203" i="2"/>
  <c r="K207" i="2"/>
  <c r="K205" i="2"/>
  <c r="K210" i="2"/>
  <c r="K209" i="2"/>
  <c r="K211" i="2"/>
  <c r="K202" i="2"/>
  <c r="K213" i="2"/>
  <c r="K204" i="2"/>
  <c r="K206" i="2"/>
  <c r="K212" i="2"/>
  <c r="K208" i="2"/>
  <c r="I209" i="2"/>
  <c r="I207" i="2"/>
  <c r="I204" i="2"/>
  <c r="J210" i="2"/>
  <c r="I213" i="2"/>
  <c r="I208" i="2"/>
  <c r="J204" i="2"/>
  <c r="J212" i="2"/>
  <c r="J202" i="2"/>
  <c r="I203" i="2"/>
  <c r="I212" i="2"/>
  <c r="J209" i="2"/>
  <c r="J213" i="2"/>
  <c r="J205" i="2"/>
  <c r="J207" i="2"/>
  <c r="J203" i="2"/>
  <c r="J206" i="2"/>
  <c r="J211" i="2"/>
  <c r="I205" i="2"/>
  <c r="I211" i="2"/>
  <c r="I202" i="2"/>
  <c r="I206" i="2"/>
  <c r="J208" i="2"/>
  <c r="I210" i="2"/>
  <c r="H915" i="2"/>
  <c r="N913" i="2"/>
  <c r="M907" i="2"/>
  <c r="L914" i="2"/>
  <c r="H909" i="2"/>
  <c r="N908" i="2"/>
  <c r="M908" i="2"/>
  <c r="N917" i="2"/>
  <c r="L911" i="2"/>
  <c r="M915" i="2"/>
  <c r="M913" i="2"/>
  <c r="M917" i="2"/>
  <c r="H911" i="2"/>
  <c r="L917" i="2"/>
  <c r="H917" i="2"/>
  <c r="N910" i="2"/>
  <c r="M910" i="2"/>
  <c r="N916" i="2"/>
  <c r="H907" i="2"/>
  <c r="L910" i="2"/>
  <c r="M916" i="2"/>
  <c r="H910" i="2"/>
  <c r="M909" i="2"/>
  <c r="N915" i="2"/>
  <c r="L909" i="2"/>
  <c r="H916" i="2"/>
  <c r="L915" i="2"/>
  <c r="N914" i="2"/>
  <c r="L908" i="2"/>
  <c r="M914" i="2"/>
  <c r="H908" i="2"/>
  <c r="L912" i="2"/>
  <c r="H912" i="2"/>
  <c r="N909" i="2"/>
  <c r="H914" i="2"/>
  <c r="L913" i="2"/>
  <c r="L916" i="2"/>
  <c r="L907" i="2"/>
  <c r="H913" i="2"/>
  <c r="O906" i="2"/>
  <c r="N906" i="2"/>
  <c r="M906" i="2"/>
  <c r="N912" i="2"/>
  <c r="L906" i="2"/>
  <c r="M912" i="2"/>
  <c r="H906" i="2"/>
  <c r="N911" i="2"/>
  <c r="M911" i="2"/>
  <c r="N907" i="2"/>
  <c r="K909" i="2"/>
  <c r="K917" i="2"/>
  <c r="K913" i="2"/>
  <c r="K912" i="2"/>
  <c r="K908" i="2"/>
  <c r="K916" i="2"/>
  <c r="K915" i="2"/>
  <c r="K911" i="2"/>
  <c r="K907" i="2"/>
  <c r="K906" i="2"/>
  <c r="K914" i="2"/>
  <c r="K910" i="2"/>
  <c r="I906" i="2"/>
  <c r="J907" i="2"/>
  <c r="J917" i="2"/>
  <c r="I915" i="2"/>
  <c r="J914" i="2"/>
  <c r="I907" i="2"/>
  <c r="J910" i="2"/>
  <c r="I911" i="2"/>
  <c r="J906" i="2"/>
  <c r="I913" i="2"/>
  <c r="I917" i="2"/>
  <c r="I909" i="2"/>
  <c r="J909" i="2"/>
  <c r="J913" i="2"/>
  <c r="I912" i="2"/>
  <c r="J912" i="2"/>
  <c r="I908" i="2"/>
  <c r="J908" i="2"/>
  <c r="I914" i="2"/>
  <c r="J916" i="2"/>
  <c r="J915" i="2"/>
  <c r="J911" i="2"/>
  <c r="I916" i="2"/>
  <c r="I910" i="2"/>
  <c r="L1350" i="2"/>
  <c r="N1348" i="2"/>
  <c r="H1350" i="2"/>
  <c r="L1351" i="2"/>
  <c r="N1350" i="2"/>
  <c r="H1349" i="2"/>
  <c r="H1353" i="2"/>
  <c r="M1356" i="2"/>
  <c r="N1346" i="2"/>
  <c r="M1346" i="2"/>
  <c r="N1352" i="2"/>
  <c r="L1346" i="2"/>
  <c r="M1352" i="2"/>
  <c r="N1356" i="2"/>
  <c r="H1357" i="2"/>
  <c r="H1346" i="2"/>
  <c r="H1355" i="2"/>
  <c r="L1352" i="2"/>
  <c r="N1357" i="2"/>
  <c r="H1352" i="2"/>
  <c r="H1351" i="2"/>
  <c r="N1351" i="2"/>
  <c r="M1357" i="2"/>
  <c r="L1357" i="2"/>
  <c r="M1350" i="2"/>
  <c r="L1356" i="2"/>
  <c r="M1349" i="2"/>
  <c r="H1356" i="2"/>
  <c r="N1354" i="2"/>
  <c r="N1349" i="2"/>
  <c r="L1348" i="2"/>
  <c r="N1355" i="2"/>
  <c r="M1353" i="2"/>
  <c r="L1349" i="2"/>
  <c r="M1348" i="2"/>
  <c r="L1347" i="2"/>
  <c r="L1353" i="2"/>
  <c r="O1346" i="2"/>
  <c r="N1353" i="2"/>
  <c r="H1347" i="2"/>
  <c r="M1347" i="2"/>
  <c r="L1354" i="2"/>
  <c r="H1354" i="2"/>
  <c r="M1354" i="2"/>
  <c r="M1351" i="2"/>
  <c r="N1347" i="2"/>
  <c r="M1355" i="2"/>
  <c r="L1355" i="2"/>
  <c r="H1348" i="2"/>
  <c r="J1351" i="2"/>
  <c r="I1346" i="2"/>
  <c r="J1347" i="2"/>
  <c r="K1355" i="2"/>
  <c r="K1348" i="2"/>
  <c r="K1349" i="2"/>
  <c r="J1354" i="2"/>
  <c r="J1355" i="2"/>
  <c r="I1347" i="2"/>
  <c r="I1355" i="2"/>
  <c r="J1350" i="2"/>
  <c r="J1357" i="2"/>
  <c r="I1357" i="2"/>
  <c r="J1353" i="2"/>
  <c r="I1353" i="2"/>
  <c r="I1350" i="2"/>
  <c r="J1349" i="2"/>
  <c r="I1349" i="2"/>
  <c r="J1356" i="2"/>
  <c r="I1356" i="2"/>
  <c r="J1352" i="2"/>
  <c r="K1357" i="2"/>
  <c r="I1352" i="2"/>
  <c r="I1354" i="2"/>
  <c r="K1352" i="2"/>
  <c r="J1348" i="2"/>
  <c r="K1353" i="2"/>
  <c r="I1348" i="2"/>
  <c r="K1356" i="2"/>
  <c r="K1347" i="2"/>
  <c r="K1354" i="2"/>
  <c r="K1350" i="2"/>
  <c r="I1351" i="2"/>
  <c r="J1346" i="2"/>
  <c r="K1351" i="2"/>
  <c r="K1346" i="2"/>
  <c r="G907" i="2"/>
  <c r="G1040" i="2"/>
  <c r="G1479" i="2"/>
  <c r="M645" i="2"/>
  <c r="N653" i="2"/>
  <c r="H645" i="2"/>
  <c r="M652" i="2"/>
  <c r="N644" i="2"/>
  <c r="L646" i="2"/>
  <c r="N646" i="2"/>
  <c r="H653" i="2"/>
  <c r="N652" i="2"/>
  <c r="H651" i="2"/>
  <c r="M651" i="2"/>
  <c r="M647" i="2"/>
  <c r="L651" i="2"/>
  <c r="L647" i="2"/>
  <c r="H646" i="2"/>
  <c r="N647" i="2"/>
  <c r="L642" i="2"/>
  <c r="N648" i="2"/>
  <c r="N642" i="2"/>
  <c r="H650" i="2"/>
  <c r="L645" i="2"/>
  <c r="L643" i="2"/>
  <c r="H652" i="2"/>
  <c r="N651" i="2"/>
  <c r="N649" i="2"/>
  <c r="M642" i="2"/>
  <c r="M643" i="2"/>
  <c r="N643" i="2"/>
  <c r="H649" i="2"/>
  <c r="H648" i="2"/>
  <c r="N645" i="2"/>
  <c r="L652" i="2"/>
  <c r="L648" i="2"/>
  <c r="L650" i="2"/>
  <c r="H644" i="2"/>
  <c r="H647" i="2"/>
  <c r="N650" i="2"/>
  <c r="M644" i="2"/>
  <c r="M649" i="2"/>
  <c r="H642" i="2"/>
  <c r="M646" i="2"/>
  <c r="M653" i="2"/>
  <c r="L644" i="2"/>
  <c r="O642" i="2"/>
  <c r="L649" i="2"/>
  <c r="H643" i="2"/>
  <c r="M650" i="2"/>
  <c r="M648" i="2"/>
  <c r="L653" i="2"/>
  <c r="K644" i="2"/>
  <c r="K643" i="2"/>
  <c r="K650" i="2"/>
  <c r="K653" i="2"/>
  <c r="K648" i="2"/>
  <c r="K652" i="2"/>
  <c r="K646" i="2"/>
  <c r="K645" i="2"/>
  <c r="K649" i="2"/>
  <c r="K651" i="2"/>
  <c r="K647" i="2"/>
  <c r="K642" i="2"/>
  <c r="J643" i="2"/>
  <c r="J645" i="2"/>
  <c r="J650" i="2"/>
  <c r="J646" i="2"/>
  <c r="J642" i="2"/>
  <c r="I643" i="2"/>
  <c r="I651" i="2"/>
  <c r="I653" i="2"/>
  <c r="I649" i="2"/>
  <c r="I645" i="2"/>
  <c r="I652" i="2"/>
  <c r="I648" i="2"/>
  <c r="J649" i="2"/>
  <c r="I644" i="2"/>
  <c r="I650" i="2"/>
  <c r="I646" i="2"/>
  <c r="J653" i="2"/>
  <c r="I642" i="2"/>
  <c r="I647" i="2"/>
  <c r="J648" i="2"/>
  <c r="J644" i="2"/>
  <c r="J651" i="2"/>
  <c r="J652" i="2"/>
  <c r="J647" i="2"/>
  <c r="H1048" i="2"/>
  <c r="L1044" i="2"/>
  <c r="L1049" i="2"/>
  <c r="H1044" i="2"/>
  <c r="M1043" i="2"/>
  <c r="H1043" i="2"/>
  <c r="L1042" i="2"/>
  <c r="N1041" i="2"/>
  <c r="M1041" i="2"/>
  <c r="M1049" i="2"/>
  <c r="N1048" i="2"/>
  <c r="L1048" i="2"/>
  <c r="L1045" i="2"/>
  <c r="H1046" i="2"/>
  <c r="M1046" i="2"/>
  <c r="L1046" i="2"/>
  <c r="H1042" i="2"/>
  <c r="N1045" i="2"/>
  <c r="L1041" i="2"/>
  <c r="N1047" i="2"/>
  <c r="H1038" i="2"/>
  <c r="L1040" i="2"/>
  <c r="N1046" i="2"/>
  <c r="M1044" i="2"/>
  <c r="H1040" i="2"/>
  <c r="L1038" i="2"/>
  <c r="H1039" i="2"/>
  <c r="L1039" i="2"/>
  <c r="M1048" i="2"/>
  <c r="N1044" i="2"/>
  <c r="M1045" i="2"/>
  <c r="M1038" i="2"/>
  <c r="M1042" i="2"/>
  <c r="L1043" i="2"/>
  <c r="L1047" i="2"/>
  <c r="H1045" i="2"/>
  <c r="N1039" i="2"/>
  <c r="H1041" i="2"/>
  <c r="M1040" i="2"/>
  <c r="M1047" i="2"/>
  <c r="M1039" i="2"/>
  <c r="H1049" i="2"/>
  <c r="H1047" i="2"/>
  <c r="N1043" i="2"/>
  <c r="N1042" i="2"/>
  <c r="N1040" i="2"/>
  <c r="N1049" i="2"/>
  <c r="O1038" i="2"/>
  <c r="N1038" i="2"/>
  <c r="K1040" i="2"/>
  <c r="K1048" i="2"/>
  <c r="K1044" i="2"/>
  <c r="K1047" i="2"/>
  <c r="K1043" i="2"/>
  <c r="K1039" i="2"/>
  <c r="K1041" i="2"/>
  <c r="K1046" i="2"/>
  <c r="K1042" i="2"/>
  <c r="K1038" i="2"/>
  <c r="K1045" i="2"/>
  <c r="K1049" i="2"/>
  <c r="J1039" i="2"/>
  <c r="I1049" i="2"/>
  <c r="J1046" i="2"/>
  <c r="I1045" i="2"/>
  <c r="J1042" i="2"/>
  <c r="I1041" i="2"/>
  <c r="J1038" i="2"/>
  <c r="I1048" i="2"/>
  <c r="I1044" i="2"/>
  <c r="I1040" i="2"/>
  <c r="I1046" i="2"/>
  <c r="I1042" i="2"/>
  <c r="I1038" i="2"/>
  <c r="J1049" i="2"/>
  <c r="J1041" i="2"/>
  <c r="I1047" i="2"/>
  <c r="J1045" i="2"/>
  <c r="I1039" i="2"/>
  <c r="I1043" i="2"/>
  <c r="J1044" i="2"/>
  <c r="J1040" i="2"/>
  <c r="J1047" i="2"/>
  <c r="J1048" i="2"/>
  <c r="J1043" i="2"/>
  <c r="G1217" i="2"/>
  <c r="O1217" i="2"/>
  <c r="G914" i="2"/>
  <c r="G1216" i="2"/>
  <c r="O1216" i="2"/>
  <c r="G1396" i="2"/>
  <c r="O1396" i="2"/>
  <c r="N959" i="2"/>
  <c r="H959" i="2"/>
  <c r="N958" i="2"/>
  <c r="M958" i="2"/>
  <c r="L958" i="2"/>
  <c r="N954" i="2"/>
  <c r="M954" i="2"/>
  <c r="M953" i="2"/>
  <c r="L953" i="2"/>
  <c r="N952" i="2"/>
  <c r="L952" i="2"/>
  <c r="H952" i="2"/>
  <c r="L960" i="2"/>
  <c r="H961" i="2"/>
  <c r="N956" i="2"/>
  <c r="N951" i="2"/>
  <c r="H958" i="2"/>
  <c r="L954" i="2"/>
  <c r="N960" i="2"/>
  <c r="L961" i="2"/>
  <c r="H955" i="2"/>
  <c r="M952" i="2"/>
  <c r="M961" i="2"/>
  <c r="M950" i="2"/>
  <c r="H956" i="2"/>
  <c r="N950" i="2"/>
  <c r="H957" i="2"/>
  <c r="L955" i="2"/>
  <c r="L959" i="2"/>
  <c r="N961" i="2"/>
  <c r="H953" i="2"/>
  <c r="O950" i="2"/>
  <c r="M959" i="2"/>
  <c r="N955" i="2"/>
  <c r="M956" i="2"/>
  <c r="L957" i="2"/>
  <c r="L956" i="2"/>
  <c r="M951" i="2"/>
  <c r="L950" i="2"/>
  <c r="L951" i="2"/>
  <c r="N957" i="2"/>
  <c r="H951" i="2"/>
  <c r="H954" i="2"/>
  <c r="M957" i="2"/>
  <c r="N953" i="2"/>
  <c r="M955" i="2"/>
  <c r="H960" i="2"/>
  <c r="M960" i="2"/>
  <c r="H950" i="2"/>
  <c r="K961" i="2"/>
  <c r="K957" i="2"/>
  <c r="K953" i="2"/>
  <c r="K952" i="2"/>
  <c r="K960" i="2"/>
  <c r="K956" i="2"/>
  <c r="K951" i="2"/>
  <c r="K959" i="2"/>
  <c r="K955" i="2"/>
  <c r="K958" i="2"/>
  <c r="K954" i="2"/>
  <c r="K950" i="2"/>
  <c r="I961" i="2"/>
  <c r="J961" i="2"/>
  <c r="I957" i="2"/>
  <c r="J957" i="2"/>
  <c r="I953" i="2"/>
  <c r="J953" i="2"/>
  <c r="I960" i="2"/>
  <c r="J960" i="2"/>
  <c r="I956" i="2"/>
  <c r="J956" i="2"/>
  <c r="I952" i="2"/>
  <c r="J952" i="2"/>
  <c r="I958" i="2"/>
  <c r="J959" i="2"/>
  <c r="I954" i="2"/>
  <c r="J955" i="2"/>
  <c r="I950" i="2"/>
  <c r="J951" i="2"/>
  <c r="I959" i="2"/>
  <c r="J958" i="2"/>
  <c r="I951" i="2"/>
  <c r="J954" i="2"/>
  <c r="I955" i="2"/>
  <c r="J950" i="2"/>
  <c r="N1400" i="2"/>
  <c r="L1394" i="2"/>
  <c r="H1396" i="2"/>
  <c r="M1395" i="2"/>
  <c r="H1395" i="2"/>
  <c r="H1400" i="2"/>
  <c r="N1393" i="2"/>
  <c r="M1393" i="2"/>
  <c r="L1401" i="2"/>
  <c r="M1401" i="2"/>
  <c r="L1400" i="2"/>
  <c r="L1396" i="2"/>
  <c r="H1401" i="2"/>
  <c r="M1391" i="2"/>
  <c r="N1392" i="2"/>
  <c r="L1397" i="2"/>
  <c r="N1390" i="2"/>
  <c r="H1397" i="2"/>
  <c r="H1399" i="2"/>
  <c r="L1398" i="2"/>
  <c r="L1395" i="2"/>
  <c r="L1399" i="2"/>
  <c r="N1401" i="2"/>
  <c r="H1393" i="2"/>
  <c r="N1395" i="2"/>
  <c r="N1391" i="2"/>
  <c r="M1399" i="2"/>
  <c r="H1398" i="2"/>
  <c r="O1390" i="2"/>
  <c r="L1393" i="2"/>
  <c r="N1399" i="2"/>
  <c r="H1390" i="2"/>
  <c r="M1396" i="2"/>
  <c r="M1394" i="2"/>
  <c r="M1390" i="2"/>
  <c r="L1390" i="2"/>
  <c r="H1394" i="2"/>
  <c r="N1394" i="2"/>
  <c r="N1396" i="2"/>
  <c r="H1392" i="2"/>
  <c r="M1400" i="2"/>
  <c r="M1398" i="2"/>
  <c r="H1391" i="2"/>
  <c r="M1397" i="2"/>
  <c r="L1392" i="2"/>
  <c r="M1392" i="2"/>
  <c r="N1397" i="2"/>
  <c r="N1398" i="2"/>
  <c r="L1391" i="2"/>
  <c r="I1390" i="2"/>
  <c r="K1391" i="2"/>
  <c r="I1395" i="2"/>
  <c r="K1398" i="2"/>
  <c r="J1394" i="2"/>
  <c r="I1399" i="2"/>
  <c r="K1394" i="2"/>
  <c r="I1391" i="2"/>
  <c r="K1390" i="2"/>
  <c r="I1397" i="2"/>
  <c r="K1401" i="2"/>
  <c r="J1390" i="2"/>
  <c r="J1401" i="2"/>
  <c r="K1393" i="2"/>
  <c r="J1397" i="2"/>
  <c r="I1401" i="2"/>
  <c r="J1393" i="2"/>
  <c r="J1400" i="2"/>
  <c r="J1396" i="2"/>
  <c r="J1392" i="2"/>
  <c r="I1393" i="2"/>
  <c r="J1399" i="2"/>
  <c r="J1395" i="2"/>
  <c r="K1397" i="2"/>
  <c r="J1391" i="2"/>
  <c r="J1398" i="2"/>
  <c r="I1396" i="2"/>
  <c r="K1396" i="2"/>
  <c r="I1392" i="2"/>
  <c r="K1392" i="2"/>
  <c r="I1398" i="2"/>
  <c r="K1400" i="2"/>
  <c r="I1400" i="2"/>
  <c r="K1399" i="2"/>
  <c r="I1394" i="2"/>
  <c r="K1395" i="2"/>
  <c r="G777" i="2"/>
  <c r="G1134" i="2"/>
  <c r="H1221" i="2"/>
  <c r="N1220" i="2"/>
  <c r="H1217" i="2"/>
  <c r="L1216" i="2"/>
  <c r="N1215" i="2"/>
  <c r="H1215" i="2"/>
  <c r="N1214" i="2"/>
  <c r="M1214" i="2"/>
  <c r="L1214" i="2"/>
  <c r="L1222" i="2"/>
  <c r="M1223" i="2"/>
  <c r="L1223" i="2"/>
  <c r="N1222" i="2"/>
  <c r="H1222" i="2"/>
  <c r="M1221" i="2"/>
  <c r="H1214" i="2"/>
  <c r="H1216" i="2"/>
  <c r="M1216" i="2"/>
  <c r="M1222" i="2"/>
  <c r="H1220" i="2"/>
  <c r="H1223" i="2"/>
  <c r="L1220" i="2"/>
  <c r="M1225" i="2"/>
  <c r="L1225" i="2"/>
  <c r="H1218" i="2"/>
  <c r="M1224" i="2"/>
  <c r="N1216" i="2"/>
  <c r="H1219" i="2"/>
  <c r="M1220" i="2"/>
  <c r="L1217" i="2"/>
  <c r="N1223" i="2"/>
  <c r="M1217" i="2"/>
  <c r="L1218" i="2"/>
  <c r="N1224" i="2"/>
  <c r="O1214" i="2"/>
  <c r="L1219" i="2"/>
  <c r="L1221" i="2"/>
  <c r="M1215" i="2"/>
  <c r="N1225" i="2"/>
  <c r="L1215" i="2"/>
  <c r="H1224" i="2"/>
  <c r="L1224" i="2"/>
  <c r="M1219" i="2"/>
  <c r="H1225" i="2"/>
  <c r="N1219" i="2"/>
  <c r="N1218" i="2"/>
  <c r="M1218" i="2"/>
  <c r="N1221" i="2"/>
  <c r="N1217" i="2"/>
  <c r="J1215" i="2"/>
  <c r="K1220" i="2"/>
  <c r="J1217" i="2"/>
  <c r="J1222" i="2"/>
  <c r="K1216" i="2"/>
  <c r="J1218" i="2"/>
  <c r="K1223" i="2"/>
  <c r="J1214" i="2"/>
  <c r="K1219" i="2"/>
  <c r="J1225" i="2"/>
  <c r="I1225" i="2"/>
  <c r="K1215" i="2"/>
  <c r="I1221" i="2"/>
  <c r="K1222" i="2"/>
  <c r="I1217" i="2"/>
  <c r="K1218" i="2"/>
  <c r="J1221" i="2"/>
  <c r="I1224" i="2"/>
  <c r="K1214" i="2"/>
  <c r="I1220" i="2"/>
  <c r="I1216" i="2"/>
  <c r="I1222" i="2"/>
  <c r="I1218" i="2"/>
  <c r="I1214" i="2"/>
  <c r="I1223" i="2"/>
  <c r="I1219" i="2"/>
  <c r="I1215" i="2"/>
  <c r="J1220" i="2"/>
  <c r="K1225" i="2"/>
  <c r="J1216" i="2"/>
  <c r="K1221" i="2"/>
  <c r="J1223" i="2"/>
  <c r="K1217" i="2"/>
  <c r="K1224" i="2"/>
  <c r="J1219" i="2"/>
  <c r="J1224" i="2"/>
  <c r="G776" i="2"/>
  <c r="G781" i="2"/>
  <c r="L1088" i="2"/>
  <c r="N1086" i="2"/>
  <c r="M1093" i="2"/>
  <c r="H1093" i="2"/>
  <c r="N1092" i="2"/>
  <c r="H1089" i="2"/>
  <c r="N1087" i="2"/>
  <c r="H1087" i="2"/>
  <c r="M1086" i="2"/>
  <c r="M1082" i="2"/>
  <c r="L1086" i="2"/>
  <c r="N1082" i="2"/>
  <c r="M1088" i="2"/>
  <c r="L1092" i="2"/>
  <c r="N1083" i="2"/>
  <c r="M1084" i="2"/>
  <c r="M1089" i="2"/>
  <c r="H1090" i="2"/>
  <c r="N1084" i="2"/>
  <c r="L1091" i="2"/>
  <c r="H1084" i="2"/>
  <c r="L1082" i="2"/>
  <c r="H1091" i="2"/>
  <c r="H1085" i="2"/>
  <c r="H1086" i="2"/>
  <c r="N1088" i="2"/>
  <c r="M1092" i="2"/>
  <c r="O1082" i="2"/>
  <c r="L1089" i="2"/>
  <c r="H1083" i="2"/>
  <c r="M1090" i="2"/>
  <c r="L1090" i="2"/>
  <c r="L1093" i="2"/>
  <c r="H1082" i="2"/>
  <c r="M1083" i="2"/>
  <c r="H1088" i="2"/>
  <c r="L1083" i="2"/>
  <c r="M1091" i="2"/>
  <c r="L1085" i="2"/>
  <c r="L1084" i="2"/>
  <c r="N1091" i="2"/>
  <c r="N1090" i="2"/>
  <c r="N1085" i="2"/>
  <c r="H1092" i="2"/>
  <c r="M1087" i="2"/>
  <c r="L1087" i="2"/>
  <c r="N1093" i="2"/>
  <c r="N1089" i="2"/>
  <c r="M1085" i="2"/>
  <c r="I1082" i="2"/>
  <c r="J1088" i="2"/>
  <c r="K1085" i="2"/>
  <c r="I1091" i="2"/>
  <c r="J1084" i="2"/>
  <c r="K1093" i="2"/>
  <c r="I1089" i="2"/>
  <c r="I1083" i="2"/>
  <c r="J1091" i="2"/>
  <c r="K1089" i="2"/>
  <c r="I1093" i="2"/>
  <c r="I1087" i="2"/>
  <c r="J1087" i="2"/>
  <c r="K1092" i="2"/>
  <c r="J1083" i="2"/>
  <c r="K1088" i="2"/>
  <c r="J1090" i="2"/>
  <c r="K1084" i="2"/>
  <c r="J1086" i="2"/>
  <c r="K1083" i="2"/>
  <c r="J1082" i="2"/>
  <c r="K1091" i="2"/>
  <c r="K1087" i="2"/>
  <c r="K1090" i="2"/>
  <c r="K1086" i="2"/>
  <c r="K1082" i="2"/>
  <c r="I1085" i="2"/>
  <c r="I1088" i="2"/>
  <c r="J1093" i="2"/>
  <c r="I1084" i="2"/>
  <c r="J1089" i="2"/>
  <c r="I1090" i="2"/>
  <c r="J1085" i="2"/>
  <c r="I1092" i="2"/>
  <c r="I1086" i="2"/>
  <c r="J1092" i="2"/>
  <c r="L1524" i="2"/>
  <c r="H1524" i="2"/>
  <c r="L1532" i="2"/>
  <c r="H1532" i="2"/>
  <c r="N1525" i="2"/>
  <c r="N1530" i="2"/>
  <c r="L1529" i="2"/>
  <c r="M1525" i="2"/>
  <c r="N1531" i="2"/>
  <c r="L1525" i="2"/>
  <c r="M1531" i="2"/>
  <c r="H1525" i="2"/>
  <c r="L1531" i="2"/>
  <c r="H1531" i="2"/>
  <c r="N1524" i="2"/>
  <c r="O1522" i="2"/>
  <c r="M1523" i="2"/>
  <c r="M1524" i="2"/>
  <c r="L1530" i="2"/>
  <c r="H1530" i="2"/>
  <c r="N1523" i="2"/>
  <c r="N1529" i="2"/>
  <c r="L1523" i="2"/>
  <c r="M1529" i="2"/>
  <c r="H1523" i="2"/>
  <c r="M1527" i="2"/>
  <c r="H1529" i="2"/>
  <c r="N1532" i="2"/>
  <c r="H1528" i="2"/>
  <c r="L1526" i="2"/>
  <c r="H1526" i="2"/>
  <c r="N1528" i="2"/>
  <c r="L1522" i="2"/>
  <c r="M1530" i="2"/>
  <c r="H1522" i="2"/>
  <c r="N1526" i="2"/>
  <c r="L1528" i="2"/>
  <c r="M1528" i="2"/>
  <c r="N1533" i="2"/>
  <c r="L1527" i="2"/>
  <c r="N1527" i="2"/>
  <c r="M1533" i="2"/>
  <c r="N1522" i="2"/>
  <c r="M1522" i="2"/>
  <c r="H1527" i="2"/>
  <c r="L1533" i="2"/>
  <c r="H1533" i="2"/>
  <c r="M1526" i="2"/>
  <c r="M1532" i="2"/>
  <c r="I1527" i="2"/>
  <c r="I1522" i="2"/>
  <c r="K1533" i="2"/>
  <c r="K1529" i="2"/>
  <c r="I1530" i="2"/>
  <c r="I1526" i="2"/>
  <c r="K1525" i="2"/>
  <c r="J1531" i="2"/>
  <c r="K1532" i="2"/>
  <c r="J1532" i="2"/>
  <c r="K1528" i="2"/>
  <c r="K1524" i="2"/>
  <c r="K1531" i="2"/>
  <c r="K1527" i="2"/>
  <c r="I1533" i="2"/>
  <c r="K1523" i="2"/>
  <c r="I1529" i="2"/>
  <c r="K1530" i="2"/>
  <c r="I1525" i="2"/>
  <c r="K1526" i="2"/>
  <c r="J1524" i="2"/>
  <c r="I1532" i="2"/>
  <c r="K1522" i="2"/>
  <c r="J1525" i="2"/>
  <c r="J1528" i="2"/>
  <c r="I1528" i="2"/>
  <c r="J1533" i="2"/>
  <c r="I1524" i="2"/>
  <c r="J1529" i="2"/>
  <c r="I1531" i="2"/>
  <c r="J1523" i="2"/>
  <c r="J1530" i="2"/>
  <c r="J1526" i="2"/>
  <c r="I1523" i="2"/>
  <c r="J1522" i="2"/>
  <c r="J1527" i="2"/>
  <c r="G779" i="2"/>
  <c r="G1348" i="2"/>
  <c r="G1131" i="2"/>
  <c r="G827" i="2"/>
  <c r="G999" i="2"/>
  <c r="G1135" i="2"/>
  <c r="H687" i="2"/>
  <c r="L693" i="2"/>
  <c r="O686" i="2"/>
  <c r="H693" i="2"/>
  <c r="L692" i="2"/>
  <c r="L690" i="2"/>
  <c r="N686" i="2"/>
  <c r="M686" i="2"/>
  <c r="N692" i="2"/>
  <c r="L696" i="2"/>
  <c r="H692" i="2"/>
  <c r="L686" i="2"/>
  <c r="M692" i="2"/>
  <c r="H686" i="2"/>
  <c r="N691" i="2"/>
  <c r="N697" i="2"/>
  <c r="M697" i="2"/>
  <c r="N689" i="2"/>
  <c r="L691" i="2"/>
  <c r="H697" i="2"/>
  <c r="N690" i="2"/>
  <c r="M695" i="2"/>
  <c r="M690" i="2"/>
  <c r="H689" i="2"/>
  <c r="M696" i="2"/>
  <c r="H696" i="2"/>
  <c r="L695" i="2"/>
  <c r="H690" i="2"/>
  <c r="H695" i="2"/>
  <c r="N695" i="2"/>
  <c r="N688" i="2"/>
  <c r="L689" i="2"/>
  <c r="M687" i="2"/>
  <c r="N696" i="2"/>
  <c r="N693" i="2"/>
  <c r="L697" i="2"/>
  <c r="M693" i="2"/>
  <c r="N687" i="2"/>
  <c r="M691" i="2"/>
  <c r="M688" i="2"/>
  <c r="N694" i="2"/>
  <c r="M689" i="2"/>
  <c r="L688" i="2"/>
  <c r="M694" i="2"/>
  <c r="H688" i="2"/>
  <c r="L694" i="2"/>
  <c r="H691" i="2"/>
  <c r="H694" i="2"/>
  <c r="L687" i="2"/>
  <c r="I697" i="2"/>
  <c r="K689" i="2"/>
  <c r="J697" i="2"/>
  <c r="I693" i="2"/>
  <c r="K693" i="2"/>
  <c r="J693" i="2"/>
  <c r="I689" i="2"/>
  <c r="K697" i="2"/>
  <c r="J689" i="2"/>
  <c r="I696" i="2"/>
  <c r="K696" i="2"/>
  <c r="J696" i="2"/>
  <c r="I692" i="2"/>
  <c r="K692" i="2"/>
  <c r="J692" i="2"/>
  <c r="I688" i="2"/>
  <c r="K688" i="2"/>
  <c r="J688" i="2"/>
  <c r="I694" i="2"/>
  <c r="K687" i="2"/>
  <c r="J695" i="2"/>
  <c r="I690" i="2"/>
  <c r="K691" i="2"/>
  <c r="J691" i="2"/>
  <c r="I686" i="2"/>
  <c r="K695" i="2"/>
  <c r="J687" i="2"/>
  <c r="I691" i="2"/>
  <c r="K690" i="2"/>
  <c r="J694" i="2"/>
  <c r="I695" i="2"/>
  <c r="K694" i="2"/>
  <c r="J690" i="2"/>
  <c r="I687" i="2"/>
  <c r="K686" i="2"/>
  <c r="J686" i="2"/>
  <c r="G647" i="2"/>
  <c r="G997" i="2"/>
  <c r="G739" i="2"/>
  <c r="O739" i="2"/>
  <c r="G908" i="2"/>
  <c r="G782" i="2"/>
  <c r="G1349" i="2"/>
  <c r="G1130" i="2"/>
  <c r="G1129" i="2"/>
  <c r="G210" i="2"/>
  <c r="G826" i="2"/>
  <c r="G1128" i="2"/>
  <c r="L158" i="2"/>
  <c r="H166" i="2"/>
  <c r="L166" i="2"/>
  <c r="H159" i="2"/>
  <c r="N158" i="2"/>
  <c r="M167" i="2"/>
  <c r="L167" i="2"/>
  <c r="N166" i="2"/>
  <c r="M165" i="2"/>
  <c r="H165" i="2"/>
  <c r="N164" i="2"/>
  <c r="L160" i="2"/>
  <c r="H161" i="2"/>
  <c r="N159" i="2"/>
  <c r="M158" i="2"/>
  <c r="M159" i="2"/>
  <c r="L169" i="2"/>
  <c r="L168" i="2"/>
  <c r="N162" i="2"/>
  <c r="H169" i="2"/>
  <c r="N163" i="2"/>
  <c r="M169" i="2"/>
  <c r="L164" i="2"/>
  <c r="H160" i="2"/>
  <c r="M166" i="2"/>
  <c r="H164" i="2"/>
  <c r="M160" i="2"/>
  <c r="H162" i="2"/>
  <c r="M168" i="2"/>
  <c r="N160" i="2"/>
  <c r="H158" i="2"/>
  <c r="H167" i="2"/>
  <c r="L161" i="2"/>
  <c r="M164" i="2"/>
  <c r="N167" i="2"/>
  <c r="L162" i="2"/>
  <c r="L159" i="2"/>
  <c r="H163" i="2"/>
  <c r="N161" i="2"/>
  <c r="L165" i="2"/>
  <c r="O158" i="2"/>
  <c r="H168" i="2"/>
  <c r="M163" i="2"/>
  <c r="L163" i="2"/>
  <c r="N165" i="2"/>
  <c r="M162" i="2"/>
  <c r="N169" i="2"/>
  <c r="N168" i="2"/>
  <c r="M161" i="2"/>
  <c r="K161" i="2"/>
  <c r="K165" i="2"/>
  <c r="K169" i="2"/>
  <c r="K160" i="2"/>
  <c r="K164" i="2"/>
  <c r="K168" i="2"/>
  <c r="K159" i="2"/>
  <c r="K167" i="2"/>
  <c r="K163" i="2"/>
  <c r="K166" i="2"/>
  <c r="K158" i="2"/>
  <c r="K162" i="2"/>
  <c r="J166" i="2"/>
  <c r="I159" i="2"/>
  <c r="J168" i="2"/>
  <c r="J161" i="2"/>
  <c r="J165" i="2"/>
  <c r="I163" i="2"/>
  <c r="J160" i="2"/>
  <c r="I158" i="2"/>
  <c r="I168" i="2"/>
  <c r="J164" i="2"/>
  <c r="J158" i="2"/>
  <c r="J162" i="2"/>
  <c r="I166" i="2"/>
  <c r="I167" i="2"/>
  <c r="I161" i="2"/>
  <c r="I164" i="2"/>
  <c r="I165" i="2"/>
  <c r="I160" i="2"/>
  <c r="I169" i="2"/>
  <c r="J169" i="2"/>
  <c r="J163" i="2"/>
  <c r="J167" i="2"/>
  <c r="J159" i="2"/>
  <c r="I162" i="2"/>
  <c r="G1354" i="2"/>
  <c r="G208" i="2"/>
  <c r="G646" i="2"/>
  <c r="G821" i="2"/>
  <c r="L423" i="2"/>
  <c r="L430" i="2"/>
  <c r="H430" i="2"/>
  <c r="M423" i="2"/>
  <c r="N423" i="2"/>
  <c r="H429" i="2"/>
  <c r="M429" i="2"/>
  <c r="H423" i="2"/>
  <c r="L429" i="2"/>
  <c r="M433" i="2"/>
  <c r="O422" i="2"/>
  <c r="M422" i="2"/>
  <c r="L428" i="2"/>
  <c r="H433" i="2"/>
  <c r="H428" i="2"/>
  <c r="N426" i="2"/>
  <c r="N427" i="2"/>
  <c r="L427" i="2"/>
  <c r="M428" i="2"/>
  <c r="M426" i="2"/>
  <c r="L433" i="2"/>
  <c r="N432" i="2"/>
  <c r="N422" i="2"/>
  <c r="L426" i="2"/>
  <c r="L422" i="2"/>
  <c r="M432" i="2"/>
  <c r="H426" i="2"/>
  <c r="N429" i="2"/>
  <c r="L432" i="2"/>
  <c r="H432" i="2"/>
  <c r="N425" i="2"/>
  <c r="H427" i="2"/>
  <c r="M425" i="2"/>
  <c r="N433" i="2"/>
  <c r="N430" i="2"/>
  <c r="L424" i="2"/>
  <c r="N431" i="2"/>
  <c r="H422" i="2"/>
  <c r="L425" i="2"/>
  <c r="M431" i="2"/>
  <c r="H425" i="2"/>
  <c r="L431" i="2"/>
  <c r="H431" i="2"/>
  <c r="N428" i="2"/>
  <c r="N424" i="2"/>
  <c r="M424" i="2"/>
  <c r="M430" i="2"/>
  <c r="H424" i="2"/>
  <c r="M427" i="2"/>
  <c r="K431" i="2"/>
  <c r="K424" i="2"/>
  <c r="K422" i="2"/>
  <c r="K426" i="2"/>
  <c r="K430" i="2"/>
  <c r="K427" i="2"/>
  <c r="K425" i="2"/>
  <c r="K429" i="2"/>
  <c r="K433" i="2"/>
  <c r="K432" i="2"/>
  <c r="K428" i="2"/>
  <c r="K423" i="2"/>
  <c r="J429" i="2"/>
  <c r="J433" i="2"/>
  <c r="J425" i="2"/>
  <c r="J424" i="2"/>
  <c r="J428" i="2"/>
  <c r="J432" i="2"/>
  <c r="J431" i="2"/>
  <c r="J427" i="2"/>
  <c r="J423" i="2"/>
  <c r="I430" i="2"/>
  <c r="J430" i="2"/>
  <c r="I426" i="2"/>
  <c r="J426" i="2"/>
  <c r="I422" i="2"/>
  <c r="J422" i="2"/>
  <c r="I427" i="2"/>
  <c r="I432" i="2"/>
  <c r="I431" i="2"/>
  <c r="I425" i="2"/>
  <c r="I424" i="2"/>
  <c r="I429" i="2"/>
  <c r="I423" i="2"/>
  <c r="I428" i="2"/>
  <c r="I433" i="2"/>
  <c r="N1261" i="2"/>
  <c r="H1261" i="2"/>
  <c r="N1260" i="2"/>
  <c r="N1264" i="2"/>
  <c r="O1258" i="2"/>
  <c r="H1267" i="2"/>
  <c r="L1258" i="2"/>
  <c r="M1264" i="2"/>
  <c r="H1258" i="2"/>
  <c r="M1260" i="2"/>
  <c r="M1259" i="2"/>
  <c r="L1264" i="2"/>
  <c r="H1264" i="2"/>
  <c r="M1267" i="2"/>
  <c r="H1268" i="2"/>
  <c r="N1263" i="2"/>
  <c r="M1263" i="2"/>
  <c r="N1269" i="2"/>
  <c r="L1263" i="2"/>
  <c r="M1269" i="2"/>
  <c r="H1263" i="2"/>
  <c r="L1269" i="2"/>
  <c r="H1269" i="2"/>
  <c r="N1262" i="2"/>
  <c r="L1259" i="2"/>
  <c r="M1262" i="2"/>
  <c r="M1265" i="2"/>
  <c r="N1268" i="2"/>
  <c r="L1262" i="2"/>
  <c r="M1268" i="2"/>
  <c r="H1262" i="2"/>
  <c r="L1266" i="2"/>
  <c r="H1260" i="2"/>
  <c r="H1265" i="2"/>
  <c r="H1266" i="2"/>
  <c r="H1259" i="2"/>
  <c r="L1267" i="2"/>
  <c r="L1260" i="2"/>
  <c r="L1268" i="2"/>
  <c r="N1266" i="2"/>
  <c r="M1266" i="2"/>
  <c r="L1265" i="2"/>
  <c r="N1265" i="2"/>
  <c r="N1267" i="2"/>
  <c r="N1258" i="2"/>
  <c r="M1258" i="2"/>
  <c r="N1259" i="2"/>
  <c r="M1261" i="2"/>
  <c r="L1261" i="2"/>
  <c r="I1269" i="2"/>
  <c r="J1264" i="2"/>
  <c r="I1265" i="2"/>
  <c r="J1260" i="2"/>
  <c r="I1261" i="2"/>
  <c r="J1267" i="2"/>
  <c r="I1268" i="2"/>
  <c r="J1263" i="2"/>
  <c r="I1264" i="2"/>
  <c r="J1259" i="2"/>
  <c r="K1269" i="2"/>
  <c r="I1260" i="2"/>
  <c r="J1266" i="2"/>
  <c r="K1265" i="2"/>
  <c r="I1266" i="2"/>
  <c r="J1262" i="2"/>
  <c r="K1261" i="2"/>
  <c r="I1262" i="2"/>
  <c r="J1258" i="2"/>
  <c r="K1268" i="2"/>
  <c r="I1258" i="2"/>
  <c r="K1264" i="2"/>
  <c r="I1267" i="2"/>
  <c r="K1260" i="2"/>
  <c r="I1259" i="2"/>
  <c r="K1267" i="2"/>
  <c r="I1263" i="2"/>
  <c r="K1263" i="2"/>
  <c r="K1259" i="2"/>
  <c r="K1266" i="2"/>
  <c r="K1262" i="2"/>
  <c r="K1258" i="2"/>
  <c r="J1269" i="2"/>
  <c r="J1265" i="2"/>
  <c r="J1261" i="2"/>
  <c r="J1268" i="2"/>
  <c r="G204" i="2"/>
  <c r="G825" i="2"/>
  <c r="M871" i="2"/>
  <c r="L871" i="2"/>
  <c r="N870" i="2"/>
  <c r="L870" i="2"/>
  <c r="H870" i="2"/>
  <c r="M869" i="2"/>
  <c r="H869" i="2"/>
  <c r="N868" i="2"/>
  <c r="H865" i="2"/>
  <c r="L864" i="2"/>
  <c r="N863" i="2"/>
  <c r="H863" i="2"/>
  <c r="N862" i="2"/>
  <c r="M862" i="2"/>
  <c r="L862" i="2"/>
  <c r="M868" i="2"/>
  <c r="H871" i="2"/>
  <c r="L865" i="2"/>
  <c r="N872" i="2"/>
  <c r="N871" i="2"/>
  <c r="M865" i="2"/>
  <c r="L866" i="2"/>
  <c r="H872" i="2"/>
  <c r="O862" i="2"/>
  <c r="L869" i="2"/>
  <c r="L867" i="2"/>
  <c r="M866" i="2"/>
  <c r="N873" i="2"/>
  <c r="M867" i="2"/>
  <c r="N865" i="2"/>
  <c r="L863" i="2"/>
  <c r="N869" i="2"/>
  <c r="M863" i="2"/>
  <c r="N866" i="2"/>
  <c r="H873" i="2"/>
  <c r="L872" i="2"/>
  <c r="H868" i="2"/>
  <c r="M872" i="2"/>
  <c r="M864" i="2"/>
  <c r="H864" i="2"/>
  <c r="M870" i="2"/>
  <c r="H867" i="2"/>
  <c r="M873" i="2"/>
  <c r="L868" i="2"/>
  <c r="L873" i="2"/>
  <c r="N864" i="2"/>
  <c r="N867" i="2"/>
  <c r="H866" i="2"/>
  <c r="H862" i="2"/>
  <c r="I873" i="2"/>
  <c r="K863" i="2"/>
  <c r="J863" i="2"/>
  <c r="I869" i="2"/>
  <c r="K866" i="2"/>
  <c r="J870" i="2"/>
  <c r="I865" i="2"/>
  <c r="K870" i="2"/>
  <c r="J866" i="2"/>
  <c r="I872" i="2"/>
  <c r="K862" i="2"/>
  <c r="J862" i="2"/>
  <c r="I868" i="2"/>
  <c r="I864" i="2"/>
  <c r="K865" i="2"/>
  <c r="I870" i="2"/>
  <c r="J865" i="2"/>
  <c r="I866" i="2"/>
  <c r="K873" i="2"/>
  <c r="I862" i="2"/>
  <c r="I871" i="2"/>
  <c r="I863" i="2"/>
  <c r="I867" i="2"/>
  <c r="J873" i="2"/>
  <c r="K869" i="2"/>
  <c r="J869" i="2"/>
  <c r="K868" i="2"/>
  <c r="J868" i="2"/>
  <c r="K864" i="2"/>
  <c r="J864" i="2"/>
  <c r="K867" i="2"/>
  <c r="J871" i="2"/>
  <c r="K872" i="2"/>
  <c r="J872" i="2"/>
  <c r="J867" i="2"/>
  <c r="K871" i="2"/>
  <c r="G1223" i="2"/>
  <c r="O1223" i="2"/>
  <c r="G522" i="2"/>
  <c r="H524" i="2" s="1"/>
  <c r="G783" i="2"/>
  <c r="G209" i="2"/>
  <c r="G822" i="2"/>
  <c r="G1221" i="2"/>
  <c r="M734" i="2"/>
  <c r="M741" i="2"/>
  <c r="N734" i="2"/>
  <c r="H741" i="2"/>
  <c r="N735" i="2"/>
  <c r="H735" i="2"/>
  <c r="N740" i="2"/>
  <c r="L738" i="2"/>
  <c r="H738" i="2"/>
  <c r="N731" i="2"/>
  <c r="M731" i="2"/>
  <c r="N737" i="2"/>
  <c r="L734" i="2"/>
  <c r="L731" i="2"/>
  <c r="M737" i="2"/>
  <c r="N730" i="2"/>
  <c r="H731" i="2"/>
  <c r="L737" i="2"/>
  <c r="O730" i="2"/>
  <c r="M730" i="2"/>
  <c r="N736" i="2"/>
  <c r="L730" i="2"/>
  <c r="M736" i="2"/>
  <c r="H730" i="2"/>
  <c r="H736" i="2"/>
  <c r="H737" i="2"/>
  <c r="M735" i="2"/>
  <c r="L740" i="2"/>
  <c r="N741" i="2"/>
  <c r="H740" i="2"/>
  <c r="L735" i="2"/>
  <c r="N733" i="2"/>
  <c r="L741" i="2"/>
  <c r="M733" i="2"/>
  <c r="M740" i="2"/>
  <c r="N738" i="2"/>
  <c r="L732" i="2"/>
  <c r="H739" i="2"/>
  <c r="M739" i="2"/>
  <c r="M732" i="2"/>
  <c r="L739" i="2"/>
  <c r="M738" i="2"/>
  <c r="N732" i="2"/>
  <c r="H734" i="2"/>
  <c r="N739" i="2"/>
  <c r="H732" i="2"/>
  <c r="L733" i="2"/>
  <c r="L736" i="2"/>
  <c r="H733" i="2"/>
  <c r="K733" i="2"/>
  <c r="K737" i="2"/>
  <c r="K741" i="2"/>
  <c r="K736" i="2"/>
  <c r="K732" i="2"/>
  <c r="K740" i="2"/>
  <c r="K731" i="2"/>
  <c r="K735" i="2"/>
  <c r="K739" i="2"/>
  <c r="K730" i="2"/>
  <c r="K734" i="2"/>
  <c r="K738" i="2"/>
  <c r="I741" i="2"/>
  <c r="I737" i="2"/>
  <c r="I733" i="2"/>
  <c r="I740" i="2"/>
  <c r="I736" i="2"/>
  <c r="I732" i="2"/>
  <c r="I738" i="2"/>
  <c r="I734" i="2"/>
  <c r="I730" i="2"/>
  <c r="I735" i="2"/>
  <c r="I739" i="2"/>
  <c r="J730" i="2"/>
  <c r="I731" i="2"/>
  <c r="J741" i="2"/>
  <c r="J737" i="2"/>
  <c r="J733" i="2"/>
  <c r="J740" i="2"/>
  <c r="J734" i="2"/>
  <c r="J732" i="2"/>
  <c r="J736" i="2"/>
  <c r="J739" i="2"/>
  <c r="J735" i="2"/>
  <c r="J731" i="2"/>
  <c r="J738" i="2"/>
  <c r="L1480" i="2"/>
  <c r="M1486" i="2"/>
  <c r="H1480" i="2"/>
  <c r="L1479" i="2"/>
  <c r="L1486" i="2"/>
  <c r="H1486" i="2"/>
  <c r="N1479" i="2"/>
  <c r="M1485" i="2"/>
  <c r="H1479" i="2"/>
  <c r="M1479" i="2"/>
  <c r="H1483" i="2"/>
  <c r="L1485" i="2"/>
  <c r="O1478" i="2"/>
  <c r="M1478" i="2"/>
  <c r="H1485" i="2"/>
  <c r="N1484" i="2"/>
  <c r="H1489" i="2"/>
  <c r="L1478" i="2"/>
  <c r="N1482" i="2"/>
  <c r="L1484" i="2"/>
  <c r="M1482" i="2"/>
  <c r="H1484" i="2"/>
  <c r="N1488" i="2"/>
  <c r="N1483" i="2"/>
  <c r="M1489" i="2"/>
  <c r="L1482" i="2"/>
  <c r="M1483" i="2"/>
  <c r="M1488" i="2"/>
  <c r="L1489" i="2"/>
  <c r="H1482" i="2"/>
  <c r="L1488" i="2"/>
  <c r="M1484" i="2"/>
  <c r="H1487" i="2"/>
  <c r="N1478" i="2"/>
  <c r="L1483" i="2"/>
  <c r="N1480" i="2"/>
  <c r="H1488" i="2"/>
  <c r="N1485" i="2"/>
  <c r="N1481" i="2"/>
  <c r="M1481" i="2"/>
  <c r="H1478" i="2"/>
  <c r="N1487" i="2"/>
  <c r="L1481" i="2"/>
  <c r="M1487" i="2"/>
  <c r="N1489" i="2"/>
  <c r="H1481" i="2"/>
  <c r="L1487" i="2"/>
  <c r="M1480" i="2"/>
  <c r="N1486" i="2"/>
  <c r="I1484" i="2"/>
  <c r="I1480" i="2"/>
  <c r="I1486" i="2"/>
  <c r="I1482" i="2"/>
  <c r="K1489" i="2"/>
  <c r="I1478" i="2"/>
  <c r="K1485" i="2"/>
  <c r="I1483" i="2"/>
  <c r="K1481" i="2"/>
  <c r="I1487" i="2"/>
  <c r="K1488" i="2"/>
  <c r="I1479" i="2"/>
  <c r="K1484" i="2"/>
  <c r="K1480" i="2"/>
  <c r="K1487" i="2"/>
  <c r="J1482" i="2"/>
  <c r="K1483" i="2"/>
  <c r="K1479" i="2"/>
  <c r="J1489" i="2"/>
  <c r="K1486" i="2"/>
  <c r="J1485" i="2"/>
  <c r="K1482" i="2"/>
  <c r="J1481" i="2"/>
  <c r="K1478" i="2"/>
  <c r="J1488" i="2"/>
  <c r="J1484" i="2"/>
  <c r="J1480" i="2"/>
  <c r="J1487" i="2"/>
  <c r="J1483" i="2"/>
  <c r="J1478" i="2"/>
  <c r="J1479" i="2"/>
  <c r="J1486" i="2"/>
  <c r="I1489" i="2"/>
  <c r="I1485" i="2"/>
  <c r="I1488" i="2"/>
  <c r="I1481" i="2"/>
  <c r="G1485" i="2"/>
  <c r="G207" i="2"/>
  <c r="G998" i="2"/>
  <c r="G912" i="2"/>
  <c r="L818" i="2"/>
  <c r="M825" i="2"/>
  <c r="M819" i="2"/>
  <c r="N826" i="2"/>
  <c r="H820" i="2"/>
  <c r="M826" i="2"/>
  <c r="L825" i="2"/>
  <c r="N824" i="2"/>
  <c r="H824" i="2"/>
  <c r="L820" i="2"/>
  <c r="L824" i="2"/>
  <c r="H819" i="2"/>
  <c r="M820" i="2"/>
  <c r="L826" i="2"/>
  <c r="H826" i="2"/>
  <c r="N819" i="2"/>
  <c r="N825" i="2"/>
  <c r="L819" i="2"/>
  <c r="H825" i="2"/>
  <c r="N818" i="2"/>
  <c r="O818" i="2"/>
  <c r="M823" i="2"/>
  <c r="M818" i="2"/>
  <c r="N829" i="2"/>
  <c r="M824" i="2"/>
  <c r="L823" i="2"/>
  <c r="H818" i="2"/>
  <c r="M829" i="2"/>
  <c r="N823" i="2"/>
  <c r="H823" i="2"/>
  <c r="L829" i="2"/>
  <c r="H829" i="2"/>
  <c r="N822" i="2"/>
  <c r="M822" i="2"/>
  <c r="N828" i="2"/>
  <c r="L822" i="2"/>
  <c r="M828" i="2"/>
  <c r="H821" i="2"/>
  <c r="L827" i="2"/>
  <c r="H828" i="2"/>
  <c r="N821" i="2"/>
  <c r="M821" i="2"/>
  <c r="N827" i="2"/>
  <c r="L821" i="2"/>
  <c r="L828" i="2"/>
  <c r="M827" i="2"/>
  <c r="H827" i="2"/>
  <c r="N820" i="2"/>
  <c r="H822" i="2"/>
  <c r="I824" i="2"/>
  <c r="I820" i="2"/>
  <c r="I826" i="2"/>
  <c r="I822" i="2"/>
  <c r="K825" i="2"/>
  <c r="I818" i="2"/>
  <c r="K829" i="2"/>
  <c r="I827" i="2"/>
  <c r="K821" i="2"/>
  <c r="I819" i="2"/>
  <c r="K820" i="2"/>
  <c r="I823" i="2"/>
  <c r="K828" i="2"/>
  <c r="K824" i="2"/>
  <c r="K823" i="2"/>
  <c r="K819" i="2"/>
  <c r="J822" i="2"/>
  <c r="K827" i="2"/>
  <c r="K822" i="2"/>
  <c r="K826" i="2"/>
  <c r="K818" i="2"/>
  <c r="J823" i="2"/>
  <c r="J829" i="2"/>
  <c r="J825" i="2"/>
  <c r="J826" i="2"/>
  <c r="J821" i="2"/>
  <c r="J819" i="2"/>
  <c r="J828" i="2"/>
  <c r="J824" i="2"/>
  <c r="J820" i="2"/>
  <c r="J827" i="2"/>
  <c r="I829" i="2"/>
  <c r="I825" i="2"/>
  <c r="I821" i="2"/>
  <c r="J818" i="2"/>
  <c r="I828" i="2"/>
  <c r="G203" i="2"/>
  <c r="G687" i="2"/>
  <c r="G1441" i="2"/>
  <c r="L1003" i="2"/>
  <c r="N998" i="2"/>
  <c r="H1003" i="2"/>
  <c r="N1005" i="2"/>
  <c r="H1005" i="2"/>
  <c r="N1004" i="2"/>
  <c r="M1004" i="2"/>
  <c r="M1003" i="2"/>
  <c r="M999" i="2"/>
  <c r="L999" i="2"/>
  <c r="L998" i="2"/>
  <c r="N996" i="2"/>
  <c r="H998" i="2"/>
  <c r="M997" i="2"/>
  <c r="H997" i="2"/>
  <c r="H995" i="2"/>
  <c r="M1001" i="2"/>
  <c r="M996" i="2"/>
  <c r="H999" i="2"/>
  <c r="N999" i="2"/>
  <c r="M1005" i="2"/>
  <c r="L994" i="2"/>
  <c r="N1000" i="2"/>
  <c r="M995" i="2"/>
  <c r="L997" i="2"/>
  <c r="L995" i="2"/>
  <c r="N1003" i="2"/>
  <c r="M994" i="2"/>
  <c r="N1001" i="2"/>
  <c r="N997" i="2"/>
  <c r="H1000" i="2"/>
  <c r="H1004" i="2"/>
  <c r="L996" i="2"/>
  <c r="N995" i="2"/>
  <c r="N1002" i="2"/>
  <c r="N994" i="2"/>
  <c r="H1002" i="2"/>
  <c r="M1000" i="2"/>
  <c r="H1001" i="2"/>
  <c r="L1000" i="2"/>
  <c r="H996" i="2"/>
  <c r="M1002" i="2"/>
  <c r="L1002" i="2"/>
  <c r="L1004" i="2"/>
  <c r="M998" i="2"/>
  <c r="L1001" i="2"/>
  <c r="L1005" i="2"/>
  <c r="O994" i="2"/>
  <c r="H994" i="2"/>
  <c r="K994" i="2"/>
  <c r="K1002" i="2"/>
  <c r="K998" i="2"/>
  <c r="K1005" i="2"/>
  <c r="K1001" i="2"/>
  <c r="K997" i="2"/>
  <c r="K1004" i="2"/>
  <c r="K1000" i="2"/>
  <c r="K996" i="2"/>
  <c r="K999" i="2"/>
  <c r="K1003" i="2"/>
  <c r="K995" i="2"/>
  <c r="J1005" i="2"/>
  <c r="I1005" i="2"/>
  <c r="J1001" i="2"/>
  <c r="I1001" i="2"/>
  <c r="J997" i="2"/>
  <c r="I997" i="2"/>
  <c r="J1004" i="2"/>
  <c r="I1004" i="2"/>
  <c r="J1000" i="2"/>
  <c r="I1000" i="2"/>
  <c r="J996" i="2"/>
  <c r="I996" i="2"/>
  <c r="J1003" i="2"/>
  <c r="I1002" i="2"/>
  <c r="J999" i="2"/>
  <c r="I998" i="2"/>
  <c r="J995" i="2"/>
  <c r="I994" i="2"/>
  <c r="J1002" i="2"/>
  <c r="I1003" i="2"/>
  <c r="J998" i="2"/>
  <c r="I995" i="2"/>
  <c r="J994" i="2"/>
  <c r="I999" i="2"/>
  <c r="M1445" i="2"/>
  <c r="H1439" i="2"/>
  <c r="H1445" i="2"/>
  <c r="N1438" i="2"/>
  <c r="L1438" i="2"/>
  <c r="L1440" i="2"/>
  <c r="N1444" i="2"/>
  <c r="H1441" i="2"/>
  <c r="N1439" i="2"/>
  <c r="M1438" i="2"/>
  <c r="N1434" i="2"/>
  <c r="M1434" i="2"/>
  <c r="M1439" i="2"/>
  <c r="L1437" i="2"/>
  <c r="L1436" i="2"/>
  <c r="N1443" i="2"/>
  <c r="H1442" i="2"/>
  <c r="M1435" i="2"/>
  <c r="N1442" i="2"/>
  <c r="M1437" i="2"/>
  <c r="N1435" i="2"/>
  <c r="N1436" i="2"/>
  <c r="N1437" i="2"/>
  <c r="H1440" i="2"/>
  <c r="H1444" i="2"/>
  <c r="H1443" i="2"/>
  <c r="H1434" i="2"/>
  <c r="L1444" i="2"/>
  <c r="M1440" i="2"/>
  <c r="M1436" i="2"/>
  <c r="L1434" i="2"/>
  <c r="N1440" i="2"/>
  <c r="H1438" i="2"/>
  <c r="M1444" i="2"/>
  <c r="O1434" i="2"/>
  <c r="H1435" i="2"/>
  <c r="M1441" i="2"/>
  <c r="L1443" i="2"/>
  <c r="L1445" i="2"/>
  <c r="N1441" i="2"/>
  <c r="H1437" i="2"/>
  <c r="L1442" i="2"/>
  <c r="H1436" i="2"/>
  <c r="L1439" i="2"/>
  <c r="M1442" i="2"/>
  <c r="L1441" i="2"/>
  <c r="L1435" i="2"/>
  <c r="N1445" i="2"/>
  <c r="M1443" i="2"/>
  <c r="J1445" i="2"/>
  <c r="J1441" i="2"/>
  <c r="J1437" i="2"/>
  <c r="K1434" i="2"/>
  <c r="J1444" i="2"/>
  <c r="J1440" i="2"/>
  <c r="J1436" i="2"/>
  <c r="J1443" i="2"/>
  <c r="J1439" i="2"/>
  <c r="I1445" i="2"/>
  <c r="J1435" i="2"/>
  <c r="I1441" i="2"/>
  <c r="J1442" i="2"/>
  <c r="I1437" i="2"/>
  <c r="J1438" i="2"/>
  <c r="I1444" i="2"/>
  <c r="J1434" i="2"/>
  <c r="I1440" i="2"/>
  <c r="K1445" i="2"/>
  <c r="K1438" i="2"/>
  <c r="I1436" i="2"/>
  <c r="K1441" i="2"/>
  <c r="I1442" i="2"/>
  <c r="K1437" i="2"/>
  <c r="I1438" i="2"/>
  <c r="K1444" i="2"/>
  <c r="I1434" i="2"/>
  <c r="K1440" i="2"/>
  <c r="I1439" i="2"/>
  <c r="K1436" i="2"/>
  <c r="I1443" i="2"/>
  <c r="K1443" i="2"/>
  <c r="I1435" i="2"/>
  <c r="K1439" i="2"/>
  <c r="K1435" i="2"/>
  <c r="K1442" i="2"/>
  <c r="G163" i="2"/>
  <c r="G211" i="2"/>
  <c r="G689" i="2"/>
  <c r="G1047" i="2"/>
  <c r="G1218" i="2"/>
  <c r="G1355" i="2"/>
  <c r="G824" i="2"/>
  <c r="G206" i="2"/>
  <c r="G688" i="2"/>
  <c r="G1045" i="2"/>
  <c r="G1220" i="2"/>
  <c r="G1438" i="2"/>
  <c r="G1132" i="2"/>
  <c r="G1353" i="2"/>
  <c r="G205" i="2"/>
  <c r="G690" i="2"/>
  <c r="G1043" i="2"/>
  <c r="H1133" i="2"/>
  <c r="N1132" i="2"/>
  <c r="M1132" i="2"/>
  <c r="M1131" i="2"/>
  <c r="L1131" i="2"/>
  <c r="H1131" i="2"/>
  <c r="M1127" i="2"/>
  <c r="L1127" i="2"/>
  <c r="N1126" i="2"/>
  <c r="L1126" i="2"/>
  <c r="H1126" i="2"/>
  <c r="M1137" i="2"/>
  <c r="N1137" i="2"/>
  <c r="N1133" i="2"/>
  <c r="N1130" i="2"/>
  <c r="O1126" i="2"/>
  <c r="L1133" i="2"/>
  <c r="L1129" i="2"/>
  <c r="H1137" i="2"/>
  <c r="M1128" i="2"/>
  <c r="N1135" i="2"/>
  <c r="H1134" i="2"/>
  <c r="M1129" i="2"/>
  <c r="H1127" i="2"/>
  <c r="M1133" i="2"/>
  <c r="N1128" i="2"/>
  <c r="N1129" i="2"/>
  <c r="L1137" i="2"/>
  <c r="N1127" i="2"/>
  <c r="H1135" i="2"/>
  <c r="L1134" i="2"/>
  <c r="N1131" i="2"/>
  <c r="L1135" i="2"/>
  <c r="L1136" i="2"/>
  <c r="N1136" i="2"/>
  <c r="L1132" i="2"/>
  <c r="L1128" i="2"/>
  <c r="N1134" i="2"/>
  <c r="M1126" i="2"/>
  <c r="L1130" i="2"/>
  <c r="H1130" i="2"/>
  <c r="H1129" i="2"/>
  <c r="M1136" i="2"/>
  <c r="M1135" i="2"/>
  <c r="M1130" i="2"/>
  <c r="H1132" i="2"/>
  <c r="H1128" i="2"/>
  <c r="M1134" i="2"/>
  <c r="H1136" i="2"/>
  <c r="I1136" i="2"/>
  <c r="J1137" i="2"/>
  <c r="K1137" i="2"/>
  <c r="I1128" i="2"/>
  <c r="I1134" i="2"/>
  <c r="J1133" i="2"/>
  <c r="K1133" i="2"/>
  <c r="J1129" i="2"/>
  <c r="K1129" i="2"/>
  <c r="I1132" i="2"/>
  <c r="J1136" i="2"/>
  <c r="K1136" i="2"/>
  <c r="J1132" i="2"/>
  <c r="K1132" i="2"/>
  <c r="J1128" i="2"/>
  <c r="K1128" i="2"/>
  <c r="J1135" i="2"/>
  <c r="K1135" i="2"/>
  <c r="J1131" i="2"/>
  <c r="K1131" i="2"/>
  <c r="I1129" i="2"/>
  <c r="J1127" i="2"/>
  <c r="K1127" i="2"/>
  <c r="J1134" i="2"/>
  <c r="K1134" i="2"/>
  <c r="J1130" i="2"/>
  <c r="K1130" i="2"/>
  <c r="J1126" i="2"/>
  <c r="K1126" i="2"/>
  <c r="I1137" i="2"/>
  <c r="I1133" i="2"/>
  <c r="I1126" i="2"/>
  <c r="I1135" i="2"/>
  <c r="I1127" i="2"/>
  <c r="I1130" i="2"/>
  <c r="I1131" i="2"/>
  <c r="G692" i="2"/>
  <c r="G1046" i="2"/>
  <c r="H774" i="2"/>
  <c r="N777" i="2"/>
  <c r="L774" i="2"/>
  <c r="M777" i="2"/>
  <c r="N783" i="2"/>
  <c r="L777" i="2"/>
  <c r="M783" i="2"/>
  <c r="M780" i="2"/>
  <c r="H777" i="2"/>
  <c r="M775" i="2"/>
  <c r="L783" i="2"/>
  <c r="H783" i="2"/>
  <c r="N781" i="2"/>
  <c r="N776" i="2"/>
  <c r="M776" i="2"/>
  <c r="N782" i="2"/>
  <c r="L776" i="2"/>
  <c r="M782" i="2"/>
  <c r="N785" i="2"/>
  <c r="H776" i="2"/>
  <c r="N774" i="2"/>
  <c r="L782" i="2"/>
  <c r="H782" i="2"/>
  <c r="N775" i="2"/>
  <c r="M781" i="2"/>
  <c r="H779" i="2"/>
  <c r="H781" i="2"/>
  <c r="H775" i="2"/>
  <c r="L781" i="2"/>
  <c r="M784" i="2"/>
  <c r="H778" i="2"/>
  <c r="L778" i="2"/>
  <c r="L784" i="2"/>
  <c r="L779" i="2"/>
  <c r="H784" i="2"/>
  <c r="O774" i="2"/>
  <c r="M774" i="2"/>
  <c r="L780" i="2"/>
  <c r="M785" i="2"/>
  <c r="H780" i="2"/>
  <c r="N779" i="2"/>
  <c r="L785" i="2"/>
  <c r="L775" i="2"/>
  <c r="N784" i="2"/>
  <c r="H785" i="2"/>
  <c r="M778" i="2"/>
  <c r="M779" i="2"/>
  <c r="N778" i="2"/>
  <c r="N780" i="2"/>
  <c r="J780" i="2"/>
  <c r="I783" i="2"/>
  <c r="J776" i="2"/>
  <c r="J783" i="2"/>
  <c r="J779" i="2"/>
  <c r="K774" i="2"/>
  <c r="J775" i="2"/>
  <c r="K782" i="2"/>
  <c r="J782" i="2"/>
  <c r="I774" i="2"/>
  <c r="J778" i="2"/>
  <c r="J774" i="2"/>
  <c r="I778" i="2"/>
  <c r="I782" i="2"/>
  <c r="I775" i="2"/>
  <c r="K777" i="2"/>
  <c r="K785" i="2"/>
  <c r="K781" i="2"/>
  <c r="K776" i="2"/>
  <c r="K780" i="2"/>
  <c r="I785" i="2"/>
  <c r="K784" i="2"/>
  <c r="I781" i="2"/>
  <c r="K779" i="2"/>
  <c r="I777" i="2"/>
  <c r="K775" i="2"/>
  <c r="I784" i="2"/>
  <c r="K783" i="2"/>
  <c r="I780" i="2"/>
  <c r="K778" i="2"/>
  <c r="I776" i="2"/>
  <c r="J785" i="2"/>
  <c r="J781" i="2"/>
  <c r="J777" i="2"/>
  <c r="J784" i="2"/>
  <c r="I779" i="2"/>
  <c r="G778" i="2"/>
  <c r="G1484" i="2"/>
  <c r="G691" i="2"/>
  <c r="G1039" i="2"/>
  <c r="G1439" i="2"/>
  <c r="G302" i="2"/>
  <c r="F304" i="2" s="1"/>
  <c r="G390" i="2"/>
  <c r="K396" i="2" s="1"/>
  <c r="G346" i="2"/>
  <c r="H352" i="2" s="1"/>
  <c r="G566" i="2"/>
  <c r="F569" i="2" s="1"/>
  <c r="P569" i="2" s="1"/>
  <c r="G1093" i="2"/>
  <c r="G740" i="2"/>
  <c r="G872" i="2"/>
  <c r="G1488" i="2"/>
  <c r="G652" i="2"/>
  <c r="G784" i="2"/>
  <c r="G1182" i="2"/>
  <c r="G873" i="2"/>
  <c r="G1400" i="2"/>
  <c r="G1137" i="2"/>
  <c r="G1401" i="2"/>
  <c r="G1533" i="2"/>
  <c r="G1005" i="2"/>
  <c r="G785" i="2"/>
  <c r="G1004" i="2"/>
  <c r="G1225" i="2"/>
  <c r="G1048" i="2"/>
  <c r="G1136" i="2"/>
  <c r="G1532" i="2"/>
  <c r="G433" i="2"/>
  <c r="G1224" i="2"/>
  <c r="G697" i="2"/>
  <c r="G741" i="2"/>
  <c r="G829" i="2"/>
  <c r="G828" i="2"/>
  <c r="G1314" i="2"/>
  <c r="G1444" i="2"/>
  <c r="G212" i="2"/>
  <c r="G432" i="2"/>
  <c r="G1268" i="2"/>
  <c r="G1489" i="2"/>
  <c r="G653" i="2"/>
  <c r="G1049" i="2"/>
  <c r="G696" i="2"/>
  <c r="G961" i="2"/>
  <c r="G1445" i="2"/>
  <c r="G1269" i="2"/>
  <c r="G960" i="2"/>
  <c r="G1092" i="2"/>
  <c r="G1356" i="2"/>
  <c r="G1357" i="2"/>
  <c r="G158" i="20"/>
  <c r="C170" i="20"/>
  <c r="G167" i="20"/>
  <c r="G168" i="20"/>
  <c r="G163" i="20"/>
  <c r="G169" i="20"/>
  <c r="G162" i="20"/>
  <c r="G164" i="20"/>
  <c r="G165" i="20"/>
  <c r="G160" i="20"/>
  <c r="G166" i="20"/>
  <c r="G161" i="20"/>
  <c r="G159" i="20"/>
  <c r="G114" i="20"/>
  <c r="C126" i="20"/>
  <c r="G122" i="20"/>
  <c r="G115" i="20"/>
  <c r="G123" i="20"/>
  <c r="G124" i="20"/>
  <c r="G116" i="20"/>
  <c r="G121" i="20"/>
  <c r="G118" i="20"/>
  <c r="G119" i="20"/>
  <c r="G120" i="20"/>
  <c r="G117" i="20"/>
  <c r="G125" i="20"/>
  <c r="G70" i="20"/>
  <c r="C82" i="20"/>
  <c r="G74" i="20"/>
  <c r="G71" i="20"/>
  <c r="G79" i="20"/>
  <c r="G72" i="20"/>
  <c r="G81" i="20"/>
  <c r="G78" i="20"/>
  <c r="G77" i="20"/>
  <c r="G75" i="20"/>
  <c r="G76" i="20"/>
  <c r="G80" i="20"/>
  <c r="G73" i="20"/>
  <c r="G344" i="4"/>
  <c r="G340" i="4"/>
  <c r="G338" i="4"/>
  <c r="G342" i="4"/>
  <c r="G343" i="4"/>
  <c r="G345" i="4"/>
  <c r="G341" i="4"/>
  <c r="G335" i="4"/>
  <c r="G336" i="4"/>
  <c r="G339" i="4"/>
  <c r="G337" i="4"/>
  <c r="G334" i="4"/>
  <c r="C346" i="4"/>
  <c r="G294" i="4"/>
  <c r="G291" i="4"/>
  <c r="G295" i="4"/>
  <c r="G296" i="4"/>
  <c r="G301" i="4"/>
  <c r="G292" i="4"/>
  <c r="G300" i="4"/>
  <c r="G290" i="4"/>
  <c r="C302" i="4"/>
  <c r="G293" i="4"/>
  <c r="G299" i="4"/>
  <c r="G297" i="4"/>
  <c r="G298" i="4"/>
  <c r="G249" i="4"/>
  <c r="G257" i="4"/>
  <c r="G256" i="4"/>
  <c r="G252" i="4"/>
  <c r="G247" i="4"/>
  <c r="G248" i="4"/>
  <c r="G251" i="4"/>
  <c r="G253" i="4"/>
  <c r="G254" i="4"/>
  <c r="G250" i="4"/>
  <c r="G255" i="4"/>
  <c r="G246" i="4"/>
  <c r="C258" i="4"/>
  <c r="G205" i="4"/>
  <c r="G206" i="4"/>
  <c r="G209" i="4"/>
  <c r="G208" i="4"/>
  <c r="G203" i="4"/>
  <c r="G211" i="4"/>
  <c r="G204" i="4"/>
  <c r="G210" i="4"/>
  <c r="G212" i="4"/>
  <c r="G213" i="4"/>
  <c r="G202" i="4"/>
  <c r="C214" i="4"/>
  <c r="G207" i="4"/>
  <c r="G161" i="4"/>
  <c r="G168" i="4"/>
  <c r="G160" i="4"/>
  <c r="G163" i="4"/>
  <c r="G165" i="4"/>
  <c r="G167" i="4"/>
  <c r="G159" i="4"/>
  <c r="G158" i="4"/>
  <c r="C170" i="4"/>
  <c r="G164" i="4"/>
  <c r="G169" i="4"/>
  <c r="G162" i="4"/>
  <c r="G166" i="4"/>
  <c r="G114" i="4"/>
  <c r="C126" i="4"/>
  <c r="G119" i="4"/>
  <c r="G115" i="4"/>
  <c r="G125" i="4"/>
  <c r="G121" i="4"/>
  <c r="G117" i="4"/>
  <c r="G122" i="4"/>
  <c r="G118" i="4"/>
  <c r="G116" i="4"/>
  <c r="G124" i="4"/>
  <c r="G120" i="4"/>
  <c r="G123" i="4"/>
  <c r="C1534" i="2"/>
  <c r="G1522" i="2"/>
  <c r="C1490" i="2"/>
  <c r="G1478" i="2"/>
  <c r="C1446" i="2"/>
  <c r="G1434" i="2"/>
  <c r="C1402" i="2"/>
  <c r="G1390" i="2"/>
  <c r="G1346" i="2"/>
  <c r="C1358" i="2"/>
  <c r="H1314" i="2"/>
  <c r="K51" i="36" s="1"/>
  <c r="G1258" i="2"/>
  <c r="C1270" i="2"/>
  <c r="G1214" i="2"/>
  <c r="C1226" i="2"/>
  <c r="H1182" i="2"/>
  <c r="K48" i="36" s="1"/>
  <c r="G1126" i="2"/>
  <c r="C1138" i="2"/>
  <c r="G1082" i="2"/>
  <c r="C1094" i="2"/>
  <c r="G1038" i="2"/>
  <c r="C1050" i="2"/>
  <c r="G994" i="2"/>
  <c r="C1006" i="2"/>
  <c r="G953" i="2"/>
  <c r="G954" i="2"/>
  <c r="G950" i="2"/>
  <c r="C962" i="2"/>
  <c r="G916" i="2"/>
  <c r="G917" i="2"/>
  <c r="G906" i="2"/>
  <c r="C918" i="2"/>
  <c r="G862" i="2"/>
  <c r="C874" i="2"/>
  <c r="G818" i="2"/>
  <c r="C830" i="2"/>
  <c r="G774" i="2"/>
  <c r="C786" i="2"/>
  <c r="G731" i="2"/>
  <c r="G732" i="2"/>
  <c r="G730" i="2"/>
  <c r="C742" i="2"/>
  <c r="G694" i="2"/>
  <c r="G686" i="2"/>
  <c r="C698" i="2"/>
  <c r="G695" i="2"/>
  <c r="G642" i="2"/>
  <c r="C654" i="2"/>
  <c r="G422" i="2"/>
  <c r="C434" i="2"/>
  <c r="G258" i="2"/>
  <c r="G202" i="2"/>
  <c r="C214" i="2"/>
  <c r="G213" i="2"/>
  <c r="G168" i="2"/>
  <c r="G158" i="2"/>
  <c r="C170" i="2"/>
  <c r="G169" i="2"/>
  <c r="G478" i="2"/>
  <c r="H38" i="20"/>
  <c r="K73" i="36" s="1"/>
  <c r="G38" i="20"/>
  <c r="P26" i="20"/>
  <c r="P27" i="20"/>
  <c r="P33" i="20"/>
  <c r="P35" i="20"/>
  <c r="P32" i="20"/>
  <c r="P37" i="20"/>
  <c r="P34" i="20"/>
  <c r="P31" i="20"/>
  <c r="P36" i="20"/>
  <c r="P30" i="20"/>
  <c r="O38" i="20"/>
  <c r="L73" i="36" s="1"/>
  <c r="P28" i="20"/>
  <c r="P29" i="20"/>
  <c r="G213" i="13"/>
  <c r="G73" i="13"/>
  <c r="G80" i="13"/>
  <c r="G71" i="13"/>
  <c r="C82" i="13"/>
  <c r="G70" i="13"/>
  <c r="G78" i="13"/>
  <c r="G76" i="13"/>
  <c r="G81" i="13"/>
  <c r="G74" i="13"/>
  <c r="G77" i="13"/>
  <c r="G204" i="13"/>
  <c r="G249" i="13"/>
  <c r="G254" i="13"/>
  <c r="G72" i="13"/>
  <c r="G79" i="13"/>
  <c r="C214" i="13"/>
  <c r="G202" i="13"/>
  <c r="G247" i="13"/>
  <c r="G255" i="13"/>
  <c r="G117" i="13"/>
  <c r="G251" i="13"/>
  <c r="G120" i="13"/>
  <c r="G165" i="13"/>
  <c r="G252" i="13"/>
  <c r="G123" i="13"/>
  <c r="G166" i="13"/>
  <c r="G253" i="13"/>
  <c r="G256" i="13"/>
  <c r="G121" i="13"/>
  <c r="G248" i="13"/>
  <c r="G122" i="13"/>
  <c r="G211" i="13"/>
  <c r="G116" i="13"/>
  <c r="G159" i="13"/>
  <c r="G257" i="13"/>
  <c r="G209" i="13"/>
  <c r="G125" i="13"/>
  <c r="G160" i="13"/>
  <c r="G210" i="13"/>
  <c r="C126" i="13"/>
  <c r="G114" i="13"/>
  <c r="G168" i="13"/>
  <c r="G203" i="13"/>
  <c r="G119" i="13"/>
  <c r="G164" i="13"/>
  <c r="G161" i="13"/>
  <c r="G205" i="13"/>
  <c r="G115" i="13"/>
  <c r="G162" i="13"/>
  <c r="G163" i="13"/>
  <c r="G212" i="13"/>
  <c r="G118" i="13"/>
  <c r="G206" i="13"/>
  <c r="C170" i="13"/>
  <c r="G158" i="13"/>
  <c r="C258" i="13"/>
  <c r="G246" i="13"/>
  <c r="G169" i="13"/>
  <c r="G208" i="13"/>
  <c r="G124" i="13"/>
  <c r="G75" i="13"/>
  <c r="G250" i="13"/>
  <c r="G167" i="13"/>
  <c r="G207" i="13"/>
  <c r="F38" i="15"/>
  <c r="E38" i="15"/>
  <c r="B38" i="15"/>
  <c r="N38" i="13"/>
  <c r="F38" i="13"/>
  <c r="E38" i="13"/>
  <c r="B38" i="13"/>
  <c r="F525" i="2" l="1"/>
  <c r="P525" i="2" s="1"/>
  <c r="E528" i="2"/>
  <c r="F526" i="2"/>
  <c r="P526" i="2" s="1"/>
  <c r="K528" i="2"/>
  <c r="H528" i="2"/>
  <c r="F524" i="2"/>
  <c r="G1094" i="2"/>
  <c r="F348" i="2"/>
  <c r="K308" i="2"/>
  <c r="H348" i="2"/>
  <c r="H568" i="2"/>
  <c r="H616" i="2"/>
  <c r="E616" i="2"/>
  <c r="F612" i="2"/>
  <c r="F614" i="2"/>
  <c r="P614" i="2" s="1"/>
  <c r="F613" i="2"/>
  <c r="P613" i="2" s="1"/>
  <c r="K616" i="2"/>
  <c r="C26" i="13"/>
  <c r="O26" i="13" s="1"/>
  <c r="H612" i="2"/>
  <c r="F568" i="2"/>
  <c r="G874" i="2"/>
  <c r="K880" i="2" s="1"/>
  <c r="C30" i="15"/>
  <c r="C29" i="15"/>
  <c r="C28" i="15"/>
  <c r="C27" i="15"/>
  <c r="C26" i="15"/>
  <c r="C32" i="15"/>
  <c r="C33" i="15"/>
  <c r="C37" i="15"/>
  <c r="C31" i="15"/>
  <c r="C36" i="15"/>
  <c r="C34" i="15"/>
  <c r="C35" i="15"/>
  <c r="J73" i="36"/>
  <c r="P43" i="20"/>
  <c r="P73" i="36" s="1"/>
  <c r="C27" i="13"/>
  <c r="O27" i="13" s="1"/>
  <c r="P615" i="2"/>
  <c r="P35" i="36" s="1"/>
  <c r="P524" i="2"/>
  <c r="M33" i="36" s="1"/>
  <c r="G1402" i="2"/>
  <c r="E1408" i="2" s="1"/>
  <c r="C31" i="13"/>
  <c r="O31" i="13" s="1"/>
  <c r="C37" i="13"/>
  <c r="O37" i="13" s="1"/>
  <c r="C30" i="13"/>
  <c r="O30" i="13" s="1"/>
  <c r="C36" i="13"/>
  <c r="O36" i="13" s="1"/>
  <c r="C33" i="13"/>
  <c r="O33" i="13" s="1"/>
  <c r="C29" i="13"/>
  <c r="O29" i="13" s="1"/>
  <c r="C35" i="13"/>
  <c r="O35" i="13" s="1"/>
  <c r="C28" i="13"/>
  <c r="O28" i="13" s="1"/>
  <c r="C34" i="13"/>
  <c r="O34" i="13" s="1"/>
  <c r="C32" i="13"/>
  <c r="O32" i="13" s="1"/>
  <c r="H304" i="2"/>
  <c r="J32" i="36"/>
  <c r="P483" i="2"/>
  <c r="P32" i="36" s="1"/>
  <c r="E308" i="2"/>
  <c r="P304" i="2" s="1"/>
  <c r="M28" i="36" s="1"/>
  <c r="H396" i="2"/>
  <c r="J27" i="36"/>
  <c r="P263" i="2"/>
  <c r="J46" i="36"/>
  <c r="P1099" i="2"/>
  <c r="P46" i="36" s="1"/>
  <c r="F392" i="2"/>
  <c r="H392" i="2"/>
  <c r="J30" i="36"/>
  <c r="P395" i="2"/>
  <c r="P30" i="36" s="1"/>
  <c r="E396" i="2"/>
  <c r="J28" i="36"/>
  <c r="P307" i="2"/>
  <c r="P28" i="36" s="1"/>
  <c r="F393" i="2"/>
  <c r="P393" i="2" s="1"/>
  <c r="F394" i="2"/>
  <c r="P394" i="2" s="1"/>
  <c r="J48" i="36"/>
  <c r="P1187" i="2"/>
  <c r="P48" i="36" s="1"/>
  <c r="J33" i="36"/>
  <c r="P527" i="2"/>
  <c r="P33" i="36" s="1"/>
  <c r="J51" i="36"/>
  <c r="P1319" i="2"/>
  <c r="P51" i="36" s="1"/>
  <c r="G786" i="2"/>
  <c r="K792" i="2" s="1"/>
  <c r="H308" i="2"/>
  <c r="F305" i="2"/>
  <c r="P305" i="2" s="1"/>
  <c r="F306" i="2"/>
  <c r="P306" i="2" s="1"/>
  <c r="J34" i="36"/>
  <c r="P571" i="2"/>
  <c r="P34" i="36" s="1"/>
  <c r="J29" i="36"/>
  <c r="P351" i="2"/>
  <c r="P29" i="36" s="1"/>
  <c r="E572" i="2"/>
  <c r="H572" i="2"/>
  <c r="K572" i="2"/>
  <c r="F570" i="2"/>
  <c r="P570" i="2" s="1"/>
  <c r="G1050" i="2"/>
  <c r="H1056" i="2" s="1"/>
  <c r="F349" i="2"/>
  <c r="P349" i="2" s="1"/>
  <c r="F350" i="2"/>
  <c r="P350" i="2" s="1"/>
  <c r="K352" i="2"/>
  <c r="E352" i="2"/>
  <c r="P348" i="2" s="1"/>
  <c r="M29" i="36" s="1"/>
  <c r="G1138" i="2"/>
  <c r="G1226" i="2"/>
  <c r="F1228" i="2" s="1"/>
  <c r="H1316" i="2"/>
  <c r="G1270" i="2"/>
  <c r="G434" i="2"/>
  <c r="H1188" i="2"/>
  <c r="G1490" i="2"/>
  <c r="G654" i="2"/>
  <c r="E1320" i="2"/>
  <c r="H1320" i="2"/>
  <c r="G1006" i="2"/>
  <c r="G830" i="2"/>
  <c r="G1358" i="2"/>
  <c r="G1534" i="2"/>
  <c r="F1184" i="2"/>
  <c r="H1184" i="2"/>
  <c r="F1186" i="2"/>
  <c r="E1188" i="2"/>
  <c r="K1188" i="2"/>
  <c r="F1185" i="2"/>
  <c r="G1446" i="2"/>
  <c r="K1320" i="2"/>
  <c r="F1316" i="2"/>
  <c r="F1317" i="2"/>
  <c r="F1318" i="2"/>
  <c r="H1404" i="2"/>
  <c r="F1406" i="2"/>
  <c r="K1408" i="2"/>
  <c r="F481" i="2"/>
  <c r="P481" i="2" s="1"/>
  <c r="H480" i="2"/>
  <c r="K484" i="2"/>
  <c r="E484" i="2"/>
  <c r="F482" i="2"/>
  <c r="P482" i="2" s="1"/>
  <c r="F480" i="2"/>
  <c r="H484" i="2"/>
  <c r="F260" i="2"/>
  <c r="H264" i="2"/>
  <c r="F262" i="2"/>
  <c r="P262" i="2" s="1"/>
  <c r="H260" i="2"/>
  <c r="F261" i="2"/>
  <c r="P261" i="2" s="1"/>
  <c r="K264" i="2"/>
  <c r="E264" i="2"/>
  <c r="F1097" i="2"/>
  <c r="H1100" i="2"/>
  <c r="F1096" i="2"/>
  <c r="K1100" i="2"/>
  <c r="E1100" i="2"/>
  <c r="F1098" i="2"/>
  <c r="H1096" i="2"/>
  <c r="G214" i="2"/>
  <c r="G962" i="2"/>
  <c r="G918" i="2"/>
  <c r="P167" i="20"/>
  <c r="P124" i="20"/>
  <c r="P81" i="20"/>
  <c r="P169" i="20"/>
  <c r="P163" i="20"/>
  <c r="H170" i="20"/>
  <c r="K76" i="36" s="1"/>
  <c r="P168" i="20"/>
  <c r="O170" i="20"/>
  <c r="L76" i="36" s="1"/>
  <c r="P159" i="20"/>
  <c r="G170" i="20"/>
  <c r="P161" i="20"/>
  <c r="P166" i="20"/>
  <c r="P160" i="20"/>
  <c r="P165" i="20"/>
  <c r="P164" i="20"/>
  <c r="P162" i="20"/>
  <c r="P158" i="20"/>
  <c r="H126" i="20"/>
  <c r="K75" i="36" s="1"/>
  <c r="P123" i="20"/>
  <c r="P115" i="20"/>
  <c r="G126" i="20"/>
  <c r="P122" i="20"/>
  <c r="O126" i="20"/>
  <c r="L75" i="36" s="1"/>
  <c r="P125" i="20"/>
  <c r="P117" i="20"/>
  <c r="P120" i="20"/>
  <c r="P119" i="20"/>
  <c r="P118" i="20"/>
  <c r="P121" i="20"/>
  <c r="P116" i="20"/>
  <c r="P114" i="20"/>
  <c r="P72" i="20"/>
  <c r="P79" i="20"/>
  <c r="G82" i="20"/>
  <c r="P71" i="20"/>
  <c r="P74" i="20"/>
  <c r="P73" i="20"/>
  <c r="P80" i="20"/>
  <c r="O82" i="20"/>
  <c r="L74" i="36" s="1"/>
  <c r="P76" i="20"/>
  <c r="H82" i="20"/>
  <c r="K74" i="36" s="1"/>
  <c r="P75" i="20"/>
  <c r="P77" i="20"/>
  <c r="P78" i="20"/>
  <c r="P70" i="20"/>
  <c r="O258" i="4"/>
  <c r="L66" i="36" s="1"/>
  <c r="O170" i="4"/>
  <c r="L64" i="36" s="1"/>
  <c r="O302" i="4"/>
  <c r="L67" i="36" s="1"/>
  <c r="P117" i="4"/>
  <c r="H346" i="4"/>
  <c r="K68" i="36" s="1"/>
  <c r="P334" i="4"/>
  <c r="P337" i="4"/>
  <c r="P339" i="4"/>
  <c r="P336" i="4"/>
  <c r="P335" i="4"/>
  <c r="G346" i="4"/>
  <c r="P341" i="4"/>
  <c r="O346" i="4"/>
  <c r="L68" i="36" s="1"/>
  <c r="P345" i="4"/>
  <c r="P343" i="4"/>
  <c r="P342" i="4"/>
  <c r="P338" i="4"/>
  <c r="P340" i="4"/>
  <c r="P344" i="4"/>
  <c r="P290" i="4"/>
  <c r="P300" i="4"/>
  <c r="P298" i="4"/>
  <c r="P292" i="4"/>
  <c r="P297" i="4"/>
  <c r="P301" i="4"/>
  <c r="P299" i="4"/>
  <c r="H302" i="4"/>
  <c r="K67" i="36" s="1"/>
  <c r="P296" i="4"/>
  <c r="P293" i="4"/>
  <c r="P295" i="4"/>
  <c r="P291" i="4"/>
  <c r="G302" i="4"/>
  <c r="P294" i="4"/>
  <c r="P246" i="4"/>
  <c r="P255" i="4"/>
  <c r="P250" i="4"/>
  <c r="P254" i="4"/>
  <c r="P253" i="4"/>
  <c r="P251" i="4"/>
  <c r="H258" i="4"/>
  <c r="K66" i="36" s="1"/>
  <c r="P248" i="4"/>
  <c r="P247" i="4"/>
  <c r="G258" i="4"/>
  <c r="P252" i="4"/>
  <c r="P256" i="4"/>
  <c r="P257" i="4"/>
  <c r="P249" i="4"/>
  <c r="P202" i="4"/>
  <c r="O214" i="4"/>
  <c r="L65" i="36" s="1"/>
  <c r="P213" i="4"/>
  <c r="P212" i="4"/>
  <c r="P210" i="4"/>
  <c r="H214" i="4"/>
  <c r="K65" i="36" s="1"/>
  <c r="P207" i="4"/>
  <c r="P204" i="4"/>
  <c r="P211" i="4"/>
  <c r="P203" i="4"/>
  <c r="G214" i="4"/>
  <c r="P208" i="4"/>
  <c r="P209" i="4"/>
  <c r="P206" i="4"/>
  <c r="P205" i="4"/>
  <c r="H170" i="4"/>
  <c r="K64" i="36" s="1"/>
  <c r="P158" i="4"/>
  <c r="G170" i="4"/>
  <c r="P159" i="4"/>
  <c r="P166" i="4"/>
  <c r="P167" i="4"/>
  <c r="P162" i="4"/>
  <c r="P165" i="4"/>
  <c r="P169" i="4"/>
  <c r="P163" i="4"/>
  <c r="P164" i="4"/>
  <c r="P160" i="4"/>
  <c r="P168" i="4"/>
  <c r="P161" i="4"/>
  <c r="P125" i="4"/>
  <c r="P121" i="4"/>
  <c r="G126" i="4"/>
  <c r="P115" i="4"/>
  <c r="H126" i="4"/>
  <c r="K63" i="36" s="1"/>
  <c r="P119" i="4"/>
  <c r="O126" i="4"/>
  <c r="L63" i="36" s="1"/>
  <c r="P123" i="4"/>
  <c r="P120" i="4"/>
  <c r="P124" i="4"/>
  <c r="P116" i="4"/>
  <c r="P118" i="4"/>
  <c r="P122" i="4"/>
  <c r="P114" i="4"/>
  <c r="H1534" i="2"/>
  <c r="K56" i="36" s="1"/>
  <c r="H1490" i="2"/>
  <c r="K55" i="36" s="1"/>
  <c r="H1446" i="2"/>
  <c r="K54" i="36" s="1"/>
  <c r="H1402" i="2"/>
  <c r="K53" i="36" s="1"/>
  <c r="H1358" i="2"/>
  <c r="K52" i="36" s="1"/>
  <c r="H1270" i="2"/>
  <c r="K50" i="36" s="1"/>
  <c r="H1226" i="2"/>
  <c r="K49" i="36" s="1"/>
  <c r="H1138" i="2"/>
  <c r="K47" i="36" s="1"/>
  <c r="H1094" i="2"/>
  <c r="K46" i="36" s="1"/>
  <c r="H1050" i="2"/>
  <c r="K45" i="36" s="1"/>
  <c r="H1006" i="2"/>
  <c r="K44" i="36" s="1"/>
  <c r="H962" i="2"/>
  <c r="K43" i="36" s="1"/>
  <c r="H918" i="2"/>
  <c r="K42" i="36" s="1"/>
  <c r="H874" i="2"/>
  <c r="K41" i="36" s="1"/>
  <c r="H830" i="2"/>
  <c r="K40" i="36" s="1"/>
  <c r="H786" i="2"/>
  <c r="K39" i="36" s="1"/>
  <c r="H742" i="2"/>
  <c r="K38" i="36" s="1"/>
  <c r="G742" i="2"/>
  <c r="G698" i="2"/>
  <c r="G170" i="2"/>
  <c r="P249" i="13"/>
  <c r="P208" i="13"/>
  <c r="P163" i="13"/>
  <c r="P38" i="20"/>
  <c r="H40" i="20"/>
  <c r="E44" i="20"/>
  <c r="F40" i="20"/>
  <c r="F42" i="20"/>
  <c r="F41" i="20"/>
  <c r="K44" i="20"/>
  <c r="H44" i="20"/>
  <c r="P212" i="13"/>
  <c r="P77" i="13"/>
  <c r="P165" i="13"/>
  <c r="P124" i="13"/>
  <c r="P120" i="13"/>
  <c r="O170" i="13"/>
  <c r="L114" i="36" s="1"/>
  <c r="P162" i="13"/>
  <c r="P209" i="13"/>
  <c r="P81" i="13"/>
  <c r="H82" i="13"/>
  <c r="K108" i="36" s="1"/>
  <c r="P117" i="13"/>
  <c r="P115" i="13"/>
  <c r="P76" i="13"/>
  <c r="O82" i="13"/>
  <c r="L108" i="36" s="1"/>
  <c r="G170" i="13"/>
  <c r="P158" i="13"/>
  <c r="P257" i="13"/>
  <c r="P255" i="13"/>
  <c r="P205" i="13"/>
  <c r="P159" i="13"/>
  <c r="O214" i="13"/>
  <c r="L115" i="36" s="1"/>
  <c r="P78" i="13"/>
  <c r="P74" i="13"/>
  <c r="P247" i="13"/>
  <c r="H170" i="13"/>
  <c r="K114" i="36" s="1"/>
  <c r="P161" i="13"/>
  <c r="O126" i="13"/>
  <c r="L109" i="36" s="1"/>
  <c r="P116" i="13"/>
  <c r="P164" i="13"/>
  <c r="H126" i="13"/>
  <c r="K109" i="36" s="1"/>
  <c r="G82" i="13"/>
  <c r="P70" i="13"/>
  <c r="P118" i="13"/>
  <c r="P211" i="13"/>
  <c r="G214" i="13"/>
  <c r="P202" i="13"/>
  <c r="P119" i="13"/>
  <c r="P122" i="13"/>
  <c r="P248" i="13"/>
  <c r="P125" i="13"/>
  <c r="P169" i="13"/>
  <c r="P168" i="13"/>
  <c r="P121" i="13"/>
  <c r="P204" i="13"/>
  <c r="P75" i="13"/>
  <c r="P252" i="13"/>
  <c r="P251" i="13"/>
  <c r="P114" i="13"/>
  <c r="G126" i="13"/>
  <c r="P256" i="13"/>
  <c r="P71" i="13"/>
  <c r="P210" i="13"/>
  <c r="H214" i="13"/>
  <c r="K115" i="36" s="1"/>
  <c r="P79" i="13"/>
  <c r="P80" i="13"/>
  <c r="P203" i="13"/>
  <c r="P253" i="13"/>
  <c r="P72" i="13"/>
  <c r="P160" i="13"/>
  <c r="P246" i="13"/>
  <c r="G258" i="13"/>
  <c r="P207" i="13"/>
  <c r="O258" i="13"/>
  <c r="L116" i="36" s="1"/>
  <c r="P166" i="13"/>
  <c r="P254" i="13"/>
  <c r="P73" i="13"/>
  <c r="H258" i="13"/>
  <c r="K116" i="36" s="1"/>
  <c r="P167" i="13"/>
  <c r="P213" i="13"/>
  <c r="P250" i="13"/>
  <c r="P206" i="13"/>
  <c r="P123" i="13"/>
  <c r="E38" i="5"/>
  <c r="D38" i="5"/>
  <c r="B38" i="5"/>
  <c r="P612" i="2" l="1"/>
  <c r="M35" i="36" s="1"/>
  <c r="P568" i="2"/>
  <c r="M26" i="13"/>
  <c r="J26" i="13"/>
  <c r="P879" i="2"/>
  <c r="P41" i="36" s="1"/>
  <c r="J41" i="36"/>
  <c r="P1407" i="2"/>
  <c r="P53" i="36" s="1"/>
  <c r="H1052" i="2"/>
  <c r="K1056" i="2"/>
  <c r="F1053" i="2"/>
  <c r="F877" i="2"/>
  <c r="P877" i="2" s="1"/>
  <c r="N41" i="36" s="1"/>
  <c r="E880" i="2"/>
  <c r="P40" i="20"/>
  <c r="M73" i="36" s="1"/>
  <c r="E1056" i="2"/>
  <c r="P1184" i="2"/>
  <c r="F878" i="2"/>
  <c r="P878" i="2" s="1"/>
  <c r="O41" i="36" s="1"/>
  <c r="H880" i="2"/>
  <c r="F876" i="2"/>
  <c r="H876" i="2"/>
  <c r="J53" i="36"/>
  <c r="F1405" i="2"/>
  <c r="P1405" i="2" s="1"/>
  <c r="N53" i="36" s="1"/>
  <c r="H1408" i="2"/>
  <c r="F1054" i="2"/>
  <c r="P1054" i="2" s="1"/>
  <c r="O45" i="36" s="1"/>
  <c r="H1232" i="2"/>
  <c r="F1404" i="2"/>
  <c r="P1404" i="2" s="1"/>
  <c r="M53" i="36" s="1"/>
  <c r="J76" i="36"/>
  <c r="P175" i="20"/>
  <c r="P76" i="36" s="1"/>
  <c r="J109" i="36"/>
  <c r="P131" i="13"/>
  <c r="J114" i="36"/>
  <c r="P175" i="13"/>
  <c r="P114" i="36" s="1"/>
  <c r="J108" i="36"/>
  <c r="P87" i="13"/>
  <c r="J75" i="36"/>
  <c r="P131" i="20"/>
  <c r="P75" i="36" s="1"/>
  <c r="J115" i="36"/>
  <c r="P219" i="13"/>
  <c r="J74" i="36"/>
  <c r="P87" i="20"/>
  <c r="P74" i="36" s="1"/>
  <c r="J116" i="36"/>
  <c r="P263" i="13"/>
  <c r="C35" i="5"/>
  <c r="C32" i="5"/>
  <c r="C26" i="5"/>
  <c r="C36" i="5"/>
  <c r="C28" i="5"/>
  <c r="C33" i="5"/>
  <c r="C34" i="5"/>
  <c r="C29" i="5"/>
  <c r="C31" i="5"/>
  <c r="C30" i="5"/>
  <c r="C27" i="5"/>
  <c r="C37" i="5"/>
  <c r="P41" i="20"/>
  <c r="N73" i="36" s="1"/>
  <c r="P42" i="20"/>
  <c r="O73" i="36" s="1"/>
  <c r="G30" i="13"/>
  <c r="G31" i="13"/>
  <c r="G33" i="13"/>
  <c r="G27" i="13"/>
  <c r="G35" i="13"/>
  <c r="G32" i="13"/>
  <c r="G34" i="13"/>
  <c r="P876" i="2"/>
  <c r="M41" i="36" s="1"/>
  <c r="J67" i="36"/>
  <c r="P307" i="4"/>
  <c r="J66" i="36"/>
  <c r="P263" i="4"/>
  <c r="J68" i="36"/>
  <c r="P351" i="4"/>
  <c r="J64" i="36"/>
  <c r="P175" i="4"/>
  <c r="J65" i="36"/>
  <c r="P219" i="4"/>
  <c r="F1230" i="2"/>
  <c r="P1230" i="2" s="1"/>
  <c r="O49" i="36" s="1"/>
  <c r="J63" i="36"/>
  <c r="P131" i="4"/>
  <c r="E1232" i="2"/>
  <c r="P1228" i="2" s="1"/>
  <c r="M49" i="36" s="1"/>
  <c r="K1232" i="2"/>
  <c r="F1229" i="2"/>
  <c r="P1229" i="2" s="1"/>
  <c r="N49" i="36" s="1"/>
  <c r="L27" i="13"/>
  <c r="I31" i="13"/>
  <c r="L35" i="13"/>
  <c r="I30" i="13"/>
  <c r="I29" i="13"/>
  <c r="I37" i="13"/>
  <c r="K36" i="13"/>
  <c r="I28" i="13"/>
  <c r="K35" i="13"/>
  <c r="I27" i="13"/>
  <c r="K34" i="13"/>
  <c r="I26" i="13"/>
  <c r="K33" i="13"/>
  <c r="K32" i="13"/>
  <c r="K31" i="13"/>
  <c r="K30" i="13"/>
  <c r="M37" i="13"/>
  <c r="K29" i="13"/>
  <c r="K28" i="13"/>
  <c r="H34" i="13"/>
  <c r="H32" i="13"/>
  <c r="M36" i="13"/>
  <c r="M35" i="13"/>
  <c r="K27" i="13"/>
  <c r="M34" i="13"/>
  <c r="K26" i="13"/>
  <c r="M33" i="13"/>
  <c r="J37" i="13"/>
  <c r="M32" i="13"/>
  <c r="J36" i="13"/>
  <c r="H33" i="13"/>
  <c r="I32" i="13"/>
  <c r="M31" i="13"/>
  <c r="J35" i="13"/>
  <c r="M30" i="13"/>
  <c r="J34" i="13"/>
  <c r="M29" i="13"/>
  <c r="J33" i="13"/>
  <c r="H28" i="13"/>
  <c r="M28" i="13"/>
  <c r="J32" i="13"/>
  <c r="H27" i="13"/>
  <c r="L34" i="13"/>
  <c r="M27" i="13"/>
  <c r="J31" i="13"/>
  <c r="H26" i="13"/>
  <c r="J30" i="13"/>
  <c r="H37" i="13"/>
  <c r="L37" i="13"/>
  <c r="J29" i="13"/>
  <c r="H36" i="13"/>
  <c r="J27" i="13"/>
  <c r="L33" i="13"/>
  <c r="L36" i="13"/>
  <c r="J28" i="13"/>
  <c r="H35" i="13"/>
  <c r="L28" i="13"/>
  <c r="L32" i="13"/>
  <c r="I36" i="13"/>
  <c r="H31" i="13"/>
  <c r="L31" i="13"/>
  <c r="I35" i="13"/>
  <c r="H30" i="13"/>
  <c r="L30" i="13"/>
  <c r="I34" i="13"/>
  <c r="H29" i="13"/>
  <c r="L29" i="13"/>
  <c r="I33" i="13"/>
  <c r="L26" i="13"/>
  <c r="K37" i="13"/>
  <c r="J31" i="36"/>
  <c r="P439" i="2"/>
  <c r="P31" i="36" s="1"/>
  <c r="J47" i="36"/>
  <c r="P1143" i="2"/>
  <c r="P47" i="36" s="1"/>
  <c r="P1053" i="2"/>
  <c r="N45" i="36" s="1"/>
  <c r="J56" i="36"/>
  <c r="P1539" i="2"/>
  <c r="P56" i="36" s="1"/>
  <c r="P1098" i="2"/>
  <c r="O46" i="36" s="1"/>
  <c r="P260" i="2"/>
  <c r="M27" i="36" s="1"/>
  <c r="J40" i="36"/>
  <c r="P835" i="2"/>
  <c r="P40" i="36" s="1"/>
  <c r="P1097" i="2"/>
  <c r="N46" i="36" s="1"/>
  <c r="J37" i="36"/>
  <c r="P703" i="2"/>
  <c r="P37" i="36" s="1"/>
  <c r="J39" i="36"/>
  <c r="P791" i="2"/>
  <c r="P39" i="36" s="1"/>
  <c r="J44" i="36"/>
  <c r="P1011" i="2"/>
  <c r="P44" i="36" s="1"/>
  <c r="P1096" i="2"/>
  <c r="M46" i="36" s="1"/>
  <c r="J45" i="36"/>
  <c r="P1055" i="2"/>
  <c r="P45" i="36" s="1"/>
  <c r="J55" i="36"/>
  <c r="P1495" i="2"/>
  <c r="P55" i="36" s="1"/>
  <c r="J42" i="36"/>
  <c r="P923" i="2"/>
  <c r="P42" i="36" s="1"/>
  <c r="P392" i="2"/>
  <c r="M30" i="36" s="1"/>
  <c r="P1318" i="2"/>
  <c r="O51" i="36" s="1"/>
  <c r="J52" i="36"/>
  <c r="P1363" i="2"/>
  <c r="P52" i="36" s="1"/>
  <c r="J43" i="36"/>
  <c r="P967" i="2"/>
  <c r="P43" i="36" s="1"/>
  <c r="P1317" i="2"/>
  <c r="N51" i="36" s="1"/>
  <c r="M34" i="36"/>
  <c r="J38" i="36"/>
  <c r="P747" i="2"/>
  <c r="P38" i="36" s="1"/>
  <c r="P1316" i="2"/>
  <c r="M51" i="36" s="1"/>
  <c r="J49" i="36"/>
  <c r="P1231" i="2"/>
  <c r="P49" i="36" s="1"/>
  <c r="J26" i="36"/>
  <c r="P219" i="2"/>
  <c r="P480" i="2"/>
  <c r="M32" i="36" s="1"/>
  <c r="J54" i="36"/>
  <c r="P1451" i="2"/>
  <c r="P54" i="36" s="1"/>
  <c r="J25" i="36"/>
  <c r="P175" i="2"/>
  <c r="H792" i="2"/>
  <c r="P1185" i="2"/>
  <c r="N48" i="36" s="1"/>
  <c r="J36" i="36"/>
  <c r="P659" i="2"/>
  <c r="P36" i="36" s="1"/>
  <c r="H788" i="2"/>
  <c r="F788" i="2"/>
  <c r="J50" i="36"/>
  <c r="P1275" i="2"/>
  <c r="P50" i="36" s="1"/>
  <c r="F789" i="2"/>
  <c r="P1406" i="2"/>
  <c r="O53" i="36" s="1"/>
  <c r="F790" i="2"/>
  <c r="P1186" i="2"/>
  <c r="O48" i="36" s="1"/>
  <c r="E792" i="2"/>
  <c r="F1052" i="2"/>
  <c r="P1052" i="2" s="1"/>
  <c r="M45" i="36" s="1"/>
  <c r="H1228" i="2"/>
  <c r="H1140" i="2"/>
  <c r="F1140" i="2"/>
  <c r="K1144" i="2"/>
  <c r="F1141" i="2"/>
  <c r="F1142" i="2"/>
  <c r="H1144" i="2"/>
  <c r="E1144" i="2"/>
  <c r="H1492" i="2"/>
  <c r="H1496" i="2"/>
  <c r="F1492" i="2"/>
  <c r="E1496" i="2"/>
  <c r="K1496" i="2"/>
  <c r="F1493" i="2"/>
  <c r="L85" i="36"/>
  <c r="K440" i="2"/>
  <c r="F437" i="2"/>
  <c r="P437" i="2" s="1"/>
  <c r="H436" i="2"/>
  <c r="F438" i="2"/>
  <c r="P438" i="2" s="1"/>
  <c r="F1272" i="2"/>
  <c r="F1273" i="2"/>
  <c r="L117" i="36"/>
  <c r="E1276" i="2"/>
  <c r="H1272" i="2"/>
  <c r="K117" i="36"/>
  <c r="H1276" i="2"/>
  <c r="K1276" i="2"/>
  <c r="F1274" i="2"/>
  <c r="F1494" i="2"/>
  <c r="F436" i="2"/>
  <c r="E440" i="2"/>
  <c r="H1012" i="2"/>
  <c r="H440" i="2"/>
  <c r="H1540" i="2"/>
  <c r="F1362" i="2"/>
  <c r="E660" i="2"/>
  <c r="F1009" i="2"/>
  <c r="H1008" i="2"/>
  <c r="E1540" i="2"/>
  <c r="H656" i="2"/>
  <c r="K660" i="2"/>
  <c r="F1010" i="2"/>
  <c r="F1008" i="2"/>
  <c r="E1012" i="2"/>
  <c r="F1537" i="2"/>
  <c r="F1538" i="2"/>
  <c r="H832" i="2"/>
  <c r="F834" i="2"/>
  <c r="E836" i="2"/>
  <c r="F658" i="2"/>
  <c r="P658" i="2" s="1"/>
  <c r="K836" i="2"/>
  <c r="F1360" i="2"/>
  <c r="F833" i="2"/>
  <c r="H1360" i="2"/>
  <c r="H836" i="2"/>
  <c r="F1361" i="2"/>
  <c r="F832" i="2"/>
  <c r="M48" i="36"/>
  <c r="H1536" i="2"/>
  <c r="K1540" i="2"/>
  <c r="E1364" i="2"/>
  <c r="F1536" i="2"/>
  <c r="K1364" i="2"/>
  <c r="H1364" i="2"/>
  <c r="F656" i="2"/>
  <c r="H660" i="2"/>
  <c r="F657" i="2"/>
  <c r="P657" i="2" s="1"/>
  <c r="K1012" i="2"/>
  <c r="F1448" i="2"/>
  <c r="K1452" i="2"/>
  <c r="F1449" i="2"/>
  <c r="H1448" i="2"/>
  <c r="F1450" i="2"/>
  <c r="E1452" i="2"/>
  <c r="H1452" i="2"/>
  <c r="G36" i="13"/>
  <c r="G37" i="13"/>
  <c r="E88" i="13"/>
  <c r="F86" i="13"/>
  <c r="P86" i="13" s="1"/>
  <c r="F85" i="13"/>
  <c r="P85" i="13" s="1"/>
  <c r="H84" i="13"/>
  <c r="F84" i="13"/>
  <c r="K88" i="13"/>
  <c r="H88" i="13"/>
  <c r="F217" i="13"/>
  <c r="P217" i="13" s="1"/>
  <c r="K220" i="13"/>
  <c r="E220" i="13"/>
  <c r="H216" i="13"/>
  <c r="F216" i="13"/>
  <c r="F218" i="13"/>
  <c r="P218" i="13" s="1"/>
  <c r="H220" i="13"/>
  <c r="H84" i="20"/>
  <c r="F84" i="20"/>
  <c r="F86" i="20"/>
  <c r="K88" i="20"/>
  <c r="H88" i="20"/>
  <c r="E88" i="20"/>
  <c r="F85" i="20"/>
  <c r="E220" i="4"/>
  <c r="K220" i="4"/>
  <c r="F216" i="4"/>
  <c r="F218" i="4"/>
  <c r="P218" i="4" s="1"/>
  <c r="F217" i="4"/>
  <c r="P217" i="4" s="1"/>
  <c r="H216" i="4"/>
  <c r="H220" i="4"/>
  <c r="E264" i="13"/>
  <c r="H264" i="13"/>
  <c r="K264" i="13"/>
  <c r="E176" i="20"/>
  <c r="K176" i="20"/>
  <c r="H176" i="20"/>
  <c r="H172" i="20"/>
  <c r="F172" i="20"/>
  <c r="F174" i="20"/>
  <c r="F173" i="20"/>
  <c r="K176" i="4"/>
  <c r="F173" i="4"/>
  <c r="P173" i="4" s="1"/>
  <c r="H176" i="4"/>
  <c r="H172" i="4"/>
  <c r="E176" i="4"/>
  <c r="F172" i="4"/>
  <c r="F174" i="4"/>
  <c r="P174" i="4" s="1"/>
  <c r="F130" i="13"/>
  <c r="P130" i="13" s="1"/>
  <c r="F129" i="13"/>
  <c r="P129" i="13" s="1"/>
  <c r="H128" i="13"/>
  <c r="F128" i="13"/>
  <c r="K132" i="13"/>
  <c r="H132" i="13"/>
  <c r="E132" i="13"/>
  <c r="F128" i="4"/>
  <c r="K132" i="4"/>
  <c r="F129" i="4"/>
  <c r="P129" i="4" s="1"/>
  <c r="H132" i="4"/>
  <c r="E132" i="4"/>
  <c r="F130" i="4"/>
  <c r="P130" i="4" s="1"/>
  <c r="H128" i="4"/>
  <c r="K264" i="4"/>
  <c r="H264" i="4"/>
  <c r="E264" i="4"/>
  <c r="F260" i="4"/>
  <c r="F262" i="4"/>
  <c r="P262" i="4" s="1"/>
  <c r="H260" i="4"/>
  <c r="F261" i="4"/>
  <c r="P261" i="4" s="1"/>
  <c r="H352" i="4"/>
  <c r="F350" i="4"/>
  <c r="P350" i="4" s="1"/>
  <c r="F349" i="4"/>
  <c r="P349" i="4" s="1"/>
  <c r="H348" i="4"/>
  <c r="F348" i="4"/>
  <c r="K352" i="4"/>
  <c r="E352" i="4"/>
  <c r="F172" i="13"/>
  <c r="E176" i="13"/>
  <c r="K176" i="13"/>
  <c r="F173" i="13"/>
  <c r="H176" i="13"/>
  <c r="F174" i="13"/>
  <c r="H172" i="13"/>
  <c r="F129" i="20"/>
  <c r="F128" i="20"/>
  <c r="H128" i="20"/>
  <c r="F130" i="20"/>
  <c r="E132" i="20"/>
  <c r="K132" i="20"/>
  <c r="H132" i="20"/>
  <c r="H304" i="4"/>
  <c r="F304" i="4"/>
  <c r="E308" i="4"/>
  <c r="K308" i="4"/>
  <c r="F305" i="4"/>
  <c r="P305" i="4" s="1"/>
  <c r="H308" i="4"/>
  <c r="F306" i="4"/>
  <c r="P306" i="4" s="1"/>
  <c r="H968" i="2"/>
  <c r="E968" i="2"/>
  <c r="F966" i="2"/>
  <c r="K968" i="2"/>
  <c r="F965" i="2"/>
  <c r="H964" i="2"/>
  <c r="F964" i="2"/>
  <c r="H176" i="2"/>
  <c r="F173" i="2"/>
  <c r="P173" i="2" s="1"/>
  <c r="H172" i="2"/>
  <c r="K176" i="2"/>
  <c r="F174" i="2"/>
  <c r="P174" i="2" s="1"/>
  <c r="E176" i="2"/>
  <c r="F172" i="2"/>
  <c r="F701" i="2"/>
  <c r="P701" i="2" s="1"/>
  <c r="K704" i="2"/>
  <c r="H704" i="2"/>
  <c r="E704" i="2"/>
  <c r="F702" i="2"/>
  <c r="P702" i="2" s="1"/>
  <c r="F700" i="2"/>
  <c r="H700" i="2"/>
  <c r="F922" i="2"/>
  <c r="F920" i="2"/>
  <c r="F921" i="2"/>
  <c r="K924" i="2"/>
  <c r="H924" i="2"/>
  <c r="E924" i="2"/>
  <c r="H920" i="2"/>
  <c r="K748" i="2"/>
  <c r="H748" i="2"/>
  <c r="E748" i="2"/>
  <c r="F746" i="2"/>
  <c r="F745" i="2"/>
  <c r="H744" i="2"/>
  <c r="F744" i="2"/>
  <c r="F217" i="2"/>
  <c r="P217" i="2" s="1"/>
  <c r="H216" i="2"/>
  <c r="F216" i="2"/>
  <c r="K220" i="2"/>
  <c r="H220" i="2"/>
  <c r="E220" i="2"/>
  <c r="F218" i="2"/>
  <c r="P218" i="2" s="1"/>
  <c r="G36" i="15"/>
  <c r="P170" i="20"/>
  <c r="P126" i="20"/>
  <c r="P82" i="20"/>
  <c r="P126" i="4"/>
  <c r="P346" i="4"/>
  <c r="P302" i="4"/>
  <c r="P258" i="4"/>
  <c r="P214" i="4"/>
  <c r="P170" i="4"/>
  <c r="G28" i="13"/>
  <c r="G29" i="13"/>
  <c r="G32" i="15"/>
  <c r="G29" i="15"/>
  <c r="G31" i="15"/>
  <c r="G34" i="15"/>
  <c r="G26" i="15"/>
  <c r="G30" i="15"/>
  <c r="G33" i="15"/>
  <c r="G35" i="15"/>
  <c r="G37" i="15"/>
  <c r="G28" i="15"/>
  <c r="G27" i="15"/>
  <c r="C38" i="15"/>
  <c r="P170" i="13"/>
  <c r="F260" i="13"/>
  <c r="H260" i="13"/>
  <c r="P82" i="13"/>
  <c r="P126" i="13"/>
  <c r="P258" i="13"/>
  <c r="P214" i="13"/>
  <c r="G26" i="13"/>
  <c r="C38" i="13"/>
  <c r="P216" i="13" l="1"/>
  <c r="P260" i="4"/>
  <c r="P172" i="4"/>
  <c r="J117" i="36"/>
  <c r="P172" i="20"/>
  <c r="P744" i="2"/>
  <c r="P128" i="20"/>
  <c r="P172" i="2"/>
  <c r="P832" i="2"/>
  <c r="P260" i="13"/>
  <c r="M116" i="36" s="1"/>
  <c r="P964" i="2"/>
  <c r="M43" i="36" s="1"/>
  <c r="P174" i="20"/>
  <c r="O76" i="36" s="1"/>
  <c r="P172" i="13"/>
  <c r="P700" i="2"/>
  <c r="P85" i="20"/>
  <c r="N74" i="36" s="1"/>
  <c r="P304" i="4"/>
  <c r="M67" i="36" s="1"/>
  <c r="P130" i="20"/>
  <c r="O75" i="36" s="1"/>
  <c r="P173" i="20"/>
  <c r="N76" i="36" s="1"/>
  <c r="P129" i="20"/>
  <c r="N75" i="36" s="1"/>
  <c r="P128" i="13"/>
  <c r="M109" i="36" s="1"/>
  <c r="P86" i="20"/>
  <c r="O74" i="36" s="1"/>
  <c r="O85" i="36" s="1"/>
  <c r="P84" i="20"/>
  <c r="P174" i="13"/>
  <c r="O114" i="36" s="1"/>
  <c r="P348" i="4"/>
  <c r="M68" i="36" s="1"/>
  <c r="P84" i="13"/>
  <c r="M108" i="36" s="1"/>
  <c r="P173" i="13"/>
  <c r="N114" i="36" s="1"/>
  <c r="M37" i="5"/>
  <c r="M31" i="5"/>
  <c r="M32" i="5"/>
  <c r="H34" i="5"/>
  <c r="H32" i="5"/>
  <c r="K30" i="5"/>
  <c r="I36" i="5"/>
  <c r="I33" i="5"/>
  <c r="K29" i="5"/>
  <c r="H27" i="5"/>
  <c r="I37" i="5"/>
  <c r="H37" i="5"/>
  <c r="H30" i="5"/>
  <c r="L26" i="5"/>
  <c r="K34" i="5"/>
  <c r="J32" i="5"/>
  <c r="J37" i="5"/>
  <c r="H33" i="5"/>
  <c r="M29" i="5"/>
  <c r="G29" i="5"/>
  <c r="H28" i="5"/>
  <c r="L32" i="5"/>
  <c r="L27" i="5"/>
  <c r="K27" i="5"/>
  <c r="J36" i="5"/>
  <c r="G36" i="5"/>
  <c r="K37" i="5"/>
  <c r="M36" i="5"/>
  <c r="H29" i="5"/>
  <c r="J34" i="5"/>
  <c r="J30" i="5"/>
  <c r="H26" i="5"/>
  <c r="L28" i="5"/>
  <c r="L30" i="5"/>
  <c r="G37" i="5"/>
  <c r="J28" i="5"/>
  <c r="M26" i="5"/>
  <c r="K31" i="5"/>
  <c r="L36" i="5"/>
  <c r="L33" i="5"/>
  <c r="J31" i="5"/>
  <c r="L34" i="5"/>
  <c r="L35" i="5"/>
  <c r="G33" i="5"/>
  <c r="G35" i="5"/>
  <c r="L37" i="5"/>
  <c r="H31" i="5"/>
  <c r="J29" i="5"/>
  <c r="G27" i="5"/>
  <c r="L31" i="5"/>
  <c r="I34" i="5"/>
  <c r="M28" i="5"/>
  <c r="M27" i="5"/>
  <c r="G31" i="5"/>
  <c r="L29" i="5"/>
  <c r="I32" i="5"/>
  <c r="H36" i="5"/>
  <c r="G34" i="5"/>
  <c r="M35" i="5"/>
  <c r="K33" i="5"/>
  <c r="G26" i="5"/>
  <c r="I28" i="5"/>
  <c r="K36" i="5"/>
  <c r="K26" i="5"/>
  <c r="J33" i="5"/>
  <c r="I29" i="5"/>
  <c r="G32" i="5"/>
  <c r="G28" i="5"/>
  <c r="K32" i="5"/>
  <c r="J26" i="5"/>
  <c r="J27" i="5"/>
  <c r="I30" i="5"/>
  <c r="I31" i="5"/>
  <c r="M34" i="5"/>
  <c r="G30" i="5"/>
  <c r="M30" i="5"/>
  <c r="J35" i="5"/>
  <c r="M33" i="5"/>
  <c r="H35" i="5"/>
  <c r="K35" i="5"/>
  <c r="K28" i="5"/>
  <c r="I35" i="5"/>
  <c r="I26" i="5"/>
  <c r="I27" i="5"/>
  <c r="P216" i="4"/>
  <c r="P1448" i="2"/>
  <c r="M54" i="36" s="1"/>
  <c r="P128" i="4"/>
  <c r="P656" i="2"/>
  <c r="M36" i="36" s="1"/>
  <c r="P1492" i="2"/>
  <c r="M55" i="36" s="1"/>
  <c r="P1009" i="2"/>
  <c r="N44" i="36" s="1"/>
  <c r="P1362" i="2"/>
  <c r="O52" i="36" s="1"/>
  <c r="P1142" i="2"/>
  <c r="O47" i="36" s="1"/>
  <c r="P1536" i="2"/>
  <c r="M56" i="36" s="1"/>
  <c r="P1140" i="2"/>
  <c r="M47" i="36" s="1"/>
  <c r="P1008" i="2"/>
  <c r="M44" i="36" s="1"/>
  <c r="P436" i="2"/>
  <c r="M31" i="36" s="1"/>
  <c r="P1494" i="2"/>
  <c r="O55" i="36" s="1"/>
  <c r="P1274" i="2"/>
  <c r="O50" i="36" s="1"/>
  <c r="P1361" i="2"/>
  <c r="N52" i="36" s="1"/>
  <c r="P745" i="2"/>
  <c r="N38" i="36" s="1"/>
  <c r="P746" i="2"/>
  <c r="O38" i="36" s="1"/>
  <c r="P790" i="2"/>
  <c r="O39" i="36" s="1"/>
  <c r="P1450" i="2"/>
  <c r="O54" i="36" s="1"/>
  <c r="P833" i="2"/>
  <c r="N40" i="36" s="1"/>
  <c r="P1360" i="2"/>
  <c r="M52" i="36" s="1"/>
  <c r="P1449" i="2"/>
  <c r="N54" i="36" s="1"/>
  <c r="P1493" i="2"/>
  <c r="N55" i="36" s="1"/>
  <c r="P966" i="2"/>
  <c r="O43" i="36" s="1"/>
  <c r="P789" i="2"/>
  <c r="N39" i="36" s="1"/>
  <c r="P834" i="2"/>
  <c r="O40" i="36" s="1"/>
  <c r="P1273" i="2"/>
  <c r="N50" i="36" s="1"/>
  <c r="P1272" i="2"/>
  <c r="M50" i="36" s="1"/>
  <c r="P1010" i="2"/>
  <c r="O44" i="36" s="1"/>
  <c r="P216" i="2"/>
  <c r="M26" i="36" s="1"/>
  <c r="P921" i="2"/>
  <c r="N42" i="36" s="1"/>
  <c r="P1141" i="2"/>
  <c r="N47" i="36" s="1"/>
  <c r="P965" i="2"/>
  <c r="N43" i="36" s="1"/>
  <c r="P920" i="2"/>
  <c r="M42" i="36" s="1"/>
  <c r="P1538" i="2"/>
  <c r="O56" i="36" s="1"/>
  <c r="P922" i="2"/>
  <c r="O42" i="36" s="1"/>
  <c r="P1537" i="2"/>
  <c r="N56" i="36" s="1"/>
  <c r="P788" i="2"/>
  <c r="M39" i="36" s="1"/>
  <c r="Q73" i="36"/>
  <c r="M40" i="36"/>
  <c r="M115" i="36"/>
  <c r="M64" i="36"/>
  <c r="M65" i="36"/>
  <c r="M114" i="36"/>
  <c r="M25" i="36"/>
  <c r="M37" i="36"/>
  <c r="M63" i="36"/>
  <c r="M75" i="36"/>
  <c r="M74" i="36"/>
  <c r="M66" i="36"/>
  <c r="M76" i="36"/>
  <c r="M38" i="36"/>
  <c r="F261" i="13"/>
  <c r="P261" i="13" s="1"/>
  <c r="F262" i="13"/>
  <c r="P262" i="13" s="1"/>
  <c r="H38" i="15"/>
  <c r="K140" i="36" s="1"/>
  <c r="K143" i="36" s="1"/>
  <c r="P44" i="20"/>
  <c r="P26" i="15"/>
  <c r="G38" i="15"/>
  <c r="O38" i="15"/>
  <c r="L140" i="36" s="1"/>
  <c r="L143" i="36" s="1"/>
  <c r="P33" i="13"/>
  <c r="P34" i="13"/>
  <c r="P30" i="13"/>
  <c r="O38" i="13"/>
  <c r="L107" i="36" s="1"/>
  <c r="L110" i="36" s="1"/>
  <c r="G38" i="13"/>
  <c r="P27" i="13"/>
  <c r="Q76" i="36" l="1"/>
  <c r="J140" i="36"/>
  <c r="P43" i="15"/>
  <c r="Q75" i="36"/>
  <c r="J107" i="36"/>
  <c r="J110" i="36" s="1"/>
  <c r="P43" i="13"/>
  <c r="P107" i="36" s="1"/>
  <c r="M117" i="36"/>
  <c r="Q114" i="36"/>
  <c r="J143" i="36"/>
  <c r="Q74" i="36"/>
  <c r="P88" i="20"/>
  <c r="P132" i="20"/>
  <c r="P176" i="20"/>
  <c r="P36" i="15"/>
  <c r="O140" i="36"/>
  <c r="O143" i="36" s="1"/>
  <c r="N140" i="36"/>
  <c r="N143" i="36" s="1"/>
  <c r="P140" i="36"/>
  <c r="P143" i="36" s="1"/>
  <c r="P32" i="15"/>
  <c r="P28" i="15"/>
  <c r="P29" i="15"/>
  <c r="P31" i="15"/>
  <c r="P30" i="15"/>
  <c r="P27" i="15"/>
  <c r="P34" i="15"/>
  <c r="P33" i="15"/>
  <c r="P35" i="15"/>
  <c r="P37" i="15"/>
  <c r="P176" i="13"/>
  <c r="P32" i="13"/>
  <c r="P36" i="13"/>
  <c r="P35" i="13"/>
  <c r="P37" i="13"/>
  <c r="P28" i="13"/>
  <c r="P31" i="13"/>
  <c r="F42" i="13"/>
  <c r="P42" i="13" s="1"/>
  <c r="K44" i="13"/>
  <c r="F41" i="13"/>
  <c r="P41" i="13" s="1"/>
  <c r="H40" i="13"/>
  <c r="F40" i="13"/>
  <c r="H44" i="13"/>
  <c r="E44" i="13"/>
  <c r="H38" i="13"/>
  <c r="K107" i="36" s="1"/>
  <c r="K110" i="36" s="1"/>
  <c r="P29" i="13"/>
  <c r="P26" i="13"/>
  <c r="P40" i="13" l="1"/>
  <c r="M107" i="36" s="1"/>
  <c r="M110" i="36" s="1"/>
  <c r="Q140" i="36"/>
  <c r="Q143" i="36" s="1"/>
  <c r="D126" i="38" s="1"/>
  <c r="J111" i="36"/>
  <c r="D21" i="38" s="1"/>
  <c r="P38" i="15"/>
  <c r="N116" i="36"/>
  <c r="N108" i="36"/>
  <c r="N109" i="36"/>
  <c r="N115" i="36"/>
  <c r="P108" i="36"/>
  <c r="P109" i="36"/>
  <c r="P115" i="36"/>
  <c r="P116" i="36"/>
  <c r="O116" i="36"/>
  <c r="O115" i="36"/>
  <c r="O108" i="36"/>
  <c r="O109" i="36"/>
  <c r="P38" i="13"/>
  <c r="N107" i="36"/>
  <c r="O107" i="36"/>
  <c r="O110" i="36" l="1"/>
  <c r="P110" i="36"/>
  <c r="O117" i="36"/>
  <c r="P117" i="36"/>
  <c r="N117" i="36"/>
  <c r="Q115" i="36"/>
  <c r="Q116" i="36"/>
  <c r="N110" i="36"/>
  <c r="Q108" i="36"/>
  <c r="Q109" i="36"/>
  <c r="E16" i="40"/>
  <c r="G21" i="38"/>
  <c r="F21" i="38"/>
  <c r="E21" i="38"/>
  <c r="Q107" i="36"/>
  <c r="Q110" i="36" s="1"/>
  <c r="M111" i="36"/>
  <c r="E131" i="40"/>
  <c r="D127" i="38"/>
  <c r="P44" i="15"/>
  <c r="P44" i="13"/>
  <c r="Q117" i="36" l="1"/>
  <c r="D116" i="38" s="1"/>
  <c r="E117" i="40" s="1"/>
  <c r="G117" i="40" s="1"/>
  <c r="E132" i="40"/>
  <c r="G131" i="40"/>
  <c r="B13" i="41"/>
  <c r="G16" i="40"/>
  <c r="P88" i="13"/>
  <c r="P220" i="13"/>
  <c r="P264" i="13"/>
  <c r="P132" i="13"/>
  <c r="C67" i="1"/>
  <c r="E134" i="40" l="1"/>
  <c r="B41" i="41" s="1"/>
  <c r="G132" i="40"/>
  <c r="G134" i="40" s="1"/>
  <c r="F13" i="2"/>
  <c r="O113" i="2" l="1"/>
  <c r="O157" i="2" s="1"/>
  <c r="O201" i="2" s="1"/>
  <c r="O245" i="2" l="1"/>
  <c r="O289" i="2" s="1"/>
  <c r="O35" i="36"/>
  <c r="O36" i="36"/>
  <c r="N35" i="36"/>
  <c r="N36" i="36"/>
  <c r="N33" i="36"/>
  <c r="N34" i="36"/>
  <c r="O33" i="36"/>
  <c r="O34" i="36"/>
  <c r="N31" i="36"/>
  <c r="N32" i="36"/>
  <c r="O31" i="36"/>
  <c r="O32" i="36"/>
  <c r="N29" i="36"/>
  <c r="N30" i="36"/>
  <c r="O29" i="36"/>
  <c r="O30" i="36"/>
  <c r="O27" i="36"/>
  <c r="O28" i="36"/>
  <c r="N27" i="36"/>
  <c r="N28" i="36"/>
  <c r="N26" i="36"/>
  <c r="O333" i="2" l="1"/>
  <c r="H698" i="2"/>
  <c r="K37" i="36" s="1"/>
  <c r="O258" i="2"/>
  <c r="L27" i="36" s="1"/>
  <c r="O26" i="36"/>
  <c r="O214" i="2"/>
  <c r="L26" i="36" s="1"/>
  <c r="O170" i="2"/>
  <c r="L25" i="36" s="1"/>
  <c r="O302" i="2" l="1"/>
  <c r="L28" i="36" s="1"/>
  <c r="O377" i="2"/>
  <c r="P339" i="2"/>
  <c r="P340" i="2"/>
  <c r="P338" i="2"/>
  <c r="P343" i="2"/>
  <c r="P336" i="2"/>
  <c r="P337" i="2"/>
  <c r="P345" i="2"/>
  <c r="P342" i="2"/>
  <c r="P335" i="2"/>
  <c r="P341" i="2"/>
  <c r="P344" i="2"/>
  <c r="H610" i="2"/>
  <c r="K35" i="36" s="1"/>
  <c r="H654" i="2"/>
  <c r="K36" i="36" s="1"/>
  <c r="P251" i="2"/>
  <c r="H522" i="2"/>
  <c r="K33" i="36" s="1"/>
  <c r="H566" i="2"/>
  <c r="K34" i="36" s="1"/>
  <c r="H478" i="2"/>
  <c r="K32" i="36" s="1"/>
  <c r="H434" i="2"/>
  <c r="K31" i="36" s="1"/>
  <c r="P256" i="2"/>
  <c r="P255" i="2"/>
  <c r="P254" i="2"/>
  <c r="P257" i="2"/>
  <c r="P246" i="2"/>
  <c r="P252" i="2"/>
  <c r="P247" i="2"/>
  <c r="H346" i="2"/>
  <c r="K29" i="36" s="1"/>
  <c r="P253" i="2"/>
  <c r="H390" i="2"/>
  <c r="K30" i="36" s="1"/>
  <c r="P250" i="2"/>
  <c r="P248" i="2"/>
  <c r="P249" i="2"/>
  <c r="H258" i="2"/>
  <c r="K27" i="36" s="1"/>
  <c r="P295" i="2"/>
  <c r="P291" i="2"/>
  <c r="P293" i="2"/>
  <c r="P292" i="2"/>
  <c r="P299" i="2"/>
  <c r="P296" i="2"/>
  <c r="P301" i="2"/>
  <c r="P294" i="2"/>
  <c r="P297" i="2"/>
  <c r="P298" i="2"/>
  <c r="P300" i="2"/>
  <c r="P290" i="2"/>
  <c r="H302" i="2"/>
  <c r="K28" i="36" s="1"/>
  <c r="P166" i="2"/>
  <c r="P158" i="2"/>
  <c r="P168" i="2"/>
  <c r="P167" i="2"/>
  <c r="P169" i="2"/>
  <c r="P162" i="2"/>
  <c r="P164" i="2"/>
  <c r="P161" i="2"/>
  <c r="P160" i="2"/>
  <c r="H170" i="2"/>
  <c r="K25" i="36" s="1"/>
  <c r="P163" i="2"/>
  <c r="P165" i="2"/>
  <c r="P208" i="2"/>
  <c r="P209" i="2"/>
  <c r="P203" i="2"/>
  <c r="P211" i="2"/>
  <c r="P202" i="2"/>
  <c r="H214" i="2"/>
  <c r="K26" i="36" s="1"/>
  <c r="P159" i="2"/>
  <c r="P206" i="2"/>
  <c r="P204" i="2"/>
  <c r="P210" i="2"/>
  <c r="P207" i="2"/>
  <c r="P212" i="2"/>
  <c r="P205" i="2"/>
  <c r="P213" i="2"/>
  <c r="Q28" i="36" l="1"/>
  <c r="O346" i="2"/>
  <c r="L29" i="36" s="1"/>
  <c r="Q29" i="36" s="1"/>
  <c r="P334" i="2"/>
  <c r="P346" i="2" s="1"/>
  <c r="P352" i="2" s="1"/>
  <c r="O421" i="2"/>
  <c r="P386" i="2"/>
  <c r="P382" i="2"/>
  <c r="P379" i="2"/>
  <c r="P384" i="2"/>
  <c r="P389" i="2"/>
  <c r="P380" i="2"/>
  <c r="P385" i="2"/>
  <c r="P387" i="2"/>
  <c r="P381" i="2"/>
  <c r="P388" i="2"/>
  <c r="P383" i="2"/>
  <c r="P258" i="2"/>
  <c r="P302" i="2"/>
  <c r="P308" i="2" s="1"/>
  <c r="P170" i="2"/>
  <c r="P214" i="2"/>
  <c r="O465" i="2" l="1"/>
  <c r="P430" i="2"/>
  <c r="P431" i="2"/>
  <c r="P429" i="2"/>
  <c r="P426" i="2"/>
  <c r="P428" i="2"/>
  <c r="P425" i="2"/>
  <c r="P433" i="2"/>
  <c r="P432" i="2"/>
  <c r="P427" i="2"/>
  <c r="P423" i="2"/>
  <c r="P424" i="2"/>
  <c r="O390" i="2"/>
  <c r="L30" i="36" s="1"/>
  <c r="Q30" i="36" s="1"/>
  <c r="P378" i="2"/>
  <c r="P390" i="2" s="1"/>
  <c r="P396" i="2" s="1"/>
  <c r="O434" i="2" l="1"/>
  <c r="L31" i="36" s="1"/>
  <c r="Q31" i="36" s="1"/>
  <c r="P422" i="2"/>
  <c r="P434" i="2" s="1"/>
  <c r="P440" i="2" s="1"/>
  <c r="O509" i="2"/>
  <c r="P476" i="2"/>
  <c r="P475" i="2"/>
  <c r="P477" i="2"/>
  <c r="P469" i="2"/>
  <c r="P473" i="2"/>
  <c r="P467" i="2"/>
  <c r="P472" i="2"/>
  <c r="P468" i="2"/>
  <c r="P470" i="2"/>
  <c r="P474" i="2"/>
  <c r="P471" i="2"/>
  <c r="O553" i="2" l="1"/>
  <c r="P520" i="2"/>
  <c r="P519" i="2"/>
  <c r="P512" i="2"/>
  <c r="P517" i="2"/>
  <c r="P516" i="2"/>
  <c r="P511" i="2"/>
  <c r="P514" i="2"/>
  <c r="P515" i="2"/>
  <c r="P513" i="2"/>
  <c r="P521" i="2"/>
  <c r="P518" i="2"/>
  <c r="O478" i="2"/>
  <c r="L32" i="36" s="1"/>
  <c r="Q32" i="36" s="1"/>
  <c r="P466" i="2"/>
  <c r="P478" i="2" s="1"/>
  <c r="P484" i="2" s="1"/>
  <c r="O522" i="2" l="1"/>
  <c r="L33" i="36" s="1"/>
  <c r="Q33" i="36" s="1"/>
  <c r="P510" i="2"/>
  <c r="P522" i="2" s="1"/>
  <c r="P528" i="2" s="1"/>
  <c r="O597" i="2"/>
  <c r="P560" i="2"/>
  <c r="P565" i="2"/>
  <c r="P561" i="2"/>
  <c r="P556" i="2"/>
  <c r="P563" i="2"/>
  <c r="P557" i="2"/>
  <c r="P562" i="2"/>
  <c r="P559" i="2"/>
  <c r="P558" i="2"/>
  <c r="P555" i="2"/>
  <c r="P564" i="2"/>
  <c r="O641" i="2" l="1"/>
  <c r="P601" i="2"/>
  <c r="P602" i="2"/>
  <c r="P604" i="2"/>
  <c r="P608" i="2"/>
  <c r="P609" i="2"/>
  <c r="P605" i="2"/>
  <c r="P599" i="2"/>
  <c r="P603" i="2"/>
  <c r="P606" i="2"/>
  <c r="P607" i="2"/>
  <c r="P600" i="2"/>
  <c r="O566" i="2"/>
  <c r="L34" i="36" s="1"/>
  <c r="Q34" i="36" s="1"/>
  <c r="P554" i="2"/>
  <c r="P566" i="2" s="1"/>
  <c r="P572" i="2" s="1"/>
  <c r="O610" i="2" l="1"/>
  <c r="L35" i="36" s="1"/>
  <c r="Q35" i="36" s="1"/>
  <c r="P598" i="2"/>
  <c r="P610" i="2" s="1"/>
  <c r="P616" i="2" s="1"/>
  <c r="O685" i="2"/>
  <c r="P646" i="2"/>
  <c r="P649" i="2"/>
  <c r="P653" i="2"/>
  <c r="P652" i="2"/>
  <c r="P650" i="2"/>
  <c r="P643" i="2"/>
  <c r="P648" i="2"/>
  <c r="P647" i="2"/>
  <c r="P644" i="2"/>
  <c r="P645" i="2"/>
  <c r="P651" i="2"/>
  <c r="O729" i="2" l="1"/>
  <c r="P690" i="2"/>
  <c r="P691" i="2"/>
  <c r="P688" i="2"/>
  <c r="P695" i="2"/>
  <c r="P697" i="2"/>
  <c r="P689" i="2"/>
  <c r="P687" i="2"/>
  <c r="P692" i="2"/>
  <c r="P693" i="2"/>
  <c r="P694" i="2"/>
  <c r="P696" i="2"/>
  <c r="O654" i="2"/>
  <c r="L36" i="36" s="1"/>
  <c r="Q36" i="36" s="1"/>
  <c r="P642" i="2"/>
  <c r="P654" i="2" s="1"/>
  <c r="P660" i="2" s="1"/>
  <c r="P686" i="2" l="1"/>
  <c r="P698" i="2" s="1"/>
  <c r="O698" i="2"/>
  <c r="L37" i="36" s="1"/>
  <c r="O773" i="2"/>
  <c r="P740" i="2"/>
  <c r="P735" i="2"/>
  <c r="P734" i="2"/>
  <c r="P737" i="2"/>
  <c r="P736" i="2"/>
  <c r="P738" i="2"/>
  <c r="P731" i="2"/>
  <c r="P732" i="2"/>
  <c r="P733" i="2"/>
  <c r="P741" i="2"/>
  <c r="P739" i="2"/>
  <c r="P730" i="2" l="1"/>
  <c r="P742" i="2" s="1"/>
  <c r="P748" i="2" s="1"/>
  <c r="O742" i="2"/>
  <c r="L38" i="36" s="1"/>
  <c r="Q38" i="36" s="1"/>
  <c r="P775" i="2"/>
  <c r="P778" i="2"/>
  <c r="P779" i="2"/>
  <c r="P780" i="2"/>
  <c r="P776" i="2"/>
  <c r="P781" i="2"/>
  <c r="P782" i="2"/>
  <c r="P784" i="2"/>
  <c r="O817" i="2"/>
  <c r="P777" i="2"/>
  <c r="P783" i="2"/>
  <c r="P785" i="2"/>
  <c r="P826" i="2" l="1"/>
  <c r="P823" i="2"/>
  <c r="P824" i="2"/>
  <c r="P819" i="2"/>
  <c r="P827" i="2"/>
  <c r="P820" i="2"/>
  <c r="P821" i="2"/>
  <c r="P829" i="2"/>
  <c r="P825" i="2"/>
  <c r="O861" i="2"/>
  <c r="P822" i="2"/>
  <c r="P828" i="2"/>
  <c r="O786" i="2"/>
  <c r="L39" i="36" s="1"/>
  <c r="Q39" i="36" s="1"/>
  <c r="P774" i="2"/>
  <c r="P786" i="2" s="1"/>
  <c r="P792" i="2" s="1"/>
  <c r="P865" i="2" l="1"/>
  <c r="P871" i="2"/>
  <c r="P864" i="2"/>
  <c r="P869" i="2"/>
  <c r="P872" i="2"/>
  <c r="P870" i="2"/>
  <c r="P863" i="2"/>
  <c r="P873" i="2"/>
  <c r="P868" i="2"/>
  <c r="P867" i="2"/>
  <c r="O905" i="2"/>
  <c r="P866" i="2"/>
  <c r="O830" i="2"/>
  <c r="L40" i="36" s="1"/>
  <c r="Q40" i="36" s="1"/>
  <c r="P818" i="2"/>
  <c r="P830" i="2" s="1"/>
  <c r="P836" i="2" s="1"/>
  <c r="P913" i="2" l="1"/>
  <c r="P910" i="2"/>
  <c r="P912" i="2"/>
  <c r="P914" i="2"/>
  <c r="P907" i="2"/>
  <c r="P916" i="2"/>
  <c r="P911" i="2"/>
  <c r="P909" i="2"/>
  <c r="O949" i="2"/>
  <c r="P908" i="2"/>
  <c r="P915" i="2"/>
  <c r="P917" i="2"/>
  <c r="P862" i="2"/>
  <c r="P874" i="2" s="1"/>
  <c r="P880" i="2" s="1"/>
  <c r="O874" i="2"/>
  <c r="L41" i="36" s="1"/>
  <c r="Q41" i="36" s="1"/>
  <c r="P960" i="2" l="1"/>
  <c r="P954" i="2"/>
  <c r="P952" i="2"/>
  <c r="P958" i="2"/>
  <c r="P951" i="2"/>
  <c r="P957" i="2"/>
  <c r="P961" i="2"/>
  <c r="P956" i="2"/>
  <c r="O993" i="2"/>
  <c r="P955" i="2"/>
  <c r="P953" i="2"/>
  <c r="P959" i="2"/>
  <c r="O918" i="2"/>
  <c r="L42" i="36" s="1"/>
  <c r="Q42" i="36" s="1"/>
  <c r="P906" i="2"/>
  <c r="P918" i="2" s="1"/>
  <c r="P924" i="2" s="1"/>
  <c r="M13" i="4"/>
  <c r="K85" i="4"/>
  <c r="L85" i="4"/>
  <c r="O1037" i="2" l="1"/>
  <c r="P1005" i="2"/>
  <c r="P1000" i="2"/>
  <c r="P995" i="2"/>
  <c r="P1003" i="2"/>
  <c r="P999" i="2"/>
  <c r="P1002" i="2"/>
  <c r="P997" i="2"/>
  <c r="P998" i="2"/>
  <c r="P1001" i="2"/>
  <c r="P1004" i="2"/>
  <c r="P996" i="2"/>
  <c r="O962" i="2"/>
  <c r="L43" i="36" s="1"/>
  <c r="Q43" i="36" s="1"/>
  <c r="P950" i="2"/>
  <c r="P962" i="2" s="1"/>
  <c r="P968" i="2" s="1"/>
  <c r="K86" i="4"/>
  <c r="L86" i="4"/>
  <c r="O1006" i="2" l="1"/>
  <c r="L44" i="36" s="1"/>
  <c r="Q44" i="36" s="1"/>
  <c r="P994" i="2"/>
  <c r="P1006" i="2" s="1"/>
  <c r="P1012" i="2" s="1"/>
  <c r="P1039" i="2"/>
  <c r="P1049" i="2"/>
  <c r="P1046" i="2"/>
  <c r="O1081" i="2"/>
  <c r="P1047" i="2"/>
  <c r="P1041" i="2"/>
  <c r="P1040" i="2"/>
  <c r="P1048" i="2"/>
  <c r="P1043" i="2"/>
  <c r="P1044" i="2"/>
  <c r="P1042" i="2"/>
  <c r="P1045" i="2"/>
  <c r="K84" i="4"/>
  <c r="L84" i="4"/>
  <c r="O49" i="4"/>
  <c r="F13" i="4"/>
  <c r="K13" i="4"/>
  <c r="D47" i="4"/>
  <c r="B14" i="4"/>
  <c r="D45" i="4"/>
  <c r="D46" i="4"/>
  <c r="N47" i="4"/>
  <c r="G60" i="4" l="1"/>
  <c r="H60" i="4" s="1"/>
  <c r="K57" i="4"/>
  <c r="G59" i="4"/>
  <c r="H59" i="4" s="1"/>
  <c r="G61" i="4"/>
  <c r="H61" i="4" s="1"/>
  <c r="G58" i="4"/>
  <c r="H58" i="4" s="1"/>
  <c r="F67" i="4" s="1"/>
  <c r="F57" i="4"/>
  <c r="P1038" i="2"/>
  <c r="P1050" i="2" s="1"/>
  <c r="P1056" i="2" s="1"/>
  <c r="O1050" i="2"/>
  <c r="L45" i="36" s="1"/>
  <c r="Q45" i="36" s="1"/>
  <c r="P1083" i="2"/>
  <c r="P1092" i="2"/>
  <c r="P1086" i="2"/>
  <c r="P1091" i="2"/>
  <c r="O1125" i="2"/>
  <c r="P1089" i="2"/>
  <c r="P1093" i="2"/>
  <c r="P1085" i="2"/>
  <c r="P1090" i="2"/>
  <c r="P1084" i="2"/>
  <c r="P1088" i="2"/>
  <c r="P1087" i="2"/>
  <c r="O1169" i="2" l="1"/>
  <c r="P1136" i="2"/>
  <c r="P1135" i="2"/>
  <c r="P1137" i="2"/>
  <c r="P1133" i="2"/>
  <c r="P1130" i="2"/>
  <c r="P1129" i="2"/>
  <c r="P1128" i="2"/>
  <c r="P1131" i="2"/>
  <c r="P1132" i="2"/>
  <c r="P1127" i="2"/>
  <c r="P1134" i="2"/>
  <c r="O1094" i="2"/>
  <c r="L46" i="36" s="1"/>
  <c r="Q46" i="36" s="1"/>
  <c r="P1082" i="2"/>
  <c r="P1094" i="2" s="1"/>
  <c r="P1100" i="2" s="1"/>
  <c r="P1126" i="2" l="1"/>
  <c r="P1138" i="2" s="1"/>
  <c r="P1144" i="2" s="1"/>
  <c r="O1138" i="2"/>
  <c r="L47" i="36" s="1"/>
  <c r="Q47" i="36" s="1"/>
  <c r="P1178" i="2"/>
  <c r="P1176" i="2"/>
  <c r="P1171" i="2"/>
  <c r="P1177" i="2"/>
  <c r="P1174" i="2"/>
  <c r="P1179" i="2"/>
  <c r="P1175" i="2"/>
  <c r="P1172" i="2"/>
  <c r="O1213" i="2"/>
  <c r="P1181" i="2"/>
  <c r="P1180" i="2"/>
  <c r="P1173" i="2"/>
  <c r="F82" i="4"/>
  <c r="P1221" i="2" l="1"/>
  <c r="P1223" i="2"/>
  <c r="P1216" i="2"/>
  <c r="P1218" i="2"/>
  <c r="P1222" i="2"/>
  <c r="P1217" i="2"/>
  <c r="O1257" i="2"/>
  <c r="P1225" i="2"/>
  <c r="P1224" i="2"/>
  <c r="P1215" i="2"/>
  <c r="P1219" i="2"/>
  <c r="P1220" i="2"/>
  <c r="O1182" i="2"/>
  <c r="L48" i="36" s="1"/>
  <c r="Q48" i="36" s="1"/>
  <c r="P1170" i="2"/>
  <c r="P1182" i="2" s="1"/>
  <c r="P1188" i="2" s="1"/>
  <c r="P1262" i="2" l="1"/>
  <c r="O1301" i="2"/>
  <c r="P1265" i="2"/>
  <c r="P1269" i="2"/>
  <c r="P1261" i="2"/>
  <c r="P1260" i="2"/>
  <c r="P1263" i="2"/>
  <c r="P1266" i="2"/>
  <c r="P1259" i="2"/>
  <c r="P1264" i="2"/>
  <c r="P1267" i="2"/>
  <c r="P1268" i="2"/>
  <c r="O1226" i="2"/>
  <c r="L49" i="36" s="1"/>
  <c r="Q49" i="36" s="1"/>
  <c r="P1214" i="2"/>
  <c r="P1226" i="2" s="1"/>
  <c r="P1232" i="2" s="1"/>
  <c r="O1270" i="2" l="1"/>
  <c r="L50" i="36" s="1"/>
  <c r="Q50" i="36" s="1"/>
  <c r="P1258" i="2"/>
  <c r="P1270" i="2" s="1"/>
  <c r="P1276" i="2" s="1"/>
  <c r="P1310" i="2"/>
  <c r="P1306" i="2"/>
  <c r="P1311" i="2"/>
  <c r="P1303" i="2"/>
  <c r="O1345" i="2"/>
  <c r="P1304" i="2"/>
  <c r="P1312" i="2"/>
  <c r="P1305" i="2"/>
  <c r="P1308" i="2"/>
  <c r="P1313" i="2"/>
  <c r="P1309" i="2"/>
  <c r="P1307" i="2"/>
  <c r="P1302" i="2" l="1"/>
  <c r="P1314" i="2" s="1"/>
  <c r="P1320" i="2" s="1"/>
  <c r="O1314" i="2"/>
  <c r="L51" i="36" s="1"/>
  <c r="Q51" i="36" s="1"/>
  <c r="O1389" i="2"/>
  <c r="P1351" i="2"/>
  <c r="P1350" i="2"/>
  <c r="P1352" i="2"/>
  <c r="P1356" i="2"/>
  <c r="P1355" i="2"/>
  <c r="P1353" i="2"/>
  <c r="P1347" i="2"/>
  <c r="P1348" i="2"/>
  <c r="P1357" i="2"/>
  <c r="P1354" i="2"/>
  <c r="P1349" i="2"/>
  <c r="O1358" i="2" l="1"/>
  <c r="L52" i="36" s="1"/>
  <c r="Q52" i="36" s="1"/>
  <c r="P1346" i="2"/>
  <c r="P1358" i="2" s="1"/>
  <c r="P1364" i="2" s="1"/>
  <c r="P1398" i="2"/>
  <c r="P1392" i="2"/>
  <c r="P1397" i="2"/>
  <c r="P1394" i="2"/>
  <c r="P1393" i="2"/>
  <c r="P1399" i="2"/>
  <c r="P1401" i="2"/>
  <c r="P1391" i="2"/>
  <c r="P1400" i="2"/>
  <c r="O1433" i="2"/>
  <c r="P1396" i="2"/>
  <c r="P1395" i="2"/>
  <c r="P1437" i="2" l="1"/>
  <c r="P1438" i="2"/>
  <c r="P1441" i="2"/>
  <c r="P1445" i="2"/>
  <c r="P1442" i="2"/>
  <c r="O1477" i="2"/>
  <c r="P1435" i="2"/>
  <c r="P1436" i="2"/>
  <c r="P1439" i="2"/>
  <c r="P1444" i="2"/>
  <c r="P1443" i="2"/>
  <c r="P1440" i="2"/>
  <c r="P1390" i="2"/>
  <c r="P1402" i="2" s="1"/>
  <c r="P1408" i="2" s="1"/>
  <c r="O1402" i="2"/>
  <c r="L53" i="36" s="1"/>
  <c r="Q53" i="36" s="1"/>
  <c r="P1481" i="2" l="1"/>
  <c r="P1485" i="2"/>
  <c r="O1521" i="2"/>
  <c r="P1486" i="2"/>
  <c r="P1479" i="2"/>
  <c r="P1483" i="2"/>
  <c r="P1480" i="2"/>
  <c r="P1489" i="2"/>
  <c r="P1487" i="2"/>
  <c r="P1484" i="2"/>
  <c r="P1482" i="2"/>
  <c r="P1488" i="2"/>
  <c r="O1446" i="2"/>
  <c r="L54" i="36" s="1"/>
  <c r="Q54" i="36" s="1"/>
  <c r="P1434" i="2"/>
  <c r="P1446" i="2" s="1"/>
  <c r="P1452" i="2" s="1"/>
  <c r="P1478" i="2" l="1"/>
  <c r="P1490" i="2" s="1"/>
  <c r="P1496" i="2" s="1"/>
  <c r="O1490" i="2"/>
  <c r="L55" i="36" s="1"/>
  <c r="Q55" i="36" s="1"/>
  <c r="P1530" i="2"/>
  <c r="P1525" i="2"/>
  <c r="P1527" i="2"/>
  <c r="P1531" i="2"/>
  <c r="P1533" i="2"/>
  <c r="P1532" i="2"/>
  <c r="P1528" i="2"/>
  <c r="P1523" i="2"/>
  <c r="P1524" i="2"/>
  <c r="P1529" i="2"/>
  <c r="P1526" i="2"/>
  <c r="L56" i="4" l="1"/>
  <c r="G62" i="36" s="1"/>
  <c r="G69" i="36" s="1"/>
  <c r="L55" i="4"/>
  <c r="P56" i="4" s="1"/>
  <c r="O1534" i="2"/>
  <c r="L56" i="36" s="1"/>
  <c r="Q56" i="36" s="1"/>
  <c r="P1522" i="2"/>
  <c r="P1534" i="2" s="1"/>
  <c r="P1540" i="2" s="1"/>
  <c r="E82" i="4"/>
  <c r="B82" i="4"/>
  <c r="C71" i="4" l="1"/>
  <c r="O71" i="4" s="1"/>
  <c r="C75" i="4"/>
  <c r="O75" i="4" s="1"/>
  <c r="C78" i="4"/>
  <c r="O78" i="4" s="1"/>
  <c r="C77" i="4"/>
  <c r="O77" i="4" s="1"/>
  <c r="C70" i="4"/>
  <c r="C81" i="4"/>
  <c r="O81" i="4" s="1"/>
  <c r="C73" i="4"/>
  <c r="C76" i="4"/>
  <c r="C74" i="4"/>
  <c r="C80" i="4"/>
  <c r="O80" i="4" s="1"/>
  <c r="C72" i="4"/>
  <c r="C79" i="4"/>
  <c r="G70" i="36"/>
  <c r="C7" i="39"/>
  <c r="I7" i="39" s="1"/>
  <c r="O64" i="36"/>
  <c r="O68" i="36"/>
  <c r="O67" i="36"/>
  <c r="O63" i="36"/>
  <c r="O66" i="36"/>
  <c r="O65" i="36"/>
  <c r="P65" i="36"/>
  <c r="P64" i="36"/>
  <c r="P67" i="36"/>
  <c r="P63" i="36"/>
  <c r="P66" i="36"/>
  <c r="N65" i="36"/>
  <c r="Q65" i="36" s="1"/>
  <c r="N68" i="36"/>
  <c r="N64" i="36"/>
  <c r="Q64" i="36" s="1"/>
  <c r="N67" i="36"/>
  <c r="Q67" i="36" s="1"/>
  <c r="N63" i="36"/>
  <c r="N66" i="36"/>
  <c r="G75" i="4"/>
  <c r="G71" i="4"/>
  <c r="D82" i="4"/>
  <c r="G78" i="4" l="1"/>
  <c r="G79" i="4"/>
  <c r="O79" i="4"/>
  <c r="G72" i="4"/>
  <c r="O72" i="4"/>
  <c r="G74" i="4"/>
  <c r="O74" i="4"/>
  <c r="G76" i="4"/>
  <c r="O76" i="4"/>
  <c r="G73" i="4"/>
  <c r="O73" i="4"/>
  <c r="K78" i="4"/>
  <c r="M77" i="4"/>
  <c r="J70" i="4"/>
  <c r="K70" i="4"/>
  <c r="L70" i="4"/>
  <c r="J80" i="4"/>
  <c r="L78" i="4"/>
  <c r="M73" i="4"/>
  <c r="L74" i="4"/>
  <c r="J76" i="4"/>
  <c r="K74" i="4"/>
  <c r="J78" i="4"/>
  <c r="J74" i="4"/>
  <c r="I78" i="4"/>
  <c r="I74" i="4"/>
  <c r="I70" i="4"/>
  <c r="H78" i="4"/>
  <c r="H74" i="4"/>
  <c r="H70" i="4"/>
  <c r="M81" i="4"/>
  <c r="K72" i="4"/>
  <c r="N81" i="4"/>
  <c r="N77" i="4"/>
  <c r="N73" i="4"/>
  <c r="J72" i="4"/>
  <c r="L81" i="4"/>
  <c r="L77" i="4"/>
  <c r="L73" i="4"/>
  <c r="K81" i="4"/>
  <c r="K77" i="4"/>
  <c r="K73" i="4"/>
  <c r="J81" i="4"/>
  <c r="J77" i="4"/>
  <c r="J73" i="4"/>
  <c r="I81" i="4"/>
  <c r="I77" i="4"/>
  <c r="I73" i="4"/>
  <c r="L80" i="4"/>
  <c r="H81" i="4"/>
  <c r="H77" i="4"/>
  <c r="H73" i="4"/>
  <c r="L76" i="4"/>
  <c r="K80" i="4"/>
  <c r="N80" i="4"/>
  <c r="N76" i="4"/>
  <c r="N72" i="4"/>
  <c r="K76" i="4"/>
  <c r="M80" i="4"/>
  <c r="M76" i="4"/>
  <c r="M72" i="4"/>
  <c r="L72" i="4"/>
  <c r="I80" i="4"/>
  <c r="I76" i="4"/>
  <c r="I72" i="4"/>
  <c r="H71" i="4"/>
  <c r="H75" i="4"/>
  <c r="H79" i="4"/>
  <c r="N71" i="4"/>
  <c r="O70" i="4"/>
  <c r="N75" i="4"/>
  <c r="I71" i="4"/>
  <c r="N79" i="4"/>
  <c r="J79" i="4"/>
  <c r="I75" i="4"/>
  <c r="M71" i="4"/>
  <c r="N70" i="4"/>
  <c r="M75" i="4"/>
  <c r="N74" i="4"/>
  <c r="M79" i="4"/>
  <c r="N78" i="4"/>
  <c r="L71" i="4"/>
  <c r="L75" i="4"/>
  <c r="L79" i="4"/>
  <c r="M70" i="4"/>
  <c r="M74" i="4"/>
  <c r="M78" i="4"/>
  <c r="K71" i="4"/>
  <c r="K75" i="4"/>
  <c r="K79" i="4"/>
  <c r="H72" i="4"/>
  <c r="H76" i="4"/>
  <c r="H80" i="4"/>
  <c r="J71" i="4"/>
  <c r="J75" i="4"/>
  <c r="I79" i="4"/>
  <c r="G70" i="4"/>
  <c r="G77" i="4"/>
  <c r="Q63" i="36"/>
  <c r="Q66" i="36"/>
  <c r="G80" i="4"/>
  <c r="G81" i="4"/>
  <c r="C82" i="4"/>
  <c r="P220" i="4" l="1"/>
  <c r="P132" i="4"/>
  <c r="P264" i="4"/>
  <c r="P308" i="4"/>
  <c r="P176" i="4"/>
  <c r="O82" i="4"/>
  <c r="L62" i="36" s="1"/>
  <c r="G82" i="4"/>
  <c r="J62" i="36" l="1"/>
  <c r="P87" i="4"/>
  <c r="F85" i="4"/>
  <c r="H88" i="4"/>
  <c r="F86" i="4"/>
  <c r="H84" i="4"/>
  <c r="K88" i="4"/>
  <c r="E88" i="4"/>
  <c r="F84" i="4"/>
  <c r="P84" i="4" l="1"/>
  <c r="P86" i="4"/>
  <c r="O62" i="36" s="1"/>
  <c r="P85" i="4"/>
  <c r="N62" i="36" s="1"/>
  <c r="M62" i="36"/>
  <c r="P71" i="4" l="1"/>
  <c r="P70" i="4"/>
  <c r="P72" i="4"/>
  <c r="P80" i="4"/>
  <c r="P73" i="4"/>
  <c r="P79" i="4"/>
  <c r="P78" i="4"/>
  <c r="P77" i="4"/>
  <c r="P74" i="4"/>
  <c r="P76" i="4"/>
  <c r="P75" i="4"/>
  <c r="H82" i="4"/>
  <c r="K62" i="36" s="1"/>
  <c r="P81" i="4"/>
  <c r="P82" i="4" l="1"/>
  <c r="N37" i="36" l="1"/>
  <c r="O37" i="36"/>
  <c r="Q37" i="36" l="1"/>
  <c r="P704" i="2"/>
  <c r="P79" i="36" l="1"/>
  <c r="P80" i="36"/>
  <c r="P78" i="36"/>
  <c r="N79" i="36" l="1"/>
  <c r="Q79" i="36" s="1"/>
  <c r="N80" i="36"/>
  <c r="Q80" i="36" s="1"/>
  <c r="N78" i="36"/>
  <c r="Q78" i="36" s="1"/>
  <c r="P132" i="5" l="1"/>
  <c r="P88" i="5" l="1"/>
  <c r="P176" i="5"/>
  <c r="D11" i="2"/>
  <c r="J14" i="40" l="1"/>
  <c r="L14" i="40"/>
  <c r="C25" i="41" l="1"/>
  <c r="E25" i="41"/>
  <c r="N94" i="2" l="1"/>
  <c r="L10" i="40" l="1"/>
  <c r="J10" i="40"/>
  <c r="L129" i="2"/>
  <c r="L130" i="2"/>
  <c r="N95" i="2"/>
  <c r="C12" i="41" l="1"/>
  <c r="E12" i="41"/>
  <c r="N96" i="2"/>
  <c r="N97" i="2" l="1"/>
  <c r="N98" i="2" l="1"/>
  <c r="P94" i="2" l="1"/>
  <c r="P95" i="2" l="1"/>
  <c r="P96" i="2" l="1"/>
  <c r="P97" i="2" l="1"/>
  <c r="P98" i="2" l="1"/>
  <c r="P99" i="2" s="1"/>
  <c r="F126" i="2" l="1"/>
  <c r="L99" i="2"/>
  <c r="P100" i="2" s="1"/>
  <c r="D126" i="2" l="1"/>
  <c r="E126" i="2"/>
  <c r="B126" i="2"/>
  <c r="C119" i="2" l="1"/>
  <c r="O119" i="2" s="1"/>
  <c r="C123" i="2"/>
  <c r="O123" i="2" s="1"/>
  <c r="C125" i="2"/>
  <c r="O125" i="2" s="1"/>
  <c r="C118" i="2"/>
  <c r="O118" i="2" s="1"/>
  <c r="C114" i="2"/>
  <c r="G114" i="2" s="1"/>
  <c r="C124" i="2"/>
  <c r="O124" i="2" s="1"/>
  <c r="C122" i="2"/>
  <c r="O122" i="2" s="1"/>
  <c r="C117" i="2"/>
  <c r="O117" i="2" s="1"/>
  <c r="C115" i="2"/>
  <c r="O115" i="2" s="1"/>
  <c r="C116" i="2"/>
  <c r="O116" i="2" s="1"/>
  <c r="C121" i="2"/>
  <c r="C120" i="2"/>
  <c r="G119" i="2"/>
  <c r="G123" i="2"/>
  <c r="G125" i="2" l="1"/>
  <c r="G124" i="2"/>
  <c r="G117" i="2"/>
  <c r="G118" i="2"/>
  <c r="G121" i="2"/>
  <c r="O121" i="2"/>
  <c r="L120" i="2"/>
  <c r="L115" i="2"/>
  <c r="L114" i="2"/>
  <c r="N120" i="2"/>
  <c r="H114" i="2"/>
  <c r="H125" i="2"/>
  <c r="N118" i="2"/>
  <c r="N117" i="2"/>
  <c r="N121" i="2"/>
  <c r="M120" i="2"/>
  <c r="N116" i="2"/>
  <c r="N123" i="2"/>
  <c r="M116" i="2"/>
  <c r="H120" i="2"/>
  <c r="M118" i="2"/>
  <c r="N125" i="2"/>
  <c r="L123" i="2"/>
  <c r="M124" i="2"/>
  <c r="L124" i="2"/>
  <c r="M125" i="2"/>
  <c r="H123" i="2"/>
  <c r="H118" i="2"/>
  <c r="N119" i="2"/>
  <c r="L119" i="2"/>
  <c r="M119" i="2"/>
  <c r="H119" i="2"/>
  <c r="L117" i="2"/>
  <c r="H124" i="2"/>
  <c r="N115" i="2"/>
  <c r="L118" i="2"/>
  <c r="H122" i="2"/>
  <c r="N114" i="2"/>
  <c r="N124" i="2"/>
  <c r="H121" i="2"/>
  <c r="L122" i="2"/>
  <c r="L121" i="2"/>
  <c r="H116" i="2"/>
  <c r="M122" i="2"/>
  <c r="L125" i="2"/>
  <c r="O114" i="2"/>
  <c r="L116" i="2"/>
  <c r="N122" i="2"/>
  <c r="M121" i="2"/>
  <c r="H117" i="2"/>
  <c r="H115" i="2"/>
  <c r="M115" i="2"/>
  <c r="M117" i="2"/>
  <c r="M123" i="2"/>
  <c r="M114" i="2"/>
  <c r="K115" i="2"/>
  <c r="K123" i="2"/>
  <c r="K119" i="2"/>
  <c r="K114" i="2"/>
  <c r="J120" i="2"/>
  <c r="K122" i="2"/>
  <c r="K118" i="2"/>
  <c r="K125" i="2"/>
  <c r="I123" i="2"/>
  <c r="K121" i="2"/>
  <c r="J125" i="2"/>
  <c r="J121" i="2"/>
  <c r="K117" i="2"/>
  <c r="K124" i="2"/>
  <c r="J116" i="2"/>
  <c r="K120" i="2"/>
  <c r="K116" i="2"/>
  <c r="I117" i="2"/>
  <c r="I120" i="2"/>
  <c r="J117" i="2"/>
  <c r="I121" i="2"/>
  <c r="I122" i="2"/>
  <c r="I118" i="2"/>
  <c r="J119" i="2"/>
  <c r="I124" i="2"/>
  <c r="I116" i="2"/>
  <c r="J123" i="2"/>
  <c r="I115" i="2"/>
  <c r="J115" i="2"/>
  <c r="I125" i="2"/>
  <c r="J118" i="2"/>
  <c r="I114" i="2"/>
  <c r="J122" i="2"/>
  <c r="I119" i="2"/>
  <c r="J114" i="2"/>
  <c r="J124" i="2"/>
  <c r="G122" i="2"/>
  <c r="G120" i="2"/>
  <c r="O120" i="2"/>
  <c r="O126" i="2" s="1"/>
  <c r="L24" i="36" s="1"/>
  <c r="G115" i="2"/>
  <c r="G116" i="2"/>
  <c r="C126" i="2"/>
  <c r="G126" i="2" l="1"/>
  <c r="P123" i="2"/>
  <c r="P115" i="2"/>
  <c r="P119" i="2"/>
  <c r="P122" i="2"/>
  <c r="P120" i="2"/>
  <c r="P118" i="2"/>
  <c r="P114" i="2"/>
  <c r="P117" i="2"/>
  <c r="P121" i="2"/>
  <c r="P125" i="2"/>
  <c r="P124" i="2"/>
  <c r="J24" i="36"/>
  <c r="P131" i="2"/>
  <c r="H126" i="2"/>
  <c r="K24" i="36" s="1"/>
  <c r="P116" i="2"/>
  <c r="F130" i="2"/>
  <c r="P130" i="2" s="1"/>
  <c r="F128" i="2"/>
  <c r="F129" i="2"/>
  <c r="P129" i="2" s="1"/>
  <c r="K132" i="2"/>
  <c r="H132" i="2"/>
  <c r="E132" i="2"/>
  <c r="H128" i="2"/>
  <c r="P126" i="2"/>
  <c r="P128" i="2" l="1"/>
  <c r="M24" i="36" s="1"/>
  <c r="L86" i="2" l="1"/>
  <c r="N50" i="2" l="1"/>
  <c r="L85" i="2"/>
  <c r="N51" i="2" l="1"/>
  <c r="N52" i="2" l="1"/>
  <c r="N53" i="2" l="1"/>
  <c r="N54" i="2" l="1"/>
  <c r="P50" i="2" l="1"/>
  <c r="P51" i="2" l="1"/>
  <c r="P52" i="2" l="1"/>
  <c r="P53" i="2" l="1"/>
  <c r="P54" i="2" l="1"/>
  <c r="P55" i="2" s="1"/>
  <c r="F82" i="2" l="1"/>
  <c r="L55" i="2"/>
  <c r="P56" i="2" s="1"/>
  <c r="B82" i="2" l="1"/>
  <c r="D82" i="2"/>
  <c r="E82" i="2"/>
  <c r="C75" i="2" l="1"/>
  <c r="O75" i="2" s="1"/>
  <c r="C81" i="2"/>
  <c r="O81" i="2" s="1"/>
  <c r="C73" i="2"/>
  <c r="O73" i="2" s="1"/>
  <c r="C78" i="2"/>
  <c r="O78" i="2" s="1"/>
  <c r="C77" i="2"/>
  <c r="O77" i="2" s="1"/>
  <c r="C74" i="2"/>
  <c r="O74" i="2" s="1"/>
  <c r="C71" i="2"/>
  <c r="O71" i="2" s="1"/>
  <c r="C70" i="2"/>
  <c r="G70" i="2" s="1"/>
  <c r="C80" i="2"/>
  <c r="O80" i="2" s="1"/>
  <c r="C79" i="2"/>
  <c r="O79" i="2" s="1"/>
  <c r="C72" i="2"/>
  <c r="O72" i="2" s="1"/>
  <c r="C76" i="2"/>
  <c r="O76" i="2" s="1"/>
  <c r="G81" i="2"/>
  <c r="G75" i="2"/>
  <c r="G73" i="2" l="1"/>
  <c r="G78" i="2"/>
  <c r="G77" i="2"/>
  <c r="G74" i="2"/>
  <c r="G71" i="2"/>
  <c r="L78" i="2"/>
  <c r="H75" i="2"/>
  <c r="M74" i="2"/>
  <c r="H78" i="2"/>
  <c r="L74" i="2"/>
  <c r="N74" i="2"/>
  <c r="L73" i="2"/>
  <c r="N73" i="2"/>
  <c r="M72" i="2"/>
  <c r="N71" i="2"/>
  <c r="M78" i="2"/>
  <c r="M71" i="2"/>
  <c r="H81" i="2"/>
  <c r="M70" i="2"/>
  <c r="N81" i="2"/>
  <c r="N77" i="2"/>
  <c r="H73" i="2"/>
  <c r="L71" i="2"/>
  <c r="L81" i="2"/>
  <c r="M77" i="2"/>
  <c r="M81" i="2"/>
  <c r="H71" i="2"/>
  <c r="L75" i="2"/>
  <c r="L77" i="2"/>
  <c r="H72" i="2"/>
  <c r="O70" i="2"/>
  <c r="O82" i="2" s="1"/>
  <c r="L23" i="36" s="1"/>
  <c r="N75" i="2"/>
  <c r="H77" i="2"/>
  <c r="N70" i="2"/>
  <c r="M75" i="2"/>
  <c r="N76" i="2"/>
  <c r="M79" i="2"/>
  <c r="L70" i="2"/>
  <c r="M76" i="2"/>
  <c r="H79" i="2"/>
  <c r="N80" i="2"/>
  <c r="H70" i="2"/>
  <c r="L76" i="2"/>
  <c r="H76" i="2"/>
  <c r="M80" i="2"/>
  <c r="H74" i="2"/>
  <c r="N79" i="2"/>
  <c r="L80" i="2"/>
  <c r="M73" i="2"/>
  <c r="L79" i="2"/>
  <c r="H80" i="2"/>
  <c r="N72" i="2"/>
  <c r="N78" i="2"/>
  <c r="L72" i="2"/>
  <c r="J77" i="2"/>
  <c r="K76" i="2"/>
  <c r="J79" i="2"/>
  <c r="J73" i="2"/>
  <c r="J80" i="2"/>
  <c r="J72" i="2"/>
  <c r="J81" i="2"/>
  <c r="J76" i="2"/>
  <c r="I70" i="2"/>
  <c r="I75" i="2"/>
  <c r="I80" i="2"/>
  <c r="J71" i="2"/>
  <c r="I74" i="2"/>
  <c r="I79" i="2"/>
  <c r="J75" i="2"/>
  <c r="I77" i="2"/>
  <c r="I73" i="2"/>
  <c r="K75" i="2"/>
  <c r="I72" i="2"/>
  <c r="K79" i="2"/>
  <c r="I78" i="2"/>
  <c r="J78" i="2"/>
  <c r="K71" i="2"/>
  <c r="I81" i="2"/>
  <c r="K70" i="2"/>
  <c r="I76" i="2"/>
  <c r="K72" i="2"/>
  <c r="K74" i="2"/>
  <c r="I71" i="2"/>
  <c r="K78" i="2"/>
  <c r="K81" i="2"/>
  <c r="K77" i="2"/>
  <c r="K73" i="2"/>
  <c r="K80" i="2"/>
  <c r="J70" i="2"/>
  <c r="J74" i="2"/>
  <c r="G79" i="2"/>
  <c r="G80" i="2"/>
  <c r="C82" i="2"/>
  <c r="G72" i="2"/>
  <c r="G76" i="2"/>
  <c r="P80" i="2" l="1"/>
  <c r="P77" i="2"/>
  <c r="P73" i="2"/>
  <c r="P81" i="2"/>
  <c r="P78" i="2"/>
  <c r="P74" i="2"/>
  <c r="P71" i="2"/>
  <c r="P75" i="2"/>
  <c r="P79" i="2"/>
  <c r="P70" i="2"/>
  <c r="P76" i="2"/>
  <c r="P72" i="2"/>
  <c r="G82" i="2"/>
  <c r="F84" i="2" s="1"/>
  <c r="H82" i="2"/>
  <c r="K23" i="36" s="1"/>
  <c r="N24" i="36"/>
  <c r="O24" i="36"/>
  <c r="P82" i="2" l="1"/>
  <c r="H84" i="2"/>
  <c r="F85" i="2"/>
  <c r="P85" i="2" s="1"/>
  <c r="F86" i="2"/>
  <c r="P86" i="2" s="1"/>
  <c r="E88" i="2"/>
  <c r="P84" i="2" s="1"/>
  <c r="M23" i="36" s="1"/>
  <c r="H88" i="2"/>
  <c r="K88" i="2"/>
  <c r="J23" i="36"/>
  <c r="P87" i="2"/>
  <c r="P23" i="36" s="1"/>
  <c r="P27" i="36"/>
  <c r="Q27" i="36" s="1"/>
  <c r="P26" i="36"/>
  <c r="Q26" i="36" s="1"/>
  <c r="P24" i="36"/>
  <c r="O25" i="36"/>
  <c r="O23" i="36"/>
  <c r="P25" i="36"/>
  <c r="N25" i="36"/>
  <c r="N23" i="36"/>
  <c r="Q25" i="36" l="1"/>
  <c r="Q23" i="36"/>
  <c r="Q24" i="36"/>
  <c r="P264" i="2"/>
  <c r="P220" i="2"/>
  <c r="P132" i="2"/>
  <c r="P88" i="2"/>
  <c r="P176" i="2" l="1"/>
  <c r="L42" i="4"/>
  <c r="L41" i="4"/>
  <c r="P68" i="36" l="1"/>
  <c r="Q68" i="36" s="1"/>
  <c r="P62" i="36"/>
  <c r="Q62" i="36" s="1"/>
  <c r="P352" i="4" l="1"/>
  <c r="P88" i="4"/>
  <c r="N15" i="36" l="1"/>
  <c r="L129" i="1" l="1"/>
  <c r="L130" i="1"/>
  <c r="M15" i="36" l="1"/>
  <c r="L13" i="40" l="1"/>
  <c r="J13" i="40"/>
  <c r="F38" i="4"/>
  <c r="C24" i="41" l="1"/>
  <c r="E24" i="41"/>
  <c r="L11" i="4" l="1"/>
  <c r="P12" i="4" s="1"/>
  <c r="D38" i="4" l="1"/>
  <c r="E38" i="4"/>
  <c r="B38" i="4"/>
  <c r="C27" i="4" s="1"/>
  <c r="O27" i="4" s="1"/>
  <c r="C31" i="4" l="1"/>
  <c r="O31" i="4" s="1"/>
  <c r="C34" i="4"/>
  <c r="O34" i="4" s="1"/>
  <c r="C32" i="4"/>
  <c r="O32" i="4" s="1"/>
  <c r="C37" i="4"/>
  <c r="O37" i="4" s="1"/>
  <c r="C29" i="4"/>
  <c r="O29" i="4" s="1"/>
  <c r="C33" i="4"/>
  <c r="O33" i="4" s="1"/>
  <c r="C28" i="4"/>
  <c r="O28" i="4" s="1"/>
  <c r="C26" i="4"/>
  <c r="G26" i="4" s="1"/>
  <c r="C30" i="4"/>
  <c r="O30" i="4" s="1"/>
  <c r="C35" i="4"/>
  <c r="O35" i="4" s="1"/>
  <c r="C36" i="4"/>
  <c r="O36" i="4" s="1"/>
  <c r="G32" i="4"/>
  <c r="G34" i="4"/>
  <c r="G27" i="4"/>
  <c r="G37" i="4" l="1"/>
  <c r="G33" i="4"/>
  <c r="G30" i="4"/>
  <c r="I27" i="4"/>
  <c r="N36" i="4"/>
  <c r="K29" i="4"/>
  <c r="N29" i="4"/>
  <c r="I34" i="4"/>
  <c r="L29" i="4"/>
  <c r="I30" i="4"/>
  <c r="M29" i="4"/>
  <c r="J34" i="4"/>
  <c r="M32" i="4"/>
  <c r="K34" i="4"/>
  <c r="J28" i="4"/>
  <c r="H28" i="4"/>
  <c r="H26" i="4"/>
  <c r="H34" i="4"/>
  <c r="K32" i="4"/>
  <c r="L32" i="4"/>
  <c r="N33" i="4"/>
  <c r="J29" i="4"/>
  <c r="I29" i="4"/>
  <c r="L28" i="4"/>
  <c r="N37" i="4"/>
  <c r="M33" i="4"/>
  <c r="I28" i="4"/>
  <c r="M37" i="4"/>
  <c r="L33" i="4"/>
  <c r="H29" i="4"/>
  <c r="K33" i="4"/>
  <c r="L37" i="4"/>
  <c r="K28" i="4"/>
  <c r="K37" i="4"/>
  <c r="J33" i="4"/>
  <c r="N28" i="4"/>
  <c r="I33" i="4"/>
  <c r="J37" i="4"/>
  <c r="M28" i="4"/>
  <c r="I37" i="4"/>
  <c r="H33" i="4"/>
  <c r="H37" i="4"/>
  <c r="L36" i="4"/>
  <c r="J32" i="4"/>
  <c r="N27" i="4"/>
  <c r="M36" i="4"/>
  <c r="K26" i="4"/>
  <c r="I36" i="4"/>
  <c r="K30" i="4"/>
  <c r="L26" i="4"/>
  <c r="J35" i="4"/>
  <c r="K36" i="4"/>
  <c r="H30" i="4"/>
  <c r="J27" i="4"/>
  <c r="J26" i="4"/>
  <c r="N31" i="4"/>
  <c r="J36" i="4"/>
  <c r="N30" i="4"/>
  <c r="H36" i="4"/>
  <c r="I35" i="4"/>
  <c r="H27" i="4"/>
  <c r="L31" i="4"/>
  <c r="N34" i="4"/>
  <c r="L34" i="4"/>
  <c r="M34" i="4"/>
  <c r="K31" i="4"/>
  <c r="I26" i="4"/>
  <c r="N35" i="4"/>
  <c r="O26" i="4"/>
  <c r="M27" i="4"/>
  <c r="I31" i="4"/>
  <c r="I32" i="4"/>
  <c r="N26" i="4"/>
  <c r="N32" i="4"/>
  <c r="J31" i="4"/>
  <c r="L27" i="4"/>
  <c r="M35" i="4"/>
  <c r="L30" i="4"/>
  <c r="M31" i="4"/>
  <c r="M26" i="4"/>
  <c r="L35" i="4"/>
  <c r="M30" i="4"/>
  <c r="J30" i="4"/>
  <c r="H31" i="4"/>
  <c r="H35" i="4"/>
  <c r="H32" i="4"/>
  <c r="K35" i="4"/>
  <c r="K27" i="4"/>
  <c r="G29" i="4"/>
  <c r="G28" i="4"/>
  <c r="G36" i="4"/>
  <c r="C38" i="4"/>
  <c r="G31" i="4"/>
  <c r="G35" i="4"/>
  <c r="O38" i="4"/>
  <c r="L61" i="36" s="1"/>
  <c r="L69" i="36" s="1"/>
  <c r="G38" i="4" l="1"/>
  <c r="F40" i="4" s="1"/>
  <c r="P32" i="4"/>
  <c r="P29" i="4"/>
  <c r="P28" i="4"/>
  <c r="P36" i="4"/>
  <c r="P26" i="4"/>
  <c r="P27" i="4"/>
  <c r="P37" i="4"/>
  <c r="P30" i="4"/>
  <c r="P31" i="4"/>
  <c r="P34" i="4"/>
  <c r="P33" i="4"/>
  <c r="P35" i="4"/>
  <c r="H38" i="4"/>
  <c r="K61" i="36" s="1"/>
  <c r="K69" i="36" s="1"/>
  <c r="F42" i="4"/>
  <c r="F41" i="4"/>
  <c r="H44" i="4"/>
  <c r="H40" i="4"/>
  <c r="E44" i="4"/>
  <c r="K44" i="4"/>
  <c r="P40" i="4" l="1"/>
  <c r="M61" i="36" s="1"/>
  <c r="P41" i="4"/>
  <c r="N61" i="36" s="1"/>
  <c r="N69" i="36" s="1"/>
  <c r="P42" i="4"/>
  <c r="O61" i="36" s="1"/>
  <c r="O69" i="36" s="1"/>
  <c r="J61" i="36"/>
  <c r="J69" i="36" s="1"/>
  <c r="J70" i="36" s="1"/>
  <c r="P43" i="4"/>
  <c r="P61" i="36" s="1"/>
  <c r="P69" i="36" s="1"/>
  <c r="P38" i="4"/>
  <c r="M69" i="36" l="1"/>
  <c r="M70" i="36" s="1"/>
  <c r="Q61" i="36"/>
  <c r="Q69" i="36" s="1"/>
  <c r="P44" i="4"/>
  <c r="L85" i="1"/>
  <c r="L86" i="1"/>
  <c r="N94" i="1" l="1"/>
  <c r="N95" i="1" l="1"/>
  <c r="N96" i="1" l="1"/>
  <c r="N97" i="1" l="1"/>
  <c r="N98" i="1" l="1"/>
  <c r="N99" i="1" l="1"/>
  <c r="P94" i="1" l="1"/>
  <c r="P95" i="1" l="1"/>
  <c r="P96" i="1" l="1"/>
  <c r="P97" i="1" l="1"/>
  <c r="P98" i="1" l="1"/>
  <c r="P99" i="1" l="1"/>
  <c r="L55" i="1" l="1"/>
  <c r="G16" i="36" s="1"/>
  <c r="F126" i="1"/>
  <c r="L98" i="1"/>
  <c r="P100" i="1" s="1"/>
  <c r="E126" i="1" l="1"/>
  <c r="D126" i="1"/>
  <c r="B126" i="1"/>
  <c r="C125" i="1" l="1"/>
  <c r="O125" i="1" s="1"/>
  <c r="C117" i="1"/>
  <c r="O117" i="1" s="1"/>
  <c r="C121" i="1"/>
  <c r="O121" i="1" s="1"/>
  <c r="C119" i="1"/>
  <c r="C124" i="1"/>
  <c r="O124" i="1" s="1"/>
  <c r="C122" i="1"/>
  <c r="O122" i="1" s="1"/>
  <c r="C115" i="1"/>
  <c r="C120" i="1"/>
  <c r="C118" i="1"/>
  <c r="C123" i="1"/>
  <c r="O123" i="1" s="1"/>
  <c r="C116" i="1"/>
  <c r="C114" i="1"/>
  <c r="G125" i="1"/>
  <c r="G117" i="1"/>
  <c r="G121" i="1"/>
  <c r="G124" i="1" l="1"/>
  <c r="G120" i="1"/>
  <c r="O120" i="1"/>
  <c r="G115" i="1"/>
  <c r="O115" i="1"/>
  <c r="H123" i="1"/>
  <c r="M122" i="1"/>
  <c r="N123" i="1"/>
  <c r="M123" i="1"/>
  <c r="M117" i="1"/>
  <c r="L123" i="1"/>
  <c r="H122" i="1"/>
  <c r="L117" i="1"/>
  <c r="H117" i="1"/>
  <c r="M120" i="1"/>
  <c r="N120" i="1"/>
  <c r="N117" i="1"/>
  <c r="H125" i="1"/>
  <c r="N118" i="1"/>
  <c r="H114" i="1"/>
  <c r="M115" i="1"/>
  <c r="M124" i="1"/>
  <c r="M118" i="1"/>
  <c r="N124" i="1"/>
  <c r="L118" i="1"/>
  <c r="M116" i="1"/>
  <c r="L121" i="1"/>
  <c r="N122" i="1"/>
  <c r="M114" i="1"/>
  <c r="L116" i="1"/>
  <c r="L122" i="1"/>
  <c r="N121" i="1"/>
  <c r="L115" i="1"/>
  <c r="M121" i="1"/>
  <c r="H115" i="1"/>
  <c r="H121" i="1"/>
  <c r="N114" i="1"/>
  <c r="L120" i="1"/>
  <c r="H118" i="1"/>
  <c r="O114" i="1"/>
  <c r="N115" i="1"/>
  <c r="M125" i="1"/>
  <c r="H119" i="1"/>
  <c r="H116" i="1"/>
  <c r="N116" i="1"/>
  <c r="L124" i="1"/>
  <c r="L125" i="1"/>
  <c r="L119" i="1"/>
  <c r="H120" i="1"/>
  <c r="L114" i="1"/>
  <c r="H124" i="1"/>
  <c r="N125" i="1"/>
  <c r="N119" i="1"/>
  <c r="M119" i="1"/>
  <c r="I123" i="1"/>
  <c r="K116" i="1"/>
  <c r="J123" i="1"/>
  <c r="J118" i="1"/>
  <c r="K121" i="1"/>
  <c r="I119" i="1"/>
  <c r="K123" i="1"/>
  <c r="J115" i="1"/>
  <c r="I115" i="1"/>
  <c r="K119" i="1"/>
  <c r="I116" i="1"/>
  <c r="J125" i="1"/>
  <c r="J116" i="1"/>
  <c r="I122" i="1"/>
  <c r="K115" i="1"/>
  <c r="J121" i="1"/>
  <c r="K125" i="1"/>
  <c r="I118" i="1"/>
  <c r="J119" i="1"/>
  <c r="K122" i="1"/>
  <c r="K117" i="1"/>
  <c r="I114" i="1"/>
  <c r="J114" i="1"/>
  <c r="J124" i="1"/>
  <c r="K118" i="1"/>
  <c r="I125" i="1"/>
  <c r="I120" i="1"/>
  <c r="J122" i="1"/>
  <c r="J120" i="1"/>
  <c r="I121" i="1"/>
  <c r="I117" i="1"/>
  <c r="K120" i="1"/>
  <c r="I124" i="1"/>
  <c r="J117" i="1"/>
  <c r="K124" i="1"/>
  <c r="K114" i="1"/>
  <c r="G116" i="1"/>
  <c r="O116" i="1"/>
  <c r="G119" i="1"/>
  <c r="O119" i="1"/>
  <c r="G122" i="1"/>
  <c r="G118" i="1"/>
  <c r="O118" i="1"/>
  <c r="G123" i="1"/>
  <c r="G114" i="1"/>
  <c r="C126" i="1"/>
  <c r="P118" i="1" l="1"/>
  <c r="P122" i="1"/>
  <c r="P115" i="1"/>
  <c r="P121" i="1"/>
  <c r="P123" i="1"/>
  <c r="P117" i="1"/>
  <c r="P125" i="1"/>
  <c r="P120" i="1"/>
  <c r="H126" i="1"/>
  <c r="K17" i="36" s="1"/>
  <c r="P119" i="1"/>
  <c r="P124" i="1"/>
  <c r="P116" i="1"/>
  <c r="O126" i="1"/>
  <c r="L17" i="36" s="1"/>
  <c r="P114" i="1"/>
  <c r="G126" i="1"/>
  <c r="E132" i="1" s="1"/>
  <c r="J12" i="40"/>
  <c r="L12" i="40"/>
  <c r="F128" i="1"/>
  <c r="H128" i="1"/>
  <c r="H132" i="1"/>
  <c r="K132" i="1"/>
  <c r="F130" i="1"/>
  <c r="F129" i="1"/>
  <c r="P126" i="1"/>
  <c r="P128" i="1" l="1"/>
  <c r="P129" i="1"/>
  <c r="N17" i="36" s="1"/>
  <c r="J17" i="36"/>
  <c r="P131" i="1"/>
  <c r="P17" i="36" s="1"/>
  <c r="P130" i="1"/>
  <c r="O17" i="36" s="1"/>
  <c r="M17" i="36"/>
  <c r="L11" i="40"/>
  <c r="J11" i="40"/>
  <c r="C23" i="41"/>
  <c r="E23" i="41"/>
  <c r="P132" i="1"/>
  <c r="Q17" i="36" l="1"/>
  <c r="C21" i="41"/>
  <c r="E21" i="41"/>
  <c r="L17" i="40" l="1"/>
  <c r="J17" i="40"/>
  <c r="C15" i="41" l="1"/>
  <c r="E15" i="41"/>
  <c r="C14" i="41"/>
  <c r="E14" i="41"/>
  <c r="C16" i="41" l="1"/>
  <c r="C18" i="41" s="1"/>
  <c r="R22" i="42" s="1"/>
  <c r="R25" i="42" s="1"/>
  <c r="E16" i="41"/>
  <c r="E18" i="41" s="1"/>
  <c r="R58" i="42" s="1"/>
  <c r="R61" i="42" s="1"/>
  <c r="C22" i="41"/>
  <c r="C27" i="41" s="1"/>
  <c r="C43" i="41" s="1"/>
  <c r="W22" i="42" s="1"/>
  <c r="W25" i="42" s="1"/>
  <c r="E22" i="41"/>
  <c r="E27" i="41" s="1"/>
  <c r="E43" i="41" s="1"/>
  <c r="W58" i="42" s="1"/>
  <c r="W61" i="42" s="1"/>
  <c r="J18" i="40"/>
  <c r="J20" i="40" s="1"/>
  <c r="J136" i="40" s="1"/>
  <c r="L18" i="40"/>
  <c r="L20" i="40" s="1"/>
  <c r="L136" i="40" s="1"/>
  <c r="C45" i="41" l="1"/>
  <c r="C60" i="41" s="1"/>
  <c r="E45" i="41"/>
  <c r="E60" i="41" s="1"/>
  <c r="U48" i="42"/>
  <c r="U54" i="42"/>
  <c r="U49" i="42"/>
  <c r="U53" i="42"/>
  <c r="U55" i="42"/>
  <c r="U46" i="42"/>
  <c r="U47" i="42"/>
  <c r="U50" i="42"/>
  <c r="U51" i="42"/>
  <c r="U52" i="42"/>
  <c r="U14" i="42"/>
  <c r="U13" i="42"/>
  <c r="U18" i="42"/>
  <c r="U12" i="42"/>
  <c r="U16" i="42"/>
  <c r="U17" i="42"/>
  <c r="U15" i="42"/>
  <c r="U19" i="42"/>
  <c r="T18" i="42"/>
  <c r="T15" i="42" s="1"/>
  <c r="T51" i="42"/>
  <c r="T52" i="42" s="1"/>
  <c r="T19" i="42" l="1"/>
  <c r="V19" i="42" s="1"/>
  <c r="W19" i="42" s="1"/>
  <c r="T13" i="42"/>
  <c r="T12" i="42"/>
  <c r="V12" i="42" s="1"/>
  <c r="W12" i="42" s="1"/>
  <c r="T17" i="42"/>
  <c r="T16" i="42"/>
  <c r="V16" i="42" s="1"/>
  <c r="W16" i="42" s="1"/>
  <c r="T14" i="42"/>
  <c r="V14" i="42" s="1"/>
  <c r="W14" i="42" s="1"/>
  <c r="V52" i="42"/>
  <c r="W52" i="42" s="1"/>
  <c r="V15" i="42"/>
  <c r="W15" i="42" s="1"/>
  <c r="V17" i="42"/>
  <c r="W17" i="42" s="1"/>
  <c r="V13" i="42"/>
  <c r="W13" i="42" s="1"/>
  <c r="V18" i="42"/>
  <c r="W18" i="42" s="1"/>
  <c r="T48" i="42"/>
  <c r="V48" i="42" s="1"/>
  <c r="W48" i="42" s="1"/>
  <c r="T54" i="42"/>
  <c r="V54" i="42" s="1"/>
  <c r="W54" i="42" s="1"/>
  <c r="T49" i="42"/>
  <c r="V49" i="42" s="1"/>
  <c r="W49" i="42" s="1"/>
  <c r="T46" i="42"/>
  <c r="V46" i="42" s="1"/>
  <c r="W46" i="42" s="1"/>
  <c r="T47" i="42"/>
  <c r="V47" i="42" s="1"/>
  <c r="W47" i="42" s="1"/>
  <c r="T50" i="42"/>
  <c r="V50" i="42" s="1"/>
  <c r="W50" i="42" s="1"/>
  <c r="T55" i="42"/>
  <c r="V55" i="42" s="1"/>
  <c r="W55" i="42" s="1"/>
  <c r="V51" i="42"/>
  <c r="W51" i="42" s="1"/>
  <c r="T53" i="42"/>
  <c r="V53" i="42" s="1"/>
  <c r="W53" i="42" s="1"/>
  <c r="W20" i="42" l="1"/>
  <c r="W64" i="42" s="1"/>
  <c r="W74" i="42" s="1"/>
  <c r="W56" i="42"/>
  <c r="W66" i="42" s="1"/>
  <c r="W76" i="42" s="1"/>
  <c r="L8" i="2" l="1"/>
  <c r="N6" i="2" s="1"/>
  <c r="L8" i="1"/>
  <c r="F26" i="2" l="1"/>
  <c r="L41" i="2"/>
  <c r="L42" i="2"/>
  <c r="N6" i="1"/>
  <c r="L41" i="1"/>
  <c r="L42" i="1"/>
  <c r="L52" i="1"/>
  <c r="N50" i="1" s="1"/>
  <c r="N7" i="2"/>
  <c r="F27" i="2" l="1"/>
  <c r="B27" i="2"/>
  <c r="E26" i="2"/>
  <c r="D26" i="2"/>
  <c r="F70" i="1"/>
  <c r="B70" i="1"/>
  <c r="N7" i="1"/>
  <c r="N8" i="1" s="1"/>
  <c r="B26" i="1"/>
  <c r="F26" i="1"/>
  <c r="N51" i="1"/>
  <c r="N8" i="2"/>
  <c r="B28" i="2" l="1"/>
  <c r="F28" i="2"/>
  <c r="D27" i="2"/>
  <c r="E27" i="2"/>
  <c r="B71" i="1"/>
  <c r="F71" i="1"/>
  <c r="D70" i="1"/>
  <c r="E70" i="1"/>
  <c r="E26" i="1"/>
  <c r="D26" i="1"/>
  <c r="B27" i="1"/>
  <c r="B28" i="1" s="1"/>
  <c r="F27" i="1"/>
  <c r="F28" i="1" s="1"/>
  <c r="N52" i="1"/>
  <c r="N9" i="1"/>
  <c r="N9" i="2"/>
  <c r="F29" i="2" l="1"/>
  <c r="B29" i="2"/>
  <c r="E28" i="2"/>
  <c r="D28" i="2"/>
  <c r="F72" i="1"/>
  <c r="B72" i="1"/>
  <c r="E71" i="1"/>
  <c r="D71" i="1"/>
  <c r="E27" i="1"/>
  <c r="D27" i="1"/>
  <c r="E28" i="1"/>
  <c r="D28" i="1"/>
  <c r="F29" i="1"/>
  <c r="B29" i="1"/>
  <c r="N53" i="1"/>
  <c r="N10" i="2"/>
  <c r="N10" i="1"/>
  <c r="E29" i="2" l="1"/>
  <c r="D29" i="2"/>
  <c r="F30" i="2"/>
  <c r="B30" i="2"/>
  <c r="F73" i="1"/>
  <c r="B73" i="1"/>
  <c r="E72" i="1"/>
  <c r="D72" i="1"/>
  <c r="B30" i="1"/>
  <c r="F30" i="1"/>
  <c r="D29" i="1"/>
  <c r="E29" i="1"/>
  <c r="N54" i="1"/>
  <c r="N11" i="1"/>
  <c r="N11" i="2"/>
  <c r="B31" i="2" l="1"/>
  <c r="F31" i="2"/>
  <c r="E30" i="2"/>
  <c r="D30" i="2"/>
  <c r="F74" i="1"/>
  <c r="B74" i="1"/>
  <c r="D73" i="1"/>
  <c r="E73" i="1"/>
  <c r="B31" i="1"/>
  <c r="F31" i="1"/>
  <c r="D30" i="1"/>
  <c r="E30" i="1"/>
  <c r="N55" i="1"/>
  <c r="P6" i="2"/>
  <c r="P6" i="1"/>
  <c r="B32" i="2" l="1"/>
  <c r="F32" i="2"/>
  <c r="E31" i="2"/>
  <c r="D31" i="2"/>
  <c r="F75" i="1"/>
  <c r="B75" i="1"/>
  <c r="D74" i="1"/>
  <c r="E74" i="1"/>
  <c r="F32" i="1"/>
  <c r="B32" i="1"/>
  <c r="D31" i="1"/>
  <c r="E31" i="1"/>
  <c r="P50" i="1"/>
  <c r="P7" i="1"/>
  <c r="P7" i="2"/>
  <c r="F33" i="2" l="1"/>
  <c r="B33" i="2"/>
  <c r="E32" i="2"/>
  <c r="D32" i="2"/>
  <c r="F76" i="1"/>
  <c r="B76" i="1"/>
  <c r="D75" i="1"/>
  <c r="E75" i="1"/>
  <c r="B33" i="1"/>
  <c r="F33" i="1"/>
  <c r="D32" i="1"/>
  <c r="E32" i="1"/>
  <c r="P51" i="1"/>
  <c r="P8" i="2"/>
  <c r="P8" i="1"/>
  <c r="B34" i="2" l="1"/>
  <c r="F34" i="2"/>
  <c r="D33" i="2"/>
  <c r="E33" i="2"/>
  <c r="B77" i="1"/>
  <c r="F77" i="1"/>
  <c r="D76" i="1"/>
  <c r="E76" i="1"/>
  <c r="B34" i="1"/>
  <c r="F34" i="1"/>
  <c r="E33" i="1"/>
  <c r="D33" i="1"/>
  <c r="P52" i="1"/>
  <c r="P9" i="2"/>
  <c r="P9" i="1"/>
  <c r="B35" i="2" l="1"/>
  <c r="F35" i="2"/>
  <c r="D34" i="2"/>
  <c r="E34" i="2"/>
  <c r="F78" i="1"/>
  <c r="B78" i="1"/>
  <c r="D77" i="1"/>
  <c r="E77" i="1"/>
  <c r="B35" i="1"/>
  <c r="F35" i="1"/>
  <c r="D34" i="1"/>
  <c r="E34" i="1"/>
  <c r="P53" i="1"/>
  <c r="P10" i="1"/>
  <c r="P10" i="2"/>
  <c r="B36" i="2" l="1"/>
  <c r="F36" i="2"/>
  <c r="E35" i="2"/>
  <c r="D35" i="2"/>
  <c r="F79" i="1"/>
  <c r="B79" i="1"/>
  <c r="D78" i="1"/>
  <c r="E78" i="1"/>
  <c r="B36" i="1"/>
  <c r="F36" i="1"/>
  <c r="E35" i="1"/>
  <c r="D35" i="1"/>
  <c r="P54" i="1"/>
  <c r="P11" i="1"/>
  <c r="P11" i="2"/>
  <c r="F37" i="2" l="1"/>
  <c r="B37" i="2"/>
  <c r="E36" i="2"/>
  <c r="D36" i="2"/>
  <c r="B80" i="1"/>
  <c r="F80" i="1"/>
  <c r="D79" i="1"/>
  <c r="E79" i="1"/>
  <c r="F37" i="1"/>
  <c r="F38" i="1" s="1"/>
  <c r="B37" i="1"/>
  <c r="D36" i="1"/>
  <c r="E36" i="1"/>
  <c r="P55" i="1"/>
  <c r="F38" i="2"/>
  <c r="E37" i="2" l="1"/>
  <c r="D37" i="2"/>
  <c r="B81" i="1"/>
  <c r="F81" i="1"/>
  <c r="E80" i="1"/>
  <c r="D80" i="1"/>
  <c r="D37" i="1"/>
  <c r="E37" i="1"/>
  <c r="E38" i="1" s="1"/>
  <c r="F82" i="1"/>
  <c r="D38" i="2"/>
  <c r="E38" i="2"/>
  <c r="B38" i="2"/>
  <c r="L11" i="2"/>
  <c r="P12" i="2" s="1"/>
  <c r="L12" i="2" s="1"/>
  <c r="G22" i="36" s="1"/>
  <c r="G57" i="36" s="1"/>
  <c r="G58" i="36" s="1"/>
  <c r="D38" i="1"/>
  <c r="B38" i="1"/>
  <c r="C26" i="1" s="1"/>
  <c r="L10" i="1"/>
  <c r="E81" i="1" l="1"/>
  <c r="E82" i="1" s="1"/>
  <c r="D81" i="1"/>
  <c r="D82" i="1" s="1"/>
  <c r="C31" i="2"/>
  <c r="C35" i="2"/>
  <c r="C37" i="2"/>
  <c r="C29" i="2"/>
  <c r="C30" i="2"/>
  <c r="C26" i="2"/>
  <c r="C33" i="2"/>
  <c r="C36" i="2"/>
  <c r="C28" i="2"/>
  <c r="C27" i="2"/>
  <c r="C34" i="2"/>
  <c r="C32" i="2"/>
  <c r="C29" i="1"/>
  <c r="O29" i="1" s="1"/>
  <c r="C35" i="1"/>
  <c r="O35" i="1" s="1"/>
  <c r="C32" i="1"/>
  <c r="O32" i="1" s="1"/>
  <c r="M26" i="1"/>
  <c r="H26" i="1"/>
  <c r="J26" i="1"/>
  <c r="I26" i="1"/>
  <c r="L26" i="1"/>
  <c r="O26" i="1"/>
  <c r="K26" i="1"/>
  <c r="N26" i="1"/>
  <c r="C34" i="1"/>
  <c r="O34" i="1" s="1"/>
  <c r="C27" i="1"/>
  <c r="O27" i="1" s="1"/>
  <c r="C31" i="1"/>
  <c r="O31" i="1" s="1"/>
  <c r="C36" i="1"/>
  <c r="O36" i="1" s="1"/>
  <c r="C30" i="1"/>
  <c r="O30" i="1" s="1"/>
  <c r="C33" i="1"/>
  <c r="O33" i="1" s="1"/>
  <c r="C28" i="1"/>
  <c r="O28" i="1" s="1"/>
  <c r="C37" i="1"/>
  <c r="O37" i="1" s="1"/>
  <c r="P12" i="1"/>
  <c r="L11" i="1" s="1"/>
  <c r="G15" i="36" s="1"/>
  <c r="G18" i="36" s="1"/>
  <c r="C15" i="36"/>
  <c r="L54" i="1"/>
  <c r="P56" i="1" s="1"/>
  <c r="B82" i="1"/>
  <c r="C73" i="1" s="1"/>
  <c r="O73" i="1" s="1"/>
  <c r="C75" i="1" l="1"/>
  <c r="O75" i="1" s="1"/>
  <c r="C78" i="1"/>
  <c r="O78" i="1" s="1"/>
  <c r="C76" i="1"/>
  <c r="O76" i="1" s="1"/>
  <c r="C81" i="1"/>
  <c r="O81" i="1" s="1"/>
  <c r="C72" i="1"/>
  <c r="O72" i="1" s="1"/>
  <c r="C77" i="1"/>
  <c r="O77" i="1" s="1"/>
  <c r="C71" i="1"/>
  <c r="O71" i="1" s="1"/>
  <c r="C79" i="1"/>
  <c r="O79" i="1" s="1"/>
  <c r="C70" i="1"/>
  <c r="C74" i="1"/>
  <c r="O74" i="1" s="1"/>
  <c r="C80" i="1"/>
  <c r="O80" i="1" s="1"/>
  <c r="H37" i="1"/>
  <c r="I34" i="1"/>
  <c r="N27" i="1"/>
  <c r="J31" i="1"/>
  <c r="J34" i="1"/>
  <c r="N37" i="1"/>
  <c r="N29" i="1"/>
  <c r="L30" i="1"/>
  <c r="M29" i="1"/>
  <c r="I27" i="1"/>
  <c r="J35" i="1"/>
  <c r="I33" i="1"/>
  <c r="L37" i="1"/>
  <c r="M27" i="1"/>
  <c r="I31" i="1"/>
  <c r="N31" i="1"/>
  <c r="J37" i="1"/>
  <c r="K36" i="1"/>
  <c r="H27" i="1"/>
  <c r="H29" i="1"/>
  <c r="I36" i="1"/>
  <c r="M34" i="1"/>
  <c r="N33" i="1"/>
  <c r="K29" i="1"/>
  <c r="N34" i="1"/>
  <c r="L29" i="1"/>
  <c r="J36" i="1"/>
  <c r="H28" i="1"/>
  <c r="K30" i="1"/>
  <c r="L33" i="1"/>
  <c r="M28" i="1"/>
  <c r="M37" i="1"/>
  <c r="L28" i="1"/>
  <c r="L27" i="1"/>
  <c r="I35" i="1"/>
  <c r="H31" i="1"/>
  <c r="I37" i="1"/>
  <c r="J29" i="1"/>
  <c r="K37" i="1"/>
  <c r="H34" i="1"/>
  <c r="M36" i="1"/>
  <c r="M33" i="1"/>
  <c r="N30" i="1"/>
  <c r="J32" i="1"/>
  <c r="J27" i="1"/>
  <c r="L31" i="1"/>
  <c r="K33" i="1"/>
  <c r="I30" i="1"/>
  <c r="M35" i="1"/>
  <c r="I28" i="1"/>
  <c r="J28" i="1"/>
  <c r="N35" i="1"/>
  <c r="M31" i="1"/>
  <c r="L32" i="1"/>
  <c r="K35" i="1"/>
  <c r="H36" i="1"/>
  <c r="K32" i="1"/>
  <c r="M32" i="1"/>
  <c r="N28" i="1"/>
  <c r="J33" i="1"/>
  <c r="L36" i="1"/>
  <c r="I29" i="1"/>
  <c r="N32" i="1"/>
  <c r="K31" i="1"/>
  <c r="H35" i="1"/>
  <c r="J30" i="1"/>
  <c r="K34" i="1"/>
  <c r="H33" i="1"/>
  <c r="I32" i="1"/>
  <c r="N36" i="1"/>
  <c r="H30" i="1"/>
  <c r="H32" i="1"/>
  <c r="M30" i="1"/>
  <c r="L34" i="1"/>
  <c r="L35" i="1"/>
  <c r="K27" i="1"/>
  <c r="K28" i="1"/>
  <c r="G19" i="36"/>
  <c r="C6" i="39"/>
  <c r="D18" i="39"/>
  <c r="C18" i="36"/>
  <c r="G37" i="2"/>
  <c r="G33" i="2"/>
  <c r="G36" i="2"/>
  <c r="G31" i="1"/>
  <c r="G27" i="1"/>
  <c r="G30" i="2"/>
  <c r="G31" i="2"/>
  <c r="G37" i="1"/>
  <c r="C38" i="2"/>
  <c r="G26" i="2"/>
  <c r="G29" i="1"/>
  <c r="G32" i="2"/>
  <c r="G28" i="1"/>
  <c r="G28" i="2"/>
  <c r="G32" i="1"/>
  <c r="G35" i="2"/>
  <c r="C38" i="1"/>
  <c r="G26" i="1"/>
  <c r="G35" i="1"/>
  <c r="G27" i="2"/>
  <c r="G33" i="1"/>
  <c r="G29" i="2"/>
  <c r="G30" i="1"/>
  <c r="G34" i="2"/>
  <c r="G36" i="1"/>
  <c r="G34" i="1"/>
  <c r="I81" i="1" l="1"/>
  <c r="L78" i="1"/>
  <c r="N79" i="1"/>
  <c r="N71" i="1"/>
  <c r="M81" i="1"/>
  <c r="J70" i="1"/>
  <c r="L75" i="1"/>
  <c r="J81" i="1"/>
  <c r="K72" i="1"/>
  <c r="K74" i="1"/>
  <c r="M75" i="1"/>
  <c r="H74" i="1"/>
  <c r="N72" i="1"/>
  <c r="H76" i="1"/>
  <c r="H75" i="1"/>
  <c r="M74" i="1"/>
  <c r="K76" i="1"/>
  <c r="L71" i="1"/>
  <c r="M72" i="1"/>
  <c r="N77" i="1"/>
  <c r="J79" i="1"/>
  <c r="M80" i="1"/>
  <c r="H71" i="1"/>
  <c r="M77" i="1"/>
  <c r="M76" i="1"/>
  <c r="H79" i="1"/>
  <c r="I72" i="1"/>
  <c r="J74" i="1"/>
  <c r="L77" i="1"/>
  <c r="I73" i="1"/>
  <c r="I79" i="1"/>
  <c r="N76" i="1"/>
  <c r="I80" i="1"/>
  <c r="L76" i="1"/>
  <c r="K75" i="1"/>
  <c r="I78" i="1"/>
  <c r="K80" i="1"/>
  <c r="L70" i="1"/>
  <c r="J77" i="1"/>
  <c r="H77" i="1"/>
  <c r="L80" i="1"/>
  <c r="I76" i="1"/>
  <c r="K78" i="1"/>
  <c r="K79" i="1"/>
  <c r="N70" i="1"/>
  <c r="K71" i="1"/>
  <c r="N80" i="1"/>
  <c r="K81" i="1"/>
  <c r="K73" i="1"/>
  <c r="H80" i="1"/>
  <c r="J80" i="1"/>
  <c r="L73" i="1"/>
  <c r="J72" i="1"/>
  <c r="N75" i="1"/>
  <c r="K70" i="1"/>
  <c r="O70" i="1"/>
  <c r="J76" i="1"/>
  <c r="N78" i="1"/>
  <c r="I74" i="1"/>
  <c r="M79" i="1"/>
  <c r="M73" i="1"/>
  <c r="I77" i="1"/>
  <c r="M70" i="1"/>
  <c r="L79" i="1"/>
  <c r="L81" i="1"/>
  <c r="H70" i="1"/>
  <c r="L72" i="1"/>
  <c r="M71" i="1"/>
  <c r="I71" i="1"/>
  <c r="I70" i="1"/>
  <c r="J71" i="1"/>
  <c r="H73" i="1"/>
  <c r="J75" i="1"/>
  <c r="H78" i="1"/>
  <c r="L74" i="1"/>
  <c r="H81" i="1"/>
  <c r="I75" i="1"/>
  <c r="K77" i="1"/>
  <c r="M78" i="1"/>
  <c r="H72" i="1"/>
  <c r="N73" i="1"/>
  <c r="N81" i="1"/>
  <c r="J78" i="1"/>
  <c r="J73" i="1"/>
  <c r="N74" i="1"/>
  <c r="C13" i="39"/>
  <c r="C41" i="39" s="1"/>
  <c r="I6" i="39"/>
  <c r="I13" i="39" s="1"/>
  <c r="I41" i="39" s="1"/>
  <c r="I43" i="39" s="1"/>
  <c r="E18" i="39"/>
  <c r="J18" i="39"/>
  <c r="G80" i="1"/>
  <c r="G81" i="1"/>
  <c r="G78" i="1"/>
  <c r="G74" i="1"/>
  <c r="G77" i="1"/>
  <c r="G70" i="1"/>
  <c r="C82" i="1"/>
  <c r="G75" i="1"/>
  <c r="P34" i="1"/>
  <c r="G72" i="1"/>
  <c r="G76" i="1"/>
  <c r="G71" i="1"/>
  <c r="G73" i="1"/>
  <c r="G79" i="1"/>
  <c r="G38" i="2"/>
  <c r="P43" i="2" s="1"/>
  <c r="P37" i="1"/>
  <c r="P28" i="1"/>
  <c r="P29" i="1"/>
  <c r="P27" i="1"/>
  <c r="P36" i="1"/>
  <c r="P33" i="1"/>
  <c r="P31" i="1"/>
  <c r="P30" i="1"/>
  <c r="P35" i="1"/>
  <c r="P32" i="1"/>
  <c r="G38" i="1"/>
  <c r="P42" i="1" s="1"/>
  <c r="P26" i="1"/>
  <c r="O38" i="1"/>
  <c r="L15" i="36" s="1"/>
  <c r="H38" i="1"/>
  <c r="K15" i="36" s="1"/>
  <c r="J43" i="39" l="1"/>
  <c r="I45" i="39"/>
  <c r="C43" i="39"/>
  <c r="C72" i="34"/>
  <c r="E72" i="34" s="1"/>
  <c r="P38" i="1"/>
  <c r="O82" i="1"/>
  <c r="L16" i="36" s="1"/>
  <c r="L18" i="36" s="1"/>
  <c r="H82" i="1"/>
  <c r="K16" i="36" s="1"/>
  <c r="K18" i="36" s="1"/>
  <c r="G82" i="1"/>
  <c r="P87" i="1" s="1"/>
  <c r="P70" i="1"/>
  <c r="P79" i="1"/>
  <c r="P77" i="1"/>
  <c r="P74" i="1"/>
  <c r="P78" i="1"/>
  <c r="P71" i="1"/>
  <c r="P76" i="1"/>
  <c r="P72" i="1"/>
  <c r="P81" i="1"/>
  <c r="P73" i="1"/>
  <c r="P75" i="1"/>
  <c r="P80" i="1"/>
  <c r="J15" i="36"/>
  <c r="O15" i="36"/>
  <c r="J22" i="36"/>
  <c r="K25" i="2"/>
  <c r="F42" i="2"/>
  <c r="F41" i="2"/>
  <c r="P22" i="36"/>
  <c r="P57" i="36" s="1"/>
  <c r="H40" i="2"/>
  <c r="F40" i="2"/>
  <c r="P40" i="2" s="1"/>
  <c r="J25" i="2"/>
  <c r="H44" i="2"/>
  <c r="M25" i="2"/>
  <c r="K44" i="2"/>
  <c r="L25" i="2"/>
  <c r="H25" i="2"/>
  <c r="E44" i="2"/>
  <c r="I25" i="2"/>
  <c r="O25" i="2"/>
  <c r="N25" i="2"/>
  <c r="M37" i="2" l="1"/>
  <c r="M30" i="2"/>
  <c r="M33" i="2"/>
  <c r="M34" i="2"/>
  <c r="M29" i="2"/>
  <c r="M35" i="2"/>
  <c r="M26" i="2"/>
  <c r="M27" i="2"/>
  <c r="M28" i="2"/>
  <c r="M31" i="2"/>
  <c r="M36" i="2"/>
  <c r="M32" i="2"/>
  <c r="K34" i="2"/>
  <c r="K27" i="2"/>
  <c r="K36" i="2"/>
  <c r="K26" i="2"/>
  <c r="K29" i="2"/>
  <c r="K30" i="2"/>
  <c r="K33" i="2"/>
  <c r="K28" i="2"/>
  <c r="K37" i="2"/>
  <c r="K31" i="2"/>
  <c r="K35" i="2"/>
  <c r="K32" i="2"/>
  <c r="O32" i="2"/>
  <c r="O34" i="2"/>
  <c r="O35" i="2"/>
  <c r="O27" i="2"/>
  <c r="O28" i="2"/>
  <c r="O36" i="2"/>
  <c r="O33" i="2"/>
  <c r="O37" i="2"/>
  <c r="O26" i="2"/>
  <c r="O29" i="2"/>
  <c r="O30" i="2"/>
  <c r="O31" i="2"/>
  <c r="J37" i="2"/>
  <c r="J26" i="2"/>
  <c r="J27" i="2"/>
  <c r="J36" i="2"/>
  <c r="J34" i="2"/>
  <c r="J32" i="2"/>
  <c r="J35" i="2"/>
  <c r="J33" i="2"/>
  <c r="J28" i="2"/>
  <c r="J30" i="2"/>
  <c r="J29" i="2"/>
  <c r="J31" i="2"/>
  <c r="N37" i="2"/>
  <c r="N29" i="2"/>
  <c r="N27" i="2"/>
  <c r="N28" i="2"/>
  <c r="N26" i="2"/>
  <c r="N33" i="2"/>
  <c r="N30" i="2"/>
  <c r="N35" i="2"/>
  <c r="N36" i="2"/>
  <c r="N34" i="2"/>
  <c r="N32" i="2"/>
  <c r="N31" i="2"/>
  <c r="P42" i="2"/>
  <c r="O22" i="36" s="1"/>
  <c r="O57" i="36" s="1"/>
  <c r="I27" i="2"/>
  <c r="I36" i="2"/>
  <c r="I32" i="2"/>
  <c r="I33" i="2"/>
  <c r="I26" i="2"/>
  <c r="I31" i="2"/>
  <c r="I28" i="2"/>
  <c r="I34" i="2"/>
  <c r="I30" i="2"/>
  <c r="I37" i="2"/>
  <c r="I29" i="2"/>
  <c r="I35" i="2"/>
  <c r="H35" i="2"/>
  <c r="H28" i="2"/>
  <c r="H36" i="2"/>
  <c r="H37" i="2"/>
  <c r="H30" i="2"/>
  <c r="H34" i="2"/>
  <c r="H33" i="2"/>
  <c r="H31" i="2"/>
  <c r="H26" i="2"/>
  <c r="H29" i="2"/>
  <c r="H27" i="2"/>
  <c r="H32" i="2"/>
  <c r="P41" i="2"/>
  <c r="N22" i="36" s="1"/>
  <c r="N57" i="36" s="1"/>
  <c r="L35" i="2"/>
  <c r="L29" i="2"/>
  <c r="L34" i="2"/>
  <c r="L27" i="2"/>
  <c r="L33" i="2"/>
  <c r="L31" i="2"/>
  <c r="L32" i="2"/>
  <c r="L36" i="2"/>
  <c r="L28" i="2"/>
  <c r="L37" i="2"/>
  <c r="L30" i="2"/>
  <c r="L26" i="2"/>
  <c r="C74" i="34"/>
  <c r="D74" i="34" s="1"/>
  <c r="D43" i="39"/>
  <c r="C45" i="39"/>
  <c r="J45" i="39"/>
  <c r="I49" i="39"/>
  <c r="K45" i="39"/>
  <c r="J16" i="36"/>
  <c r="E88" i="1"/>
  <c r="H88" i="1"/>
  <c r="K88" i="1"/>
  <c r="P16" i="36"/>
  <c r="P18" i="36" s="1"/>
  <c r="D19" i="38" s="1"/>
  <c r="F84" i="1"/>
  <c r="H84" i="1"/>
  <c r="F86" i="1"/>
  <c r="F85" i="1"/>
  <c r="P44" i="1"/>
  <c r="P82" i="1"/>
  <c r="M22" i="36"/>
  <c r="M57" i="36" s="1"/>
  <c r="J57" i="36"/>
  <c r="J18" i="36"/>
  <c r="J19" i="36" s="1"/>
  <c r="D16" i="38" s="1"/>
  <c r="Q15" i="36"/>
  <c r="P84" i="1" l="1"/>
  <c r="M16" i="36" s="1"/>
  <c r="M18" i="36" s="1"/>
  <c r="P86" i="1"/>
  <c r="O16" i="36" s="1"/>
  <c r="O18" i="36" s="1"/>
  <c r="D17" i="38" s="1"/>
  <c r="P85" i="1"/>
  <c r="N16" i="36" s="1"/>
  <c r="N18" i="36" s="1"/>
  <c r="J56" i="39"/>
  <c r="K49" i="39"/>
  <c r="J49" i="39"/>
  <c r="E45" i="39"/>
  <c r="D45" i="39"/>
  <c r="C75" i="34"/>
  <c r="C49" i="39"/>
  <c r="D56" i="39" s="1"/>
  <c r="P27" i="2"/>
  <c r="P35" i="2"/>
  <c r="P34" i="2"/>
  <c r="E19" i="38"/>
  <c r="F19" i="38"/>
  <c r="E14" i="40"/>
  <c r="G19" i="38"/>
  <c r="O38" i="2"/>
  <c r="L22" i="36" s="1"/>
  <c r="L57" i="36" s="1"/>
  <c r="P33" i="2"/>
  <c r="P29" i="2"/>
  <c r="E11" i="40"/>
  <c r="K11" i="40" s="1"/>
  <c r="E16" i="38"/>
  <c r="F16" i="38"/>
  <c r="G16" i="38"/>
  <c r="M58" i="36"/>
  <c r="P36" i="2"/>
  <c r="H38" i="2"/>
  <c r="K22" i="36" s="1"/>
  <c r="P26" i="2"/>
  <c r="P32" i="2"/>
  <c r="P28" i="2"/>
  <c r="P31" i="2"/>
  <c r="P30" i="2"/>
  <c r="P37" i="2"/>
  <c r="E12" i="40" l="1"/>
  <c r="K12" i="40" s="1"/>
  <c r="G17" i="38"/>
  <c r="E17" i="38"/>
  <c r="F17" i="38"/>
  <c r="M19" i="36"/>
  <c r="D75" i="34"/>
  <c r="B75" i="34"/>
  <c r="B25" i="41"/>
  <c r="D25" i="41" s="1"/>
  <c r="K14" i="40"/>
  <c r="E49" i="39"/>
  <c r="C76" i="34"/>
  <c r="D49" i="39"/>
  <c r="G14" i="40"/>
  <c r="D18" i="38"/>
  <c r="G18" i="38" s="1"/>
  <c r="P88" i="1"/>
  <c r="Q16" i="36"/>
  <c r="Q18" i="36" s="1"/>
  <c r="K57" i="36"/>
  <c r="J58" i="36" s="1"/>
  <c r="D15" i="38" s="1"/>
  <c r="Q22" i="36"/>
  <c r="Q57" i="36" s="1"/>
  <c r="P38" i="2"/>
  <c r="P44" i="2" s="1"/>
  <c r="B21" i="41"/>
  <c r="D21" i="41" s="1"/>
  <c r="G11" i="40"/>
  <c r="B23" i="41" l="1"/>
  <c r="D23" i="41" s="1"/>
  <c r="G12" i="40"/>
  <c r="B76" i="34"/>
  <c r="D76" i="34"/>
  <c r="E13" i="40"/>
  <c r="E18" i="38"/>
  <c r="F18" i="38"/>
  <c r="F15" i="38"/>
  <c r="E10" i="40"/>
  <c r="K10" i="40" s="1"/>
  <c r="G15" i="38"/>
  <c r="E15" i="38"/>
  <c r="E54" i="39"/>
  <c r="G13" i="40" l="1"/>
  <c r="K13" i="40"/>
  <c r="B24" i="41"/>
  <c r="D24" i="41" s="1"/>
  <c r="E55" i="39"/>
  <c r="E56" i="39" s="1"/>
  <c r="E58" i="39" s="1"/>
  <c r="F54" i="39"/>
  <c r="F55" i="39" s="1"/>
  <c r="F56" i="39" s="1"/>
  <c r="K54" i="39"/>
  <c r="G10" i="40"/>
  <c r="B12" i="41"/>
  <c r="D12" i="41" s="1"/>
  <c r="D58" i="39" l="1"/>
  <c r="D22" i="38"/>
  <c r="C78" i="34"/>
  <c r="E59" i="39"/>
  <c r="K55" i="39"/>
  <c r="K56" i="39" s="1"/>
  <c r="K58" i="39" s="1"/>
  <c r="K59" i="39" s="1"/>
  <c r="L54" i="39"/>
  <c r="L55" i="39" s="1"/>
  <c r="L56" i="39" s="1"/>
  <c r="B22" i="38" l="1"/>
  <c r="B78" i="34"/>
  <c r="F22" i="38"/>
  <c r="F23" i="38" s="1"/>
  <c r="F129" i="38" s="1"/>
  <c r="E22" i="38"/>
  <c r="E23" i="38" s="1"/>
  <c r="E129" i="38" s="1"/>
  <c r="G22" i="38"/>
  <c r="G23" i="38" s="1"/>
  <c r="G129" i="38" s="1"/>
  <c r="D23" i="38"/>
  <c r="E17" i="40"/>
  <c r="K17" i="40" s="1"/>
  <c r="J58" i="39"/>
  <c r="B17" i="40" s="1"/>
  <c r="I6" i="38" l="1"/>
  <c r="A14" i="41"/>
  <c r="C18" i="40"/>
  <c r="B14" i="41"/>
  <c r="D14" i="41" s="1"/>
  <c r="G17" i="40"/>
  <c r="E18" i="40"/>
  <c r="C20" i="40" l="1"/>
  <c r="H18" i="40"/>
  <c r="I18" i="40" s="1"/>
  <c r="E20" i="40"/>
  <c r="G1" i="40" s="1"/>
  <c r="G18" i="40"/>
  <c r="B15" i="41"/>
  <c r="B16" i="41" s="1"/>
  <c r="B18" i="41" s="1"/>
  <c r="K18" i="40" l="1"/>
  <c r="K20" i="40" s="1"/>
  <c r="K136" i="40" s="1"/>
  <c r="D6" i="41"/>
  <c r="B22" i="41"/>
  <c r="D15" i="41"/>
  <c r="D16" i="41" s="1"/>
  <c r="D18" i="41" s="1"/>
  <c r="G20" i="40"/>
  <c r="C136" i="40"/>
  <c r="H20" i="40"/>
  <c r="I20" i="40" s="1"/>
  <c r="B27" i="41" l="1"/>
  <c r="D22" i="41"/>
  <c r="D27" i="41" s="1"/>
  <c r="D43" i="41" s="1"/>
  <c r="W39" i="42" s="1"/>
  <c r="W42" i="42" s="1"/>
  <c r="R39" i="42"/>
  <c r="R42" i="42" s="1"/>
  <c r="D45" i="41" l="1"/>
  <c r="D60" i="41" s="1"/>
  <c r="T35" i="42"/>
  <c r="T30" i="42" s="1"/>
  <c r="U36" i="42"/>
  <c r="U31" i="42"/>
  <c r="U32" i="42"/>
  <c r="U30" i="42"/>
  <c r="U29" i="42"/>
  <c r="U34" i="42"/>
  <c r="U33" i="42"/>
  <c r="U35" i="42"/>
  <c r="T33" i="42" l="1"/>
  <c r="V33" i="42" s="1"/>
  <c r="W33" i="42" s="1"/>
  <c r="T32" i="42"/>
  <c r="V32" i="42" s="1"/>
  <c r="W32" i="42" s="1"/>
  <c r="T36" i="42"/>
  <c r="V36" i="42" s="1"/>
  <c r="W36" i="42" s="1"/>
  <c r="T34" i="42"/>
  <c r="V34" i="42" s="1"/>
  <c r="W34" i="42" s="1"/>
  <c r="T31" i="42"/>
  <c r="V31" i="42" s="1"/>
  <c r="W31" i="42" s="1"/>
  <c r="T29" i="42"/>
  <c r="V29" i="42" s="1"/>
  <c r="W29" i="42" s="1"/>
  <c r="V30" i="42"/>
  <c r="W30" i="42" s="1"/>
  <c r="V35" i="42"/>
  <c r="W35" i="42" s="1"/>
  <c r="W37" i="42" l="1"/>
  <c r="W65" i="42" s="1"/>
  <c r="W75" i="42" l="1"/>
  <c r="W77" i="42" s="1"/>
  <c r="W67" i="42"/>
  <c r="F26" i="5"/>
  <c r="F27" i="5"/>
  <c r="F28" i="5"/>
  <c r="F29" i="5"/>
  <c r="F30" i="5"/>
  <c r="F31" i="5"/>
  <c r="F32" i="5"/>
  <c r="F33" i="5"/>
  <c r="F34" i="5"/>
  <c r="F35" i="5"/>
  <c r="O29" i="5" l="1"/>
  <c r="O33" i="5"/>
  <c r="O26" i="5"/>
  <c r="O27" i="5"/>
  <c r="O28" i="5"/>
  <c r="O32" i="5"/>
  <c r="O34" i="5"/>
  <c r="O31" i="5"/>
  <c r="O30" i="5"/>
  <c r="O35" i="5"/>
  <c r="F36" i="5"/>
  <c r="C38" i="5"/>
  <c r="F37" i="5"/>
  <c r="G38" i="5"/>
  <c r="O37" i="5" l="1"/>
  <c r="O36" i="5"/>
  <c r="F40" i="5"/>
  <c r="F41" i="5"/>
  <c r="E44" i="5"/>
  <c r="K44" i="5"/>
  <c r="H44" i="5"/>
  <c r="H40" i="5"/>
  <c r="K77" i="36"/>
  <c r="K85" i="36" s="1"/>
  <c r="F38" i="5"/>
  <c r="P43" i="5" s="1"/>
  <c r="P40" i="5" l="1"/>
  <c r="M77" i="36" s="1"/>
  <c r="M85" i="36" s="1"/>
  <c r="P41" i="5"/>
  <c r="N77" i="36" s="1"/>
  <c r="N85" i="36" s="1"/>
  <c r="O38" i="5"/>
  <c r="J77" i="36"/>
  <c r="P77" i="36"/>
  <c r="P85" i="36" s="1"/>
  <c r="P44" i="5" l="1"/>
  <c r="Q77" i="36"/>
  <c r="Q85" i="36" s="1"/>
  <c r="D115" i="38" s="1"/>
  <c r="J85" i="36"/>
  <c r="E116" i="40" l="1"/>
  <c r="D117" i="38"/>
  <c r="D129" i="38" s="1"/>
  <c r="E118" i="40" l="1"/>
  <c r="G116" i="40"/>
  <c r="G118" i="40" l="1"/>
  <c r="E120" i="40"/>
  <c r="G120" i="40" l="1"/>
  <c r="G136" i="40" s="1"/>
  <c r="E136" i="40"/>
  <c r="B37" i="41"/>
  <c r="B43" i="41" s="1"/>
  <c r="B45" i="41" s="1"/>
  <c r="B60" i="41" s="1"/>
</calcChain>
</file>

<file path=xl/sharedStrings.xml><?xml version="1.0" encoding="utf-8"?>
<sst xmlns="http://schemas.openxmlformats.org/spreadsheetml/2006/main" count="9025" uniqueCount="764">
  <si>
    <t>Insgesamt</t>
  </si>
  <si>
    <t>     </t>
  </si>
  <si>
    <t>Summe</t>
  </si>
  <si>
    <t>Pflege-versicherung</t>
  </si>
  <si>
    <t>Arbeitslosen-versicherung</t>
  </si>
  <si>
    <t>Renten-versicherung</t>
  </si>
  <si>
    <t>Gesamt</t>
  </si>
  <si>
    <t>(Sonstiges)</t>
  </si>
  <si>
    <t>Sozialversicherungsbeiträge</t>
  </si>
  <si>
    <t>Sozialversicherungspflichtiges Brutto</t>
  </si>
  <si>
    <t>Bei den farblich orange hinterlegten Feldern handelt es sich, soweit zutreffend, um auszufüllende Pflichtfelder.</t>
  </si>
  <si>
    <t>Die farblich grau hinterlegten Felder werden automatisch ausgefüllt.</t>
  </si>
  <si>
    <t>Tätigkeit lt. Stellenplan:</t>
  </si>
  <si>
    <t>Qualifikation:</t>
  </si>
  <si>
    <t>Entgeltgruppe / Stufe:</t>
  </si>
  <si>
    <t/>
  </si>
  <si>
    <t>gültiger Tarif:</t>
  </si>
  <si>
    <t>Einrichtung:</t>
  </si>
  <si>
    <t>Träger:</t>
  </si>
  <si>
    <t>Krankenkasse:</t>
  </si>
  <si>
    <t>Die Personalkostenberechnung ist für jede/n pädagogische/n Arbeitnehmer/-in (Leiter/-in) im Regelbereich einzeln auszufüllen.</t>
  </si>
  <si>
    <t>lfd. Nr. 1 - Leiter/in</t>
  </si>
  <si>
    <t>lfd. Nr. 1 - Hilfskraft</t>
  </si>
  <si>
    <t>lfd. Nr. 2 - Hilfskraft</t>
  </si>
  <si>
    <t>lfd. Nr. 4 - Hilfskraft</t>
  </si>
  <si>
    <t>lfd. Nr. 5 - Hilfskraft</t>
  </si>
  <si>
    <t>lfd. Nr. 6 - Hilfskraft</t>
  </si>
  <si>
    <t>lfd. Nr. 7 - Hilfskraft</t>
  </si>
  <si>
    <t>lfd. Nr. 1 - Hausmeister/in</t>
  </si>
  <si>
    <t>lfd. Nr. 2 - Hausmeister/in</t>
  </si>
  <si>
    <t>lfd. Nr. 3 - Hausmeister/in</t>
  </si>
  <si>
    <t>lfd. Nr. 1 - Reinigungskraft</t>
  </si>
  <si>
    <t>lfd. Nr. 2 - Reinigungskraft</t>
  </si>
  <si>
    <t>lfd. Nr. 3 - Reinigungskraft</t>
  </si>
  <si>
    <t>lfd. Nr. 4 - Reinigungskraft</t>
  </si>
  <si>
    <t>lfd. Nr. 5 - Reinigungskraft</t>
  </si>
  <si>
    <t>lfd. Nr. 6 - Reinigungskraft</t>
  </si>
  <si>
    <t>lfd. Nr. 7 - Reinigungskraft</t>
  </si>
  <si>
    <t>lfd. Nr. 8 - Reinigungskraft</t>
  </si>
  <si>
    <t>lfd. Nr. 1 - Erzieher/in</t>
  </si>
  <si>
    <t>lfd. Nr. 2 - Erzieher/in</t>
  </si>
  <si>
    <t>lfd. Nr. 3 - Erzieher/in</t>
  </si>
  <si>
    <t>lfd. Nr. 5 - Erzieher/in</t>
  </si>
  <si>
    <t>lfd. Nr. 7 - Erzieher/in</t>
  </si>
  <si>
    <t>lfd. Nr. 8 - Erzieher/in</t>
  </si>
  <si>
    <t>lfd. Nr. 9 - Erzieher/in</t>
  </si>
  <si>
    <t>lfd. Nr. 10 - Erzieher/in</t>
  </si>
  <si>
    <t>lfd. Nr. 11 - Erzieher/in</t>
  </si>
  <si>
    <t>lfd. Nr. 12 - Erzieher/in</t>
  </si>
  <si>
    <t>lfd. Nr. 13 - Erzieher/in</t>
  </si>
  <si>
    <t>lfd. Nr. 14 - Erzieher/in</t>
  </si>
  <si>
    <t>lfd. Nr. 18 - Erzieher/in</t>
  </si>
  <si>
    <t>lfd. Nr. 19 - Erzieher/in</t>
  </si>
  <si>
    <t>lfd. Nr. 20 - Erzieher/in</t>
  </si>
  <si>
    <t>lfd. Nr. 21 - Erzieher/in</t>
  </si>
  <si>
    <t>lfd. Nr. 22 - Erzieher/in</t>
  </si>
  <si>
    <t>lfd. Nr. 23 - Erzieher/in</t>
  </si>
  <si>
    <t>lfd. Nr. 24 - Erzieher/in</t>
  </si>
  <si>
    <t>lfd. Nr. 25 - Erzieher/in</t>
  </si>
  <si>
    <t>lfd. Nr. 26 - Erzieher/in</t>
  </si>
  <si>
    <t>lfd. Nr. 27 - Erzieher/in</t>
  </si>
  <si>
    <t>lfd. Nr. 28 - Erzieher/in</t>
  </si>
  <si>
    <t>lfd. Nr. 29 - Erzieher/in</t>
  </si>
  <si>
    <t>lfd. Nr. 30 - Erzieher/in</t>
  </si>
  <si>
    <t>lfd. Nr. 31 - Erzieher/in</t>
  </si>
  <si>
    <t>lfd. Nr. 8 - Hilfskraft</t>
  </si>
  <si>
    <t>lfd. Nr. 1 - Hausmeister/in (passive Altersteilzeitphase)</t>
  </si>
  <si>
    <t>lfd. Nr. 2 - Hausmeister/in (passive Altersteilzeitphase)</t>
  </si>
  <si>
    <t>lfd. Nr. 1 - Reinigungskraft (passive Altersteilzeitphase)</t>
  </si>
  <si>
    <t>lfd. Nr. 2 - Reinigungskraft (passive Altersteilzeitphase)</t>
  </si>
  <si>
    <t>LOB</t>
  </si>
  <si>
    <t>Pers.-Nr. bzw. Name Stelleninhaber/in:</t>
  </si>
  <si>
    <t>Taschengeld</t>
  </si>
  <si>
    <t>Verpflegungs-kosten</t>
  </si>
  <si>
    <t>Unterkunft</t>
  </si>
  <si>
    <t>lfd. Nr. 1 - BFD/FSJ</t>
  </si>
  <si>
    <t>lfd. Nr. 2 - BFD/FSJ</t>
  </si>
  <si>
    <t>lfd. Nr. 3 - BFD/FSJ</t>
  </si>
  <si>
    <t>lfd. Nr. 4 - BFD/FSJ</t>
  </si>
  <si>
    <t>Taschengeld und/oder Sachleistungen</t>
  </si>
  <si>
    <t>Tätigkeit:</t>
  </si>
  <si>
    <t>Qualifikation nach Abschluss:</t>
  </si>
  <si>
    <t>lfd. Nr. 1</t>
  </si>
  <si>
    <t>lfd. Nr. 2</t>
  </si>
  <si>
    <t>lfd. Nr. 3</t>
  </si>
  <si>
    <t>lfd. Nr. 4</t>
  </si>
  <si>
    <t>lfd. Nr. 5</t>
  </si>
  <si>
    <t>lfd. Nr. 6</t>
  </si>
  <si>
    <t>lfd. Nr. 7</t>
  </si>
  <si>
    <t>lfd. Nr. 8</t>
  </si>
  <si>
    <t>lfd. Nr. 9</t>
  </si>
  <si>
    <t>lfd. Nr. 10</t>
  </si>
  <si>
    <t>lfd. Nr. 11</t>
  </si>
  <si>
    <t>lfd. Nr. 12</t>
  </si>
  <si>
    <t>lfd. Nr. 13</t>
  </si>
  <si>
    <t>lfd. Nr. 14</t>
  </si>
  <si>
    <t>lfd. Nr. 15</t>
  </si>
  <si>
    <t>Beschäftigungsmonate:</t>
  </si>
  <si>
    <t>U1/U2/U3</t>
  </si>
  <si>
    <t>lfd. Nr. 1 - Hausmeister/in (aktive Altersteilzeitphase)</t>
  </si>
  <si>
    <t>lfd. Nr. 2 - Hausmeister/in (aktive Altersteilzeitphase)</t>
  </si>
  <si>
    <t>lfd. Nr. 1 - Reinigungskraft (aktive Altersteilzeitphase)</t>
  </si>
  <si>
    <t>lfd. Nr. 2 - Reinigungskraft (aktive Altersteilzeitphase)</t>
  </si>
  <si>
    <t>regelmäßige Wochenarbeitszeit:</t>
  </si>
  <si>
    <t>gesamte Arbeitszeit (h/W):</t>
  </si>
  <si>
    <t>davon Leitungstätigkeit (h/W):</t>
  </si>
  <si>
    <t>Beschäftigungsbeginn:</t>
  </si>
  <si>
    <t>Beginn des Dienstes:</t>
  </si>
  <si>
    <t>Ende des Dienstes:</t>
  </si>
  <si>
    <t>lfd. Nr. 1 - Auszubildende/r</t>
  </si>
  <si>
    <t>Beginn ATZ (aktiv):</t>
  </si>
  <si>
    <r>
      <t xml:space="preserve">Aufstockung Rentenv.               </t>
    </r>
    <r>
      <rPr>
        <sz val="8"/>
        <rFont val="Arial"/>
        <family val="2"/>
      </rPr>
      <t>(18,6%)</t>
    </r>
  </si>
  <si>
    <r>
      <t xml:space="preserve">Aufstockung Regelarbeits-entgelt     </t>
    </r>
    <r>
      <rPr>
        <sz val="8"/>
        <rFont val="Arial"/>
        <family val="2"/>
      </rPr>
      <t>(20%)</t>
    </r>
  </si>
  <si>
    <t>Beginn ATZ (passiv):</t>
  </si>
  <si>
    <r>
      <t>BAV</t>
    </r>
    <r>
      <rPr>
        <sz val="8"/>
        <rFont val="Arial"/>
        <family val="2"/>
      </rPr>
      <t xml:space="preserve">             (SV-frei)</t>
    </r>
  </si>
  <si>
    <t>JSZ</t>
  </si>
  <si>
    <r>
      <t xml:space="preserve">Förderung Bund/ Land/EU </t>
    </r>
    <r>
      <rPr>
        <b/>
        <sz val="8"/>
        <color rgb="FFFF0000"/>
        <rFont val="Arial"/>
        <family val="2"/>
      </rPr>
      <t>(mit Minus)</t>
    </r>
  </si>
  <si>
    <r>
      <t xml:space="preserve">Bruttoarbeits-entgelt </t>
    </r>
    <r>
      <rPr>
        <sz val="8"/>
        <rFont val="Arial"/>
        <family val="2"/>
      </rPr>
      <t>(Tabellenentgelt)</t>
    </r>
  </si>
  <si>
    <t>Die Personalkostenberechnung ist für jede/n Arbeitnehmer/in einzeln auszufüllen.</t>
  </si>
  <si>
    <t>Sozialversicherungsbeiträge (AG-Anteile)</t>
  </si>
  <si>
    <t>(2020: 0,06%)</t>
  </si>
  <si>
    <r>
      <t>U1</t>
    </r>
    <r>
      <rPr>
        <sz val="7"/>
        <rFont val="Arial"/>
        <family val="2"/>
      </rPr>
      <t xml:space="preserve">               (Krankheit)</t>
    </r>
  </si>
  <si>
    <r>
      <t>U2</t>
    </r>
    <r>
      <rPr>
        <sz val="7"/>
        <rFont val="Arial"/>
        <family val="2"/>
      </rPr>
      <t xml:space="preserve"> (Mutterschaft)</t>
    </r>
  </si>
  <si>
    <r>
      <t>U3</t>
    </r>
    <r>
      <rPr>
        <sz val="7"/>
        <rFont val="Arial"/>
        <family val="2"/>
      </rPr>
      <t xml:space="preserve">         (Insolvenz)</t>
    </r>
  </si>
  <si>
    <t>(2020: 1,525%)</t>
  </si>
  <si>
    <t>(2020: 1,20%)</t>
  </si>
  <si>
    <t xml:space="preserve"> (2020: 9,30%)</t>
  </si>
  <si>
    <t>(7,30% + AG Zusatzbeitrag)</t>
  </si>
  <si>
    <t>(7,30% + Zusatz)</t>
  </si>
  <si>
    <t>Kranken-versicherung</t>
  </si>
  <si>
    <t>mit Kind:</t>
  </si>
  <si>
    <t>Vollrentner:</t>
  </si>
  <si>
    <t>Rentenalter erreicht:</t>
  </si>
  <si>
    <t>Berufsgenossenschaft:</t>
  </si>
  <si>
    <t>Gefahrenklasse:</t>
  </si>
  <si>
    <t>Beitragsfuß:</t>
  </si>
  <si>
    <t>Unfallkasse:</t>
  </si>
  <si>
    <t>Grundlage:</t>
  </si>
  <si>
    <t>Beitragssatz:</t>
  </si>
  <si>
    <t>Ausgleichsumlage Wohlfahrtspflege:</t>
  </si>
  <si>
    <t>Berufsgenossenschaft/Unfallkasse:</t>
  </si>
  <si>
    <t>Schwerbehindertenausgleichsabgabe:</t>
  </si>
  <si>
    <t>für Kommunen:</t>
  </si>
  <si>
    <t>Betrag:</t>
  </si>
  <si>
    <t>Beschäftigte (Anzahl):</t>
  </si>
  <si>
    <t>Ausgleich Wohlfahrtspflege:</t>
  </si>
  <si>
    <t>Finanzierungsbeitrag / Sanierungsgeld:</t>
  </si>
  <si>
    <r>
      <t>VwL</t>
    </r>
    <r>
      <rPr>
        <sz val="8"/>
        <rFont val="Arial"/>
        <family val="2"/>
      </rPr>
      <t xml:space="preserve"> (ver-mögenswirk-same Leist.)</t>
    </r>
  </si>
  <si>
    <t>ab</t>
  </si>
  <si>
    <t>Tarif des Trägers</t>
  </si>
  <si>
    <t>EG</t>
  </si>
  <si>
    <t>Stufe</t>
  </si>
  <si>
    <r>
      <t xml:space="preserve">Entg. </t>
    </r>
    <r>
      <rPr>
        <b/>
        <sz val="10"/>
        <color theme="1"/>
        <rFont val="Arial"/>
        <family val="2"/>
      </rPr>
      <t>1 h/Wo</t>
    </r>
  </si>
  <si>
    <t>Zulagen</t>
  </si>
  <si>
    <t>h/Wo</t>
  </si>
  <si>
    <t>Die farblich grau hinterlegten Felder werden automatisch ausgefüllt. Bei den farblich orange hinterlegten Feldern handelt es sich, soweit zutreffend, um auszufüllende Pflichtfelder.</t>
  </si>
  <si>
    <t>Leistungsentgelt (LOB)</t>
  </si>
  <si>
    <t>Jahressonderzahlung (JSZ)</t>
  </si>
  <si>
    <t>KV und PV</t>
  </si>
  <si>
    <t>RV und AV</t>
  </si>
  <si>
    <t>BBG</t>
  </si>
  <si>
    <t>lfd. Nr. 2 - Leiter/in</t>
  </si>
  <si>
    <t>Geburtsdatum:</t>
  </si>
  <si>
    <t>lfd. Nr. 3 - Leiter/in</t>
  </si>
  <si>
    <t>davon im Regelbereich (h/W)</t>
  </si>
  <si>
    <t>davon integrativ (h/W):</t>
  </si>
  <si>
    <t>Die Personalkostenberechnung ist für jede/n pädagogische/n Arbeitnehmer/-in (Erzieher/-in) im Regelbereich einzeln auszufüllen.</t>
  </si>
  <si>
    <t>im</t>
  </si>
  <si>
    <t>lfd. Nr. 4 - Erzieher/in</t>
  </si>
  <si>
    <t>lfd. Nr. 6 - Erzieher/in</t>
  </si>
  <si>
    <t>lfd. Nr. 15 - Erzieher/in</t>
  </si>
  <si>
    <t>lfd. Nr. 16 - Erzieher/in</t>
  </si>
  <si>
    <t>lfd. Nr. 17 - Erzieher/in</t>
  </si>
  <si>
    <t>lfd. Nr. 3 - Hilfskraft</t>
  </si>
  <si>
    <t>Die Personalkostenberechnung ist für jede/n pädagogische/n Arbeitnehmer/-in (Hilfskraft) im Regelbereich einzeln auszufüllen.</t>
  </si>
  <si>
    <r>
      <t xml:space="preserve">Die Personalkostenberechnung ist für jede/n </t>
    </r>
    <r>
      <rPr>
        <b/>
        <i/>
        <sz val="10"/>
        <color rgb="FF00B050"/>
        <rFont val="Arial"/>
        <family val="2"/>
      </rPr>
      <t>(eigenen)</t>
    </r>
    <r>
      <rPr>
        <b/>
        <i/>
        <sz val="10"/>
        <color rgb="FFFF0000"/>
        <rFont val="Arial"/>
        <family val="2"/>
      </rPr>
      <t xml:space="preserve"> Auszubildenden im Regelbereich einzeln auszufüllen. </t>
    </r>
    <r>
      <rPr>
        <b/>
        <i/>
        <sz val="10"/>
        <color rgb="FF00B050"/>
        <rFont val="Arial"/>
        <family val="2"/>
      </rPr>
      <t>Bitte Ausbildungsvertrag einreichen.</t>
    </r>
  </si>
  <si>
    <t>lfd. Nr. 2 - Ausbildende/r</t>
  </si>
  <si>
    <t>lfd. Nr. 3 - Ausbildende/r</t>
  </si>
  <si>
    <t>lfd. Nr. 4 - Ausbildende/r</t>
  </si>
  <si>
    <t>lfd. Nr. 1 - Erzieher/in (aktive Altersteilzeitphase)</t>
  </si>
  <si>
    <t>Ende ATZ (aktiv):</t>
  </si>
  <si>
    <r>
      <t xml:space="preserve">Die Personalkostenberechnung ist für jede/n Arbeitnehmer/in in der aktiven Altersteilzeitphase im Regelbereich einzeln auszufüllen. </t>
    </r>
    <r>
      <rPr>
        <b/>
        <i/>
        <sz val="10"/>
        <color rgb="FF00B050"/>
        <rFont val="Arial"/>
        <family val="2"/>
      </rPr>
      <t>Bitte Altersteilzeitvertrag einreichen.</t>
    </r>
  </si>
  <si>
    <t>lfd. Nr. 2 - Erzieher/in (aktive Altersteilzeitphase)</t>
  </si>
  <si>
    <t>lfd. Nr. 3 - Erzieher/in (aktive Altersteilzeitphase)</t>
  </si>
  <si>
    <t>lfd. Nr. 1 - Erzieher/in (passive Altersteilzeitphase)</t>
  </si>
  <si>
    <t>lfd. Nr. 2 - Erzieher/in (passive Altersteilzeitphase)</t>
  </si>
  <si>
    <t>lfd. Nr. 3 - Erzieher/in (passive Altersteilzeitphase)</t>
  </si>
  <si>
    <t>lfd. Nr. 1 - Praktikant</t>
  </si>
  <si>
    <r>
      <t xml:space="preserve">Die Personalkostenberechnung ist für jede/n Praktikantin/en im Regenbereich einzeln auszufüllen. </t>
    </r>
    <r>
      <rPr>
        <b/>
        <i/>
        <sz val="10"/>
        <color rgb="FF00B050"/>
        <rFont val="Arial"/>
        <family val="2"/>
      </rPr>
      <t>Bitte Praktikumsvertrag einreichen.</t>
    </r>
  </si>
  <si>
    <t>lfd. Nr. 2 - Praktikant</t>
  </si>
  <si>
    <t>Ausbildungsbeginn:</t>
  </si>
  <si>
    <t>Ausbildungsende:</t>
  </si>
  <si>
    <t>Praktikumsbeginn:</t>
  </si>
  <si>
    <t>Praktikumsende:</t>
  </si>
  <si>
    <t>lfd. Nr. 3 - Praktikant</t>
  </si>
  <si>
    <t>lfd. Nr. 4 - Praktikant</t>
  </si>
  <si>
    <t>Die Personalkostenberechnung ist für jede Person im Bereich BFD/FSJ im Regelbereich einzeln auszufüllen. Bitte BFD/FSJ-Vertrag und/oder Abrechnung einreichen.</t>
  </si>
  <si>
    <t>manuelle Eintragung</t>
  </si>
  <si>
    <r>
      <t xml:space="preserve">Entgelt </t>
    </r>
    <r>
      <rPr>
        <b/>
        <sz val="10"/>
        <rFont val="Arial"/>
        <family val="2"/>
      </rPr>
      <t>entspr. AZ (h/Wo)</t>
    </r>
  </si>
  <si>
    <t>Verpflegungskosten</t>
  </si>
  <si>
    <r>
      <t>Förderung Bund/Land/EU</t>
    </r>
    <r>
      <rPr>
        <sz val="8"/>
        <color theme="1"/>
        <rFont val="Arial"/>
        <family val="2"/>
      </rPr>
      <t xml:space="preserve"> (mit Minus ausweisen)</t>
    </r>
  </si>
  <si>
    <t>(14,60% + Zusatz)</t>
  </si>
  <si>
    <t>Kosten des Trägers:</t>
  </si>
  <si>
    <r>
      <t>(Sonstiges)</t>
    </r>
    <r>
      <rPr>
        <sz val="8"/>
        <rFont val="Arial"/>
        <family val="2"/>
      </rPr>
      <t xml:space="preserve"> z.B. Rechnung</t>
    </r>
  </si>
  <si>
    <t>Sonstiges:</t>
  </si>
  <si>
    <t>lfd. Nr. 1 - sonstige/r Arbeitnehmer/in (z.B. geringfügige Beschäftigte)</t>
  </si>
  <si>
    <t>pauschale Lohnsteuer</t>
  </si>
  <si>
    <t>lfd. Nr. 2 - sonstige/r Arbeitnehmer/in (z.B. geringfügige Beschäftigte)</t>
  </si>
  <si>
    <t>lfd. Nr. 3 - sonstige/r Arbeitnehmer/in (z.B. geringfügige Beschäftigte)</t>
  </si>
  <si>
    <t>lfd. Nr. 1 - päd. Personal (§ 23 KiFöG)</t>
  </si>
  <si>
    <r>
      <t xml:space="preserve">Die Personalkostenberechnung ist für jede/n sonstige/n Arbeitnehmer/in </t>
    </r>
    <r>
      <rPr>
        <b/>
        <i/>
        <sz val="10"/>
        <color rgb="FF00B050"/>
        <rFont val="Arial"/>
        <family val="2"/>
      </rPr>
      <t>(u.a. geringfügig Beschäftigte/r)</t>
    </r>
    <r>
      <rPr>
        <b/>
        <i/>
        <sz val="10"/>
        <color rgb="FFFF0000"/>
        <rFont val="Arial"/>
        <family val="2"/>
      </rPr>
      <t xml:space="preserve"> im Regelbereich einzeln auszufüllen.</t>
    </r>
  </si>
  <si>
    <r>
      <t xml:space="preserve">Die Personalkostenberechnung ist für jede Person im Bereich BFD/FSJ im Regelbereich einzeln auszufüllen. </t>
    </r>
    <r>
      <rPr>
        <b/>
        <i/>
        <sz val="10"/>
        <color rgb="FF00B050"/>
        <rFont val="Arial"/>
        <family val="2"/>
      </rPr>
      <t>Bitte BFD/FSJ-Vertrag und/oder Abrechnung einreichen.</t>
    </r>
  </si>
  <si>
    <t>lfd. Nr. 2 - päd. Personal (§ 23 KiFöG)</t>
  </si>
  <si>
    <t>lfd. Nr. 3 - päd. Personal (§ 23 KiFöG)</t>
  </si>
  <si>
    <t>lfd. Nr. 32 - Erzieher/in</t>
  </si>
  <si>
    <t>lfd. Nr. 33 - Erzieher/in</t>
  </si>
  <si>
    <t>lfd. Nr. 34 - Erzieher/in</t>
  </si>
  <si>
    <t>lfd. Nr. 35 - Erzieher/in</t>
  </si>
  <si>
    <t>Die Personalkostenberechnung ist für jede/n Hausmeister/in einzeln auszufüllen.</t>
  </si>
  <si>
    <r>
      <t xml:space="preserve">Die Personalkostenberechnung ist für jede/n Arbeitnehmer/in in der passiven Altersteilzeitphase im Regelbereich einzeln auszufüllen. </t>
    </r>
    <r>
      <rPr>
        <b/>
        <i/>
        <sz val="10"/>
        <color rgb="FF00B050"/>
        <rFont val="Arial"/>
        <family val="2"/>
      </rPr>
      <t>Bitte Altersteilzeitvertrag einreichen.</t>
    </r>
  </si>
  <si>
    <r>
      <t xml:space="preserve">Die Personalkostenberechnung ist für jede/n Hausmeister/in in der passiven Altersteilzeitphase einzeln auszufüllen. </t>
    </r>
    <r>
      <rPr>
        <b/>
        <i/>
        <sz val="10"/>
        <color rgb="FF00B050"/>
        <rFont val="Arial"/>
        <family val="2"/>
      </rPr>
      <t>Bitte Altersteilzeitvertrag einreichen.</t>
    </r>
  </si>
  <si>
    <r>
      <t xml:space="preserve">Die Personalkostenberechnung ist für jede/n Hausmeister/in in der aktiven Altersteilzeitphase einzeln auszufüllen. </t>
    </r>
    <r>
      <rPr>
        <b/>
        <i/>
        <sz val="10"/>
        <color rgb="FF00B050"/>
        <rFont val="Arial"/>
        <family val="2"/>
      </rPr>
      <t>Bitte Altersteilzeitvertrag einreichen.</t>
    </r>
  </si>
  <si>
    <t>davon in Einrichtung (h/W)</t>
  </si>
  <si>
    <t>davon in anderer Einrichtung (h/W):</t>
  </si>
  <si>
    <t>Die Personalkostenberechnung ist für jede Reinigungskraft einzeln auszufüllen.</t>
  </si>
  <si>
    <r>
      <t xml:space="preserve">Die Personalkostenberechnung ist für jede Reinigungskraft in der aktiven Altersteilzeitphase einzeln auszufüllen. </t>
    </r>
    <r>
      <rPr>
        <b/>
        <i/>
        <sz val="10"/>
        <color rgb="FF00B050"/>
        <rFont val="Arial"/>
        <family val="2"/>
      </rPr>
      <t>Bitte Altersteilzeitvertrag einreichen.</t>
    </r>
  </si>
  <si>
    <r>
      <t xml:space="preserve">Die Personalkostenberechnung ist für jede Reinigungskraft in der passiven Altersteilzeitphase einzeln auszufüllen. </t>
    </r>
    <r>
      <rPr>
        <b/>
        <i/>
        <sz val="10"/>
        <color rgb="FF00B050"/>
        <rFont val="Arial"/>
        <family val="2"/>
      </rPr>
      <t>Bitte Altersteilzeitvertrag einreichen.</t>
    </r>
  </si>
  <si>
    <t>Die Personalkostenberechnung ist für jede Wirtschaftskraft/Haushaltshilfe/Küchenkraft einzeln auszufüllen.</t>
  </si>
  <si>
    <t>lfd. Nr. 1 - Wirtschaftskraft/Haushaltshilfe/Küchenkraft</t>
  </si>
  <si>
    <t>lfd. Nr. 2 - Wirtschaftskraft/Haushaltshilfe/Küchenkraft</t>
  </si>
  <si>
    <t>lfd. Nr. 3 - Wirtschaftskraft/Haushaltshilfe/Küchenkraft</t>
  </si>
  <si>
    <t>lfd. Nr. 4 - Wirtschaftskraft/Haushaltshilfe/Küchenkraft</t>
  </si>
  <si>
    <t>lfd. Nr. 5 - Wirtschaftskraft/Haushaltshilfe/Küchenkraft</t>
  </si>
  <si>
    <r>
      <t xml:space="preserve">Die Personalkostenberechnung ist für jede Wirtschaftskraft/Haushaltshilfe/Küchenkraft in der aktiven Altersteilzeitphase einzeln auszufüllen. </t>
    </r>
    <r>
      <rPr>
        <b/>
        <i/>
        <sz val="10"/>
        <color rgb="FF00B050"/>
        <rFont val="Arial"/>
        <family val="2"/>
      </rPr>
      <t>Bitte Altersteilzeitvertrag einreichen.</t>
    </r>
  </si>
  <si>
    <t>lfd. Nr. 1 - Wirtschafskraft/Haushaltshilfe/Küchenkraft (aktive Altersteilzeitphase)</t>
  </si>
  <si>
    <t>lfd. Nr. 2 - Wirtschafskraft/Haushaltshilfe/Küchenkraft (aktive Altersteilzeitphase)</t>
  </si>
  <si>
    <t>lfd. Nr. 1 - Wirtschafskraft/Haushaltshilfe/Küchenkraft (passive Altersteilzeitphase)</t>
  </si>
  <si>
    <r>
      <t xml:space="preserve">Die Personalkostenberechnung ist für jede Wirtschaftskraft/Haushaltshilfe/Küchenkraft in der passiven Altersteilzeitphase einzeln auszufüllen. </t>
    </r>
    <r>
      <rPr>
        <b/>
        <i/>
        <sz val="10"/>
        <color rgb="FF00B050"/>
        <rFont val="Arial"/>
        <family val="2"/>
      </rPr>
      <t>Bitte Altersteilzeitvertrag einreichen.</t>
    </r>
  </si>
  <si>
    <t>lfd. Nr. 2 - Wirtschafskraft/Haushaltshilfe/Küchenkraft (passive Altersteilzeitphase)</t>
  </si>
  <si>
    <r>
      <t xml:space="preserve">Die Personalkostenberechnung ist für jede/n sonstige/n Arbeitnehmer/in </t>
    </r>
    <r>
      <rPr>
        <b/>
        <i/>
        <sz val="10"/>
        <color rgb="FF00B050"/>
        <rFont val="Arial"/>
        <family val="2"/>
      </rPr>
      <t>(u.a. geringfügig Beschäftigte/r)</t>
    </r>
    <r>
      <rPr>
        <b/>
        <i/>
        <sz val="10"/>
        <color rgb="FFFF0000"/>
        <rFont val="Arial"/>
        <family val="2"/>
      </rPr>
      <t xml:space="preserve"> einzeln auszufüllen.</t>
    </r>
  </si>
  <si>
    <r>
      <t xml:space="preserve">Die Personalkostenberechnung ist für jede/n sonstige/n Arbeitnehmer/in </t>
    </r>
    <r>
      <rPr>
        <b/>
        <i/>
        <sz val="10"/>
        <color rgb="FF00B050"/>
        <rFont val="Arial"/>
        <family val="2"/>
      </rPr>
      <t xml:space="preserve">(u.a. geringfügig Beschäftigte/r) </t>
    </r>
    <r>
      <rPr>
        <b/>
        <i/>
        <sz val="10"/>
        <color rgb="FFFF0000"/>
        <rFont val="Arial"/>
        <family val="2"/>
      </rPr>
      <t>einzeln auszufüllen.</t>
    </r>
  </si>
  <si>
    <t>Ende ATZ (passiv):</t>
  </si>
  <si>
    <t>Heilpädagogische Fachkräfte</t>
  </si>
  <si>
    <t>Pers.-Nr. bzw.                                      Name des Stelleninhaber/in:</t>
  </si>
  <si>
    <t>Geburts-     datum:</t>
  </si>
  <si>
    <t>Arbeitszeit (h/W):</t>
  </si>
  <si>
    <t>integrativ</t>
  </si>
  <si>
    <t>Regelbetrieb</t>
  </si>
  <si>
    <t>insgesamt</t>
  </si>
  <si>
    <t>Anzahl Monate</t>
  </si>
  <si>
    <t>von - bis</t>
  </si>
  <si>
    <t>Ø</t>
  </si>
  <si>
    <t>oder in anderer Einrichtung. (h/W):</t>
  </si>
  <si>
    <t>BITTE nur ausfüllen, wenn nicht bereits als Erzieher/in im Regelbereich erfasst!</t>
  </si>
  <si>
    <t>(2021: 0,12%)</t>
  </si>
  <si>
    <t xml:space="preserve"> (2021: 9,30%)</t>
  </si>
  <si>
    <t>(2021: 1,20%)</t>
  </si>
  <si>
    <t>(2021: 1,525%)</t>
  </si>
  <si>
    <t xml:space="preserve"> (2021: 18,60%)</t>
  </si>
  <si>
    <t>(2021: 2,40%)</t>
  </si>
  <si>
    <t>(2021: 3,05%)</t>
  </si>
  <si>
    <t>(2021: 13%)</t>
  </si>
  <si>
    <t xml:space="preserve"> (2021: 15%)</t>
  </si>
  <si>
    <t>(2021: 2%)</t>
  </si>
  <si>
    <t>(2021: 1,00%)</t>
  </si>
  <si>
    <t>(2021: 0,39%)</t>
  </si>
  <si>
    <t>Wochenstunden:</t>
  </si>
  <si>
    <t>(z.B. Schülerpraktikanten, Auszubildende ohne Vergütung, o.ä.)</t>
  </si>
  <si>
    <t>Pers.-Nr. bzw. Name:</t>
  </si>
  <si>
    <r>
      <t xml:space="preserve">Tätigkeit                                     </t>
    </r>
    <r>
      <rPr>
        <sz val="8"/>
        <color theme="1"/>
        <rFont val="Arial"/>
        <family val="2"/>
      </rPr>
      <t>(z.B. Schulpraktikum, o.ä.)</t>
    </r>
  </si>
  <si>
    <t>Jan                Jul</t>
  </si>
  <si>
    <t>Feb              Aug</t>
  </si>
  <si>
    <t>Mrz              Sep</t>
  </si>
  <si>
    <t>Apr               Okt</t>
  </si>
  <si>
    <t>Mai               Nov</t>
  </si>
  <si>
    <t>Jun               Dez</t>
  </si>
  <si>
    <t>2021</t>
  </si>
  <si>
    <t>Veränderung SV-Brutto oder Entgelt-umwandlung</t>
  </si>
  <si>
    <t>Die farblich orange hinterlegten Feldern sind auszufüllende Pflichtfelder.</t>
  </si>
  <si>
    <t>1. allgemeine Angaben</t>
  </si>
  <si>
    <t>Verhandlungsjahr:</t>
  </si>
  <si>
    <t>(Bitte angeben)</t>
  </si>
  <si>
    <t>Anschrift:</t>
  </si>
  <si>
    <t>2. Personalkosten</t>
  </si>
  <si>
    <t>regelmäßige Wochenarbeitszeit lt. Tarif:</t>
  </si>
  <si>
    <t>(Bitte in Stunden angeben: z.B. 40,0 oder 38,5)</t>
  </si>
  <si>
    <t>3. Betriebserlaubnis</t>
  </si>
  <si>
    <t>Kinderkrippe:</t>
  </si>
  <si>
    <t>Kindergarten:</t>
  </si>
  <si>
    <t>Hort:</t>
  </si>
  <si>
    <t>gesamt:</t>
  </si>
  <si>
    <t>4. Betrieb der Einrichtung</t>
  </si>
  <si>
    <t>Betriebsmonate (Anzahl):</t>
  </si>
  <si>
    <t>Beginn bzw. Ende des Betriebes:</t>
  </si>
  <si>
    <t>(wenn Beginn bzw. Ende des Betriebes unterjährig)</t>
  </si>
  <si>
    <t>Bemerkung:</t>
  </si>
  <si>
    <t>5. Angaben zu Gebäude und Grundstück</t>
  </si>
  <si>
    <t>Baujahr des Gebäudes:</t>
  </si>
  <si>
    <r>
      <t>Gebäudefläche (m</t>
    </r>
    <r>
      <rPr>
        <vertAlign val="superscript"/>
        <sz val="11"/>
        <color theme="1"/>
        <rFont val="Arial"/>
        <family val="2"/>
      </rPr>
      <t>2</t>
    </r>
    <r>
      <rPr>
        <sz val="11"/>
        <color theme="1"/>
        <rFont val="Arial"/>
        <family val="2"/>
      </rPr>
      <t>):</t>
    </r>
  </si>
  <si>
    <r>
      <t>davon betreuungsbezogene Fläche (m</t>
    </r>
    <r>
      <rPr>
        <vertAlign val="superscript"/>
        <sz val="11"/>
        <color theme="1"/>
        <rFont val="Arial"/>
        <family val="2"/>
      </rPr>
      <t>2</t>
    </r>
    <r>
      <rPr>
        <sz val="11"/>
        <color theme="1"/>
        <rFont val="Arial"/>
        <family val="2"/>
      </rPr>
      <t>):</t>
    </r>
  </si>
  <si>
    <r>
      <t>Außenfläche (m</t>
    </r>
    <r>
      <rPr>
        <vertAlign val="superscript"/>
        <sz val="11"/>
        <color theme="1"/>
        <rFont val="Arial"/>
        <family val="2"/>
      </rPr>
      <t>2</t>
    </r>
    <r>
      <rPr>
        <sz val="11"/>
        <color theme="1"/>
        <rFont val="Arial"/>
        <family val="2"/>
      </rPr>
      <t>):</t>
    </r>
  </si>
  <si>
    <r>
      <t xml:space="preserve">Eigentumsverhältnis </t>
    </r>
    <r>
      <rPr>
        <sz val="11"/>
        <color theme="1"/>
        <rFont val="Arial"/>
        <family val="2"/>
      </rPr>
      <t>:</t>
    </r>
  </si>
  <si>
    <t>(Eigentum, Miete, Pacht, unentgeltliche Nutzung)</t>
  </si>
  <si>
    <t>6. Belegung und Stunden</t>
  </si>
  <si>
    <t>6.1 voraussichtliche Belegung</t>
  </si>
  <si>
    <t>6.2 voraussichtliche Stunden</t>
  </si>
  <si>
    <t>Wochenstunden</t>
  </si>
  <si>
    <t>Jahresstunden</t>
  </si>
  <si>
    <t>Ja</t>
  </si>
  <si>
    <t>Nein</t>
  </si>
  <si>
    <t>6.3 Leitungsstunden</t>
  </si>
  <si>
    <t>Abfrage zu Leitungsstunden</t>
  </si>
  <si>
    <t>(siehe Dropdown-Liste)</t>
  </si>
  <si>
    <t>Leitungsstunden (lt. RL SLK):</t>
  </si>
  <si>
    <t>beim FD 22 (Fachberatung)</t>
  </si>
  <si>
    <t>Wurden abweichende Leitungsstunden</t>
  </si>
  <si>
    <t>beantragt?</t>
  </si>
  <si>
    <t>abweichende Leitungsstunden:</t>
  </si>
  <si>
    <t>siehe Abfrage zu Leitungsstunden →</t>
  </si>
  <si>
    <t>bei der Schiedsstelle</t>
  </si>
  <si>
    <t>Datum der Antragstellung:</t>
  </si>
  <si>
    <t>im Vorjahr in der Verhandlung</t>
  </si>
  <si>
    <t>beantragte Leitungsstunden (in h):</t>
  </si>
  <si>
    <t>6.4 §8a/Fortbildung</t>
  </si>
  <si>
    <t>Mehrbedarf §8a:</t>
  </si>
  <si>
    <t>vom FD 22 (Fachberatung)</t>
  </si>
  <si>
    <t>Wurden abweichende Leitungsstunden genehmigt?</t>
  </si>
  <si>
    <t>Fortbildung:</t>
  </si>
  <si>
    <t>von der Schiedstelle</t>
  </si>
  <si>
    <t>Datum der Genehmigung:</t>
  </si>
  <si>
    <t>genehmigte Leitungsstunden (in h):</t>
  </si>
  <si>
    <t>6.5 SOLL (gesamt)</t>
  </si>
  <si>
    <t>Abfrage zum Mehrbedarf</t>
  </si>
  <si>
    <t>für Kleinsteinrichtung</t>
  </si>
  <si>
    <t>Wurde ein Mehrbedarf beim FD 22 (Fachberatung)</t>
  </si>
  <si>
    <r>
      <t>Mehrbedarf</t>
    </r>
    <r>
      <rPr>
        <sz val="8"/>
        <color theme="1"/>
        <rFont val="Arial"/>
        <family val="2"/>
      </rPr>
      <t xml:space="preserve"> (z.B. Kleinsteinrichtung, o.ä.)</t>
    </r>
  </si>
  <si>
    <t>siehe Abfrage zum Mehrbedarf →</t>
  </si>
  <si>
    <t>zur Absicherung der Öffnungszeiten</t>
  </si>
  <si>
    <t>Leitungsstunden:</t>
  </si>
  <si>
    <t>beantragter Mehrbedarf (in h):</t>
  </si>
  <si>
    <t>§8a/Fortbildung:</t>
  </si>
  <si>
    <t>Wurde ein Mehrdedarf vom FD 22 (Fachberatung) genehmigt?</t>
  </si>
  <si>
    <t>7. Personalstunden (Mindestpersonalschlüssel)</t>
  </si>
  <si>
    <t>genehmigter Mehrbedarf (in h):</t>
  </si>
  <si>
    <t>IST:</t>
  </si>
  <si>
    <t>VzÄ:</t>
  </si>
  <si>
    <t>SOLL:</t>
  </si>
  <si>
    <t>8. Anlagen</t>
  </si>
  <si>
    <r>
      <t xml:space="preserve"> Status </t>
    </r>
    <r>
      <rPr>
        <sz val="8"/>
        <color theme="1"/>
        <rFont val="Arial"/>
        <family val="2"/>
      </rPr>
      <t>(siehe Dropdown-Liste)</t>
    </r>
  </si>
  <si>
    <t>Leistungsbeschreibung</t>
  </si>
  <si>
    <t>als Anlage beigefügt</t>
  </si>
  <si>
    <t>Konzeption</t>
  </si>
  <si>
    <t>wird nachgereicht</t>
  </si>
  <si>
    <t>Personalkosten</t>
  </si>
  <si>
    <t>liegt vor</t>
  </si>
  <si>
    <t>Offenlegung der Verwaltungskosten</t>
  </si>
  <si>
    <t>Investitionen</t>
  </si>
  <si>
    <t>Verh.jahr:</t>
  </si>
  <si>
    <t>lfd. Nr.</t>
  </si>
  <si>
    <t>Be-treu-ungs-art</t>
  </si>
  <si>
    <t>Betreu-ungs-zeit</t>
  </si>
  <si>
    <t>Ver-träge</t>
  </si>
  <si>
    <t>Platzkosten</t>
  </si>
  <si>
    <t>Probe</t>
  </si>
  <si>
    <t>in h</t>
  </si>
  <si>
    <t>Instandhaltung (über Pauschale)</t>
  </si>
  <si>
    <t>1-8</t>
  </si>
  <si>
    <t>KK</t>
  </si>
  <si>
    <t>4-11</t>
  </si>
  <si>
    <t>40%-110%</t>
  </si>
  <si>
    <t>KG</t>
  </si>
  <si>
    <t>1-10</t>
  </si>
  <si>
    <t>H</t>
  </si>
  <si>
    <t>17% - 167%</t>
  </si>
  <si>
    <t>Kosten</t>
  </si>
  <si>
    <t>Verträge</t>
  </si>
  <si>
    <t>Monate</t>
  </si>
  <si>
    <t>Kosten je Platz/Monat</t>
  </si>
  <si>
    <t>Neu-/Ersatzbeschaffungen</t>
  </si>
  <si>
    <t>Verwaltungskosten (über Pauschale)</t>
  </si>
  <si>
    <t>Zeit-staffe-lung</t>
  </si>
  <si>
    <t>Wich-tung</t>
  </si>
  <si>
    <t>2</t>
  </si>
  <si>
    <t>3</t>
  </si>
  <si>
    <t>4</t>
  </si>
  <si>
    <t>5</t>
  </si>
  <si>
    <t>6</t>
  </si>
  <si>
    <t>7</t>
  </si>
  <si>
    <t>8</t>
  </si>
  <si>
    <t>9</t>
  </si>
  <si>
    <t>10</t>
  </si>
  <si>
    <t>11</t>
  </si>
  <si>
    <t>12</t>
  </si>
  <si>
    <t>gewich-tete Ver-träge</t>
  </si>
  <si>
    <t>Personal-kosten nach Wichtung</t>
  </si>
  <si>
    <t>Sachkosten</t>
  </si>
  <si>
    <t>Platz-kosten</t>
  </si>
  <si>
    <t>1. Kinder unter 3 Jahren - Kinderkrippe (KK)</t>
  </si>
  <si>
    <t>1</t>
  </si>
  <si>
    <t>Kosten päd. Personal</t>
  </si>
  <si>
    <t>gewichtete Verträge</t>
  </si>
  <si>
    <t>2. Kinder über 3 Jahren bis zum Beginn der Schulpflicht - Kindergarten (KG)</t>
  </si>
  <si>
    <t>3. Schulkind - Hort (H)</t>
  </si>
  <si>
    <t>Summe Platzkosten</t>
  </si>
  <si>
    <t>Summe Platzkosten über die Pauschalen hinaus im Rahmen der Richtlinie</t>
  </si>
  <si>
    <t>Gesamtplatzkosten</t>
  </si>
  <si>
    <t>Stunden</t>
  </si>
  <si>
    <t>Anzahl</t>
  </si>
  <si>
    <t>Krippenbetreuung - KK</t>
  </si>
  <si>
    <t>Kindergartenbetreuung - KG</t>
  </si>
  <si>
    <t>Hortbetreuung - H</t>
  </si>
  <si>
    <t>gesamt</t>
  </si>
  <si>
    <t>Erzieher/h</t>
  </si>
  <si>
    <t>Position</t>
  </si>
  <si>
    <t>Soll</t>
  </si>
  <si>
    <t>Kosten pro</t>
  </si>
  <si>
    <t>KKP</t>
  </si>
  <si>
    <t>KGP</t>
  </si>
  <si>
    <t>HP</t>
  </si>
  <si>
    <t>abzüglich § 8a/Fobi</t>
  </si>
  <si>
    <t>Personalkosten - päd. Personal</t>
  </si>
  <si>
    <t>sonstige Personalkosten</t>
  </si>
  <si>
    <t>§ 8a/Fobi</t>
  </si>
  <si>
    <t>Sachkosten und Fortbildung</t>
  </si>
  <si>
    <t>Betriebs- und Bewirtschaftungskosten, Instandhaltung, Miete usw.</t>
  </si>
  <si>
    <t>Verwaltungskosten</t>
  </si>
  <si>
    <t>Qualitätsentwicklung</t>
  </si>
  <si>
    <t>Weitere Personalkosten</t>
  </si>
  <si>
    <t>Abschreibungen</t>
  </si>
  <si>
    <t>Sonstige Kosten</t>
  </si>
  <si>
    <t>Personal- und Sachkosten</t>
  </si>
  <si>
    <t>Zwischensumme</t>
  </si>
  <si>
    <t>Kosten über die Pauschalen hinaus im Rahmen der Richtlinie</t>
  </si>
  <si>
    <t>.</t>
  </si>
  <si>
    <t>Gesamtsumme</t>
  </si>
  <si>
    <t>Verh.jahr</t>
  </si>
  <si>
    <t>h KK</t>
  </si>
  <si>
    <t>Anzahl KK</t>
  </si>
  <si>
    <t>Ges. Kinder</t>
  </si>
  <si>
    <t>Träger</t>
  </si>
  <si>
    <t>h Gesamt</t>
  </si>
  <si>
    <t>h KG</t>
  </si>
  <si>
    <t>Anzahl KG</t>
  </si>
  <si>
    <t>Einrichtung</t>
  </si>
  <si>
    <t>h Zusatz</t>
  </si>
  <si>
    <t>h H</t>
  </si>
  <si>
    <t>Anzahl H</t>
  </si>
  <si>
    <t>IST</t>
  </si>
  <si>
    <t>Nachweis</t>
  </si>
  <si>
    <t>Abweichung</t>
  </si>
  <si>
    <t>Satz</t>
  </si>
  <si>
    <t>Veränd.</t>
  </si>
  <si>
    <t>lt. Kostenplan</t>
  </si>
  <si>
    <t>in €</t>
  </si>
  <si>
    <t>in %</t>
  </si>
  <si>
    <t>Insgesamt (Ausgaben)</t>
  </si>
  <si>
    <t>Insgesamt (Einnahmen)</t>
  </si>
  <si>
    <t>nicht entgeltrelevant</t>
  </si>
  <si>
    <t>Insgesamt (nicht entgeltrelevant)</t>
  </si>
  <si>
    <t>Bitte manuell ändern!</t>
  </si>
  <si>
    <t>Personal:</t>
  </si>
  <si>
    <t>lt. geprüfte Personalkosten</t>
  </si>
  <si>
    <t>staatl. anerk. Erzieher/innen (mit Leitung):</t>
  </si>
  <si>
    <t>anerkannte Hilfskraft:</t>
  </si>
  <si>
    <t>davon Leitung:</t>
  </si>
  <si>
    <t>Azubi/Praktikant/BFD/FSJ:</t>
  </si>
  <si>
    <t>Altersteilzeit (aktiv):</t>
  </si>
  <si>
    <t>heilpäd. Fachkräfte:</t>
  </si>
  <si>
    <t>sonstiges päd. Fachpersonal:</t>
  </si>
  <si>
    <r>
      <t>staatl. anerk. Erzieher/innen</t>
    </r>
    <r>
      <rPr>
        <sz val="11"/>
        <color theme="1"/>
        <rFont val="Arial"/>
        <family val="2"/>
      </rPr>
      <t>:</t>
    </r>
  </si>
  <si>
    <t>Azubi;Praktikant;BFD/FSJ:</t>
  </si>
  <si>
    <t>Mehrbedarf § 8a:</t>
  </si>
  <si>
    <t>Gesamtbedarf:</t>
  </si>
  <si>
    <t>am Kind:</t>
  </si>
  <si>
    <t>Leitung:</t>
  </si>
  <si>
    <t>§8a/Fobi:</t>
  </si>
  <si>
    <t>Mehrbedarf:</t>
  </si>
  <si>
    <t>Gesamt:</t>
  </si>
  <si>
    <t>Bedarf:</t>
  </si>
  <si>
    <t>"IST" laut Personalliste:</t>
  </si>
  <si>
    <t>"Soll":</t>
  </si>
  <si>
    <t>Differenz:</t>
  </si>
  <si>
    <t>mitgetragen werden:</t>
  </si>
  <si>
    <t>für Kleinsteinrichtung anerkannt:</t>
  </si>
  <si>
    <t>nicht mitgetragen werden:</t>
  </si>
  <si>
    <t>lt. Kostenplan:</t>
  </si>
  <si>
    <t>jährlich</t>
  </si>
  <si>
    <t>wöchentlich</t>
  </si>
  <si>
    <t>lt. geprüfte Personalkosten:</t>
  </si>
  <si>
    <t>Brutto-Verdienst päd. Personal</t>
  </si>
  <si>
    <t>je Stunde laut "IST" Personalliste</t>
  </si>
  <si>
    <t>Differenz</t>
  </si>
  <si>
    <t>Gesamtsumme Personalkosten:</t>
  </si>
  <si>
    <t>Krippenbetr. - KK</t>
  </si>
  <si>
    <t>Kindergartenbetr. - KG</t>
  </si>
  <si>
    <t>Bitte Nachweise beifügen!</t>
  </si>
  <si>
    <t>SOLL</t>
  </si>
  <si>
    <t>AUSGABEN</t>
  </si>
  <si>
    <t>Bemerkungen</t>
  </si>
  <si>
    <t>Betrag in €</t>
  </si>
  <si>
    <t>bzw.</t>
  </si>
  <si>
    <t>vorvergangenes Jahr</t>
  </si>
  <si>
    <t>Verhandlungsjahr</t>
  </si>
  <si>
    <t>empf. Bemessungsgrenzen</t>
  </si>
  <si>
    <t>01.01. - 31.12.</t>
  </si>
  <si>
    <t>in € jährlich</t>
  </si>
  <si>
    <t>1.1</t>
  </si>
  <si>
    <t>Kosten päd. Personal und Leitung</t>
  </si>
  <si>
    <t>1.1.1</t>
  </si>
  <si>
    <t>1.1.2</t>
  </si>
  <si>
    <t>1.1.3</t>
  </si>
  <si>
    <t>Schwerbehindertenausgleichsabgabe</t>
  </si>
  <si>
    <t>1.1.4</t>
  </si>
  <si>
    <r>
      <t xml:space="preserve">Berufsgenossenschaft </t>
    </r>
    <r>
      <rPr>
        <sz val="8"/>
        <color theme="1"/>
        <rFont val="Arial"/>
        <family val="2"/>
      </rPr>
      <t>(inkl. etwaig Wohlfahrtspflege)</t>
    </r>
    <r>
      <rPr>
        <sz val="10"/>
        <color theme="1"/>
        <rFont val="Arial"/>
        <family val="2"/>
      </rPr>
      <t xml:space="preserve"> bzw. Unfallkasse</t>
    </r>
  </si>
  <si>
    <t>1.1.5</t>
  </si>
  <si>
    <t>Finanzierungsbeitrag / Sanierungsgeld / Sonstiges</t>
  </si>
  <si>
    <t>1.1.6</t>
  </si>
  <si>
    <t>Betriebsmedizin / Arbeitsmedizin</t>
  </si>
  <si>
    <t>1.1.7</t>
  </si>
  <si>
    <r>
      <t xml:space="preserve">Kosten Altersteilzeit </t>
    </r>
    <r>
      <rPr>
        <sz val="8"/>
        <color theme="1"/>
        <rFont val="Arial"/>
        <family val="2"/>
      </rPr>
      <t>(Aktivphase)</t>
    </r>
  </si>
  <si>
    <t>1.1.8</t>
  </si>
  <si>
    <t>2.1</t>
  </si>
  <si>
    <t>2.1.1</t>
  </si>
  <si>
    <t>kindbezogene Sachkosten</t>
  </si>
  <si>
    <t>2.1.2</t>
  </si>
  <si>
    <t>Raum- und Wirtschaftsausstattung</t>
  </si>
  <si>
    <t>Mischeinrichtung</t>
  </si>
  <si>
    <t>Horteinrichtung</t>
  </si>
  <si>
    <t>bis 100</t>
  </si>
  <si>
    <t>ab 101</t>
  </si>
  <si>
    <t>2.2</t>
  </si>
  <si>
    <t>Fortbildung</t>
  </si>
  <si>
    <t>2.2.1</t>
  </si>
  <si>
    <r>
      <t>Fort- und Weiterbildung</t>
    </r>
    <r>
      <rPr>
        <sz val="8"/>
        <color theme="1"/>
        <rFont val="Arial"/>
        <family val="2"/>
      </rPr>
      <t xml:space="preserve"> (inkl. Supervision, Fachberatung und Fahrtkosten)</t>
    </r>
  </si>
  <si>
    <t>2.2.2</t>
  </si>
  <si>
    <t>sonstige Ausbildungskosten</t>
  </si>
  <si>
    <t>Betriebskosten</t>
  </si>
  <si>
    <t>3.1</t>
  </si>
  <si>
    <t>Hausmeister, Hausmeisterdienstleitungen</t>
  </si>
  <si>
    <t>3.1.1</t>
  </si>
  <si>
    <t>3.1.2</t>
  </si>
  <si>
    <t>3.1.3</t>
  </si>
  <si>
    <t>3.1.4</t>
  </si>
  <si>
    <t>3.1.5</t>
  </si>
  <si>
    <t>Betriebsmedizin, Arbeitsmedizin</t>
  </si>
  <si>
    <t>3.1.6</t>
  </si>
  <si>
    <r>
      <t xml:space="preserve">Kosten Altersteilzeit </t>
    </r>
    <r>
      <rPr>
        <sz val="8"/>
        <color theme="1"/>
        <rFont val="Arial"/>
        <family val="2"/>
      </rPr>
      <t>(Passivphase)</t>
    </r>
  </si>
  <si>
    <t>3.1.7</t>
  </si>
  <si>
    <t>Fremdfirmen für Hausmeisterdienste</t>
  </si>
  <si>
    <t xml:space="preserve">Summe </t>
  </si>
  <si>
    <t>3.2</t>
  </si>
  <si>
    <t>Reinigungskraft, Reinigungsdienstleistungen</t>
  </si>
  <si>
    <t>3.2.1</t>
  </si>
  <si>
    <t>3.2.2</t>
  </si>
  <si>
    <t>3.2.3</t>
  </si>
  <si>
    <t>3.2.4</t>
  </si>
  <si>
    <t>3.2.5</t>
  </si>
  <si>
    <t>3.2.6</t>
  </si>
  <si>
    <t>3.2.7</t>
  </si>
  <si>
    <t>Kosten der Fremdreinigung</t>
  </si>
  <si>
    <t>3.2.8</t>
  </si>
  <si>
    <t>Reinigungsmittel</t>
  </si>
  <si>
    <t>3.3</t>
  </si>
  <si>
    <t>Wirtschaftskraft/Haushaltshilfe/ Küchenkraft</t>
  </si>
  <si>
    <t>3.3.1</t>
  </si>
  <si>
    <t>3.3.2</t>
  </si>
  <si>
    <t>3.3.3</t>
  </si>
  <si>
    <t>3.3.4</t>
  </si>
  <si>
    <t>3.3.5</t>
  </si>
  <si>
    <t>3.3.6</t>
  </si>
  <si>
    <t>3.3.7</t>
  </si>
  <si>
    <t>Kosten für Fremdfirmen</t>
  </si>
  <si>
    <t>3.4</t>
  </si>
  <si>
    <t>Bewirtschaftungskosten</t>
  </si>
  <si>
    <t>3.4.1</t>
  </si>
  <si>
    <t>Grundsteuer</t>
  </si>
  <si>
    <t>3.4.2</t>
  </si>
  <si>
    <t>Wasser/Abwasser</t>
  </si>
  <si>
    <t>3.4.3</t>
  </si>
  <si>
    <t>Heizkosten</t>
  </si>
  <si>
    <t>3.4.4</t>
  </si>
  <si>
    <t>Energie</t>
  </si>
  <si>
    <t>3.4.5</t>
  </si>
  <si>
    <t>Abfallentsorgung</t>
  </si>
  <si>
    <t>3.4.6</t>
  </si>
  <si>
    <t>Straßenreinigung und Winterdienst</t>
  </si>
  <si>
    <t>3.4.7</t>
  </si>
  <si>
    <t>Schornsteinfeger</t>
  </si>
  <si>
    <t>3.4.8</t>
  </si>
  <si>
    <t xml:space="preserve">Wartungen </t>
  </si>
  <si>
    <t>3.4.9</t>
  </si>
  <si>
    <t>Versicherung</t>
  </si>
  <si>
    <t>3.4.10</t>
  </si>
  <si>
    <t>Rundfunkgebühren</t>
  </si>
  <si>
    <t>3.4.11</t>
  </si>
  <si>
    <t>Kosten kommunaler Gutachten</t>
  </si>
  <si>
    <t>3.4.12</t>
  </si>
  <si>
    <t>Sicherheitsdienstleistungen</t>
  </si>
  <si>
    <t>3.4.13</t>
  </si>
  <si>
    <r>
      <t xml:space="preserve">abzgl. Sonderleistungen </t>
    </r>
    <r>
      <rPr>
        <sz val="8"/>
        <color theme="1"/>
        <rFont val="Arial"/>
        <family val="2"/>
      </rPr>
      <t>(z.B. Kneipp, o.ä.)</t>
    </r>
  </si>
  <si>
    <t>3.5</t>
  </si>
  <si>
    <t>Instandhaltung</t>
  </si>
  <si>
    <t>3.5.1</t>
  </si>
  <si>
    <t>Instandhaltungskosten</t>
  </si>
  <si>
    <t>3.5.2</t>
  </si>
  <si>
    <r>
      <t xml:space="preserve">Neu-/Ersatzbeschaffungen </t>
    </r>
    <r>
      <rPr>
        <sz val="7"/>
        <color theme="1"/>
        <rFont val="Arial"/>
        <family val="2"/>
      </rPr>
      <t>(unter 1.000 € netto)</t>
    </r>
  </si>
  <si>
    <t>3.5.3</t>
  </si>
  <si>
    <t>Ausstattung und Pflege Grünanlagen</t>
  </si>
  <si>
    <t>3.6</t>
  </si>
  <si>
    <t>Miete, Pacht, Erbbauzins</t>
  </si>
  <si>
    <t>3.6.1</t>
  </si>
  <si>
    <t>Kaltmiete</t>
  </si>
  <si>
    <t>3.6.2</t>
  </si>
  <si>
    <t>Kaltmiete - sonstige Gebäude</t>
  </si>
  <si>
    <t>3.6.3</t>
  </si>
  <si>
    <t>Pacht</t>
  </si>
  <si>
    <t>3.6.4</t>
  </si>
  <si>
    <t>Erbbauzins</t>
  </si>
  <si>
    <t>3.6.5</t>
  </si>
  <si>
    <t>kalkulatorische Miete</t>
  </si>
  <si>
    <t>3.6.6</t>
  </si>
  <si>
    <t>Abschreibung auf Gebäude</t>
  </si>
  <si>
    <t>3.6.7</t>
  </si>
  <si>
    <t>Darlehen und Darlehenszinsen</t>
  </si>
  <si>
    <t>4.1</t>
  </si>
  <si>
    <t>Verwaltungskosten oder</t>
  </si>
  <si>
    <t>4.2</t>
  </si>
  <si>
    <t>5.1</t>
  </si>
  <si>
    <t>Qualitätsentwicklungskosten</t>
  </si>
  <si>
    <t>6.1</t>
  </si>
  <si>
    <t>Brand-, Daten- und Arbeitsschutz, Hygienesicherheit</t>
  </si>
  <si>
    <t>6.2</t>
  </si>
  <si>
    <t>Praktikanten, BFD, FSJ</t>
  </si>
  <si>
    <t>6.3</t>
  </si>
  <si>
    <r>
      <t xml:space="preserve">Altersteilzeit </t>
    </r>
    <r>
      <rPr>
        <sz val="8"/>
        <color theme="1"/>
        <rFont val="Arial"/>
        <family val="2"/>
      </rPr>
      <t>(Passivphase)</t>
    </r>
  </si>
  <si>
    <t>Investitionen und Abschreibungen</t>
  </si>
  <si>
    <t>7.1</t>
  </si>
  <si>
    <t>7.2</t>
  </si>
  <si>
    <r>
      <t xml:space="preserve">Abschreibungen </t>
    </r>
    <r>
      <rPr>
        <sz val="8"/>
        <color theme="1"/>
        <rFont val="Arial"/>
        <family val="2"/>
      </rPr>
      <t>(bewegliche Gegenstände)</t>
    </r>
  </si>
  <si>
    <t>Weitere Kosten</t>
  </si>
  <si>
    <t>8.1</t>
  </si>
  <si>
    <t>8.2</t>
  </si>
  <si>
    <r>
      <t xml:space="preserve">Personalkosten </t>
    </r>
    <r>
      <rPr>
        <sz val="8"/>
        <color theme="1"/>
        <rFont val="Arial"/>
        <family val="2"/>
      </rPr>
      <t>(u.a. geringf. Beschäftigte)</t>
    </r>
  </si>
  <si>
    <t>Gesamtsumme (Ausgaben)</t>
  </si>
  <si>
    <t>Einnahmen</t>
  </si>
  <si>
    <t>9.1</t>
  </si>
  <si>
    <t>Zuweisungen nach § 12 KiFöG</t>
  </si>
  <si>
    <t>9.2</t>
  </si>
  <si>
    <t>Zuweisungen nach § 12a KiFöG</t>
  </si>
  <si>
    <t>9.3</t>
  </si>
  <si>
    <t>Fördermittel</t>
  </si>
  <si>
    <t>9.4</t>
  </si>
  <si>
    <r>
      <t>Kostenbeiträge gem. Satzung</t>
    </r>
    <r>
      <rPr>
        <sz val="8"/>
        <color theme="1"/>
        <rFont val="Arial"/>
        <family val="2"/>
      </rPr>
      <t xml:space="preserve"> (soweit Kostenerhebung durch Träger erfolgt)</t>
    </r>
  </si>
  <si>
    <t>9.5</t>
  </si>
  <si>
    <t>Zusatzbeiträge der Eltern</t>
  </si>
  <si>
    <t>9.6</t>
  </si>
  <si>
    <t>Einnahmen für Gastkinder</t>
  </si>
  <si>
    <t>9.7</t>
  </si>
  <si>
    <t>Einnahmen aus Mitteln des ÖTJH</t>
  </si>
  <si>
    <t>9.8</t>
  </si>
  <si>
    <t>Sonstige Einnahmen</t>
  </si>
  <si>
    <t>Gesamtsumme (Einnahmen)</t>
  </si>
  <si>
    <t>Sachkosten für Verpflegung</t>
  </si>
  <si>
    <t>10.1</t>
  </si>
  <si>
    <t>Nahrungsmittel und Getränke</t>
  </si>
  <si>
    <t>10.2</t>
  </si>
  <si>
    <r>
      <t xml:space="preserve">abzgl. Essensbeiträge </t>
    </r>
    <r>
      <rPr>
        <sz val="8"/>
        <color theme="1"/>
        <rFont val="Arial"/>
        <family val="2"/>
      </rPr>
      <t>(soweit Einnahme erfolgt)</t>
    </r>
  </si>
  <si>
    <t>10.3</t>
  </si>
  <si>
    <r>
      <t xml:space="preserve">abzgl. Getränkegelder </t>
    </r>
    <r>
      <rPr>
        <sz val="8"/>
        <color theme="1"/>
        <rFont val="Arial"/>
        <family val="2"/>
      </rPr>
      <t>(soweit Einnahme erfolgt)</t>
    </r>
  </si>
  <si>
    <t>Personalkosten § 23 KiFöG</t>
  </si>
  <si>
    <t>11.1</t>
  </si>
  <si>
    <t>Personalkosten nach § 23 KiFöG</t>
  </si>
  <si>
    <t>Ort, Datum</t>
  </si>
  <si>
    <t>Unterschrift, Stempel</t>
  </si>
  <si>
    <t>Verhandl.jahr:</t>
  </si>
  <si>
    <t>Die farblich grau hinterlegten Felder werden automatisch ausgefüllt, wenn die Personalkosten in die Datei "personalkosten" eingegeben wurden.</t>
  </si>
  <si>
    <t>AN</t>
  </si>
  <si>
    <t>Geb.-Datum</t>
  </si>
  <si>
    <t>Tätigkeit lt. Stellenplan</t>
  </si>
  <si>
    <t>VzÄ</t>
  </si>
  <si>
    <t>Qualifikation</t>
  </si>
  <si>
    <t>Entgelt-gruppe / Stufe</t>
  </si>
  <si>
    <t>Jahresbeträge</t>
  </si>
  <si>
    <t>SV-pflichtiges Brutto</t>
  </si>
  <si>
    <t>SV-Beiträge</t>
  </si>
  <si>
    <t>BAV                    (SV-frei)</t>
  </si>
  <si>
    <t>BG / UK</t>
  </si>
  <si>
    <t>Ausgleich Wohlfahrts-pflege</t>
  </si>
  <si>
    <t>Schwerbeh. ausgleichs-abgabe</t>
  </si>
  <si>
    <t>Finanzierungs-beitrag / Sanierungsgeld / Sonstiges</t>
  </si>
  <si>
    <t>Pers.-Nr. bzw. Name</t>
  </si>
  <si>
    <t>Angabe in h</t>
  </si>
  <si>
    <t>1. Angaben zu Hausmeistern (erste Zeilen 1-3) und Hausmeistern in Altersteilzeit-Aktivphase                  (zweite Zeilen 1-2)</t>
  </si>
  <si>
    <t>inkl. Entgelt Aufstockung</t>
  </si>
  <si>
    <t>inkl. RV Aufstockung</t>
  </si>
  <si>
    <t>Anzahl:</t>
  </si>
  <si>
    <t>Stunden:</t>
  </si>
  <si>
    <t>2. Angaben zu Hausmeistern in Altersteilzeit-Passivphase</t>
  </si>
  <si>
    <t>3. Angaben zu Reinigungskräften (erste Zeilen 1-8) und Reinigungskräften in Altersteilzeit-Aktivphase (zweite Zeilen 1-2)</t>
  </si>
  <si>
    <t>inkl. Aufstockung</t>
  </si>
  <si>
    <t>inkl. RV für Aufstockung</t>
  </si>
  <si>
    <t>4. Angaben zu Reinigungskräften in Altersteilzeit-Passivphase</t>
  </si>
  <si>
    <t>5. Angaben zu Wirtschaftskr./Haushaltsh./Küchenkr. (erste Zeilen 1-5) sowie in Altersteilzeit-Aktivphase (zweite Zeilen 1-2)</t>
  </si>
  <si>
    <t>6. Angaben zu Wirtschaftskräften/Haushaltshilfen/Küchenkräften in Altersteilzeit-Passivphase</t>
  </si>
  <si>
    <t>7. Angaben zu sonstigem Personal (u.a. geringfügig Beschäftigte)</t>
  </si>
  <si>
    <t>1. Angaben zur Leitung</t>
  </si>
  <si>
    <t>Leiter:</t>
  </si>
  <si>
    <t>2. Angaben zu Erziehern</t>
  </si>
  <si>
    <t>3. Angaben zu anerkannten Hilfskräften</t>
  </si>
  <si>
    <t>Sonstiges</t>
  </si>
  <si>
    <t xml:space="preserve">Förderung </t>
  </si>
  <si>
    <t xml:space="preserve">4. Angaben zu Auszubildenden (erste Zeilen 1-4); Praktikanten (zweite Zeilen 1-4) bzw. BFD/FSJ (dritte Zeilen 1-4) </t>
  </si>
  <si>
    <r>
      <t xml:space="preserve">5. Angaben zu Praktikanten </t>
    </r>
    <r>
      <rPr>
        <b/>
        <sz val="10"/>
        <color rgb="FFFF0000"/>
        <rFont val="Arial"/>
        <family val="2"/>
      </rPr>
      <t>(unentgeltlich)</t>
    </r>
  </si>
  <si>
    <t>Beschäftigungsdauer</t>
  </si>
  <si>
    <t>6. Angaben zur Altersteilzeit-Aktivphase</t>
  </si>
  <si>
    <t>7. Angaben zur Altersteilzeit-Passivphase</t>
  </si>
  <si>
    <t>8. Angaben zu heilpädagogischen Fachkräften</t>
  </si>
  <si>
    <t>9. Angaben zu sonstigem Personal (u.a. geringfügig Beschäftigte)</t>
  </si>
  <si>
    <r>
      <t xml:space="preserve">10. Angaben zu Personal nach § 23 KiFöG </t>
    </r>
    <r>
      <rPr>
        <b/>
        <sz val="10"/>
        <color rgb="FFFF0000"/>
        <rFont val="Arial"/>
        <family val="2"/>
      </rPr>
      <t>(nicht entgeltrelevant)</t>
    </r>
  </si>
  <si>
    <t>Ist</t>
  </si>
  <si>
    <t>Jan</t>
  </si>
  <si>
    <t>Feb</t>
  </si>
  <si>
    <t>März</t>
  </si>
  <si>
    <t>April</t>
  </si>
  <si>
    <t>Mai</t>
  </si>
  <si>
    <t>Juni</t>
  </si>
  <si>
    <t>Juli</t>
  </si>
  <si>
    <t>Aug</t>
  </si>
  <si>
    <t>Sept</t>
  </si>
  <si>
    <t>Okt</t>
  </si>
  <si>
    <t>Nov</t>
  </si>
  <si>
    <t>Dez</t>
  </si>
  <si>
    <t>Kinderkrippe (KK)</t>
  </si>
  <si>
    <t>Betreuungsstd.   4</t>
  </si>
  <si>
    <t>Betreuungsstd.   5</t>
  </si>
  <si>
    <t>Betreuungsstd.   6</t>
  </si>
  <si>
    <t>Betreuungsstd.   7</t>
  </si>
  <si>
    <t>Betreuungsstd.   8</t>
  </si>
  <si>
    <t>Betreuungsstd.   9</t>
  </si>
  <si>
    <t>Betreuungsstd.  10</t>
  </si>
  <si>
    <t>Betreuungsstd.  11</t>
  </si>
  <si>
    <t>Kindergarten (KG)</t>
  </si>
  <si>
    <r>
      <t>Hort (H)</t>
    </r>
    <r>
      <rPr>
        <b/>
        <i/>
        <sz val="10"/>
        <color rgb="FFFF0000"/>
        <rFont val="Arial"/>
        <family val="2"/>
      </rPr>
      <t xml:space="preserve"> - nächste Seite</t>
    </r>
  </si>
  <si>
    <t>Schul-Hort (H)</t>
  </si>
  <si>
    <t>Hier bitte die Anzahl der Kinder eintragen, die während der Schulzeit betreut werden.                                                                                                                                                                              Sollte ein Durchschnittswert für die Schul- und Ferienbetreuung ermittelt worden sein, dann bitte die gleichen Werte nochmal in die Ferien-Betreuung eintragen.</t>
  </si>
  <si>
    <t>Betreuungsstd.   1</t>
  </si>
  <si>
    <t>Betreuungsstd.   2</t>
  </si>
  <si>
    <t>Betreuungsstd.   3</t>
  </si>
  <si>
    <t>Ferien-Hort (H)</t>
  </si>
  <si>
    <t>Hier bitte die Anzahl der Kinder eintragen, die auch während der Ferienzeit betreut werden.</t>
  </si>
  <si>
    <t>Betreuungsstd.   10</t>
  </si>
  <si>
    <t>Schul-Hort (%)</t>
  </si>
  <si>
    <t>Ferien-Hort (%)</t>
  </si>
  <si>
    <t>Schul-Hort und Ferien-Hort (GESAMT)</t>
  </si>
  <si>
    <t>Mindestpersonalschlüssel</t>
  </si>
  <si>
    <t xml:space="preserve">Mindestpersonalschlüssel </t>
  </si>
  <si>
    <t>Hort (H)</t>
  </si>
  <si>
    <t>gesamte Jahresstunden</t>
  </si>
  <si>
    <r>
      <t xml:space="preserve">Kosten der päd. Fach-/Hilfskräfte, einschl. Erziehertätigkeit der Leiter/innen                                                                                                       </t>
    </r>
    <r>
      <rPr>
        <sz val="8"/>
        <color theme="1"/>
        <rFont val="Arial"/>
        <family val="2"/>
      </rPr>
      <t xml:space="preserve">(inkl. AG-Anteile zur SV und BAV SV-frei)  </t>
    </r>
  </si>
  <si>
    <r>
      <t xml:space="preserve">Leitungsstunden                                                                                                                                                                                                     </t>
    </r>
    <r>
      <rPr>
        <sz val="8"/>
        <color theme="1"/>
        <rFont val="Arial"/>
        <family val="2"/>
      </rPr>
      <t xml:space="preserve">(inkl. AG-Anteile zur SV und BAV SV-frei) </t>
    </r>
  </si>
  <si>
    <r>
      <t xml:space="preserve">Personalkosten                                                                                                                                                                                                       </t>
    </r>
    <r>
      <rPr>
        <sz val="8"/>
        <color theme="1"/>
        <rFont val="Arial"/>
        <family val="2"/>
      </rPr>
      <t xml:space="preserve">(inkl. AG-Anteile zur SV und BAV SV-frei) </t>
    </r>
  </si>
  <si>
    <t>Personalkosten                                                                                                                                                                                                       (inkl. AG-Anteile zur SV und BAV SV-frei)</t>
  </si>
  <si>
    <r>
      <t xml:space="preserve">Personalkosten                                                                                                                                                                                                       </t>
    </r>
    <r>
      <rPr>
        <sz val="8"/>
        <color theme="1"/>
        <rFont val="Arial"/>
        <family val="2"/>
      </rPr>
      <t>(inkl. AG-Anteile zur SV und BAV SV-frei)</t>
    </r>
  </si>
  <si>
    <t>davon Erz., integr. o. in and.Einr. (h/W):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</si>
</sst>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 #,##0.00\ &quot;€&quot;_-;\-* #,##0.00\ &quot;€&quot;_-;_-* &quot;-&quot;??\ &quot;€&quot;_-;_-@_-"/>
    <numFmt numFmtId="164" formatCode="_-* #,##0\ _€_-;\-* #,##0\ _€_-;_-* &quot;-&quot;\ _€_-;_-@_-"/>
    <numFmt numFmtId="165" formatCode="_-* #,##0.00\ _€_-;\-* #,##0.00\ _€_-;_-* &quot;-&quot;??\ _€_-;_-@_-"/>
    <numFmt numFmtId="166" formatCode="&quot;(&quot;0.00&quot;)&quot;"/>
    <numFmt numFmtId="167" formatCode="0.000%"/>
    <numFmt numFmtId="168" formatCode="_-* #,##0.00\ [$€-1]_-;\-* #,##0.00\ [$€-1]_-;_-* &quot;-&quot;??\ [$€-1]_-"/>
    <numFmt numFmtId="169" formatCode="#,##0.00_ ;\-#,##0.00\ "/>
    <numFmt numFmtId="170" formatCode="0.0"/>
    <numFmt numFmtId="171" formatCode="&quot;(&quot;0.000&quot;)&quot;"/>
    <numFmt numFmtId="172" formatCode="#,##0_ ;\-#,##0\ "/>
    <numFmt numFmtId="173" formatCode="_-* #,##0.00\ _€_-;\-* #,##0.00\ _€_-;_-* &quot;-&quot;?????\ _€_-;_-@_-"/>
    <numFmt numFmtId="174" formatCode="yyyy"/>
    <numFmt numFmtId="175" formatCode="mmmm\ yy"/>
  </numFmts>
  <fonts count="76"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rgb="FFFF0000"/>
      <name val="Arial"/>
      <family val="2"/>
    </font>
    <font>
      <b/>
      <sz val="11"/>
      <color theme="1"/>
      <name val="Arial"/>
      <family val="2"/>
    </font>
    <font>
      <sz val="10"/>
      <name val="Arial"/>
      <family val="2"/>
    </font>
    <font>
      <sz val="10"/>
      <color theme="1"/>
      <name val="Arial"/>
      <family val="2"/>
    </font>
    <font>
      <sz val="10"/>
      <color indexed="8"/>
      <name val="Arial"/>
      <family val="2"/>
    </font>
    <font>
      <sz val="8"/>
      <name val="Arial"/>
      <family val="2"/>
    </font>
    <font>
      <b/>
      <sz val="10"/>
      <name val="Arial"/>
      <family val="2"/>
    </font>
    <font>
      <b/>
      <i/>
      <sz val="10"/>
      <color rgb="FFFF0000"/>
      <name val="Arial"/>
      <family val="2"/>
    </font>
    <font>
      <b/>
      <i/>
      <sz val="10"/>
      <color indexed="10"/>
      <name val="Arial"/>
      <family val="2"/>
    </font>
    <font>
      <b/>
      <sz val="8"/>
      <color rgb="FFFF0000"/>
      <name val="Arial"/>
      <family val="2"/>
    </font>
    <font>
      <sz val="12"/>
      <name val="Arial"/>
      <family val="2"/>
    </font>
    <font>
      <sz val="12"/>
      <color rgb="FFFF0000"/>
      <name val="Arial"/>
      <family val="2"/>
    </font>
    <font>
      <sz val="8"/>
      <color rgb="FFFF0000"/>
      <name val="Arial"/>
      <family val="2"/>
    </font>
    <font>
      <b/>
      <sz val="8"/>
      <name val="Arial"/>
      <family val="2"/>
    </font>
    <font>
      <sz val="11"/>
      <color theme="1"/>
      <name val="Calibri"/>
      <family val="2"/>
      <scheme val="minor"/>
    </font>
    <font>
      <b/>
      <sz val="10"/>
      <color theme="1"/>
      <name val="Arial"/>
      <family val="2"/>
    </font>
    <font>
      <sz val="8"/>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theme="0"/>
      <name val="Calibri"/>
      <family val="2"/>
      <scheme val="minor"/>
    </font>
    <font>
      <b/>
      <sz val="11"/>
      <color rgb="FF3F3F3F"/>
      <name val="Calibri"/>
      <family val="2"/>
      <scheme val="minor"/>
    </font>
    <font>
      <u/>
      <sz val="11"/>
      <color theme="10"/>
      <name val="Arial"/>
      <family val="2"/>
    </font>
    <font>
      <sz val="9"/>
      <name val="Arial"/>
      <family val="2"/>
    </font>
    <font>
      <sz val="7"/>
      <name val="Arial"/>
      <family val="2"/>
    </font>
    <font>
      <b/>
      <i/>
      <sz val="9"/>
      <color rgb="FFFF0000"/>
      <name val="Arial"/>
      <family val="2"/>
    </font>
    <font>
      <b/>
      <i/>
      <sz val="10"/>
      <color rgb="FF00B050"/>
      <name val="Arial"/>
      <family val="2"/>
    </font>
    <font>
      <b/>
      <u/>
      <sz val="10"/>
      <color theme="1"/>
      <name val="Arial"/>
      <family val="2"/>
    </font>
    <font>
      <b/>
      <sz val="9"/>
      <name val="Arial"/>
      <family val="2"/>
    </font>
    <font>
      <sz val="7"/>
      <color theme="1"/>
      <name val="Arial"/>
      <family val="2"/>
    </font>
    <font>
      <b/>
      <u/>
      <sz val="11"/>
      <color theme="1"/>
      <name val="Arial"/>
      <family val="2"/>
    </font>
    <font>
      <u/>
      <sz val="11"/>
      <color theme="10"/>
      <name val="Calibri"/>
      <family val="2"/>
      <scheme val="minor"/>
    </font>
    <font>
      <b/>
      <u/>
      <sz val="11"/>
      <color rgb="FFFF0000"/>
      <name val="Arial"/>
      <family val="2"/>
    </font>
    <font>
      <vertAlign val="superscript"/>
      <sz val="11"/>
      <color theme="1"/>
      <name val="Arial"/>
      <family val="2"/>
    </font>
    <font>
      <b/>
      <sz val="11"/>
      <color rgb="FFFF0000"/>
      <name val="Arial"/>
      <family val="2"/>
    </font>
    <font>
      <b/>
      <u/>
      <sz val="11"/>
      <color theme="10"/>
      <name val="Arial"/>
      <family val="2"/>
    </font>
    <font>
      <u/>
      <sz val="11"/>
      <color theme="1"/>
      <name val="Arial"/>
      <family val="2"/>
    </font>
    <font>
      <b/>
      <sz val="9"/>
      <color theme="1"/>
      <name val="Arial"/>
      <family val="2"/>
    </font>
    <font>
      <b/>
      <sz val="10"/>
      <color rgb="FFFF0000"/>
      <name val="Arial"/>
      <family val="2"/>
    </font>
    <font>
      <b/>
      <sz val="8"/>
      <color theme="1"/>
      <name val="Arial"/>
      <family val="2"/>
    </font>
    <font>
      <sz val="16"/>
      <color theme="1"/>
      <name val="Wingdings"/>
      <charset val="2"/>
    </font>
    <font>
      <sz val="10"/>
      <color theme="1"/>
      <name val="Calibri"/>
      <family val="2"/>
      <scheme val="minor"/>
    </font>
    <font>
      <b/>
      <u val="doubleAccounting"/>
      <sz val="10"/>
      <color theme="1"/>
      <name val="Arial"/>
      <family val="2"/>
    </font>
    <font>
      <b/>
      <sz val="10"/>
      <color theme="0"/>
      <name val="Arial"/>
      <family val="2"/>
    </font>
    <font>
      <b/>
      <u/>
      <sz val="12"/>
      <color theme="1"/>
      <name val="Arial"/>
      <family val="2"/>
    </font>
    <font>
      <b/>
      <sz val="12"/>
      <color theme="0"/>
      <name val="Arial"/>
      <family val="2"/>
    </font>
    <font>
      <sz val="10"/>
      <color rgb="FF9C6500"/>
      <name val="Arial"/>
      <family val="2"/>
    </font>
    <font>
      <b/>
      <sz val="10"/>
      <color rgb="FF3F3F3F"/>
      <name val="Arial"/>
      <family val="2"/>
    </font>
    <font>
      <sz val="10"/>
      <color rgb="FF9C0006"/>
      <name val="Arial"/>
      <family val="2"/>
    </font>
    <font>
      <sz val="10"/>
      <color rgb="FF006100"/>
      <name val="Arial"/>
      <family val="2"/>
    </font>
    <font>
      <sz val="10"/>
      <color rgb="FF3F3F3F"/>
      <name val="Arial"/>
      <family val="2"/>
    </font>
    <font>
      <b/>
      <u val="doubleAccounting"/>
      <sz val="10"/>
      <name val="Arial"/>
      <family val="2"/>
    </font>
    <font>
      <u/>
      <sz val="10"/>
      <color theme="1"/>
      <name val="Arial"/>
      <family val="2"/>
    </font>
    <font>
      <b/>
      <i/>
      <u/>
      <sz val="11"/>
      <color rgb="FFFF0000"/>
      <name val="Arial"/>
      <family val="2"/>
    </font>
    <font>
      <b/>
      <u/>
      <sz val="8"/>
      <color theme="1"/>
      <name val="Arial"/>
      <family val="2"/>
    </font>
    <font>
      <b/>
      <sz val="7"/>
      <color theme="1"/>
      <name val="Arial"/>
      <family val="2"/>
    </font>
    <font>
      <b/>
      <u val="singleAccounting"/>
      <sz val="11"/>
      <color theme="1"/>
      <name val="Arial"/>
      <family val="2"/>
    </font>
    <font>
      <b/>
      <i/>
      <sz val="10"/>
      <name val="Arial"/>
      <family val="2"/>
    </font>
    <font>
      <sz val="8"/>
      <color theme="1"/>
      <name val="Calibri"/>
      <family val="2"/>
      <scheme val="minor"/>
    </font>
    <font>
      <i/>
      <sz val="8"/>
      <color theme="1"/>
      <name val="Arial"/>
      <family val="2"/>
    </font>
    <font>
      <sz val="8"/>
      <color theme="0"/>
      <name val="Arial"/>
      <family val="2"/>
    </font>
    <font>
      <sz val="11"/>
      <name val="Calibri"/>
      <family val="2"/>
      <scheme val="minor"/>
    </font>
    <font>
      <sz val="9"/>
      <color theme="1"/>
      <name val="Arial"/>
      <family val="2"/>
    </font>
    <font>
      <sz val="9"/>
      <color theme="1"/>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theme="5"/>
      </patternFill>
    </fill>
    <fill>
      <patternFill patternType="solid">
        <fgColor theme="9" tint="0.59996337778862885"/>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FFC7CE"/>
        <bgColor indexed="64"/>
      </patternFill>
    </fill>
    <fill>
      <patternFill patternType="solid">
        <fgColor theme="6" tint="0.39997558519241921"/>
        <bgColor indexed="64"/>
      </patternFill>
    </fill>
    <fill>
      <patternFill patternType="solid">
        <fgColor rgb="FFFFFF99"/>
        <bgColor indexed="64"/>
      </patternFill>
    </fill>
    <fill>
      <patternFill patternType="solid">
        <fgColor rgb="FFCCFFFF"/>
        <bgColor indexed="64"/>
      </patternFill>
    </fill>
    <fill>
      <patternFill patternType="solid">
        <fgColor theme="9"/>
        <bgColor indexed="64"/>
      </patternFill>
    </fill>
    <fill>
      <patternFill patternType="solid">
        <fgColor indexed="9"/>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top/>
      <bottom style="thin">
        <color auto="1"/>
      </bottom>
      <diagonal/>
    </border>
    <border>
      <left/>
      <right style="thin">
        <color auto="1"/>
      </right>
      <top/>
      <bottom style="thin">
        <color auto="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indexed="64"/>
      </left>
      <right style="medium">
        <color indexed="64"/>
      </right>
      <top style="medium">
        <color indexed="64"/>
      </top>
      <bottom style="medium">
        <color indexed="64"/>
      </bottom>
      <diagonal/>
    </border>
    <border>
      <left/>
      <right/>
      <top style="thin">
        <color auto="1"/>
      </top>
      <bottom style="double">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3F3F3F"/>
      </left>
      <right style="medium">
        <color indexed="64"/>
      </right>
      <top/>
      <bottom style="thin">
        <color rgb="FF3F3F3F"/>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rgb="FF3F3F3F"/>
      </left>
      <right style="thin">
        <color rgb="FF3F3F3F"/>
      </right>
      <top style="thin">
        <color rgb="FF3F3F3F"/>
      </top>
      <bottom style="thin">
        <color indexed="64"/>
      </bottom>
      <diagonal/>
    </border>
    <border>
      <left style="thin">
        <color rgb="FF3F3F3F"/>
      </left>
      <right style="thin">
        <color rgb="FF3F3F3F"/>
      </right>
      <top style="thin">
        <color rgb="FF3F3F3F"/>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right style="thin">
        <color auto="1"/>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bottom/>
      <diagonal/>
    </border>
  </borders>
  <cellStyleXfs count="2218">
    <xf numFmtId="0" fontId="0" fillId="0" borderId="0"/>
    <xf numFmtId="0" fontId="10" fillId="0" borderId="0"/>
    <xf numFmtId="0" fontId="13" fillId="0" borderId="0"/>
    <xf numFmtId="168" fontId="13" fillId="0" borderId="0" applyFont="0" applyFill="0" applyBorder="0" applyAlignment="0" applyProtection="0"/>
    <xf numFmtId="0" fontId="9" fillId="0" borderId="0"/>
    <xf numFmtId="0" fontId="9" fillId="0" borderId="0"/>
    <xf numFmtId="0" fontId="9" fillId="0" borderId="0"/>
    <xf numFmtId="0" fontId="25" fillId="0" borderId="0">
      <alignment horizontal="left" vertical="center" wrapText="1"/>
      <protection locked="0"/>
    </xf>
    <xf numFmtId="0" fontId="25" fillId="2" borderId="0"/>
    <xf numFmtId="0" fontId="9"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5" borderId="0" applyNumberFormat="0" applyBorder="0" applyAlignment="0" applyProtection="0"/>
    <xf numFmtId="0" fontId="29" fillId="6" borderId="0" applyNumberFormat="0" applyBorder="0" applyAlignment="0" applyProtection="0"/>
    <xf numFmtId="0" fontId="30" fillId="7" borderId="0" applyNumberFormat="0" applyBorder="0" applyAlignment="0" applyProtection="0"/>
    <xf numFmtId="0" fontId="31" fillId="9" borderId="17" applyNumberFormat="0" applyAlignment="0" applyProtection="0"/>
    <xf numFmtId="0" fontId="32" fillId="10" borderId="0" applyNumberFormat="0" applyBorder="0" applyAlignment="0" applyProtection="0"/>
    <xf numFmtId="0" fontId="33" fillId="8" borderId="1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165" fontId="25" fillId="0" borderId="0" applyFont="0" applyFill="0" applyBorder="0" applyAlignment="0" applyProtection="0"/>
    <xf numFmtId="0" fontId="43" fillId="0" borderId="0" applyNumberFormat="0" applyFill="0" applyBorder="0" applyAlignment="0" applyProtection="0"/>
    <xf numFmtId="0" fontId="13" fillId="0" borderId="0"/>
    <xf numFmtId="0" fontId="5" fillId="0" borderId="0"/>
    <xf numFmtId="0" fontId="5" fillId="0" borderId="0"/>
  </cellStyleXfs>
  <cellXfs count="1243">
    <xf numFmtId="0" fontId="0" fillId="0" borderId="0" xfId="0"/>
    <xf numFmtId="0" fontId="10" fillId="2" borderId="0" xfId="1" applyFill="1" applyProtection="1">
      <protection hidden="1"/>
    </xf>
    <xf numFmtId="0" fontId="16" fillId="2" borderId="0" xfId="2" applyFont="1" applyFill="1" applyAlignment="1" applyProtection="1">
      <alignment shrinkToFit="1"/>
      <protection hidden="1"/>
    </xf>
    <xf numFmtId="0" fontId="16" fillId="2" borderId="0" xfId="2" applyFont="1" applyFill="1" applyBorder="1" applyAlignment="1" applyProtection="1">
      <alignment vertical="top" shrinkToFit="1"/>
      <protection hidden="1"/>
    </xf>
    <xf numFmtId="0" fontId="17" fillId="2" borderId="1" xfId="2" applyFont="1" applyFill="1" applyBorder="1" applyAlignment="1" applyProtection="1">
      <alignment shrinkToFit="1"/>
      <protection hidden="1"/>
    </xf>
    <xf numFmtId="0" fontId="13" fillId="2" borderId="0" xfId="2" applyFont="1" applyFill="1" applyBorder="1" applyAlignment="1" applyProtection="1">
      <protection hidden="1"/>
    </xf>
    <xf numFmtId="0" fontId="13" fillId="2" borderId="0" xfId="2" applyFill="1" applyBorder="1" applyProtection="1">
      <protection hidden="1"/>
    </xf>
    <xf numFmtId="0" fontId="10" fillId="2" borderId="0" xfId="1" applyFill="1" applyAlignment="1" applyProtection="1">
      <alignment vertical="center"/>
      <protection hidden="1"/>
    </xf>
    <xf numFmtId="0" fontId="18" fillId="2" borderId="0" xfId="1" applyFont="1" applyFill="1" applyBorder="1" applyAlignment="1" applyProtection="1">
      <alignment vertical="center"/>
      <protection hidden="1"/>
    </xf>
    <xf numFmtId="0" fontId="18" fillId="2" borderId="0" xfId="1" applyFont="1" applyFill="1" applyBorder="1" applyAlignment="1" applyProtection="1">
      <protection hidden="1"/>
    </xf>
    <xf numFmtId="0" fontId="23" fillId="2" borderId="0" xfId="1" applyFont="1" applyFill="1" applyProtection="1">
      <protection hidden="1"/>
    </xf>
    <xf numFmtId="0" fontId="24" fillId="2" borderId="0" xfId="2" applyFont="1" applyFill="1" applyBorder="1" applyAlignment="1" applyProtection="1">
      <protection hidden="1"/>
    </xf>
    <xf numFmtId="0" fontId="14" fillId="2" borderId="0" xfId="0" applyFont="1" applyFill="1" applyProtection="1">
      <protection hidden="1"/>
    </xf>
    <xf numFmtId="0" fontId="27" fillId="2" borderId="0" xfId="1" applyFont="1" applyFill="1" applyProtection="1">
      <protection hidden="1"/>
    </xf>
    <xf numFmtId="0" fontId="12" fillId="2" borderId="0" xfId="1" applyFont="1" applyFill="1" applyAlignment="1" applyProtection="1">
      <protection hidden="1"/>
    </xf>
    <xf numFmtId="0" fontId="11" fillId="2" borderId="0" xfId="1" applyFont="1" applyFill="1" applyProtection="1">
      <protection hidden="1"/>
    </xf>
    <xf numFmtId="0" fontId="9" fillId="2" borderId="0" xfId="9" applyFill="1" applyProtection="1">
      <protection hidden="1"/>
    </xf>
    <xf numFmtId="0" fontId="17" fillId="4" borderId="0" xfId="1" applyNumberFormat="1" applyFont="1" applyFill="1" applyBorder="1" applyAlignment="1" applyProtection="1">
      <alignment horizontal="center" vertical="center"/>
      <protection hidden="1"/>
    </xf>
    <xf numFmtId="0" fontId="10" fillId="2" borderId="0" xfId="1" applyFill="1" applyBorder="1" applyProtection="1">
      <protection hidden="1"/>
    </xf>
    <xf numFmtId="0" fontId="8" fillId="2" borderId="0" xfId="10" applyFill="1" applyAlignment="1" applyProtection="1">
      <alignment vertical="center"/>
      <protection hidden="1"/>
    </xf>
    <xf numFmtId="0" fontId="8" fillId="2" borderId="0" xfId="10" applyFill="1" applyProtection="1">
      <protection hidden="1"/>
    </xf>
    <xf numFmtId="10" fontId="13" fillId="3" borderId="7" xfId="2" applyNumberFormat="1" applyFont="1" applyFill="1" applyBorder="1" applyAlignment="1" applyProtection="1">
      <alignment horizontal="center" vertical="top" wrapText="1"/>
      <protection locked="0"/>
    </xf>
    <xf numFmtId="0" fontId="13" fillId="3" borderId="6" xfId="2" applyFont="1" applyFill="1" applyBorder="1" applyAlignment="1" applyProtection="1">
      <alignment horizontal="center" vertical="center" wrapText="1"/>
      <protection locked="0"/>
    </xf>
    <xf numFmtId="44" fontId="13" fillId="3" borderId="1" xfId="2" applyNumberFormat="1" applyFont="1" applyFill="1" applyBorder="1" applyAlignment="1" applyProtection="1">
      <alignment shrinkToFit="1"/>
      <protection locked="0"/>
    </xf>
    <xf numFmtId="44" fontId="13" fillId="3" borderId="1" xfId="2" applyNumberFormat="1" applyFont="1" applyFill="1" applyBorder="1" applyAlignment="1" applyProtection="1">
      <alignment horizontal="center" shrinkToFit="1"/>
      <protection locked="0"/>
    </xf>
    <xf numFmtId="10" fontId="13" fillId="3" borderId="7" xfId="2" applyNumberFormat="1" applyFont="1" applyFill="1" applyBorder="1" applyAlignment="1" applyProtection="1">
      <alignment horizontal="center" vertical="center" wrapText="1"/>
      <protection locked="0"/>
    </xf>
    <xf numFmtId="0" fontId="0" fillId="0" borderId="0" xfId="0" quotePrefix="1" applyAlignment="1" applyProtection="1">
      <protection hidden="1"/>
    </xf>
    <xf numFmtId="44" fontId="13" fillId="4" borderId="1" xfId="2" applyNumberFormat="1" applyFont="1" applyFill="1" applyBorder="1" applyAlignment="1" applyProtection="1">
      <alignment shrinkToFit="1"/>
      <protection hidden="1"/>
    </xf>
    <xf numFmtId="0" fontId="13" fillId="2" borderId="0" xfId="2" applyFont="1" applyFill="1" applyAlignment="1" applyProtection="1">
      <alignment horizontal="right" shrinkToFit="1"/>
      <protection hidden="1"/>
    </xf>
    <xf numFmtId="0" fontId="13" fillId="2" borderId="0" xfId="2" applyFill="1" applyAlignment="1" applyProtection="1">
      <alignment shrinkToFit="1"/>
      <protection hidden="1"/>
    </xf>
    <xf numFmtId="0" fontId="13" fillId="0" borderId="7" xfId="2" applyFont="1" applyFill="1" applyBorder="1" applyAlignment="1" applyProtection="1">
      <alignment horizontal="center" vertical="center" wrapText="1"/>
      <protection hidden="1"/>
    </xf>
    <xf numFmtId="0" fontId="21" fillId="2" borderId="0" xfId="2" applyFont="1" applyFill="1" applyBorder="1" applyAlignment="1" applyProtection="1">
      <protection hidden="1"/>
    </xf>
    <xf numFmtId="0" fontId="22" fillId="2" borderId="0" xfId="2" applyFont="1" applyFill="1" applyBorder="1" applyAlignment="1" applyProtection="1">
      <protection hidden="1"/>
    </xf>
    <xf numFmtId="0" fontId="17" fillId="2" borderId="10" xfId="2" applyFont="1" applyFill="1" applyBorder="1" applyAlignment="1" applyProtection="1">
      <alignment vertical="top" wrapText="1"/>
      <protection hidden="1"/>
    </xf>
    <xf numFmtId="10" fontId="13" fillId="3" borderId="7" xfId="2" applyNumberFormat="1" applyFill="1" applyBorder="1" applyAlignment="1" applyProtection="1">
      <alignment horizontal="center" wrapText="1"/>
      <protection locked="0"/>
    </xf>
    <xf numFmtId="49" fontId="26" fillId="2" borderId="0" xfId="0" applyNumberFormat="1" applyFont="1" applyFill="1" applyBorder="1" applyAlignment="1" applyProtection="1">
      <alignment horizontal="right" vertical="center"/>
      <protection hidden="1"/>
    </xf>
    <xf numFmtId="0" fontId="24" fillId="2" borderId="0" xfId="10" applyFont="1" applyFill="1" applyBorder="1" applyAlignment="1" applyProtection="1">
      <alignment horizontal="left" vertical="center"/>
      <protection hidden="1"/>
    </xf>
    <xf numFmtId="0" fontId="16" fillId="2" borderId="0" xfId="2" applyFont="1" applyFill="1" applyBorder="1" applyAlignment="1" applyProtection="1">
      <alignment horizontal="center" vertical="center"/>
      <protection hidden="1"/>
    </xf>
    <xf numFmtId="0" fontId="14" fillId="3" borderId="1" xfId="10" applyFont="1" applyFill="1" applyBorder="1" applyAlignment="1" applyProtection="1">
      <alignment horizontal="left" vertical="center"/>
      <protection locked="0"/>
    </xf>
    <xf numFmtId="0" fontId="14" fillId="3" borderId="1" xfId="10" applyFont="1" applyFill="1" applyBorder="1" applyAlignment="1" applyProtection="1">
      <alignment horizontal="center" vertical="center"/>
      <protection locked="0"/>
    </xf>
    <xf numFmtId="0" fontId="14" fillId="3" borderId="1" xfId="10" applyFont="1" applyFill="1" applyBorder="1" applyAlignment="1" applyProtection="1">
      <alignment vertical="center"/>
      <protection locked="0"/>
    </xf>
    <xf numFmtId="170" fontId="9" fillId="4" borderId="0" xfId="0" applyNumberFormat="1" applyFont="1" applyFill="1" applyAlignment="1" applyProtection="1">
      <alignment horizontal="center" wrapText="1"/>
      <protection hidden="1"/>
    </xf>
    <xf numFmtId="167" fontId="13" fillId="11" borderId="7" xfId="2" applyNumberFormat="1" applyFont="1" applyFill="1" applyBorder="1" applyAlignment="1" applyProtection="1">
      <alignment horizontal="center" vertical="top" wrapText="1"/>
      <protection locked="0"/>
    </xf>
    <xf numFmtId="0" fontId="36" fillId="2" borderId="7" xfId="2" applyFont="1" applyFill="1" applyBorder="1" applyAlignment="1" applyProtection="1">
      <alignment horizontal="center" vertical="center" wrapText="1"/>
      <protection hidden="1"/>
    </xf>
    <xf numFmtId="167" fontId="13" fillId="4" borderId="7" xfId="2" applyNumberFormat="1" applyFont="1" applyFill="1" applyBorder="1" applyAlignment="1" applyProtection="1">
      <alignment horizontal="center" vertical="top" wrapText="1"/>
      <protection hidden="1"/>
    </xf>
    <xf numFmtId="49" fontId="24" fillId="3" borderId="0" xfId="10" applyNumberFormat="1" applyFont="1" applyFill="1" applyBorder="1" applyAlignment="1" applyProtection="1">
      <alignment horizontal="center" vertical="center"/>
      <protection locked="0"/>
    </xf>
    <xf numFmtId="166" fontId="15" fillId="3" borderId="12" xfId="2" applyNumberFormat="1" applyFont="1" applyFill="1" applyBorder="1" applyAlignment="1" applyProtection="1">
      <alignment horizontal="center" vertical="center" shrinkToFit="1"/>
      <protection locked="0"/>
    </xf>
    <xf numFmtId="0" fontId="14" fillId="2" borderId="2" xfId="1" applyFont="1" applyFill="1" applyBorder="1" applyAlignment="1" applyProtection="1">
      <alignment vertical="center"/>
      <protection hidden="1"/>
    </xf>
    <xf numFmtId="0" fontId="14" fillId="2" borderId="0" xfId="1" applyFont="1" applyFill="1" applyBorder="1" applyAlignment="1" applyProtection="1">
      <alignment vertical="center"/>
      <protection hidden="1"/>
    </xf>
    <xf numFmtId="171" fontId="15" fillId="3" borderId="0" xfId="2" applyNumberFormat="1" applyFont="1" applyFill="1" applyBorder="1" applyAlignment="1" applyProtection="1">
      <alignment horizontal="center" vertical="center" shrinkToFit="1"/>
      <protection locked="0"/>
    </xf>
    <xf numFmtId="0" fontId="0" fillId="0" borderId="0" xfId="0" applyProtection="1">
      <protection locked="0"/>
    </xf>
    <xf numFmtId="44" fontId="13" fillId="3" borderId="6" xfId="2" applyNumberFormat="1" applyFont="1" applyFill="1" applyBorder="1" applyAlignment="1" applyProtection="1">
      <alignment horizontal="center" vertical="center" wrapText="1"/>
      <protection locked="0"/>
    </xf>
    <xf numFmtId="0" fontId="19" fillId="0" borderId="0" xfId="1" applyFont="1" applyFill="1" applyAlignment="1" applyProtection="1">
      <alignment vertical="top"/>
      <protection hidden="1"/>
    </xf>
    <xf numFmtId="44" fontId="17" fillId="4" borderId="1" xfId="2212" applyFont="1" applyFill="1" applyBorder="1" applyAlignment="1" applyProtection="1">
      <alignment horizontal="center" vertical="center" shrinkToFit="1"/>
      <protection hidden="1"/>
    </xf>
    <xf numFmtId="17" fontId="14" fillId="4" borderId="1" xfId="1" applyNumberFormat="1" applyFont="1" applyFill="1" applyBorder="1" applyAlignment="1" applyProtection="1">
      <alignment horizontal="center" vertical="center"/>
      <protection hidden="1"/>
    </xf>
    <xf numFmtId="17" fontId="14" fillId="3" borderId="1" xfId="1" applyNumberFormat="1" applyFont="1" applyFill="1" applyBorder="1" applyAlignment="1" applyProtection="1">
      <alignment horizontal="center" vertical="center"/>
      <protection locked="0"/>
    </xf>
    <xf numFmtId="44" fontId="14" fillId="4" borderId="1" xfId="1" applyNumberFormat="1" applyFont="1" applyFill="1" applyBorder="1" applyAlignment="1" applyProtection="1">
      <alignment horizontal="center" vertical="center"/>
      <protection hidden="1"/>
    </xf>
    <xf numFmtId="44" fontId="14" fillId="4" borderId="1" xfId="0" applyNumberFormat="1" applyFont="1" applyFill="1" applyBorder="1" applyAlignment="1" applyProtection="1">
      <alignment vertical="center"/>
      <protection hidden="1"/>
    </xf>
    <xf numFmtId="17" fontId="27" fillId="4" borderId="1" xfId="1" applyNumberFormat="1" applyFont="1" applyFill="1" applyBorder="1" applyAlignment="1" applyProtection="1">
      <alignment vertical="center"/>
      <protection hidden="1"/>
    </xf>
    <xf numFmtId="0" fontId="35" fillId="2" borderId="0" xfId="1" applyFont="1" applyFill="1" applyBorder="1" applyAlignment="1" applyProtection="1">
      <alignment horizontal="center" vertical="center"/>
      <protection hidden="1"/>
    </xf>
    <xf numFmtId="0" fontId="37" fillId="2" borderId="0" xfId="1" applyFont="1" applyFill="1" applyBorder="1" applyAlignment="1" applyProtection="1">
      <protection hidden="1"/>
    </xf>
    <xf numFmtId="0" fontId="14" fillId="0" borderId="0" xfId="1" applyFont="1" applyFill="1" applyAlignment="1" applyProtection="1">
      <alignment horizontal="center"/>
      <protection hidden="1"/>
    </xf>
    <xf numFmtId="0" fontId="13" fillId="0" borderId="0" xfId="0" applyFont="1" applyFill="1" applyAlignment="1" applyProtection="1">
      <alignment horizontal="center" vertical="center"/>
      <protection hidden="1"/>
    </xf>
    <xf numFmtId="0" fontId="13" fillId="0" borderId="0" xfId="0" applyFont="1" applyFill="1" applyBorder="1" applyAlignment="1" applyProtection="1">
      <alignment horizontal="center" vertical="center"/>
      <protection hidden="1"/>
    </xf>
    <xf numFmtId="0" fontId="13" fillId="0" borderId="14" xfId="0" applyFont="1" applyFill="1" applyBorder="1" applyAlignment="1" applyProtection="1">
      <alignment horizontal="center" vertical="center" shrinkToFit="1"/>
      <protection hidden="1"/>
    </xf>
    <xf numFmtId="0" fontId="14" fillId="0" borderId="0" xfId="0" applyFont="1" applyFill="1" applyBorder="1" applyAlignment="1" applyProtection="1">
      <alignment horizontal="center" vertical="center" shrinkToFit="1"/>
      <protection hidden="1"/>
    </xf>
    <xf numFmtId="17" fontId="14" fillId="0" borderId="14" xfId="0" applyNumberFormat="1" applyFont="1" applyFill="1" applyBorder="1" applyAlignment="1" applyProtection="1">
      <alignment horizontal="center" vertical="center" shrinkToFit="1"/>
      <protection hidden="1"/>
    </xf>
    <xf numFmtId="17" fontId="13" fillId="3" borderId="1" xfId="1" applyNumberFormat="1" applyFont="1" applyFill="1" applyBorder="1" applyAlignment="1" applyProtection="1">
      <alignment horizontal="center" vertical="center"/>
      <protection locked="0"/>
    </xf>
    <xf numFmtId="0" fontId="13" fillId="0" borderId="0" xfId="1" applyFont="1" applyFill="1" applyAlignment="1" applyProtection="1">
      <alignment horizontal="center" vertical="center"/>
      <protection hidden="1"/>
    </xf>
    <xf numFmtId="0" fontId="13" fillId="0" borderId="0" xfId="0" applyFont="1" applyAlignment="1" applyProtection="1">
      <alignment horizontal="center" vertical="center"/>
      <protection hidden="1"/>
    </xf>
    <xf numFmtId="0" fontId="13" fillId="0" borderId="0" xfId="1" applyFont="1" applyFill="1" applyAlignment="1" applyProtection="1">
      <alignment horizontal="right" vertical="center"/>
      <protection hidden="1"/>
    </xf>
    <xf numFmtId="166" fontId="15" fillId="3" borderId="11" xfId="2" applyNumberFormat="1" applyFont="1" applyFill="1" applyBorder="1" applyAlignment="1" applyProtection="1">
      <alignment horizontal="center" vertical="center" shrinkToFit="1"/>
      <protection locked="0"/>
    </xf>
    <xf numFmtId="0" fontId="10" fillId="2" borderId="15" xfId="1" applyFill="1" applyBorder="1" applyProtection="1">
      <protection hidden="1"/>
    </xf>
    <xf numFmtId="0" fontId="13" fillId="2" borderId="0" xfId="2" applyFont="1" applyFill="1" applyBorder="1" applyAlignment="1" applyProtection="1">
      <alignment vertical="center" shrinkToFit="1"/>
      <protection hidden="1"/>
    </xf>
    <xf numFmtId="3" fontId="13" fillId="2" borderId="0" xfId="2" applyNumberFormat="1" applyFont="1" applyFill="1" applyBorder="1" applyAlignment="1" applyProtection="1">
      <alignment vertical="center" shrinkToFit="1"/>
      <protection hidden="1"/>
    </xf>
    <xf numFmtId="0" fontId="13" fillId="2" borderId="4" xfId="2" applyFont="1" applyFill="1" applyBorder="1" applyAlignment="1" applyProtection="1">
      <alignment horizontal="right" vertical="center" wrapText="1"/>
      <protection hidden="1"/>
    </xf>
    <xf numFmtId="44" fontId="13" fillId="4" borderId="1" xfId="0" applyNumberFormat="1" applyFont="1" applyFill="1" applyBorder="1" applyAlignment="1" applyProtection="1">
      <alignment vertical="center" shrinkToFit="1"/>
      <protection hidden="1"/>
    </xf>
    <xf numFmtId="10" fontId="13" fillId="0" borderId="12" xfId="2" applyNumberFormat="1" applyFont="1" applyFill="1" applyBorder="1" applyAlignment="1" applyProtection="1">
      <alignment horizontal="right" vertical="center" shrinkToFit="1"/>
      <protection hidden="1"/>
    </xf>
    <xf numFmtId="0" fontId="27" fillId="0" borderId="0" xfId="0" applyFont="1" applyFill="1" applyBorder="1" applyAlignment="1" applyProtection="1">
      <alignment horizontal="center" vertical="center" shrinkToFit="1"/>
      <protection hidden="1"/>
    </xf>
    <xf numFmtId="14" fontId="16" fillId="0" borderId="0" xfId="2" applyNumberFormat="1" applyFont="1" applyFill="1" applyBorder="1" applyAlignment="1" applyProtection="1">
      <alignment horizontal="right" vertical="center" shrinkToFit="1"/>
      <protection hidden="1"/>
    </xf>
    <xf numFmtId="44" fontId="16" fillId="0" borderId="0" xfId="2" applyNumberFormat="1" applyFont="1" applyFill="1" applyBorder="1" applyAlignment="1" applyProtection="1">
      <alignment horizontal="center" vertical="center" shrinkToFit="1"/>
      <protection hidden="1"/>
    </xf>
    <xf numFmtId="44" fontId="27" fillId="0" borderId="0" xfId="0" applyNumberFormat="1" applyFont="1" applyFill="1" applyBorder="1" applyAlignment="1" applyProtection="1">
      <alignment horizontal="center" vertical="center" shrinkToFit="1"/>
      <protection hidden="1"/>
    </xf>
    <xf numFmtId="0" fontId="13" fillId="0" borderId="0" xfId="2" applyFill="1" applyBorder="1" applyAlignment="1" applyProtection="1">
      <alignment vertical="center" shrinkToFit="1"/>
      <protection hidden="1"/>
    </xf>
    <xf numFmtId="10" fontId="13" fillId="0" borderId="4" xfId="2" applyNumberFormat="1" applyFont="1" applyFill="1" applyBorder="1" applyAlignment="1" applyProtection="1">
      <alignment horizontal="right" vertical="center" shrinkToFit="1"/>
      <protection hidden="1"/>
    </xf>
    <xf numFmtId="2" fontId="27" fillId="3" borderId="1" xfId="0" quotePrefix="1" applyNumberFormat="1" applyFont="1" applyFill="1" applyBorder="1" applyAlignment="1" applyProtection="1">
      <alignment horizontal="center" vertical="center"/>
      <protection locked="0"/>
    </xf>
    <xf numFmtId="2" fontId="27" fillId="3" borderId="1" xfId="1" applyNumberFormat="1" applyFont="1" applyFill="1" applyBorder="1" applyAlignment="1" applyProtection="1">
      <alignment horizontal="center" vertical="center"/>
      <protection locked="0"/>
    </xf>
    <xf numFmtId="44" fontId="14" fillId="3" borderId="1" xfId="0" applyNumberFormat="1" applyFont="1" applyFill="1" applyBorder="1" applyAlignment="1" applyProtection="1">
      <alignment vertical="center"/>
      <protection locked="0"/>
    </xf>
    <xf numFmtId="44" fontId="17" fillId="3" borderId="5" xfId="2212" applyFont="1" applyFill="1" applyBorder="1" applyAlignment="1" applyProtection="1">
      <alignment vertical="center" shrinkToFit="1"/>
      <protection locked="0"/>
    </xf>
    <xf numFmtId="44" fontId="17" fillId="3" borderId="13" xfId="2212" applyFont="1" applyFill="1" applyBorder="1" applyAlignment="1" applyProtection="1">
      <alignment vertical="center" shrinkToFit="1"/>
      <protection locked="0"/>
    </xf>
    <xf numFmtId="10" fontId="13" fillId="11" borderId="1" xfId="1" applyNumberFormat="1" applyFont="1" applyFill="1" applyBorder="1" applyAlignment="1" applyProtection="1">
      <alignment horizontal="center" vertical="center"/>
      <protection locked="0"/>
    </xf>
    <xf numFmtId="44" fontId="14" fillId="3" borderId="4" xfId="1" applyNumberFormat="1" applyFont="1" applyFill="1" applyBorder="1" applyAlignment="1" applyProtection="1">
      <alignment horizontal="right" vertical="center"/>
      <protection locked="0"/>
    </xf>
    <xf numFmtId="1" fontId="13" fillId="3" borderId="3" xfId="2" applyNumberFormat="1" applyFont="1" applyFill="1" applyBorder="1" applyAlignment="1" applyProtection="1">
      <alignment horizontal="center" vertical="center" shrinkToFit="1"/>
      <protection locked="0"/>
    </xf>
    <xf numFmtId="2" fontId="10" fillId="2" borderId="0" xfId="1" applyNumberFormat="1" applyFill="1" applyAlignment="1" applyProtection="1">
      <alignment horizontal="center" vertical="center"/>
      <protection hidden="1"/>
    </xf>
    <xf numFmtId="167" fontId="13" fillId="3" borderId="7" xfId="2" applyNumberFormat="1" applyFont="1" applyFill="1" applyBorder="1" applyAlignment="1" applyProtection="1">
      <alignment horizontal="center" vertical="top" wrapText="1"/>
      <protection locked="0"/>
    </xf>
    <xf numFmtId="166" fontId="15" fillId="4" borderId="12" xfId="2" applyNumberFormat="1" applyFont="1" applyFill="1" applyBorder="1" applyAlignment="1" applyProtection="1">
      <alignment horizontal="center" vertical="center" shrinkToFit="1"/>
      <protection hidden="1"/>
    </xf>
    <xf numFmtId="171" fontId="15" fillId="4" borderId="0" xfId="2" applyNumberFormat="1" applyFont="1" applyFill="1" applyBorder="1" applyAlignment="1" applyProtection="1">
      <alignment horizontal="center" vertical="center" shrinkToFit="1"/>
      <protection hidden="1"/>
    </xf>
    <xf numFmtId="166" fontId="15" fillId="4" borderId="11" xfId="2" applyNumberFormat="1" applyFont="1" applyFill="1" applyBorder="1" applyAlignment="1" applyProtection="1">
      <alignment horizontal="center" vertical="center" shrinkToFit="1"/>
      <protection hidden="1"/>
    </xf>
    <xf numFmtId="44" fontId="14" fillId="4" borderId="4" xfId="1" applyNumberFormat="1" applyFont="1" applyFill="1" applyBorder="1" applyAlignment="1" applyProtection="1">
      <alignment horizontal="right" vertical="center"/>
      <protection hidden="1"/>
    </xf>
    <xf numFmtId="1" fontId="13" fillId="4" borderId="3" xfId="2" applyNumberFormat="1" applyFont="1" applyFill="1" applyBorder="1" applyAlignment="1" applyProtection="1">
      <alignment horizontal="center" vertical="center" shrinkToFit="1"/>
      <protection hidden="1"/>
    </xf>
    <xf numFmtId="10" fontId="13" fillId="3" borderId="1" xfId="1" applyNumberFormat="1" applyFont="1" applyFill="1" applyBorder="1" applyAlignment="1" applyProtection="1">
      <alignment horizontal="center" vertical="center"/>
      <protection locked="0"/>
    </xf>
    <xf numFmtId="17" fontId="13" fillId="4" borderId="1" xfId="2" applyNumberFormat="1" applyFont="1" applyFill="1" applyBorder="1" applyAlignment="1" applyProtection="1">
      <alignment horizontal="center" vertical="center" shrinkToFit="1"/>
      <protection hidden="1"/>
    </xf>
    <xf numFmtId="17" fontId="13" fillId="4" borderId="1" xfId="1" applyNumberFormat="1" applyFont="1" applyFill="1" applyBorder="1" applyAlignment="1" applyProtection="1">
      <alignment horizontal="center" vertical="center"/>
      <protection hidden="1"/>
    </xf>
    <xf numFmtId="0" fontId="13" fillId="2" borderId="7" xfId="2" applyFont="1" applyFill="1" applyBorder="1" applyAlignment="1" applyProtection="1">
      <alignment horizontal="center" vertical="top" wrapText="1"/>
      <protection hidden="1"/>
    </xf>
    <xf numFmtId="2" fontId="13" fillId="2" borderId="7" xfId="2" applyNumberFormat="1" applyFont="1" applyFill="1" applyBorder="1" applyAlignment="1" applyProtection="1">
      <alignment horizontal="center" vertical="center" wrapText="1"/>
      <protection hidden="1"/>
    </xf>
    <xf numFmtId="0" fontId="13" fillId="2" borderId="0" xfId="1" applyFont="1" applyFill="1" applyBorder="1" applyAlignment="1" applyProtection="1">
      <alignment horizontal="right" vertical="center"/>
      <protection hidden="1"/>
    </xf>
    <xf numFmtId="165" fontId="17" fillId="3" borderId="0" xfId="1" applyNumberFormat="1" applyFont="1" applyFill="1" applyBorder="1" applyAlignment="1" applyProtection="1">
      <alignment horizontal="center" vertical="center"/>
      <protection locked="0"/>
    </xf>
    <xf numFmtId="0" fontId="14" fillId="2" borderId="0" xfId="1" applyFont="1" applyFill="1" applyBorder="1" applyAlignment="1" applyProtection="1">
      <alignment horizontal="right" vertical="center"/>
      <protection hidden="1"/>
    </xf>
    <xf numFmtId="0" fontId="14" fillId="2" borderId="0" xfId="1" applyFont="1" applyFill="1" applyBorder="1" applyAlignment="1" applyProtection="1">
      <alignment horizontal="right" vertical="center"/>
      <protection hidden="1"/>
    </xf>
    <xf numFmtId="44" fontId="13" fillId="4" borderId="10" xfId="2" applyNumberFormat="1" applyFont="1" applyFill="1" applyBorder="1" applyAlignment="1" applyProtection="1">
      <alignment shrinkToFit="1"/>
      <protection hidden="1"/>
    </xf>
    <xf numFmtId="44" fontId="13" fillId="3" borderId="6" xfId="2" applyNumberFormat="1" applyFont="1" applyFill="1" applyBorder="1" applyAlignment="1" applyProtection="1">
      <alignment shrinkToFit="1"/>
      <protection locked="0"/>
    </xf>
    <xf numFmtId="44" fontId="13" fillId="0" borderId="4" xfId="2" applyNumberFormat="1" applyFont="1" applyFill="1" applyBorder="1" applyAlignment="1" applyProtection="1">
      <alignment shrinkToFit="1"/>
      <protection hidden="1"/>
    </xf>
    <xf numFmtId="0" fontId="17" fillId="0" borderId="0" xfId="1" applyNumberFormat="1" applyFont="1" applyFill="1" applyBorder="1" applyAlignment="1" applyProtection="1">
      <alignment horizontal="center" vertical="center"/>
      <protection hidden="1"/>
    </xf>
    <xf numFmtId="44" fontId="13" fillId="0" borderId="0" xfId="2" applyNumberFormat="1" applyFont="1" applyFill="1" applyBorder="1" applyAlignment="1" applyProtection="1">
      <alignment shrinkToFit="1"/>
      <protection hidden="1"/>
    </xf>
    <xf numFmtId="44" fontId="17" fillId="4" borderId="1" xfId="2" applyNumberFormat="1" applyFont="1" applyFill="1" applyBorder="1" applyAlignment="1" applyProtection="1">
      <alignment shrinkToFit="1"/>
      <protection hidden="1"/>
    </xf>
    <xf numFmtId="0" fontId="16" fillId="2" borderId="0" xfId="2" applyFont="1" applyFill="1" applyBorder="1" applyAlignment="1" applyProtection="1">
      <protection hidden="1"/>
    </xf>
    <xf numFmtId="0" fontId="9" fillId="0" borderId="0" xfId="0" applyFont="1" applyFill="1" applyAlignment="1" applyProtection="1">
      <alignment vertical="center" wrapText="1"/>
      <protection hidden="1"/>
    </xf>
    <xf numFmtId="0" fontId="14" fillId="0" borderId="0" xfId="0" applyFont="1" applyFill="1" applyBorder="1" applyAlignment="1" applyProtection="1">
      <alignment vertical="center"/>
      <protection hidden="1"/>
    </xf>
    <xf numFmtId="10" fontId="14" fillId="0" borderId="0" xfId="0" applyNumberFormat="1" applyFont="1" applyFill="1" applyBorder="1" applyAlignment="1" applyProtection="1">
      <alignment vertical="center"/>
      <protection hidden="1"/>
    </xf>
    <xf numFmtId="0" fontId="14" fillId="0" borderId="0" xfId="0" applyFont="1" applyFill="1" applyAlignment="1" applyProtection="1">
      <alignment vertical="center"/>
      <protection hidden="1"/>
    </xf>
    <xf numFmtId="44" fontId="14" fillId="0" borderId="0" xfId="0" applyNumberFormat="1" applyFont="1" applyFill="1" applyBorder="1" applyAlignment="1" applyProtection="1">
      <alignment horizontal="right" vertical="center"/>
      <protection hidden="1"/>
    </xf>
    <xf numFmtId="9" fontId="16" fillId="2" borderId="7" xfId="2" applyNumberFormat="1" applyFont="1" applyFill="1" applyBorder="1" applyAlignment="1" applyProtection="1">
      <alignment horizontal="center" vertical="center" wrapText="1"/>
      <protection hidden="1"/>
    </xf>
    <xf numFmtId="0" fontId="13" fillId="2" borderId="0" xfId="1" applyFont="1" applyFill="1" applyBorder="1" applyAlignment="1" applyProtection="1">
      <alignment horizontal="right" vertical="center"/>
      <protection hidden="1"/>
    </xf>
    <xf numFmtId="0" fontId="13" fillId="2" borderId="7" xfId="2" applyFont="1" applyFill="1" applyBorder="1" applyAlignment="1" applyProtection="1">
      <alignment horizontal="center" vertical="top" wrapText="1"/>
      <protection hidden="1"/>
    </xf>
    <xf numFmtId="165" fontId="17" fillId="3" borderId="0" xfId="1" applyNumberFormat="1" applyFont="1" applyFill="1" applyBorder="1" applyAlignment="1" applyProtection="1">
      <alignment horizontal="center" vertical="center"/>
      <protection locked="0"/>
    </xf>
    <xf numFmtId="2" fontId="13" fillId="2" borderId="7" xfId="2" applyNumberFormat="1" applyFont="1" applyFill="1" applyBorder="1" applyAlignment="1" applyProtection="1">
      <alignment horizontal="center" vertical="center" wrapText="1"/>
      <protection hidden="1"/>
    </xf>
    <xf numFmtId="165" fontId="17" fillId="4" borderId="0" xfId="1" applyNumberFormat="1" applyFont="1" applyFill="1" applyBorder="1" applyAlignment="1" applyProtection="1">
      <alignment horizontal="center" vertical="center"/>
      <protection hidden="1"/>
    </xf>
    <xf numFmtId="0" fontId="13" fillId="2" borderId="4" xfId="2" applyFont="1" applyFill="1" applyBorder="1" applyAlignment="1" applyProtection="1">
      <alignment horizontal="right" vertical="center" wrapText="1"/>
      <protection hidden="1"/>
    </xf>
    <xf numFmtId="0" fontId="13" fillId="0" borderId="7" xfId="2" applyFont="1" applyFill="1" applyBorder="1" applyAlignment="1" applyProtection="1">
      <alignment horizontal="center" vertical="center" wrapText="1"/>
      <protection hidden="1"/>
    </xf>
    <xf numFmtId="0" fontId="13" fillId="2" borderId="7" xfId="2" applyFont="1" applyFill="1" applyBorder="1" applyAlignment="1" applyProtection="1">
      <alignment horizontal="center" vertical="top" wrapText="1"/>
      <protection hidden="1"/>
    </xf>
    <xf numFmtId="0" fontId="17" fillId="2" borderId="12" xfId="2" applyFont="1" applyFill="1" applyBorder="1" applyAlignment="1" applyProtection="1">
      <alignment horizontal="center" vertical="top" wrapText="1"/>
      <protection hidden="1"/>
    </xf>
    <xf numFmtId="2" fontId="13" fillId="2" borderId="7" xfId="2" applyNumberFormat="1" applyFont="1" applyFill="1" applyBorder="1" applyAlignment="1" applyProtection="1">
      <alignment horizontal="center" vertical="center" wrapText="1"/>
      <protection hidden="1"/>
    </xf>
    <xf numFmtId="0" fontId="16" fillId="2" borderId="7" xfId="2" applyFont="1" applyFill="1" applyBorder="1" applyAlignment="1" applyProtection="1">
      <alignment horizontal="center" vertical="center" wrapText="1"/>
      <protection hidden="1"/>
    </xf>
    <xf numFmtId="0" fontId="13" fillId="2" borderId="0" xfId="1" applyFont="1" applyFill="1" applyBorder="1" applyAlignment="1" applyProtection="1">
      <alignment horizontal="right" vertical="center"/>
      <protection hidden="1"/>
    </xf>
    <xf numFmtId="0" fontId="13" fillId="2" borderId="4" xfId="2" applyFont="1" applyFill="1" applyBorder="1" applyAlignment="1" applyProtection="1">
      <alignment horizontal="right" vertical="center" wrapText="1"/>
      <protection hidden="1"/>
    </xf>
    <xf numFmtId="0" fontId="13" fillId="0" borderId="7" xfId="2" applyFont="1" applyFill="1" applyBorder="1" applyAlignment="1" applyProtection="1">
      <alignment horizontal="center" vertical="center" wrapText="1"/>
      <protection hidden="1"/>
    </xf>
    <xf numFmtId="0" fontId="17" fillId="2" borderId="11" xfId="2" applyFont="1" applyFill="1" applyBorder="1" applyAlignment="1" applyProtection="1">
      <alignment horizontal="center" vertical="top" wrapText="1"/>
      <protection hidden="1"/>
    </xf>
    <xf numFmtId="0" fontId="8" fillId="2" borderId="0" xfId="10" applyFill="1" applyAlignment="1" applyProtection="1">
      <alignment horizontal="center" vertical="center"/>
      <protection hidden="1"/>
    </xf>
    <xf numFmtId="44" fontId="17" fillId="4" borderId="5" xfId="2212" applyFont="1" applyFill="1" applyBorder="1" applyAlignment="1" applyProtection="1">
      <alignment vertical="center" shrinkToFit="1"/>
      <protection hidden="1"/>
    </xf>
    <xf numFmtId="10" fontId="13" fillId="4" borderId="1" xfId="1" applyNumberFormat="1" applyFont="1" applyFill="1" applyBorder="1" applyAlignment="1" applyProtection="1">
      <alignment horizontal="center" vertical="center"/>
      <protection hidden="1"/>
    </xf>
    <xf numFmtId="10" fontId="13" fillId="4" borderId="7" xfId="2" applyNumberFormat="1" applyFont="1" applyFill="1" applyBorder="1" applyAlignment="1" applyProtection="1">
      <alignment horizontal="center" vertical="top" wrapText="1"/>
      <protection hidden="1"/>
    </xf>
    <xf numFmtId="44" fontId="13" fillId="4" borderId="6" xfId="2" applyNumberFormat="1" applyFont="1" applyFill="1" applyBorder="1" applyAlignment="1" applyProtection="1">
      <alignment horizontal="center" vertical="center" wrapText="1"/>
      <protection hidden="1"/>
    </xf>
    <xf numFmtId="0" fontId="13" fillId="2" borderId="0" xfId="1" applyFont="1" applyFill="1" applyBorder="1" applyAlignment="1" applyProtection="1">
      <alignment horizontal="right" vertical="center"/>
      <protection hidden="1"/>
    </xf>
    <xf numFmtId="0" fontId="13" fillId="2" borderId="7" xfId="2" applyFont="1" applyFill="1" applyBorder="1" applyAlignment="1" applyProtection="1">
      <alignment horizontal="center" vertical="top" wrapText="1"/>
      <protection hidden="1"/>
    </xf>
    <xf numFmtId="0" fontId="16" fillId="2" borderId="7" xfId="2" applyFont="1" applyFill="1" applyBorder="1" applyAlignment="1" applyProtection="1">
      <alignment horizontal="center" vertical="center" wrapText="1"/>
      <protection hidden="1"/>
    </xf>
    <xf numFmtId="2" fontId="13" fillId="2" borderId="7" xfId="2" applyNumberFormat="1" applyFont="1" applyFill="1" applyBorder="1" applyAlignment="1" applyProtection="1">
      <alignment horizontal="center" vertical="center" wrapText="1"/>
      <protection hidden="1"/>
    </xf>
    <xf numFmtId="165" fontId="17" fillId="3" borderId="0" xfId="1" applyNumberFormat="1" applyFont="1" applyFill="1" applyBorder="1" applyAlignment="1" applyProtection="1">
      <alignment horizontal="center" vertical="center"/>
      <protection locked="0"/>
    </xf>
    <xf numFmtId="0" fontId="17" fillId="2" borderId="12" xfId="2" applyFont="1" applyFill="1" applyBorder="1" applyAlignment="1" applyProtection="1">
      <alignment horizontal="center" vertical="top" wrapText="1"/>
      <protection hidden="1"/>
    </xf>
    <xf numFmtId="165" fontId="17" fillId="4" borderId="0" xfId="1" applyNumberFormat="1" applyFont="1" applyFill="1" applyBorder="1" applyAlignment="1" applyProtection="1">
      <alignment horizontal="center" vertical="center"/>
      <protection hidden="1"/>
    </xf>
    <xf numFmtId="0" fontId="13" fillId="2" borderId="4" xfId="2" applyFont="1" applyFill="1" applyBorder="1" applyAlignment="1" applyProtection="1">
      <alignment horizontal="right" vertical="center" wrapText="1"/>
      <protection hidden="1"/>
    </xf>
    <xf numFmtId="0" fontId="13" fillId="0" borderId="7" xfId="2" applyFont="1" applyFill="1" applyBorder="1" applyAlignment="1" applyProtection="1">
      <alignment horizontal="center" vertical="center" wrapText="1"/>
      <protection hidden="1"/>
    </xf>
    <xf numFmtId="0" fontId="39" fillId="2" borderId="0" xfId="0" applyFont="1" applyFill="1" applyAlignment="1" applyProtection="1">
      <alignment horizontal="left" vertical="center"/>
      <protection hidden="1"/>
    </xf>
    <xf numFmtId="0" fontId="13" fillId="0" borderId="0" xfId="0" applyNumberFormat="1" applyFont="1" applyFill="1" applyBorder="1" applyAlignment="1" applyProtection="1">
      <alignment horizontal="center" vertical="center"/>
      <protection hidden="1"/>
    </xf>
    <xf numFmtId="44" fontId="14" fillId="2" borderId="0" xfId="2212" applyFont="1" applyFill="1" applyBorder="1" applyAlignment="1" applyProtection="1">
      <alignment vertical="center"/>
      <protection hidden="1"/>
    </xf>
    <xf numFmtId="17" fontId="14" fillId="0" borderId="0" xfId="0" applyNumberFormat="1" applyFont="1" applyFill="1" applyBorder="1" applyAlignment="1" applyProtection="1">
      <alignment horizontal="right" vertical="center"/>
      <protection hidden="1"/>
    </xf>
    <xf numFmtId="2" fontId="14" fillId="0" borderId="0" xfId="2212" applyNumberFormat="1" applyFont="1" applyFill="1" applyBorder="1" applyAlignment="1" applyProtection="1">
      <alignment horizontal="center" vertical="center"/>
      <protection hidden="1"/>
    </xf>
    <xf numFmtId="2" fontId="14" fillId="0" borderId="0" xfId="0" applyNumberFormat="1" applyFont="1" applyFill="1" applyBorder="1" applyAlignment="1" applyProtection="1">
      <alignment horizontal="center" vertical="center"/>
      <protection hidden="1"/>
    </xf>
    <xf numFmtId="0" fontId="14" fillId="0" borderId="0" xfId="0" applyFont="1" applyAlignment="1" applyProtection="1">
      <alignment vertical="center"/>
      <protection hidden="1"/>
    </xf>
    <xf numFmtId="44" fontId="14" fillId="4" borderId="1" xfId="0" applyNumberFormat="1" applyFont="1" applyFill="1" applyBorder="1" applyAlignment="1" applyProtection="1">
      <alignment horizontal="right" vertical="center"/>
      <protection hidden="1"/>
    </xf>
    <xf numFmtId="10" fontId="14" fillId="2" borderId="0" xfId="2212" applyNumberFormat="1" applyFont="1" applyFill="1" applyBorder="1" applyAlignment="1" applyProtection="1">
      <alignment vertical="center"/>
      <protection hidden="1"/>
    </xf>
    <xf numFmtId="3" fontId="14" fillId="2" borderId="0" xfId="2212" applyNumberFormat="1" applyFont="1" applyFill="1" applyBorder="1" applyAlignment="1" applyProtection="1">
      <alignment vertical="center"/>
      <protection hidden="1"/>
    </xf>
    <xf numFmtId="0" fontId="14" fillId="2" borderId="0" xfId="10" applyFont="1" applyFill="1" applyAlignment="1" applyProtection="1">
      <alignment vertical="center"/>
      <protection hidden="1"/>
    </xf>
    <xf numFmtId="0" fontId="14" fillId="4" borderId="1" xfId="10" applyFont="1" applyFill="1" applyBorder="1" applyAlignment="1" applyProtection="1">
      <alignment horizontal="right" vertical="center"/>
      <protection hidden="1"/>
    </xf>
    <xf numFmtId="0" fontId="14" fillId="2" borderId="12" xfId="10" applyFont="1" applyFill="1" applyBorder="1" applyAlignment="1" applyProtection="1">
      <alignment vertical="center"/>
      <protection hidden="1"/>
    </xf>
    <xf numFmtId="0" fontId="26" fillId="4" borderId="18" xfId="10" applyFont="1" applyFill="1" applyBorder="1" applyAlignment="1" applyProtection="1">
      <alignment horizontal="center" vertical="center"/>
      <protection hidden="1"/>
    </xf>
    <xf numFmtId="0" fontId="14" fillId="2" borderId="0" xfId="10" applyFont="1" applyFill="1" applyAlignment="1" applyProtection="1">
      <alignment horizontal="center" vertical="center"/>
      <protection hidden="1"/>
    </xf>
    <xf numFmtId="170" fontId="9" fillId="0" borderId="0" xfId="0" applyNumberFormat="1" applyFont="1" applyFill="1" applyAlignment="1" applyProtection="1">
      <alignment horizontal="center" wrapText="1"/>
      <protection hidden="1"/>
    </xf>
    <xf numFmtId="2" fontId="14" fillId="3" borderId="1" xfId="10" applyNumberFormat="1" applyFont="1" applyFill="1" applyBorder="1" applyAlignment="1" applyProtection="1">
      <alignment horizontal="center" vertical="center"/>
      <protection locked="0"/>
    </xf>
    <xf numFmtId="0" fontId="14" fillId="4" borderId="6" xfId="10" applyFont="1" applyFill="1" applyBorder="1" applyAlignment="1" applyProtection="1">
      <alignment horizontal="center" vertical="center" wrapText="1"/>
      <protection hidden="1"/>
    </xf>
    <xf numFmtId="2" fontId="14" fillId="4" borderId="1" xfId="10" applyNumberFormat="1" applyFont="1" applyFill="1" applyBorder="1" applyAlignment="1" applyProtection="1">
      <alignment horizontal="center" vertical="center"/>
      <protection hidden="1"/>
    </xf>
    <xf numFmtId="165" fontId="17" fillId="4" borderId="0" xfId="1" applyNumberFormat="1" applyFont="1" applyFill="1" applyBorder="1" applyAlignment="1" applyProtection="1">
      <alignment vertical="center"/>
      <protection hidden="1"/>
    </xf>
    <xf numFmtId="165" fontId="17" fillId="3" borderId="0" xfId="1" applyNumberFormat="1" applyFont="1" applyFill="1" applyBorder="1" applyAlignment="1" applyProtection="1">
      <alignment vertical="center"/>
      <protection locked="0"/>
    </xf>
    <xf numFmtId="165" fontId="10" fillId="2" borderId="0" xfId="1" applyNumberFormat="1" applyFill="1" applyProtection="1">
      <protection hidden="1"/>
    </xf>
    <xf numFmtId="44" fontId="14" fillId="3" borderId="1" xfId="0" applyNumberFormat="1" applyFont="1" applyFill="1" applyBorder="1" applyAlignment="1" applyProtection="1">
      <alignment vertical="center" shrinkToFit="1"/>
      <protection locked="0"/>
    </xf>
    <xf numFmtId="44" fontId="14" fillId="4" borderId="1" xfId="0" applyNumberFormat="1" applyFont="1" applyFill="1" applyBorder="1" applyAlignment="1" applyProtection="1">
      <alignment vertical="center" shrinkToFit="1"/>
      <protection hidden="1"/>
    </xf>
    <xf numFmtId="0" fontId="12" fillId="2" borderId="0" xfId="1" applyFont="1" applyFill="1" applyAlignment="1" applyProtection="1">
      <alignment horizontal="right" vertical="center"/>
      <protection hidden="1"/>
    </xf>
    <xf numFmtId="2" fontId="24" fillId="2" borderId="0" xfId="2" applyNumberFormat="1" applyFont="1" applyFill="1" applyBorder="1" applyAlignment="1" applyProtection="1">
      <alignment horizontal="center" vertical="center"/>
      <protection hidden="1"/>
    </xf>
    <xf numFmtId="0" fontId="18" fillId="2" borderId="0" xfId="10" applyFont="1" applyFill="1" applyBorder="1" applyAlignment="1" applyProtection="1">
      <alignment horizontal="left" vertical="center"/>
      <protection hidden="1"/>
    </xf>
    <xf numFmtId="0" fontId="38" fillId="2" borderId="0" xfId="1" applyFont="1" applyFill="1" applyBorder="1" applyAlignment="1" applyProtection="1">
      <alignment vertical="center"/>
      <protection hidden="1"/>
    </xf>
    <xf numFmtId="0" fontId="38" fillId="2" borderId="0" xfId="1" applyFont="1" applyFill="1" applyAlignment="1" applyProtection="1">
      <alignment vertical="center"/>
      <protection hidden="1"/>
    </xf>
    <xf numFmtId="0" fontId="13" fillId="2" borderId="4" xfId="2" applyFont="1" applyFill="1" applyBorder="1" applyAlignment="1" applyProtection="1">
      <alignment horizontal="right" vertical="center" wrapText="1"/>
      <protection hidden="1"/>
    </xf>
    <xf numFmtId="49" fontId="17" fillId="3" borderId="0" xfId="1" applyNumberFormat="1" applyFont="1" applyFill="1" applyBorder="1" applyAlignment="1" applyProtection="1">
      <alignment horizontal="center" vertical="center"/>
      <protection locked="0"/>
    </xf>
    <xf numFmtId="49" fontId="13" fillId="3" borderId="1" xfId="0" applyNumberFormat="1" applyFont="1" applyFill="1" applyBorder="1" applyAlignment="1" applyProtection="1">
      <alignment horizontal="center" vertical="center"/>
      <protection locked="0"/>
    </xf>
    <xf numFmtId="49" fontId="17" fillId="4" borderId="0" xfId="1" applyNumberFormat="1" applyFont="1" applyFill="1" applyBorder="1" applyAlignment="1" applyProtection="1">
      <alignment horizontal="center" vertical="center"/>
      <protection hidden="1"/>
    </xf>
    <xf numFmtId="49" fontId="13" fillId="4" borderId="1" xfId="0" applyNumberFormat="1" applyFont="1" applyFill="1" applyBorder="1" applyAlignment="1" applyProtection="1">
      <alignment horizontal="center" vertical="center"/>
      <protection hidden="1"/>
    </xf>
    <xf numFmtId="0" fontId="13" fillId="2" borderId="4" xfId="2" applyFont="1" applyFill="1" applyBorder="1" applyAlignment="1" applyProtection="1">
      <alignment horizontal="right" vertical="center" wrapText="1"/>
      <protection hidden="1"/>
    </xf>
    <xf numFmtId="0" fontId="16" fillId="2" borderId="7" xfId="2" applyFont="1" applyFill="1" applyBorder="1" applyAlignment="1" applyProtection="1">
      <alignment horizontal="center" vertical="center" wrapText="1"/>
      <protection hidden="1"/>
    </xf>
    <xf numFmtId="0" fontId="14" fillId="4" borderId="6" xfId="10" applyFont="1" applyFill="1" applyBorder="1" applyAlignment="1" applyProtection="1">
      <alignment horizontal="center" vertical="center" wrapText="1"/>
      <protection hidden="1"/>
    </xf>
    <xf numFmtId="10" fontId="13" fillId="11" borderId="7" xfId="2" applyNumberFormat="1" applyFont="1" applyFill="1" applyBorder="1" applyAlignment="1" applyProtection="1">
      <alignment horizontal="center" vertical="top" wrapText="1"/>
      <protection locked="0"/>
    </xf>
    <xf numFmtId="49" fontId="14" fillId="3" borderId="1" xfId="10" applyNumberFormat="1" applyFont="1" applyFill="1" applyBorder="1" applyAlignment="1" applyProtection="1">
      <alignment horizontal="center" vertical="center"/>
      <protection locked="0"/>
    </xf>
    <xf numFmtId="2" fontId="14" fillId="11" borderId="1" xfId="10" applyNumberFormat="1" applyFont="1" applyFill="1" applyBorder="1" applyAlignment="1" applyProtection="1">
      <alignment horizontal="center" vertical="center"/>
      <protection locked="0"/>
    </xf>
    <xf numFmtId="49" fontId="40" fillId="2" borderId="0" xfId="1" applyNumberFormat="1" applyFont="1" applyFill="1" applyBorder="1" applyAlignment="1" applyProtection="1">
      <alignment horizontal="center" vertical="center"/>
      <protection hidden="1"/>
    </xf>
    <xf numFmtId="49" fontId="35" fillId="2" borderId="0" xfId="1" applyNumberFormat="1" applyFont="1" applyFill="1" applyBorder="1" applyAlignment="1" applyProtection="1">
      <alignment horizontal="center" vertical="center"/>
      <protection hidden="1"/>
    </xf>
    <xf numFmtId="44" fontId="16" fillId="3" borderId="0" xfId="2" applyNumberFormat="1" applyFont="1" applyFill="1" applyBorder="1" applyAlignment="1" applyProtection="1">
      <alignment horizontal="center" vertical="center" shrinkToFit="1"/>
      <protection locked="0"/>
    </xf>
    <xf numFmtId="44" fontId="16" fillId="3" borderId="0" xfId="0" applyNumberFormat="1" applyFont="1" applyFill="1" applyBorder="1" applyAlignment="1" applyProtection="1">
      <alignment horizontal="center" vertical="center" shrinkToFit="1"/>
      <protection locked="0"/>
    </xf>
    <xf numFmtId="0" fontId="27" fillId="4" borderId="0" xfId="0" applyFont="1" applyFill="1" applyBorder="1" applyAlignment="1" applyProtection="1">
      <alignment horizontal="center" vertical="center" shrinkToFit="1"/>
      <protection hidden="1"/>
    </xf>
    <xf numFmtId="14" fontId="16" fillId="4" borderId="0" xfId="2" applyNumberFormat="1" applyFont="1" applyFill="1" applyBorder="1" applyAlignment="1" applyProtection="1">
      <alignment horizontal="center" vertical="center" shrinkToFit="1"/>
      <protection hidden="1"/>
    </xf>
    <xf numFmtId="0" fontId="16" fillId="4" borderId="0" xfId="0" applyFont="1" applyFill="1" applyBorder="1" applyAlignment="1" applyProtection="1">
      <alignment horizontal="center" vertical="center" shrinkToFit="1"/>
      <protection hidden="1"/>
    </xf>
    <xf numFmtId="44" fontId="27" fillId="4" borderId="0" xfId="0" applyNumberFormat="1" applyFont="1" applyFill="1" applyBorder="1" applyAlignment="1" applyProtection="1">
      <alignment horizontal="center" vertical="center" shrinkToFit="1"/>
      <protection hidden="1"/>
    </xf>
    <xf numFmtId="44" fontId="16" fillId="4" borderId="0" xfId="2" applyNumberFormat="1" applyFont="1" applyFill="1" applyBorder="1" applyAlignment="1" applyProtection="1">
      <alignment horizontal="center" vertical="center" shrinkToFit="1"/>
      <protection hidden="1"/>
    </xf>
    <xf numFmtId="49" fontId="16" fillId="3" borderId="0" xfId="0" applyNumberFormat="1" applyFont="1" applyFill="1" applyBorder="1" applyAlignment="1" applyProtection="1">
      <alignment horizontal="center" vertical="center" shrinkToFit="1"/>
      <protection locked="0"/>
    </xf>
    <xf numFmtId="0" fontId="13" fillId="2" borderId="0" xfId="1" applyFont="1" applyFill="1" applyBorder="1" applyAlignment="1" applyProtection="1">
      <alignment horizontal="right" vertical="center"/>
      <protection hidden="1"/>
    </xf>
    <xf numFmtId="44" fontId="17" fillId="4" borderId="1" xfId="2212" applyFont="1" applyFill="1" applyBorder="1" applyAlignment="1" applyProtection="1">
      <alignment vertical="center" shrinkToFit="1"/>
      <protection hidden="1"/>
    </xf>
    <xf numFmtId="0" fontId="0" fillId="0" borderId="0" xfId="0" applyAlignment="1" applyProtection="1">
      <alignment vertical="center"/>
      <protection hidden="1"/>
    </xf>
    <xf numFmtId="0" fontId="14" fillId="0" borderId="0" xfId="0" applyFont="1" applyAlignment="1" applyProtection="1">
      <alignment vertical="center"/>
    </xf>
    <xf numFmtId="0" fontId="14" fillId="0" borderId="0" xfId="0" applyFont="1" applyAlignment="1" applyProtection="1">
      <alignment horizontal="center" vertical="center"/>
    </xf>
    <xf numFmtId="0" fontId="5" fillId="0" borderId="0" xfId="0" applyFont="1" applyProtection="1">
      <protection hidden="1"/>
    </xf>
    <xf numFmtId="0" fontId="5" fillId="0" borderId="0" xfId="0" applyFont="1" applyAlignment="1" applyProtection="1">
      <alignment horizontal="center"/>
      <protection hidden="1"/>
    </xf>
    <xf numFmtId="0" fontId="5" fillId="0" borderId="0" xfId="0" applyFont="1" applyAlignment="1" applyProtection="1">
      <alignment horizontal="right"/>
      <protection hidden="1"/>
    </xf>
    <xf numFmtId="0" fontId="12" fillId="3" borderId="0" xfId="0" applyFont="1" applyFill="1" applyBorder="1" applyAlignment="1" applyProtection="1">
      <alignment horizontal="center" vertical="center" wrapText="1"/>
      <protection locked="0"/>
    </xf>
    <xf numFmtId="0" fontId="27" fillId="0" borderId="0" xfId="0" applyFont="1" applyFill="1" applyBorder="1" applyAlignment="1" applyProtection="1">
      <alignment horizontal="left" vertical="center"/>
      <protection hidden="1"/>
    </xf>
    <xf numFmtId="0" fontId="0" fillId="0" borderId="0" xfId="0" applyFill="1" applyBorder="1" applyAlignment="1" applyProtection="1">
      <alignment vertical="center" wrapText="1"/>
      <protection hidden="1"/>
    </xf>
    <xf numFmtId="0" fontId="12" fillId="0" borderId="0" xfId="0" applyFont="1" applyProtection="1">
      <protection hidden="1"/>
    </xf>
    <xf numFmtId="0" fontId="5" fillId="0" borderId="0" xfId="0" applyFont="1" applyAlignment="1" applyProtection="1">
      <alignment horizontal="right" vertical="center"/>
      <protection hidden="1"/>
    </xf>
    <xf numFmtId="0" fontId="5" fillId="0" borderId="0" xfId="0" applyFont="1" applyAlignment="1" applyProtection="1">
      <alignment horizontal="left"/>
      <protection hidden="1"/>
    </xf>
    <xf numFmtId="0" fontId="0" fillId="0" borderId="0" xfId="0" applyAlignment="1" applyProtection="1">
      <protection hidden="1"/>
    </xf>
    <xf numFmtId="0" fontId="5" fillId="0" borderId="0" xfId="0" applyFont="1" applyBorder="1" applyAlignment="1" applyProtection="1">
      <alignment horizontal="center"/>
      <protection hidden="1"/>
    </xf>
    <xf numFmtId="14" fontId="5" fillId="0" borderId="0" xfId="0" applyNumberFormat="1" applyFont="1" applyFill="1" applyBorder="1" applyAlignment="1" applyProtection="1">
      <alignment horizontal="right" vertical="center"/>
      <protection hidden="1"/>
    </xf>
    <xf numFmtId="14" fontId="5" fillId="0" borderId="0" xfId="0" applyNumberFormat="1" applyFont="1" applyFill="1" applyBorder="1" applyAlignment="1" applyProtection="1">
      <alignment horizontal="center" vertical="center"/>
      <protection hidden="1"/>
    </xf>
    <xf numFmtId="0" fontId="42" fillId="0" borderId="0" xfId="0" applyFont="1" applyAlignment="1" applyProtection="1">
      <alignment horizontal="left"/>
      <protection hidden="1"/>
    </xf>
    <xf numFmtId="0" fontId="12" fillId="0" borderId="0" xfId="0" applyFont="1" applyAlignment="1" applyProtection="1">
      <alignment horizontal="center" vertical="center"/>
      <protection hidden="1"/>
    </xf>
    <xf numFmtId="0" fontId="5" fillId="0" borderId="0" xfId="0" applyFont="1" applyFill="1" applyBorder="1" applyProtection="1">
      <protection hidden="1"/>
    </xf>
    <xf numFmtId="0" fontId="12" fillId="0" borderId="0" xfId="0" applyFont="1" applyFill="1" applyBorder="1" applyAlignment="1" applyProtection="1">
      <alignment horizontal="center" vertical="center"/>
      <protection hidden="1"/>
    </xf>
    <xf numFmtId="0" fontId="5" fillId="3" borderId="0"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right" vertical="center"/>
      <protection hidden="1"/>
    </xf>
    <xf numFmtId="0" fontId="5" fillId="0" borderId="0" xfId="0" applyNumberFormat="1" applyFont="1" applyFill="1" applyBorder="1" applyAlignment="1" applyProtection="1">
      <alignment horizontal="center" vertical="center"/>
      <protection hidden="1"/>
    </xf>
    <xf numFmtId="0" fontId="12" fillId="0" borderId="0" xfId="0" applyFont="1" applyAlignment="1" applyProtection="1">
      <alignment horizontal="right" vertical="center"/>
      <protection hidden="1"/>
    </xf>
    <xf numFmtId="0" fontId="12" fillId="4" borderId="19" xfId="0" applyNumberFormat="1" applyFont="1" applyFill="1" applyBorder="1" applyAlignment="1" applyProtection="1">
      <alignment horizontal="center"/>
      <protection hidden="1"/>
    </xf>
    <xf numFmtId="0" fontId="12" fillId="0" borderId="0" xfId="0" applyFont="1" applyFill="1" applyBorder="1" applyAlignment="1" applyProtection="1">
      <alignment horizontal="right" vertical="center"/>
      <protection hidden="1"/>
    </xf>
    <xf numFmtId="0" fontId="12" fillId="0" borderId="0" xfId="0" applyNumberFormat="1" applyFont="1" applyFill="1" applyBorder="1" applyAlignment="1" applyProtection="1">
      <alignment horizontal="center"/>
      <protection hidden="1"/>
    </xf>
    <xf numFmtId="0" fontId="5" fillId="0" borderId="0" xfId="0" applyFont="1" applyFill="1" applyBorder="1" applyAlignment="1" applyProtection="1">
      <alignment horizontal="right"/>
      <protection hidden="1"/>
    </xf>
    <xf numFmtId="14" fontId="5" fillId="0" borderId="0" xfId="0" applyNumberFormat="1" applyFont="1" applyFill="1" applyBorder="1" applyProtection="1">
      <protection hidden="1"/>
    </xf>
    <xf numFmtId="1" fontId="5" fillId="3" borderId="0"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center"/>
      <protection hidden="1"/>
    </xf>
    <xf numFmtId="165" fontId="5" fillId="0" borderId="0" xfId="0" applyNumberFormat="1" applyFont="1" applyFill="1" applyBorder="1" applyAlignment="1" applyProtection="1">
      <alignment horizontal="center"/>
      <protection hidden="1"/>
    </xf>
    <xf numFmtId="14" fontId="5" fillId="3" borderId="0" xfId="0" applyNumberFormat="1" applyFont="1" applyFill="1" applyBorder="1" applyAlignment="1" applyProtection="1">
      <alignment horizontal="center" vertical="center"/>
      <protection locked="0"/>
    </xf>
    <xf numFmtId="0" fontId="42" fillId="0" borderId="0" xfId="0" applyFont="1" applyProtection="1">
      <protection hidden="1"/>
    </xf>
    <xf numFmtId="2" fontId="5" fillId="3" borderId="0"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left" vertical="center"/>
      <protection hidden="1"/>
    </xf>
    <xf numFmtId="0" fontId="5" fillId="0" borderId="0" xfId="0" applyFont="1" applyAlignment="1" applyProtection="1">
      <alignment horizontal="right" vertical="center" wrapText="1"/>
      <protection hidden="1"/>
    </xf>
    <xf numFmtId="0" fontId="12" fillId="0" borderId="0" xfId="0" applyFont="1" applyAlignment="1" applyProtection="1">
      <alignment horizontal="right"/>
      <protection hidden="1"/>
    </xf>
    <xf numFmtId="0" fontId="5" fillId="0" borderId="0" xfId="0" applyFont="1" applyBorder="1" applyAlignment="1" applyProtection="1">
      <alignment horizontal="left" vertical="center" wrapText="1"/>
      <protection hidden="1"/>
    </xf>
    <xf numFmtId="0" fontId="46" fillId="0" borderId="0" xfId="2214" applyFont="1" applyFill="1" applyBorder="1" applyAlignment="1" applyProtection="1">
      <alignment horizontal="center"/>
      <protection hidden="1"/>
    </xf>
    <xf numFmtId="0" fontId="47" fillId="0" borderId="0" xfId="2214" applyFont="1" applyFill="1" applyAlignment="1" applyProtection="1">
      <alignment horizontal="center"/>
      <protection hidden="1"/>
    </xf>
    <xf numFmtId="165" fontId="5" fillId="4" borderId="0" xfId="0" applyNumberFormat="1" applyFont="1" applyFill="1" applyAlignment="1" applyProtection="1">
      <alignment horizontal="center"/>
      <protection hidden="1"/>
    </xf>
    <xf numFmtId="165" fontId="12" fillId="4" borderId="19" xfId="0" applyNumberFormat="1" applyFont="1" applyFill="1" applyBorder="1" applyAlignment="1" applyProtection="1">
      <alignment horizontal="center"/>
      <protection hidden="1"/>
    </xf>
    <xf numFmtId="0" fontId="12" fillId="0" borderId="0" xfId="0" applyFont="1" applyAlignment="1" applyProtection="1">
      <alignment horizontal="left" vertical="center"/>
      <protection hidden="1"/>
    </xf>
    <xf numFmtId="0" fontId="48" fillId="0" borderId="0" xfId="0" applyFont="1" applyAlignment="1" applyProtection="1">
      <alignment horizontal="right"/>
      <protection hidden="1"/>
    </xf>
    <xf numFmtId="0" fontId="49" fillId="0" borderId="0" xfId="0" applyFont="1" applyFill="1" applyAlignment="1" applyProtection="1">
      <alignment horizontal="right"/>
      <protection hidden="1"/>
    </xf>
    <xf numFmtId="0" fontId="5" fillId="0" borderId="0" xfId="0" applyFont="1" applyFill="1" applyProtection="1">
      <protection hidden="1"/>
    </xf>
    <xf numFmtId="164" fontId="12" fillId="0" borderId="0" xfId="0" applyNumberFormat="1" applyFont="1" applyFill="1" applyAlignment="1" applyProtection="1">
      <alignment vertical="center"/>
      <protection hidden="1"/>
    </xf>
    <xf numFmtId="0" fontId="17" fillId="0" borderId="13" xfId="0" applyFont="1" applyBorder="1" applyAlignment="1" applyProtection="1">
      <alignment vertical="center"/>
    </xf>
    <xf numFmtId="0" fontId="17" fillId="0" borderId="12" xfId="0" applyFont="1" applyBorder="1" applyAlignment="1" applyProtection="1">
      <alignment vertical="center"/>
    </xf>
    <xf numFmtId="0" fontId="27" fillId="0" borderId="12" xfId="0" applyFont="1" applyBorder="1" applyAlignment="1" applyProtection="1">
      <alignment horizontal="left"/>
      <protection hidden="1"/>
    </xf>
    <xf numFmtId="0" fontId="14" fillId="0" borderId="12" xfId="0" applyFont="1" applyBorder="1" applyAlignment="1" applyProtection="1">
      <alignment vertical="center"/>
    </xf>
    <xf numFmtId="0" fontId="26" fillId="0" borderId="11" xfId="0" applyFont="1" applyBorder="1" applyAlignment="1" applyProtection="1">
      <alignment horizontal="right" vertical="center"/>
      <protection hidden="1"/>
    </xf>
    <xf numFmtId="0" fontId="12" fillId="0" borderId="0" xfId="0" applyFont="1" applyAlignment="1" applyProtection="1">
      <alignment horizontal="left"/>
      <protection hidden="1"/>
    </xf>
    <xf numFmtId="165" fontId="5" fillId="4" borderId="0" xfId="0" applyNumberFormat="1" applyFont="1" applyFill="1" applyAlignment="1" applyProtection="1">
      <alignment vertical="center"/>
      <protection hidden="1"/>
    </xf>
    <xf numFmtId="0" fontId="14" fillId="0" borderId="0" xfId="0" applyFont="1" applyFill="1" applyBorder="1" applyAlignment="1" applyProtection="1">
      <alignment horizontal="right" vertical="center"/>
    </xf>
    <xf numFmtId="0" fontId="14" fillId="3" borderId="0" xfId="0" applyFont="1" applyFill="1" applyBorder="1" applyAlignment="1" applyProtection="1">
      <alignment horizontal="center" vertical="center"/>
      <protection locked="0"/>
    </xf>
    <xf numFmtId="0" fontId="14" fillId="0" borderId="2" xfId="0" applyFont="1" applyFill="1" applyBorder="1" applyAlignment="1" applyProtection="1">
      <alignment vertical="center"/>
    </xf>
    <xf numFmtId="165" fontId="5" fillId="4" borderId="14" xfId="0" applyNumberFormat="1" applyFont="1" applyFill="1" applyBorder="1" applyAlignment="1" applyProtection="1">
      <alignment vertical="center"/>
    </xf>
    <xf numFmtId="0" fontId="14" fillId="0" borderId="9" xfId="0" applyFont="1" applyBorder="1" applyAlignment="1" applyProtection="1">
      <alignment vertical="center"/>
    </xf>
    <xf numFmtId="0" fontId="14" fillId="0" borderId="0" xfId="0" applyFont="1" applyBorder="1" applyAlignment="1" applyProtection="1">
      <alignment horizontal="center" vertical="center"/>
    </xf>
    <xf numFmtId="0" fontId="14" fillId="0" borderId="0" xfId="0" applyFont="1" applyBorder="1" applyAlignment="1" applyProtection="1">
      <alignment vertical="center"/>
    </xf>
    <xf numFmtId="0" fontId="14" fillId="0" borderId="0" xfId="0" applyFont="1" applyBorder="1" applyAlignment="1" applyProtection="1">
      <alignment horizontal="right" vertical="center"/>
    </xf>
    <xf numFmtId="14" fontId="14" fillId="3" borderId="0" xfId="0" applyNumberFormat="1" applyFont="1" applyFill="1" applyBorder="1" applyAlignment="1" applyProtection="1">
      <alignment horizontal="center" vertical="center"/>
      <protection locked="0"/>
    </xf>
    <xf numFmtId="0" fontId="14" fillId="0" borderId="2" xfId="0" applyFont="1" applyBorder="1" applyAlignment="1" applyProtection="1">
      <alignment vertical="center"/>
    </xf>
    <xf numFmtId="170" fontId="14" fillId="3" borderId="0" xfId="0" applyNumberFormat="1" applyFont="1" applyFill="1" applyBorder="1" applyAlignment="1" applyProtection="1">
      <alignment horizontal="center" vertical="center"/>
      <protection locked="0"/>
    </xf>
    <xf numFmtId="165" fontId="5" fillId="0" borderId="0" xfId="0" applyNumberFormat="1" applyFont="1" applyFill="1" applyAlignment="1" applyProtection="1">
      <alignment horizontal="center"/>
      <protection hidden="1"/>
    </xf>
    <xf numFmtId="0" fontId="14" fillId="0" borderId="0" xfId="0" applyFont="1" applyBorder="1" applyAlignment="1" applyProtection="1">
      <alignment vertical="center"/>
      <protection hidden="1"/>
    </xf>
    <xf numFmtId="0" fontId="26" fillId="0" borderId="0" xfId="0" applyFont="1" applyBorder="1" applyAlignment="1" applyProtection="1">
      <alignment vertical="center"/>
      <protection hidden="1"/>
    </xf>
    <xf numFmtId="165" fontId="5" fillId="12" borderId="0" xfId="0" applyNumberFormat="1" applyFont="1" applyFill="1" applyAlignment="1" applyProtection="1">
      <alignment horizontal="center"/>
      <protection hidden="1"/>
    </xf>
    <xf numFmtId="165" fontId="5" fillId="12" borderId="14" xfId="0" applyNumberFormat="1" applyFont="1" applyFill="1" applyBorder="1" applyAlignment="1" applyProtection="1">
      <alignment horizontal="center"/>
      <protection hidden="1"/>
    </xf>
    <xf numFmtId="165" fontId="12" fillId="0" borderId="0" xfId="0" applyNumberFormat="1" applyFont="1" applyFill="1" applyBorder="1" applyAlignment="1" applyProtection="1">
      <alignment horizontal="center"/>
      <protection hidden="1"/>
    </xf>
    <xf numFmtId="0" fontId="5" fillId="0" borderId="8" xfId="0" applyFont="1" applyBorder="1" applyProtection="1">
      <protection hidden="1"/>
    </xf>
    <xf numFmtId="0" fontId="5" fillId="0" borderId="14" xfId="0" applyFont="1" applyBorder="1" applyProtection="1">
      <protection hidden="1"/>
    </xf>
    <xf numFmtId="0" fontId="5" fillId="0" borderId="15" xfId="0" applyFont="1" applyBorder="1" applyProtection="1">
      <protection hidden="1"/>
    </xf>
    <xf numFmtId="0" fontId="14" fillId="0" borderId="11" xfId="0" applyFont="1" applyBorder="1" applyAlignment="1" applyProtection="1">
      <alignment vertical="center"/>
    </xf>
    <xf numFmtId="0" fontId="50" fillId="0" borderId="0" xfId="0" applyFont="1" applyAlignment="1" applyProtection="1">
      <alignment vertical="center" wrapText="1"/>
      <protection hidden="1"/>
    </xf>
    <xf numFmtId="0" fontId="5" fillId="0" borderId="9" xfId="0" applyFont="1" applyBorder="1" applyProtection="1">
      <protection hidden="1"/>
    </xf>
    <xf numFmtId="0" fontId="5" fillId="0" borderId="0" xfId="0" applyFont="1" applyBorder="1" applyProtection="1">
      <protection hidden="1"/>
    </xf>
    <xf numFmtId="0" fontId="5" fillId="0" borderId="2" xfId="0" applyFont="1" applyBorder="1" applyProtection="1">
      <protection hidden="1"/>
    </xf>
    <xf numFmtId="165" fontId="5" fillId="4" borderId="0" xfId="0" applyNumberFormat="1" applyFont="1" applyFill="1" applyAlignment="1" applyProtection="1">
      <alignment horizontal="center" vertical="center"/>
      <protection hidden="1"/>
    </xf>
    <xf numFmtId="0" fontId="14" fillId="0" borderId="8" xfId="0" applyFont="1" applyBorder="1" applyAlignment="1" applyProtection="1">
      <alignment vertical="center"/>
    </xf>
    <xf numFmtId="0" fontId="14" fillId="0" borderId="14" xfId="0" applyFont="1" applyBorder="1" applyAlignment="1" applyProtection="1">
      <alignment horizontal="center" vertical="center"/>
    </xf>
    <xf numFmtId="0" fontId="14" fillId="0" borderId="14" xfId="0" applyFont="1" applyBorder="1" applyAlignment="1" applyProtection="1">
      <alignment vertical="center"/>
    </xf>
    <xf numFmtId="0" fontId="14" fillId="0" borderId="15" xfId="0" applyFont="1" applyBorder="1" applyAlignment="1" applyProtection="1">
      <alignment vertical="center"/>
    </xf>
    <xf numFmtId="0" fontId="5" fillId="4" borderId="0" xfId="0" applyFont="1" applyFill="1" applyAlignment="1" applyProtection="1">
      <protection hidden="1"/>
    </xf>
    <xf numFmtId="0" fontId="5" fillId="0" borderId="0" xfId="0" applyFont="1" applyFill="1" applyAlignment="1" applyProtection="1">
      <protection hidden="1"/>
    </xf>
    <xf numFmtId="0" fontId="5" fillId="4" borderId="0" xfId="0" applyFont="1" applyFill="1" applyAlignment="1" applyProtection="1">
      <alignment horizontal="left"/>
      <protection hidden="1"/>
    </xf>
    <xf numFmtId="2" fontId="5" fillId="0" borderId="0" xfId="0" applyNumberFormat="1" applyFont="1" applyFill="1" applyAlignment="1" applyProtection="1">
      <alignment horizontal="center"/>
      <protection hidden="1"/>
    </xf>
    <xf numFmtId="0" fontId="12" fillId="0" borderId="0" xfId="0" applyNumberFormat="1" applyFont="1" applyAlignment="1" applyProtection="1">
      <alignment horizontal="right" shrinkToFit="1"/>
      <protection hidden="1"/>
    </xf>
    <xf numFmtId="44" fontId="5" fillId="4" borderId="0" xfId="0" applyNumberFormat="1" applyFont="1" applyFill="1" applyAlignment="1" applyProtection="1">
      <alignment horizontal="center"/>
      <protection hidden="1"/>
    </xf>
    <xf numFmtId="0" fontId="12" fillId="0" borderId="0" xfId="0" applyFont="1" applyBorder="1" applyProtection="1">
      <protection hidden="1"/>
    </xf>
    <xf numFmtId="0" fontId="52" fillId="0" borderId="0" xfId="0" applyFont="1" applyBorder="1" applyAlignment="1" applyProtection="1">
      <alignment horizontal="center" vertical="center"/>
      <protection hidden="1"/>
    </xf>
    <xf numFmtId="0" fontId="5" fillId="0" borderId="0" xfId="0" applyFont="1" applyBorder="1" applyAlignment="1" applyProtection="1">
      <alignment horizontal="left" vertical="center"/>
      <protection hidden="1"/>
    </xf>
    <xf numFmtId="0" fontId="5" fillId="0" borderId="0" xfId="0" applyFont="1" applyFill="1" applyBorder="1" applyAlignment="1" applyProtection="1">
      <alignment vertical="center"/>
      <protection hidden="1"/>
    </xf>
    <xf numFmtId="49" fontId="26" fillId="0" borderId="0" xfId="0" applyNumberFormat="1" applyFont="1" applyBorder="1" applyAlignment="1" applyProtection="1">
      <alignment vertical="center"/>
      <protection hidden="1"/>
    </xf>
    <xf numFmtId="0" fontId="14" fillId="0" borderId="0" xfId="0" applyFont="1"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26" fillId="0" borderId="6" xfId="0" applyFont="1" applyBorder="1" applyAlignment="1" applyProtection="1">
      <alignment horizontal="center" vertical="center" wrapText="1"/>
      <protection hidden="1"/>
    </xf>
    <xf numFmtId="0" fontId="39" fillId="0" borderId="0" xfId="0" applyFont="1" applyBorder="1" applyAlignment="1" applyProtection="1">
      <alignment vertical="center"/>
      <protection hidden="1"/>
    </xf>
    <xf numFmtId="49" fontId="14" fillId="0" borderId="1" xfId="0" applyNumberFormat="1" applyFont="1" applyBorder="1" applyAlignment="1" applyProtection="1">
      <alignment horizontal="center" vertical="center"/>
      <protection hidden="1"/>
    </xf>
    <xf numFmtId="0" fontId="14" fillId="0" borderId="1" xfId="0" applyFont="1" applyBorder="1" applyAlignment="1" applyProtection="1">
      <alignment horizontal="center" vertical="center" wrapText="1"/>
      <protection hidden="1"/>
    </xf>
    <xf numFmtId="9"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2" xfId="0" applyNumberFormat="1" applyFont="1" applyBorder="1" applyAlignment="1" applyProtection="1">
      <alignment horizontal="center" vertical="center"/>
      <protection hidden="1"/>
    </xf>
    <xf numFmtId="0" fontId="14" fillId="0" borderId="0" xfId="0" applyFont="1" applyBorder="1" applyAlignment="1" applyProtection="1">
      <alignment horizontal="center" vertical="center" wrapText="1"/>
      <protection hidden="1"/>
    </xf>
    <xf numFmtId="49" fontId="14" fillId="0" borderId="0" xfId="0" applyNumberFormat="1" applyFont="1" applyBorder="1" applyAlignment="1" applyProtection="1">
      <alignment horizontal="center" vertical="center"/>
      <protection hidden="1"/>
    </xf>
    <xf numFmtId="9" fontId="14" fillId="0" borderId="2" xfId="0" applyNumberFormat="1" applyFont="1" applyBorder="1" applyAlignment="1" applyProtection="1">
      <alignment horizontal="center" vertical="center" wrapText="1"/>
      <protection hidden="1"/>
    </xf>
    <xf numFmtId="44" fontId="14" fillId="0" borderId="9" xfId="0" applyNumberFormat="1" applyFont="1" applyBorder="1" applyAlignment="1" applyProtection="1">
      <alignment horizontal="left" vertical="center"/>
      <protection hidden="1"/>
    </xf>
    <xf numFmtId="0" fontId="26" fillId="0" borderId="0" xfId="0" applyFont="1" applyBorder="1" applyAlignment="1" applyProtection="1">
      <alignment horizontal="center" vertical="center"/>
      <protection hidden="1"/>
    </xf>
    <xf numFmtId="0" fontId="26" fillId="0" borderId="0" xfId="0" applyFont="1" applyBorder="1" applyAlignment="1" applyProtection="1">
      <alignment horizontal="center" vertical="center" wrapText="1"/>
      <protection hidden="1"/>
    </xf>
    <xf numFmtId="0" fontId="14" fillId="0" borderId="0" xfId="0" applyFont="1" applyBorder="1" applyAlignment="1" applyProtection="1">
      <alignment horizontal="left" vertical="center" wrapText="1"/>
      <protection hidden="1"/>
    </xf>
    <xf numFmtId="0" fontId="14" fillId="0" borderId="0" xfId="0" applyFont="1" applyBorder="1" applyAlignment="1" applyProtection="1">
      <alignment horizontal="center" vertical="center"/>
      <protection hidden="1"/>
    </xf>
    <xf numFmtId="44" fontId="14" fillId="0" borderId="0" xfId="0" applyNumberFormat="1" applyFont="1" applyBorder="1" applyAlignment="1" applyProtection="1">
      <alignment horizontal="center" vertical="center"/>
      <protection hidden="1"/>
    </xf>
    <xf numFmtId="49" fontId="14" fillId="0" borderId="6" xfId="0" applyNumberFormat="1" applyFont="1" applyBorder="1" applyAlignment="1" applyProtection="1">
      <alignment horizontal="center" vertical="center"/>
      <protection hidden="1"/>
    </xf>
    <xf numFmtId="9" fontId="14" fillId="0" borderId="6" xfId="0" applyNumberFormat="1" applyFont="1" applyBorder="1" applyAlignment="1" applyProtection="1">
      <alignment horizontal="center" vertical="center" wrapText="1"/>
      <protection hidden="1"/>
    </xf>
    <xf numFmtId="2" fontId="14" fillId="0" borderId="6" xfId="0" applyNumberFormat="1" applyFont="1" applyBorder="1" applyAlignment="1" applyProtection="1">
      <alignment horizontal="center" vertical="center" wrapText="1"/>
      <protection hidden="1"/>
    </xf>
    <xf numFmtId="2" fontId="14" fillId="0" borderId="0" xfId="0" applyNumberFormat="1" applyFont="1" applyAlignment="1" applyProtection="1">
      <alignment horizontal="center" vertical="center"/>
      <protection hidden="1"/>
    </xf>
    <xf numFmtId="0" fontId="14" fillId="0" borderId="0" xfId="0" applyFont="1" applyAlignment="1" applyProtection="1">
      <alignment horizontal="left" vertical="center" wrapText="1"/>
      <protection hidden="1"/>
    </xf>
    <xf numFmtId="0" fontId="14" fillId="0" borderId="0" xfId="0" applyFont="1" applyAlignment="1" applyProtection="1">
      <alignment horizontal="center" vertical="center"/>
      <protection hidden="1"/>
    </xf>
    <xf numFmtId="0" fontId="14" fillId="0" borderId="6" xfId="0" applyFont="1" applyBorder="1" applyAlignment="1" applyProtection="1">
      <alignment horizontal="center" vertical="center" wrapText="1"/>
      <protection hidden="1"/>
    </xf>
    <xf numFmtId="49" fontId="14" fillId="0" borderId="0" xfId="0" applyNumberFormat="1" applyFont="1" applyAlignment="1" applyProtection="1">
      <alignment horizontal="center" vertical="center"/>
      <protection hidden="1"/>
    </xf>
    <xf numFmtId="0" fontId="0" fillId="0" borderId="0" xfId="0" applyAlignment="1">
      <alignment vertical="center"/>
    </xf>
    <xf numFmtId="44" fontId="14" fillId="0" borderId="0" xfId="0" applyNumberFormat="1" applyFont="1" applyAlignment="1" applyProtection="1">
      <alignment horizontal="right" vertical="center"/>
      <protection hidden="1"/>
    </xf>
    <xf numFmtId="2" fontId="14" fillId="0" borderId="0" xfId="0" applyNumberFormat="1" applyFont="1" applyBorder="1" applyAlignment="1" applyProtection="1">
      <alignment horizontal="center" vertical="center"/>
      <protection hidden="1"/>
    </xf>
    <xf numFmtId="44" fontId="14" fillId="0" borderId="0" xfId="0" applyNumberFormat="1" applyFont="1" applyAlignment="1" applyProtection="1">
      <alignment horizontal="left" vertical="center"/>
      <protection hidden="1"/>
    </xf>
    <xf numFmtId="0" fontId="26" fillId="0" borderId="0" xfId="0" applyFont="1" applyAlignment="1" applyProtection="1">
      <alignment horizontal="center" vertical="center"/>
      <protection hidden="1"/>
    </xf>
    <xf numFmtId="2" fontId="26" fillId="0" borderId="0" xfId="0" applyNumberFormat="1" applyFont="1" applyBorder="1" applyAlignment="1" applyProtection="1">
      <alignment horizontal="center" vertical="center"/>
      <protection hidden="1"/>
    </xf>
    <xf numFmtId="44" fontId="26" fillId="0" borderId="0" xfId="0" applyNumberFormat="1" applyFont="1" applyBorder="1" applyAlignment="1" applyProtection="1">
      <alignment horizontal="center" vertical="center"/>
      <protection hidden="1"/>
    </xf>
    <xf numFmtId="0" fontId="26" fillId="0" borderId="0" xfId="0" applyFont="1" applyBorder="1" applyAlignment="1" applyProtection="1">
      <alignment horizontal="left" vertical="center"/>
      <protection hidden="1"/>
    </xf>
    <xf numFmtId="0" fontId="14" fillId="0" borderId="1" xfId="0" applyFont="1" applyBorder="1" applyAlignment="1" applyProtection="1">
      <alignment horizontal="center" vertical="center"/>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protection hidden="1"/>
    </xf>
    <xf numFmtId="44" fontId="14" fillId="0" borderId="1" xfId="0" applyNumberFormat="1" applyFont="1" applyBorder="1" applyAlignment="1" applyProtection="1">
      <alignment horizontal="left" vertical="center"/>
      <protection hidden="1"/>
    </xf>
    <xf numFmtId="44" fontId="14" fillId="0" borderId="1" xfId="0" applyNumberFormat="1" applyFont="1" applyBorder="1" applyAlignment="1" applyProtection="1">
      <alignment horizontal="center" vertical="center"/>
      <protection hidden="1"/>
    </xf>
    <xf numFmtId="9" fontId="14" fillId="0" borderId="1" xfId="0" applyNumberFormat="1" applyFont="1" applyBorder="1" applyAlignment="1" applyProtection="1">
      <alignment horizontal="center" vertical="center"/>
      <protection hidden="1"/>
    </xf>
    <xf numFmtId="9" fontId="14" fillId="0" borderId="0" xfId="0" applyNumberFormat="1" applyFont="1" applyBorder="1" applyAlignment="1" applyProtection="1">
      <alignment horizontal="center" vertical="center" wrapText="1"/>
      <protection hidden="1"/>
    </xf>
    <xf numFmtId="9" fontId="14" fillId="0" borderId="0" xfId="0" applyNumberFormat="1" applyFont="1" applyBorder="1" applyAlignment="1" applyProtection="1">
      <alignment horizontal="center" vertical="center"/>
      <protection hidden="1"/>
    </xf>
    <xf numFmtId="1" fontId="14" fillId="0" borderId="0" xfId="0" applyNumberFormat="1" applyFont="1" applyBorder="1" applyAlignment="1" applyProtection="1">
      <alignment horizontal="center" vertical="center" wrapText="1"/>
      <protection hidden="1"/>
    </xf>
    <xf numFmtId="44" fontId="14" fillId="0" borderId="0" xfId="0" applyNumberFormat="1" applyFont="1" applyBorder="1" applyAlignment="1" applyProtection="1">
      <alignment horizontal="left" vertical="center"/>
      <protection hidden="1"/>
    </xf>
    <xf numFmtId="0" fontId="26" fillId="0" borderId="5" xfId="0" applyFont="1" applyBorder="1" applyAlignment="1" applyProtection="1">
      <alignment horizontal="center" vertical="center"/>
      <protection hidden="1"/>
    </xf>
    <xf numFmtId="0" fontId="26" fillId="0" borderId="4" xfId="0" applyFont="1" applyBorder="1" applyAlignment="1" applyProtection="1">
      <alignment horizontal="center" vertical="center" wrapText="1"/>
      <protection hidden="1"/>
    </xf>
    <xf numFmtId="49" fontId="14" fillId="0" borderId="3" xfId="0" applyNumberFormat="1" applyFont="1" applyBorder="1" applyAlignment="1" applyProtection="1">
      <alignment horizontal="right" vertical="center"/>
      <protection hidden="1"/>
    </xf>
    <xf numFmtId="0" fontId="14" fillId="0" borderId="4" xfId="0" applyFont="1" applyBorder="1" applyAlignment="1" applyProtection="1">
      <alignment horizontal="left" vertical="center" wrapText="1"/>
      <protection hidden="1"/>
    </xf>
    <xf numFmtId="44" fontId="14" fillId="0" borderId="4" xfId="0" applyNumberFormat="1" applyFont="1" applyBorder="1" applyAlignment="1" applyProtection="1">
      <alignment vertical="center" wrapText="1"/>
      <protection hidden="1"/>
    </xf>
    <xf numFmtId="44" fontId="14" fillId="0" borderId="5" xfId="0" applyNumberFormat="1" applyFont="1" applyBorder="1" applyAlignment="1" applyProtection="1">
      <alignment horizontal="left" vertical="center"/>
      <protection hidden="1"/>
    </xf>
    <xf numFmtId="0" fontId="14" fillId="0" borderId="3" xfId="0" applyFont="1" applyBorder="1" applyAlignment="1" applyProtection="1">
      <alignment horizontal="right" vertical="center"/>
      <protection hidden="1"/>
    </xf>
    <xf numFmtId="44" fontId="14" fillId="0" borderId="1" xfId="0" applyNumberFormat="1" applyFont="1" applyBorder="1" applyAlignment="1" applyProtection="1">
      <alignment vertical="center" wrapText="1"/>
      <protection hidden="1"/>
    </xf>
    <xf numFmtId="0" fontId="14" fillId="0" borderId="5" xfId="0" applyFont="1" applyBorder="1" applyAlignment="1" applyProtection="1">
      <alignment horizontal="left" vertical="center" wrapText="1"/>
      <protection hidden="1"/>
    </xf>
    <xf numFmtId="2" fontId="14" fillId="0" borderId="4" xfId="0" applyNumberFormat="1" applyFont="1" applyBorder="1" applyAlignment="1" applyProtection="1">
      <alignment vertical="center" wrapText="1"/>
      <protection hidden="1"/>
    </xf>
    <xf numFmtId="169" fontId="14" fillId="0" borderId="1" xfId="0" applyNumberFormat="1" applyFont="1" applyBorder="1" applyAlignment="1" applyProtection="1">
      <alignment horizontal="center" vertical="center"/>
      <protection hidden="1"/>
    </xf>
    <xf numFmtId="1" fontId="14" fillId="0" borderId="4" xfId="0" applyNumberFormat="1" applyFont="1" applyBorder="1" applyAlignment="1" applyProtection="1">
      <alignment vertical="center" wrapText="1"/>
      <protection hidden="1"/>
    </xf>
    <xf numFmtId="2" fontId="14" fillId="0" borderId="4" xfId="0" applyNumberFormat="1" applyFont="1" applyBorder="1" applyAlignment="1" applyProtection="1">
      <alignment horizontal="center" vertical="center"/>
      <protection hidden="1"/>
    </xf>
    <xf numFmtId="172" fontId="14" fillId="0" borderId="1" xfId="0" applyNumberFormat="1" applyFont="1" applyBorder="1" applyAlignment="1" applyProtection="1">
      <alignment horizontal="center" vertical="center"/>
      <protection hidden="1"/>
    </xf>
    <xf numFmtId="0" fontId="26" fillId="0" borderId="0" xfId="0" applyFont="1" applyFill="1" applyBorder="1" applyAlignment="1" applyProtection="1">
      <alignment horizontal="center" vertical="center"/>
      <protection hidden="1"/>
    </xf>
    <xf numFmtId="0" fontId="26" fillId="0" borderId="0" xfId="0" applyFont="1" applyFill="1" applyBorder="1" applyAlignment="1" applyProtection="1">
      <alignment horizontal="right" vertical="center" wrapText="1"/>
      <protection hidden="1"/>
    </xf>
    <xf numFmtId="164" fontId="26" fillId="0" borderId="0" xfId="0" applyNumberFormat="1" applyFont="1" applyFill="1" applyBorder="1" applyAlignment="1" applyProtection="1">
      <alignment horizontal="center" vertical="center"/>
      <protection hidden="1"/>
    </xf>
    <xf numFmtId="165" fontId="26" fillId="0" borderId="0" xfId="0" applyNumberFormat="1" applyFont="1" applyFill="1" applyBorder="1" applyAlignment="1" applyProtection="1">
      <alignment horizontal="center" vertical="center"/>
      <protection hidden="1"/>
    </xf>
    <xf numFmtId="44" fontId="26" fillId="0" borderId="1" xfId="0" applyNumberFormat="1" applyFont="1" applyBorder="1" applyAlignment="1" applyProtection="1">
      <alignment horizontal="center" vertical="center"/>
      <protection hidden="1"/>
    </xf>
    <xf numFmtId="44" fontId="26" fillId="0" borderId="10" xfId="0" applyNumberFormat="1" applyFont="1" applyBorder="1" applyAlignment="1" applyProtection="1">
      <alignment horizontal="center" vertical="center"/>
      <protection hidden="1"/>
    </xf>
    <xf numFmtId="44" fontId="26" fillId="0" borderId="0" xfId="0" applyNumberFormat="1" applyFont="1" applyBorder="1" applyAlignment="1" applyProtection="1">
      <alignment horizontal="right" vertical="center"/>
      <protection hidden="1"/>
    </xf>
    <xf numFmtId="44" fontId="26" fillId="0" borderId="18" xfId="0" applyNumberFormat="1" applyFont="1" applyBorder="1" applyAlignment="1" applyProtection="1">
      <alignment horizontal="center" vertical="center"/>
      <protection hidden="1"/>
    </xf>
    <xf numFmtId="44" fontId="49" fillId="0" borderId="0" xfId="0" applyNumberFormat="1" applyFont="1" applyBorder="1" applyAlignment="1" applyProtection="1">
      <alignment horizontal="right" vertical="center"/>
      <protection hidden="1"/>
    </xf>
    <xf numFmtId="0" fontId="14" fillId="0" borderId="0" xfId="0" applyFont="1" applyAlignment="1" applyProtection="1">
      <alignment vertical="center" wrapText="1"/>
      <protection hidden="1"/>
    </xf>
    <xf numFmtId="0" fontId="26" fillId="4" borderId="0" xfId="0" applyFont="1" applyFill="1" applyAlignment="1" applyProtection="1">
      <alignment horizontal="center" vertical="center" wrapText="1"/>
      <protection hidden="1"/>
    </xf>
    <xf numFmtId="165" fontId="14" fillId="4" borderId="0" xfId="0" applyNumberFormat="1" applyFont="1" applyFill="1" applyBorder="1" applyAlignment="1" applyProtection="1">
      <alignment horizontal="right" vertical="center" shrinkToFit="1"/>
      <protection hidden="1"/>
    </xf>
    <xf numFmtId="2" fontId="14" fillId="4" borderId="0" xfId="0" applyNumberFormat="1" applyFont="1" applyFill="1" applyBorder="1" applyAlignment="1" applyProtection="1">
      <alignment horizontal="center" vertical="center" shrinkToFit="1"/>
      <protection hidden="1"/>
    </xf>
    <xf numFmtId="0" fontId="26" fillId="4" borderId="0" xfId="0" applyFont="1" applyFill="1" applyAlignment="1" applyProtection="1">
      <alignment vertical="center" wrapText="1"/>
      <protection hidden="1"/>
    </xf>
    <xf numFmtId="0" fontId="26" fillId="4" borderId="0" xfId="0" applyFont="1" applyFill="1" applyAlignment="1" applyProtection="1">
      <alignment horizontal="left" vertical="center" wrapText="1"/>
      <protection hidden="1"/>
    </xf>
    <xf numFmtId="165" fontId="26" fillId="4" borderId="0" xfId="0" applyNumberFormat="1" applyFont="1" applyFill="1" applyBorder="1" applyAlignment="1" applyProtection="1">
      <alignment horizontal="right" vertical="center" shrinkToFit="1"/>
      <protection hidden="1"/>
    </xf>
    <xf numFmtId="2" fontId="26" fillId="4" borderId="0" xfId="0" applyNumberFormat="1" applyFont="1" applyFill="1" applyBorder="1" applyAlignment="1" applyProtection="1">
      <alignment horizontal="center" vertical="center" shrinkToFit="1"/>
      <protection hidden="1"/>
    </xf>
    <xf numFmtId="44" fontId="13" fillId="4" borderId="0" xfId="0" applyNumberFormat="1" applyFont="1" applyFill="1" applyBorder="1" applyAlignment="1" applyProtection="1">
      <alignment vertical="center" shrinkToFit="1"/>
      <protection hidden="1"/>
    </xf>
    <xf numFmtId="0" fontId="26" fillId="0" borderId="0" xfId="0" applyFont="1" applyFill="1" applyBorder="1" applyAlignment="1" applyProtection="1">
      <alignment horizontal="right" vertical="center"/>
      <protection hidden="1"/>
    </xf>
    <xf numFmtId="0" fontId="26" fillId="0" borderId="0" xfId="0" applyFont="1" applyFill="1" applyBorder="1" applyAlignment="1" applyProtection="1">
      <alignment vertical="center"/>
      <protection hidden="1"/>
    </xf>
    <xf numFmtId="0" fontId="26" fillId="0" borderId="0" xfId="0" applyFont="1" applyAlignment="1" applyProtection="1">
      <alignment vertical="center"/>
      <protection hidden="1"/>
    </xf>
    <xf numFmtId="0" fontId="26" fillId="0" borderId="1" xfId="0" applyFont="1" applyFill="1" applyBorder="1" applyAlignment="1" applyProtection="1">
      <alignment horizontal="center" vertical="center"/>
      <protection hidden="1"/>
    </xf>
    <xf numFmtId="0" fontId="53" fillId="0" borderId="0" xfId="0" applyFont="1" applyBorder="1" applyAlignment="1">
      <alignment vertical="center" wrapText="1"/>
    </xf>
    <xf numFmtId="0" fontId="53" fillId="0" borderId="0" xfId="0" applyFont="1" applyBorder="1" applyAlignment="1">
      <alignment horizontal="center" vertical="center"/>
    </xf>
    <xf numFmtId="49" fontId="26" fillId="0" borderId="1" xfId="0" applyNumberFormat="1" applyFont="1" applyBorder="1" applyAlignment="1" applyProtection="1">
      <alignment vertical="center" wrapText="1"/>
      <protection hidden="1"/>
    </xf>
    <xf numFmtId="44" fontId="14" fillId="0" borderId="1" xfId="0" applyNumberFormat="1" applyFont="1" applyBorder="1" applyAlignment="1" applyProtection="1">
      <alignment vertical="center"/>
      <protection hidden="1"/>
    </xf>
    <xf numFmtId="44" fontId="14" fillId="0" borderId="1" xfId="2212" applyNumberFormat="1" applyFont="1" applyFill="1" applyBorder="1" applyAlignment="1" applyProtection="1">
      <alignment vertical="center" shrinkToFit="1"/>
      <protection hidden="1"/>
    </xf>
    <xf numFmtId="44" fontId="13" fillId="0" borderId="1" xfId="28" applyNumberFormat="1" applyFont="1" applyFill="1" applyBorder="1" applyAlignment="1" applyProtection="1">
      <alignment vertical="center" shrinkToFit="1"/>
      <protection hidden="1"/>
    </xf>
    <xf numFmtId="49" fontId="14" fillId="0" borderId="1" xfId="0" applyNumberFormat="1" applyFont="1" applyFill="1" applyBorder="1" applyAlignment="1" applyProtection="1">
      <alignment vertical="center" wrapText="1"/>
      <protection hidden="1"/>
    </xf>
    <xf numFmtId="44" fontId="14" fillId="0" borderId="1" xfId="2212" applyNumberFormat="1" applyFont="1" applyFill="1" applyBorder="1" applyAlignment="1" applyProtection="1">
      <alignment horizontal="right" vertical="center" shrinkToFit="1"/>
      <protection hidden="1"/>
    </xf>
    <xf numFmtId="0" fontId="54" fillId="0" borderId="1" xfId="0" applyFont="1" applyBorder="1" applyAlignment="1" applyProtection="1">
      <alignment vertical="center" wrapText="1"/>
      <protection hidden="1"/>
    </xf>
    <xf numFmtId="44" fontId="54" fillId="0" borderId="1" xfId="2212" applyNumberFormat="1" applyFont="1" applyBorder="1" applyAlignment="1" applyProtection="1">
      <alignment vertical="center" shrinkToFit="1"/>
      <protection hidden="1"/>
    </xf>
    <xf numFmtId="0" fontId="55" fillId="10" borderId="1" xfId="29" applyFont="1" applyBorder="1" applyAlignment="1" applyProtection="1">
      <alignment vertical="center" wrapText="1"/>
      <protection hidden="1"/>
    </xf>
    <xf numFmtId="44" fontId="55" fillId="10" borderId="1" xfId="29" applyNumberFormat="1" applyFont="1" applyBorder="1" applyAlignment="1" applyProtection="1">
      <alignment vertical="center" shrinkToFit="1"/>
      <protection hidden="1"/>
    </xf>
    <xf numFmtId="0" fontId="14" fillId="0" borderId="1" xfId="0" applyFont="1" applyBorder="1" applyAlignment="1" applyProtection="1">
      <alignment vertical="center"/>
      <protection hidden="1"/>
    </xf>
    <xf numFmtId="49" fontId="54" fillId="0" borderId="10" xfId="0" applyNumberFormat="1" applyFont="1" applyBorder="1" applyAlignment="1" applyProtection="1">
      <alignment vertical="center" wrapText="1"/>
      <protection hidden="1"/>
    </xf>
    <xf numFmtId="44" fontId="54" fillId="0" borderId="10" xfId="2212" applyNumberFormat="1" applyFont="1" applyBorder="1" applyAlignment="1" applyProtection="1">
      <alignment vertical="center" shrinkToFit="1"/>
      <protection hidden="1"/>
    </xf>
    <xf numFmtId="49" fontId="26" fillId="0" borderId="4" xfId="0" applyNumberFormat="1" applyFont="1" applyBorder="1" applyAlignment="1" applyProtection="1">
      <alignment vertical="center" wrapText="1"/>
      <protection hidden="1"/>
    </xf>
    <xf numFmtId="0" fontId="14" fillId="0" borderId="4" xfId="0" applyFont="1" applyBorder="1" applyAlignment="1" applyProtection="1">
      <alignment vertical="center"/>
      <protection hidden="1"/>
    </xf>
    <xf numFmtId="0" fontId="54" fillId="0" borderId="6" xfId="0" applyFont="1" applyBorder="1" applyAlignment="1" applyProtection="1">
      <alignment vertical="center" wrapText="1"/>
      <protection hidden="1"/>
    </xf>
    <xf numFmtId="44" fontId="54" fillId="0" borderId="6" xfId="2212" applyNumberFormat="1" applyFont="1" applyBorder="1" applyAlignment="1" applyProtection="1">
      <alignment vertical="center" shrinkToFit="1"/>
      <protection hidden="1"/>
    </xf>
    <xf numFmtId="0" fontId="56" fillId="0" borderId="0" xfId="0" applyFont="1" applyAlignment="1" applyProtection="1">
      <alignment vertical="center"/>
      <protection hidden="1"/>
    </xf>
    <xf numFmtId="0" fontId="54" fillId="0" borderId="1" xfId="0" applyFont="1" applyBorder="1" applyAlignment="1" applyProtection="1">
      <alignment vertical="center"/>
      <protection hidden="1"/>
    </xf>
    <xf numFmtId="0" fontId="55" fillId="10" borderId="1" xfId="29" applyFont="1" applyBorder="1" applyAlignment="1" applyProtection="1">
      <alignment vertical="center"/>
      <protection hidden="1"/>
    </xf>
    <xf numFmtId="0" fontId="57" fillId="10" borderId="1" xfId="29" applyFont="1" applyBorder="1" applyAlignment="1" applyProtection="1">
      <alignment vertical="center"/>
      <protection hidden="1"/>
    </xf>
    <xf numFmtId="44" fontId="57" fillId="10" borderId="1" xfId="29" applyNumberFormat="1" applyFont="1" applyBorder="1" applyAlignment="1" applyProtection="1">
      <alignment vertical="center" shrinkToFit="1"/>
      <protection hidden="1"/>
    </xf>
    <xf numFmtId="0" fontId="26" fillId="0" borderId="0" xfId="0" applyFont="1" applyAlignment="1" applyProtection="1">
      <alignment horizontal="right" vertical="center"/>
      <protection hidden="1"/>
    </xf>
    <xf numFmtId="0" fontId="58" fillId="0" borderId="0" xfId="27" applyFont="1" applyFill="1" applyBorder="1" applyAlignment="1" applyProtection="1">
      <alignment vertical="center"/>
      <protection hidden="1"/>
    </xf>
    <xf numFmtId="0" fontId="26" fillId="0" borderId="22" xfId="0" applyFont="1" applyBorder="1" applyAlignment="1" applyProtection="1">
      <alignment horizontal="right" vertical="center"/>
      <protection hidden="1"/>
    </xf>
    <xf numFmtId="44" fontId="14" fillId="4" borderId="23" xfId="0" applyNumberFormat="1" applyFont="1" applyFill="1" applyBorder="1" applyAlignment="1" applyProtection="1">
      <alignment vertical="center"/>
      <protection hidden="1"/>
    </xf>
    <xf numFmtId="0" fontId="26" fillId="0" borderId="23" xfId="0" applyFont="1" applyBorder="1" applyAlignment="1" applyProtection="1">
      <alignment horizontal="right" vertical="center"/>
      <protection hidden="1"/>
    </xf>
    <xf numFmtId="4" fontId="14" fillId="4" borderId="23" xfId="0" applyNumberFormat="1" applyFont="1" applyFill="1" applyBorder="1" applyAlignment="1" applyProtection="1">
      <alignment horizontal="center" vertical="center"/>
      <protection hidden="1"/>
    </xf>
    <xf numFmtId="2" fontId="14" fillId="4" borderId="10" xfId="0" applyNumberFormat="1" applyFont="1" applyFill="1" applyBorder="1" applyAlignment="1" applyProtection="1">
      <alignment horizontal="center" vertical="center"/>
      <protection hidden="1"/>
    </xf>
    <xf numFmtId="1" fontId="59" fillId="4" borderId="24" xfId="30" applyNumberFormat="1" applyFont="1" applyFill="1" applyBorder="1" applyAlignment="1" applyProtection="1">
      <alignment vertical="center"/>
      <protection hidden="1"/>
    </xf>
    <xf numFmtId="0" fontId="60" fillId="0" borderId="0" xfId="26" applyFont="1" applyFill="1" applyBorder="1" applyAlignment="1" applyProtection="1">
      <alignment vertical="center"/>
      <protection hidden="1"/>
    </xf>
    <xf numFmtId="0" fontId="26" fillId="0" borderId="25" xfId="0" applyFont="1" applyBorder="1" applyAlignment="1" applyProtection="1">
      <alignment horizontal="right" vertical="center"/>
      <protection hidden="1"/>
    </xf>
    <xf numFmtId="4" fontId="14" fillId="4" borderId="1" xfId="0" applyNumberFormat="1" applyFont="1" applyFill="1" applyBorder="1" applyAlignment="1" applyProtection="1">
      <alignment horizontal="center" vertical="center"/>
      <protection hidden="1"/>
    </xf>
    <xf numFmtId="0" fontId="26" fillId="0" borderId="1" xfId="0" applyFont="1" applyBorder="1" applyAlignment="1" applyProtection="1">
      <alignment horizontal="right" vertical="center"/>
      <protection hidden="1"/>
    </xf>
    <xf numFmtId="2" fontId="14" fillId="4" borderId="1" xfId="0" applyNumberFormat="1" applyFont="1" applyFill="1" applyBorder="1" applyAlignment="1" applyProtection="1">
      <alignment horizontal="center" vertical="center"/>
      <protection hidden="1"/>
    </xf>
    <xf numFmtId="2" fontId="59" fillId="4" borderId="26" xfId="30" applyNumberFormat="1" applyFont="1" applyFill="1" applyBorder="1" applyAlignment="1" applyProtection="1">
      <alignment horizontal="center" vertical="center"/>
      <protection hidden="1"/>
    </xf>
    <xf numFmtId="0" fontId="61" fillId="0" borderId="0" xfId="25" applyFont="1" applyFill="1" applyBorder="1" applyAlignment="1" applyProtection="1">
      <alignment vertical="center"/>
      <protection hidden="1"/>
    </xf>
    <xf numFmtId="0" fontId="26" fillId="0" borderId="27" xfId="0" applyFont="1" applyBorder="1" applyAlignment="1" applyProtection="1">
      <alignment horizontal="right" vertical="center"/>
      <protection hidden="1"/>
    </xf>
    <xf numFmtId="0" fontId="14" fillId="4" borderId="28" xfId="0" applyFont="1" applyFill="1" applyBorder="1" applyAlignment="1" applyProtection="1">
      <alignment vertical="center"/>
      <protection hidden="1"/>
    </xf>
    <xf numFmtId="0" fontId="26" fillId="0" borderId="28" xfId="0" applyFont="1" applyBorder="1" applyAlignment="1" applyProtection="1">
      <alignment horizontal="right" vertical="center"/>
      <protection hidden="1"/>
    </xf>
    <xf numFmtId="4" fontId="14" fillId="4" borderId="28" xfId="0" applyNumberFormat="1" applyFont="1" applyFill="1" applyBorder="1" applyAlignment="1" applyProtection="1">
      <alignment horizontal="center" vertical="center"/>
      <protection hidden="1"/>
    </xf>
    <xf numFmtId="2" fontId="14" fillId="4" borderId="29" xfId="0" applyNumberFormat="1" applyFont="1" applyFill="1" applyBorder="1" applyAlignment="1" applyProtection="1">
      <alignment horizontal="center" vertical="center"/>
      <protection hidden="1"/>
    </xf>
    <xf numFmtId="1" fontId="26" fillId="0" borderId="30" xfId="0" applyNumberFormat="1" applyFont="1" applyBorder="1" applyAlignment="1" applyProtection="1">
      <alignment vertical="center"/>
      <protection hidden="1"/>
    </xf>
    <xf numFmtId="0" fontId="14" fillId="0" borderId="0" xfId="0" applyFont="1" applyAlignment="1" applyProtection="1">
      <alignment horizontal="right" vertical="center"/>
      <protection hidden="1"/>
    </xf>
    <xf numFmtId="0" fontId="26" fillId="0" borderId="2" xfId="0" applyFont="1" applyBorder="1" applyAlignment="1" applyProtection="1">
      <alignment horizontal="right" vertical="center"/>
      <protection hidden="1"/>
    </xf>
    <xf numFmtId="0" fontId="26" fillId="0" borderId="7" xfId="0" applyFont="1" applyBorder="1" applyAlignment="1" applyProtection="1">
      <alignment vertical="center"/>
      <protection hidden="1"/>
    </xf>
    <xf numFmtId="0" fontId="26" fillId="0" borderId="7" xfId="0" applyFont="1" applyBorder="1" applyAlignment="1" applyProtection="1">
      <alignment horizontal="right" vertical="center"/>
      <protection hidden="1"/>
    </xf>
    <xf numFmtId="4" fontId="26" fillId="0" borderId="7" xfId="0" applyNumberFormat="1" applyFont="1" applyBorder="1" applyAlignment="1" applyProtection="1">
      <alignment horizontal="center" vertical="center"/>
      <protection hidden="1"/>
    </xf>
    <xf numFmtId="0" fontId="26" fillId="0" borderId="7" xfId="0" applyFont="1" applyBorder="1" applyAlignment="1" applyProtection="1">
      <alignment horizontal="center" vertical="center"/>
      <protection hidden="1"/>
    </xf>
    <xf numFmtId="0" fontId="26" fillId="0" borderId="9" xfId="0" applyFont="1" applyBorder="1" applyAlignment="1" applyProtection="1">
      <alignment vertical="center"/>
      <protection hidden="1"/>
    </xf>
    <xf numFmtId="0" fontId="26" fillId="0" borderId="10" xfId="0" applyFont="1" applyBorder="1" applyAlignment="1" applyProtection="1">
      <alignment horizontal="center" vertical="center"/>
      <protection hidden="1"/>
    </xf>
    <xf numFmtId="0" fontId="26" fillId="0" borderId="13" xfId="0" applyFont="1" applyBorder="1" applyAlignment="1" applyProtection="1">
      <alignment horizontal="center" vertical="center"/>
      <protection hidden="1"/>
    </xf>
    <xf numFmtId="0" fontId="26" fillId="0" borderId="6" xfId="0" applyFont="1" applyBorder="1" applyAlignment="1" applyProtection="1">
      <alignment horizontal="center" vertical="center"/>
      <protection hidden="1"/>
    </xf>
    <xf numFmtId="0" fontId="26" fillId="0" borderId="8" xfId="0" applyFont="1" applyBorder="1" applyAlignment="1" applyProtection="1">
      <alignment horizontal="center" vertical="center"/>
      <protection hidden="1"/>
    </xf>
    <xf numFmtId="0" fontId="53" fillId="0" borderId="0" xfId="0" applyFont="1" applyBorder="1" applyAlignment="1">
      <alignment horizontal="right" vertical="center"/>
    </xf>
    <xf numFmtId="49" fontId="26" fillId="0" borderId="1" xfId="0" applyNumberFormat="1" applyFont="1" applyBorder="1" applyAlignment="1" applyProtection="1">
      <alignment horizontal="right" vertical="center"/>
      <protection hidden="1"/>
    </xf>
    <xf numFmtId="44" fontId="62" fillId="0" borderId="31" xfId="30" applyNumberFormat="1" applyFont="1" applyFill="1" applyBorder="1" applyAlignment="1" applyProtection="1">
      <alignment vertical="center"/>
      <protection hidden="1"/>
    </xf>
    <xf numFmtId="44" fontId="14" fillId="0" borderId="1" xfId="2212" applyNumberFormat="1" applyFont="1" applyBorder="1" applyAlignment="1" applyProtection="1">
      <alignment vertical="center"/>
      <protection hidden="1"/>
    </xf>
    <xf numFmtId="49" fontId="14" fillId="0" borderId="1" xfId="0" applyNumberFormat="1" applyFont="1" applyBorder="1" applyAlignment="1" applyProtection="1">
      <alignment horizontal="right" vertical="center"/>
      <protection hidden="1"/>
    </xf>
    <xf numFmtId="0" fontId="55" fillId="0" borderId="1" xfId="28" applyFont="1" applyFill="1" applyBorder="1" applyAlignment="1" applyProtection="1">
      <alignment vertical="center" shrinkToFit="1"/>
      <protection hidden="1"/>
    </xf>
    <xf numFmtId="44" fontId="14" fillId="4" borderId="1" xfId="2212" applyNumberFormat="1" applyFont="1" applyFill="1" applyBorder="1" applyAlignment="1" applyProtection="1">
      <alignment vertical="center" shrinkToFit="1"/>
      <protection hidden="1"/>
    </xf>
    <xf numFmtId="0" fontId="59" fillId="0" borderId="16" xfId="30" applyFont="1" applyFill="1" applyBorder="1" applyAlignment="1" applyProtection="1">
      <alignment vertical="center" shrinkToFit="1"/>
      <protection hidden="1"/>
    </xf>
    <xf numFmtId="44" fontId="62" fillId="0" borderId="31" xfId="30" applyNumberFormat="1" applyFont="1" applyFill="1" applyBorder="1" applyAlignment="1" applyProtection="1">
      <alignment vertical="center" shrinkToFit="1"/>
      <protection hidden="1"/>
    </xf>
    <xf numFmtId="0" fontId="13" fillId="0" borderId="16" xfId="30" applyFont="1" applyFill="1" applyAlignment="1" applyProtection="1">
      <alignment vertical="center" shrinkToFit="1"/>
      <protection hidden="1"/>
    </xf>
    <xf numFmtId="0" fontId="13" fillId="0" borderId="1" xfId="0" applyFont="1" applyFill="1" applyBorder="1" applyAlignment="1" applyProtection="1">
      <alignment vertical="center" shrinkToFit="1"/>
      <protection hidden="1"/>
    </xf>
    <xf numFmtId="0" fontId="59" fillId="0" borderId="32" xfId="30" applyFont="1" applyFill="1" applyBorder="1" applyAlignment="1" applyProtection="1">
      <alignment vertical="center" shrinkToFit="1"/>
      <protection hidden="1"/>
    </xf>
    <xf numFmtId="0" fontId="59" fillId="0" borderId="1" xfId="30" applyFont="1" applyFill="1" applyBorder="1" applyAlignment="1" applyProtection="1">
      <alignment vertical="center" shrinkToFit="1"/>
      <protection hidden="1"/>
    </xf>
    <xf numFmtId="0" fontId="14" fillId="0" borderId="1" xfId="0" applyNumberFormat="1" applyFont="1" applyBorder="1" applyAlignment="1" applyProtection="1">
      <alignment vertical="center" wrapText="1"/>
      <protection hidden="1"/>
    </xf>
    <xf numFmtId="44" fontId="14" fillId="4" borderId="1" xfId="2212" applyNumberFormat="1" applyFont="1" applyFill="1" applyBorder="1" applyAlignment="1" applyProtection="1">
      <alignment horizontal="right" vertical="center" shrinkToFit="1"/>
      <protection hidden="1"/>
    </xf>
    <xf numFmtId="0" fontId="59" fillId="0" borderId="0" xfId="30" applyFont="1" applyFill="1" applyBorder="1" applyAlignment="1" applyProtection="1">
      <alignment vertical="center" shrinkToFit="1"/>
      <protection hidden="1"/>
    </xf>
    <xf numFmtId="0" fontId="54" fillId="0" borderId="1" xfId="0" applyFont="1" applyBorder="1" applyAlignment="1" applyProtection="1">
      <alignment vertical="center" shrinkToFit="1"/>
      <protection hidden="1"/>
    </xf>
    <xf numFmtId="44" fontId="59" fillId="0" borderId="31" xfId="30" applyNumberFormat="1" applyFont="1" applyFill="1" applyBorder="1" applyAlignment="1" applyProtection="1">
      <alignment vertical="center" shrinkToFit="1"/>
      <protection hidden="1"/>
    </xf>
    <xf numFmtId="0" fontId="59" fillId="0" borderId="31" xfId="30" applyFont="1" applyFill="1" applyBorder="1" applyAlignment="1" applyProtection="1">
      <alignment vertical="center" shrinkToFit="1"/>
      <protection hidden="1"/>
    </xf>
    <xf numFmtId="44" fontId="63" fillId="0" borderId="1" xfId="0" applyNumberFormat="1" applyFont="1" applyFill="1" applyBorder="1" applyAlignment="1" applyProtection="1">
      <alignment vertical="center" shrinkToFit="1"/>
      <protection hidden="1"/>
    </xf>
    <xf numFmtId="0" fontId="55" fillId="10" borderId="1" xfId="29" applyFont="1" applyBorder="1" applyAlignment="1" applyProtection="1">
      <alignment vertical="center" shrinkToFit="1"/>
      <protection hidden="1"/>
    </xf>
    <xf numFmtId="0" fontId="55" fillId="10" borderId="1" xfId="29" applyNumberFormat="1" applyFont="1" applyBorder="1" applyAlignment="1" applyProtection="1">
      <alignment vertical="center" shrinkToFit="1"/>
      <protection hidden="1"/>
    </xf>
    <xf numFmtId="44" fontId="14" fillId="0" borderId="1" xfId="2212" applyFont="1" applyBorder="1" applyAlignment="1" applyProtection="1">
      <alignment vertical="center"/>
      <protection hidden="1"/>
    </xf>
    <xf numFmtId="44" fontId="14" fillId="0" borderId="1" xfId="2212" applyFont="1" applyBorder="1" applyAlignment="1" applyProtection="1">
      <alignment vertical="center" shrinkToFit="1"/>
      <protection hidden="1"/>
    </xf>
    <xf numFmtId="0" fontId="59" fillId="0" borderId="16" xfId="30" applyFont="1" applyFill="1" applyAlignment="1" applyProtection="1">
      <alignment vertical="center" shrinkToFit="1"/>
      <protection hidden="1"/>
    </xf>
    <xf numFmtId="44" fontId="14" fillId="4" borderId="1" xfId="2212" applyFont="1" applyFill="1" applyBorder="1" applyAlignment="1" applyProtection="1">
      <alignment vertical="center" shrinkToFit="1"/>
      <protection hidden="1"/>
    </xf>
    <xf numFmtId="44" fontId="13" fillId="0" borderId="16" xfId="30" applyNumberFormat="1" applyFont="1" applyFill="1" applyAlignment="1" applyProtection="1">
      <alignment vertical="center" shrinkToFit="1"/>
      <protection hidden="1"/>
    </xf>
    <xf numFmtId="44" fontId="13" fillId="0" borderId="1" xfId="25" applyNumberFormat="1" applyFont="1" applyFill="1" applyBorder="1" applyAlignment="1" applyProtection="1">
      <alignment vertical="center" shrinkToFit="1"/>
      <protection hidden="1"/>
    </xf>
    <xf numFmtId="44" fontId="14" fillId="2" borderId="1" xfId="2212" applyFont="1" applyFill="1" applyBorder="1" applyAlignment="1" applyProtection="1">
      <alignment vertical="center" shrinkToFit="1"/>
      <protection hidden="1"/>
    </xf>
    <xf numFmtId="44" fontId="54" fillId="0" borderId="1" xfId="0" applyNumberFormat="1" applyFont="1" applyBorder="1" applyAlignment="1" applyProtection="1">
      <alignment vertical="center" shrinkToFit="1"/>
      <protection hidden="1"/>
    </xf>
    <xf numFmtId="44" fontId="54" fillId="0" borderId="1" xfId="0" applyNumberFormat="1" applyFont="1" applyFill="1" applyBorder="1" applyAlignment="1" applyProtection="1">
      <alignment vertical="center" shrinkToFit="1"/>
      <protection hidden="1"/>
    </xf>
    <xf numFmtId="44" fontId="14" fillId="0" borderId="0" xfId="2212" applyFont="1" applyAlignment="1" applyProtection="1">
      <alignment vertical="center"/>
      <protection hidden="1"/>
    </xf>
    <xf numFmtId="0" fontId="14" fillId="0" borderId="1" xfId="0" applyFont="1" applyBorder="1" applyAlignment="1" applyProtection="1">
      <alignment vertical="center" shrinkToFit="1"/>
      <protection hidden="1"/>
    </xf>
    <xf numFmtId="44" fontId="14" fillId="0" borderId="1" xfId="2212" applyFont="1" applyFill="1" applyBorder="1" applyAlignment="1" applyProtection="1">
      <alignment vertical="center" shrinkToFit="1"/>
      <protection hidden="1"/>
    </xf>
    <xf numFmtId="44" fontId="59" fillId="0" borderId="16" xfId="30" applyNumberFormat="1" applyFont="1" applyFill="1" applyAlignment="1" applyProtection="1">
      <alignment vertical="center"/>
      <protection hidden="1"/>
    </xf>
    <xf numFmtId="0" fontId="14" fillId="0" borderId="1" xfId="0" applyFont="1" applyFill="1" applyBorder="1" applyAlignment="1" applyProtection="1">
      <alignment vertical="center"/>
      <protection hidden="1"/>
    </xf>
    <xf numFmtId="44" fontId="59" fillId="0" borderId="16" xfId="30" applyNumberFormat="1" applyFont="1" applyFill="1" applyAlignment="1" applyProtection="1">
      <alignment vertical="center" shrinkToFit="1"/>
      <protection hidden="1"/>
    </xf>
    <xf numFmtId="0" fontId="62" fillId="0" borderId="31" xfId="30" applyFont="1" applyFill="1" applyBorder="1" applyAlignment="1" applyProtection="1">
      <alignment vertical="center" shrinkToFit="1"/>
      <protection hidden="1"/>
    </xf>
    <xf numFmtId="44" fontId="14" fillId="0" borderId="1" xfId="2212" applyFont="1" applyFill="1" applyBorder="1" applyAlignment="1" applyProtection="1">
      <alignment vertical="center"/>
      <protection hidden="1"/>
    </xf>
    <xf numFmtId="44" fontId="14" fillId="0" borderId="0" xfId="0" applyNumberFormat="1" applyFont="1" applyAlignment="1" applyProtection="1">
      <alignment vertical="center"/>
      <protection hidden="1"/>
    </xf>
    <xf numFmtId="0" fontId="59" fillId="0" borderId="16" xfId="30" applyFont="1" applyFill="1" applyAlignment="1" applyProtection="1">
      <alignment vertical="center"/>
      <protection hidden="1"/>
    </xf>
    <xf numFmtId="44" fontId="62" fillId="0" borderId="16" xfId="30" applyNumberFormat="1" applyFont="1" applyFill="1" applyAlignment="1" applyProtection="1">
      <alignment vertical="center" shrinkToFit="1"/>
      <protection hidden="1"/>
    </xf>
    <xf numFmtId="0" fontId="62" fillId="0" borderId="16" xfId="30" applyFont="1" applyFill="1" applyAlignment="1" applyProtection="1">
      <alignment vertical="center" shrinkToFit="1"/>
      <protection hidden="1"/>
    </xf>
    <xf numFmtId="0" fontId="64" fillId="0" borderId="1" xfId="0" applyFont="1" applyBorder="1" applyAlignment="1" applyProtection="1">
      <alignment vertical="center"/>
      <protection hidden="1"/>
    </xf>
    <xf numFmtId="44" fontId="64" fillId="0" borderId="1" xfId="2212" applyFont="1" applyBorder="1" applyAlignment="1" applyProtection="1">
      <alignment vertical="center"/>
      <protection hidden="1"/>
    </xf>
    <xf numFmtId="0" fontId="64" fillId="0" borderId="0" xfId="0" applyFont="1" applyAlignment="1" applyProtection="1">
      <alignment horizontal="right" vertical="center"/>
      <protection hidden="1"/>
    </xf>
    <xf numFmtId="0" fontId="64" fillId="0" borderId="0" xfId="0" applyFont="1" applyAlignment="1" applyProtection="1">
      <alignment vertical="center" wrapText="1"/>
      <protection hidden="1"/>
    </xf>
    <xf numFmtId="44" fontId="64" fillId="0" borderId="0" xfId="2212" applyFont="1" applyAlignment="1" applyProtection="1">
      <alignment vertical="center"/>
      <protection hidden="1"/>
    </xf>
    <xf numFmtId="0" fontId="64" fillId="0" borderId="0" xfId="0" applyFont="1" applyAlignment="1" applyProtection="1">
      <alignment vertical="center"/>
      <protection hidden="1"/>
    </xf>
    <xf numFmtId="44" fontId="55" fillId="10" borderId="1" xfId="29" applyNumberFormat="1" applyFont="1" applyBorder="1" applyAlignment="1" applyProtection="1">
      <alignment vertical="center"/>
      <protection hidden="1"/>
    </xf>
    <xf numFmtId="0" fontId="55" fillId="10" borderId="1" xfId="29" applyNumberFormat="1" applyFont="1" applyBorder="1" applyAlignment="1" applyProtection="1">
      <alignment vertical="center"/>
      <protection hidden="1"/>
    </xf>
    <xf numFmtId="0" fontId="14" fillId="0" borderId="1" xfId="0" applyFont="1" applyFill="1" applyBorder="1" applyAlignment="1" applyProtection="1">
      <alignment vertical="center" shrinkToFit="1"/>
      <protection hidden="1"/>
    </xf>
    <xf numFmtId="44" fontId="14" fillId="0" borderId="1" xfId="0" applyNumberFormat="1" applyFont="1" applyFill="1" applyBorder="1" applyAlignment="1" applyProtection="1">
      <alignment vertical="center" shrinkToFit="1"/>
      <protection hidden="1"/>
    </xf>
    <xf numFmtId="44" fontId="14" fillId="0" borderId="1" xfId="0" applyNumberFormat="1" applyFont="1" applyBorder="1" applyAlignment="1" applyProtection="1">
      <alignment vertical="center" shrinkToFit="1"/>
      <protection hidden="1"/>
    </xf>
    <xf numFmtId="0" fontId="26" fillId="0" borderId="1" xfId="0" applyNumberFormat="1" applyFont="1" applyBorder="1" applyAlignment="1" applyProtection="1">
      <alignment vertical="center" wrapText="1"/>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right" vertical="center" wrapText="1"/>
      <protection hidden="1"/>
    </xf>
    <xf numFmtId="0" fontId="26" fillId="4" borderId="0" xfId="0" applyNumberFormat="1" applyFont="1" applyFill="1" applyBorder="1" applyAlignment="1" applyProtection="1">
      <alignment horizontal="center" vertical="center"/>
      <protection hidden="1"/>
    </xf>
    <xf numFmtId="0" fontId="26" fillId="2" borderId="0" xfId="0" applyNumberFormat="1" applyFont="1" applyFill="1" applyBorder="1" applyAlignment="1" applyProtection="1">
      <alignment vertical="center"/>
      <protection hidden="1"/>
    </xf>
    <xf numFmtId="49" fontId="26" fillId="0" borderId="0" xfId="0" applyNumberFormat="1" applyFont="1" applyAlignment="1" applyProtection="1">
      <alignment horizontal="left" vertical="center"/>
      <protection hidden="1"/>
    </xf>
    <xf numFmtId="49" fontId="14" fillId="0" borderId="0" xfId="0" applyNumberFormat="1" applyFont="1" applyAlignment="1" applyProtection="1">
      <alignment horizontal="right" vertical="center"/>
      <protection hidden="1"/>
    </xf>
    <xf numFmtId="44" fontId="13" fillId="0" borderId="0" xfId="0" applyNumberFormat="1" applyFont="1" applyAlignment="1" applyProtection="1">
      <alignment vertical="center"/>
      <protection hidden="1"/>
    </xf>
    <xf numFmtId="0" fontId="18" fillId="0" borderId="0" xfId="0" applyFont="1" applyAlignment="1" applyProtection="1">
      <alignment vertical="center" wrapText="1"/>
      <protection hidden="1"/>
    </xf>
    <xf numFmtId="44" fontId="69" fillId="0" borderId="0" xfId="0" applyNumberFormat="1" applyFont="1" applyAlignment="1" applyProtection="1">
      <alignment vertical="center" wrapText="1"/>
      <protection hidden="1"/>
    </xf>
    <xf numFmtId="44" fontId="18" fillId="0" borderId="0" xfId="0" applyNumberFormat="1" applyFont="1" applyAlignment="1" applyProtection="1">
      <alignment vertical="center" wrapText="1"/>
      <protection hidden="1"/>
    </xf>
    <xf numFmtId="44" fontId="17" fillId="0" borderId="0" xfId="0" applyNumberFormat="1" applyFont="1" applyBorder="1" applyAlignment="1" applyProtection="1">
      <alignment horizontal="right" vertical="center" wrapText="1"/>
      <protection hidden="1"/>
    </xf>
    <xf numFmtId="44" fontId="13" fillId="0" borderId="0" xfId="0" applyNumberFormat="1" applyFont="1" applyFill="1" applyBorder="1" applyAlignment="1" applyProtection="1">
      <alignment vertical="center" shrinkToFit="1"/>
      <protection hidden="1"/>
    </xf>
    <xf numFmtId="44" fontId="17" fillId="0" borderId="10" xfId="0" applyNumberFormat="1" applyFont="1" applyBorder="1" applyAlignment="1" applyProtection="1">
      <alignment horizontal="center" vertical="center" wrapText="1"/>
      <protection hidden="1"/>
    </xf>
    <xf numFmtId="44" fontId="26" fillId="0" borderId="10" xfId="0" applyNumberFormat="1" applyFont="1" applyBorder="1" applyAlignment="1" applyProtection="1">
      <alignment horizontal="center" vertical="center" wrapText="1"/>
      <protection hidden="1"/>
    </xf>
    <xf numFmtId="44" fontId="24" fillId="0" borderId="7" xfId="0" applyNumberFormat="1" applyFont="1" applyBorder="1" applyAlignment="1" applyProtection="1">
      <alignment horizontal="center" vertical="center" wrapText="1"/>
      <protection hidden="1"/>
    </xf>
    <xf numFmtId="44" fontId="51" fillId="0" borderId="7" xfId="0" applyNumberFormat="1" applyFont="1" applyBorder="1" applyAlignment="1" applyProtection="1">
      <alignment horizontal="center" vertical="center" wrapText="1"/>
      <protection hidden="1"/>
    </xf>
    <xf numFmtId="44" fontId="51" fillId="0" borderId="7" xfId="0" applyNumberFormat="1" applyFont="1" applyBorder="1" applyAlignment="1" applyProtection="1">
      <alignment horizontal="center" vertical="center"/>
      <protection hidden="1"/>
    </xf>
    <xf numFmtId="44" fontId="26" fillId="0" borderId="6" xfId="0" applyNumberFormat="1" applyFont="1" applyBorder="1" applyAlignment="1" applyProtection="1">
      <alignment horizontal="center" vertical="center" wrapText="1"/>
      <protection hidden="1"/>
    </xf>
    <xf numFmtId="44" fontId="26" fillId="0" borderId="8" xfId="0" applyNumberFormat="1" applyFont="1" applyBorder="1" applyAlignment="1" applyProtection="1">
      <alignment horizontal="center" vertical="center" wrapText="1"/>
      <protection hidden="1"/>
    </xf>
    <xf numFmtId="44" fontId="51" fillId="0" borderId="6" xfId="0" applyNumberFormat="1" applyFont="1" applyBorder="1" applyAlignment="1" applyProtection="1">
      <alignment horizontal="center" vertical="center"/>
      <protection hidden="1"/>
    </xf>
    <xf numFmtId="49" fontId="26" fillId="0" borderId="0" xfId="0" applyNumberFormat="1" applyFont="1" applyBorder="1" applyAlignment="1" applyProtection="1">
      <alignment horizontal="center" vertical="center"/>
      <protection hidden="1"/>
    </xf>
    <xf numFmtId="44" fontId="24" fillId="0" borderId="0" xfId="0" applyNumberFormat="1" applyFont="1" applyBorder="1" applyAlignment="1" applyProtection="1">
      <alignment horizontal="center" vertical="center"/>
      <protection hidden="1"/>
    </xf>
    <xf numFmtId="44" fontId="51" fillId="0" borderId="0" xfId="0" applyNumberFormat="1" applyFont="1" applyBorder="1" applyAlignment="1" applyProtection="1">
      <alignment horizontal="center" vertical="center"/>
      <protection hidden="1"/>
    </xf>
    <xf numFmtId="44" fontId="51" fillId="0" borderId="0" xfId="0" applyNumberFormat="1" applyFont="1" applyBorder="1" applyAlignment="1" applyProtection="1">
      <alignment horizontal="center" vertical="center" wrapText="1"/>
      <protection hidden="1"/>
    </xf>
    <xf numFmtId="0" fontId="51" fillId="0" borderId="0" xfId="0" applyFont="1" applyBorder="1" applyAlignment="1" applyProtection="1">
      <alignment horizontal="center" vertical="center" wrapText="1"/>
      <protection hidden="1"/>
    </xf>
    <xf numFmtId="0" fontId="14" fillId="0" borderId="0" xfId="0" applyNumberFormat="1" applyFont="1" applyBorder="1" applyAlignment="1" applyProtection="1">
      <alignment horizontal="left" vertical="center" wrapText="1"/>
      <protection hidden="1"/>
    </xf>
    <xf numFmtId="0" fontId="12" fillId="0" borderId="1" xfId="0" applyFont="1" applyBorder="1" applyAlignment="1" applyProtection="1">
      <alignment vertical="center" wrapText="1"/>
      <protection hidden="1"/>
    </xf>
    <xf numFmtId="44" fontId="13" fillId="0" borderId="10" xfId="2213" applyNumberFormat="1" applyFont="1" applyBorder="1" applyAlignment="1" applyProtection="1">
      <alignment vertical="center"/>
      <protection hidden="1"/>
    </xf>
    <xf numFmtId="44" fontId="14" fillId="0" borderId="1" xfId="2213" applyNumberFormat="1" applyFont="1" applyBorder="1" applyAlignment="1" applyProtection="1">
      <alignment vertical="center"/>
      <protection hidden="1"/>
    </xf>
    <xf numFmtId="0" fontId="26" fillId="0" borderId="5" xfId="0" applyFont="1" applyBorder="1" applyAlignment="1" applyProtection="1">
      <alignment vertical="center" wrapText="1"/>
      <protection hidden="1"/>
    </xf>
    <xf numFmtId="44" fontId="13" fillId="0" borderId="1" xfId="2213" applyNumberFormat="1" applyFont="1" applyBorder="1" applyAlignment="1" applyProtection="1">
      <alignment vertical="center"/>
      <protection hidden="1"/>
    </xf>
    <xf numFmtId="44" fontId="14" fillId="0" borderId="3" xfId="2213" applyNumberFormat="1" applyFont="1" applyBorder="1" applyAlignment="1" applyProtection="1">
      <alignment vertical="center"/>
      <protection hidden="1"/>
    </xf>
    <xf numFmtId="0" fontId="14" fillId="0" borderId="5" xfId="0" applyFont="1" applyBorder="1" applyAlignment="1" applyProtection="1">
      <alignment vertical="center" wrapText="1"/>
      <protection hidden="1"/>
    </xf>
    <xf numFmtId="44" fontId="13" fillId="0" borderId="1" xfId="2212" applyNumberFormat="1" applyFont="1" applyBorder="1" applyAlignment="1" applyProtection="1">
      <alignment vertical="center" shrinkToFit="1"/>
      <protection locked="0"/>
    </xf>
    <xf numFmtId="44" fontId="13" fillId="4" borderId="1" xfId="2212" applyNumberFormat="1" applyFont="1" applyFill="1" applyBorder="1" applyAlignment="1" applyProtection="1">
      <alignment vertical="center" shrinkToFit="1"/>
      <protection hidden="1"/>
    </xf>
    <xf numFmtId="44" fontId="14" fillId="4" borderId="1" xfId="2213" applyNumberFormat="1" applyFont="1" applyFill="1" applyBorder="1" applyAlignment="1" applyProtection="1">
      <alignment vertical="center" shrinkToFit="1"/>
      <protection hidden="1"/>
    </xf>
    <xf numFmtId="0" fontId="14" fillId="0" borderId="5" xfId="0" applyFont="1" applyBorder="1" applyAlignment="1" applyProtection="1">
      <alignment vertical="center" shrinkToFit="1"/>
      <protection hidden="1"/>
    </xf>
    <xf numFmtId="44" fontId="13" fillId="4" borderId="1" xfId="2212" applyNumberFormat="1" applyFont="1" applyFill="1" applyBorder="1" applyAlignment="1" applyProtection="1">
      <alignment horizontal="right" vertical="center" shrinkToFit="1"/>
      <protection hidden="1"/>
    </xf>
    <xf numFmtId="49" fontId="60" fillId="14" borderId="1" xfId="26" applyNumberFormat="1" applyFont="1" applyFill="1" applyBorder="1" applyAlignment="1" applyProtection="1">
      <alignment horizontal="right" vertical="center"/>
      <protection hidden="1"/>
    </xf>
    <xf numFmtId="0" fontId="17" fillId="14" borderId="1" xfId="26" applyFont="1" applyFill="1" applyBorder="1" applyAlignment="1" applyProtection="1">
      <alignment vertical="center" wrapText="1"/>
      <protection hidden="1"/>
    </xf>
    <xf numFmtId="44" fontId="17" fillId="14" borderId="1" xfId="26" applyNumberFormat="1" applyFont="1" applyFill="1" applyBorder="1" applyAlignment="1" applyProtection="1">
      <alignment vertical="center" shrinkToFit="1"/>
      <protection hidden="1"/>
    </xf>
    <xf numFmtId="44" fontId="14" fillId="14" borderId="1" xfId="2213" applyNumberFormat="1" applyFont="1" applyFill="1" applyBorder="1" applyAlignment="1" applyProtection="1">
      <alignment vertical="center" shrinkToFit="1"/>
      <protection hidden="1"/>
    </xf>
    <xf numFmtId="49" fontId="14" fillId="0" borderId="0" xfId="0" applyNumberFormat="1" applyFont="1" applyBorder="1" applyAlignment="1" applyProtection="1">
      <alignment horizontal="right" vertical="center"/>
      <protection hidden="1"/>
    </xf>
    <xf numFmtId="0" fontId="14" fillId="0" borderId="0" xfId="0" applyFont="1" applyBorder="1" applyAlignment="1" applyProtection="1">
      <alignment vertical="center" wrapText="1"/>
      <protection hidden="1"/>
    </xf>
    <xf numFmtId="44" fontId="13" fillId="0" borderId="0" xfId="2213" applyNumberFormat="1" applyFont="1" applyBorder="1" applyAlignment="1" applyProtection="1">
      <alignment vertical="center"/>
      <protection hidden="1"/>
    </xf>
    <xf numFmtId="44" fontId="14" fillId="0" borderId="0" xfId="2213" applyNumberFormat="1" applyFont="1" applyBorder="1" applyAlignment="1" applyProtection="1">
      <alignment vertical="center"/>
      <protection hidden="1"/>
    </xf>
    <xf numFmtId="44" fontId="71" fillId="0" borderId="0" xfId="0" applyNumberFormat="1" applyFont="1" applyBorder="1" applyAlignment="1" applyProtection="1">
      <alignment vertical="center" wrapText="1"/>
      <protection hidden="1"/>
    </xf>
    <xf numFmtId="0" fontId="71" fillId="0" borderId="0" xfId="0" applyFont="1" applyBorder="1" applyAlignment="1" applyProtection="1">
      <alignment vertical="center" wrapText="1"/>
      <protection hidden="1"/>
    </xf>
    <xf numFmtId="44" fontId="14" fillId="0" borderId="1" xfId="2213" applyNumberFormat="1" applyFont="1" applyFill="1" applyBorder="1" applyAlignment="1" applyProtection="1">
      <alignment vertical="center"/>
      <protection hidden="1"/>
    </xf>
    <xf numFmtId="165" fontId="27" fillId="4" borderId="10" xfId="2213" applyFont="1" applyFill="1" applyBorder="1" applyAlignment="1" applyProtection="1">
      <alignment horizontal="center" vertical="center"/>
      <protection hidden="1"/>
    </xf>
    <xf numFmtId="44" fontId="27" fillId="4" borderId="7" xfId="2213" applyNumberFormat="1" applyFont="1" applyFill="1" applyBorder="1" applyAlignment="1" applyProtection="1">
      <alignment vertical="center" shrinkToFit="1"/>
      <protection hidden="1"/>
    </xf>
    <xf numFmtId="0" fontId="27" fillId="0" borderId="0" xfId="0" applyFont="1" applyAlignment="1" applyProtection="1">
      <alignment vertical="center"/>
      <protection hidden="1"/>
    </xf>
    <xf numFmtId="44" fontId="27" fillId="4" borderId="13" xfId="0" applyNumberFormat="1" applyFont="1" applyFill="1" applyBorder="1" applyAlignment="1" applyProtection="1">
      <alignment horizontal="center" vertical="center" wrapText="1"/>
      <protection hidden="1"/>
    </xf>
    <xf numFmtId="44" fontId="27" fillId="4" borderId="10" xfId="0" applyNumberFormat="1" applyFont="1" applyFill="1" applyBorder="1" applyAlignment="1" applyProtection="1">
      <alignment horizontal="center" vertical="center" wrapText="1"/>
      <protection hidden="1"/>
    </xf>
    <xf numFmtId="44" fontId="27" fillId="4" borderId="8" xfId="0" applyNumberFormat="1" applyFont="1" applyFill="1" applyBorder="1" applyAlignment="1" applyProtection="1">
      <alignment horizontal="center" vertical="center" wrapText="1"/>
      <protection hidden="1"/>
    </xf>
    <xf numFmtId="44" fontId="27" fillId="4" borderId="6" xfId="0" applyNumberFormat="1" applyFont="1" applyFill="1" applyBorder="1" applyAlignment="1" applyProtection="1">
      <alignment horizontal="center" vertical="center" wrapText="1"/>
      <protection hidden="1"/>
    </xf>
    <xf numFmtId="0" fontId="14" fillId="0" borderId="1" xfId="0" applyFont="1" applyBorder="1" applyAlignment="1" applyProtection="1">
      <alignment vertical="center" wrapText="1"/>
      <protection hidden="1"/>
    </xf>
    <xf numFmtId="44" fontId="13" fillId="0" borderId="1" xfId="2213" applyNumberFormat="1" applyFont="1" applyBorder="1" applyAlignment="1" applyProtection="1">
      <alignment vertical="center" shrinkToFit="1"/>
      <protection locked="0"/>
    </xf>
    <xf numFmtId="44" fontId="14" fillId="0" borderId="1" xfId="2213" applyNumberFormat="1" applyFont="1" applyFill="1" applyBorder="1" applyAlignment="1" applyProtection="1">
      <alignment vertical="center" shrinkToFit="1"/>
      <protection locked="0"/>
    </xf>
    <xf numFmtId="44" fontId="14" fillId="0" borderId="1" xfId="2213" applyNumberFormat="1" applyFont="1" applyBorder="1" applyAlignment="1" applyProtection="1">
      <alignment vertical="center" shrinkToFit="1"/>
      <protection locked="0"/>
    </xf>
    <xf numFmtId="49" fontId="14" fillId="2" borderId="0" xfId="0" applyNumberFormat="1" applyFont="1" applyFill="1" applyBorder="1" applyAlignment="1" applyProtection="1">
      <alignment horizontal="right" vertical="center"/>
      <protection hidden="1"/>
    </xf>
    <xf numFmtId="0" fontId="26" fillId="2" borderId="0" xfId="0" applyFont="1" applyFill="1" applyBorder="1" applyAlignment="1" applyProtection="1">
      <alignment vertical="center" wrapText="1"/>
      <protection hidden="1"/>
    </xf>
    <xf numFmtId="44" fontId="13" fillId="2" borderId="0" xfId="2213" applyNumberFormat="1" applyFont="1" applyFill="1" applyBorder="1" applyAlignment="1" applyProtection="1">
      <alignment vertical="center"/>
      <protection hidden="1"/>
    </xf>
    <xf numFmtId="44" fontId="14" fillId="2" borderId="0" xfId="2213" applyNumberFormat="1" applyFont="1" applyFill="1" applyBorder="1" applyAlignment="1" applyProtection="1">
      <alignment vertical="center"/>
      <protection hidden="1"/>
    </xf>
    <xf numFmtId="165" fontId="14" fillId="2" borderId="0" xfId="2213" applyFont="1" applyFill="1" applyBorder="1" applyAlignment="1" applyProtection="1">
      <alignment vertical="center"/>
      <protection hidden="1"/>
    </xf>
    <xf numFmtId="0" fontId="14" fillId="2" borderId="0" xfId="2213" applyNumberFormat="1" applyFont="1" applyFill="1" applyBorder="1" applyAlignment="1" applyProtection="1">
      <alignment horizontal="left" vertical="center"/>
      <protection hidden="1"/>
    </xf>
    <xf numFmtId="44" fontId="13" fillId="0" borderId="1" xfId="2213" applyNumberFormat="1" applyFont="1" applyBorder="1" applyAlignment="1" applyProtection="1">
      <alignment vertical="center" shrinkToFit="1"/>
      <protection hidden="1"/>
    </xf>
    <xf numFmtId="44" fontId="14" fillId="0" borderId="3" xfId="2213" applyNumberFormat="1" applyFont="1" applyBorder="1" applyAlignment="1" applyProtection="1">
      <alignment vertical="center" shrinkToFit="1"/>
      <protection hidden="1"/>
    </xf>
    <xf numFmtId="44" fontId="14" fillId="0" borderId="1" xfId="2213" applyNumberFormat="1" applyFont="1" applyBorder="1" applyAlignment="1" applyProtection="1">
      <alignment vertical="center" shrinkToFit="1"/>
      <protection hidden="1"/>
    </xf>
    <xf numFmtId="49" fontId="14" fillId="0" borderId="6" xfId="0" applyNumberFormat="1" applyFont="1" applyBorder="1" applyAlignment="1" applyProtection="1">
      <alignment horizontal="right" vertical="center"/>
      <protection hidden="1"/>
    </xf>
    <xf numFmtId="0" fontId="14" fillId="0" borderId="1" xfId="0" applyFont="1" applyFill="1" applyBorder="1" applyAlignment="1" applyProtection="1">
      <alignment vertical="center" wrapText="1"/>
      <protection hidden="1"/>
    </xf>
    <xf numFmtId="49" fontId="14" fillId="0" borderId="1" xfId="0" applyNumberFormat="1" applyFont="1" applyBorder="1" applyAlignment="1" applyProtection="1">
      <alignment horizontal="right" vertical="center" shrinkToFit="1"/>
      <protection hidden="1"/>
    </xf>
    <xf numFmtId="165" fontId="27" fillId="0" borderId="10" xfId="2213" applyFont="1" applyBorder="1" applyAlignment="1" applyProtection="1">
      <alignment horizontal="center" vertical="center"/>
      <protection hidden="1"/>
    </xf>
    <xf numFmtId="44" fontId="27" fillId="4" borderId="6" xfId="2213" applyNumberFormat="1" applyFont="1" applyFill="1" applyBorder="1" applyAlignment="1" applyProtection="1">
      <alignment vertical="center"/>
      <protection hidden="1"/>
    </xf>
    <xf numFmtId="44" fontId="27" fillId="0" borderId="6" xfId="2213" applyNumberFormat="1" applyFont="1" applyBorder="1" applyAlignment="1" applyProtection="1">
      <alignment vertical="center"/>
      <protection hidden="1"/>
    </xf>
    <xf numFmtId="44" fontId="13" fillId="0" borderId="1" xfId="0" applyNumberFormat="1" applyFont="1" applyBorder="1" applyAlignment="1" applyProtection="1">
      <alignment vertical="center" shrinkToFit="1"/>
      <protection locked="0"/>
    </xf>
    <xf numFmtId="44" fontId="14" fillId="0" borderId="1" xfId="0" applyNumberFormat="1" applyFont="1" applyFill="1" applyBorder="1" applyAlignment="1" applyProtection="1">
      <alignment vertical="center" shrinkToFit="1"/>
      <protection locked="0"/>
    </xf>
    <xf numFmtId="44" fontId="14" fillId="0" borderId="3" xfId="2213" applyNumberFormat="1" applyFont="1" applyBorder="1" applyAlignment="1" applyProtection="1">
      <alignment vertical="center" shrinkToFit="1"/>
      <protection locked="0"/>
    </xf>
    <xf numFmtId="44" fontId="14" fillId="2" borderId="3" xfId="2213" applyNumberFormat="1" applyFont="1" applyFill="1" applyBorder="1" applyAlignment="1" applyProtection="1">
      <alignment vertical="center" shrinkToFit="1"/>
      <protection locked="0"/>
    </xf>
    <xf numFmtId="44" fontId="14" fillId="4" borderId="3" xfId="2213" applyNumberFormat="1" applyFont="1" applyFill="1" applyBorder="1" applyAlignment="1" applyProtection="1">
      <alignment vertical="center" shrinkToFit="1"/>
      <protection hidden="1"/>
    </xf>
    <xf numFmtId="0" fontId="14" fillId="0" borderId="5" xfId="0" applyFont="1" applyFill="1" applyBorder="1" applyAlignment="1" applyProtection="1">
      <alignment vertical="center" wrapText="1"/>
      <protection hidden="1"/>
    </xf>
    <xf numFmtId="0" fontId="14" fillId="0" borderId="0" xfId="0" applyNumberFormat="1" applyFont="1" applyAlignment="1" applyProtection="1">
      <alignment horizontal="left" vertical="center"/>
      <protection hidden="1"/>
    </xf>
    <xf numFmtId="0" fontId="14" fillId="0" borderId="14" xfId="0" applyFont="1" applyBorder="1" applyAlignment="1" applyProtection="1">
      <alignment vertical="center" wrapText="1"/>
      <protection hidden="1"/>
    </xf>
    <xf numFmtId="44" fontId="14" fillId="0" borderId="14" xfId="0" applyNumberFormat="1" applyFont="1" applyBorder="1" applyAlignment="1" applyProtection="1">
      <alignment vertical="center"/>
      <protection hidden="1"/>
    </xf>
    <xf numFmtId="0" fontId="27" fillId="0" borderId="0" xfId="0" applyFont="1" applyAlignment="1" applyProtection="1">
      <alignment vertical="top" wrapText="1"/>
      <protection hidden="1"/>
    </xf>
    <xf numFmtId="44" fontId="27" fillId="0" borderId="0" xfId="0" applyNumberFormat="1" applyFont="1" applyAlignment="1" applyProtection="1">
      <alignment vertical="top"/>
      <protection hidden="1"/>
    </xf>
    <xf numFmtId="0" fontId="14" fillId="15" borderId="0" xfId="0" applyFont="1" applyFill="1" applyAlignment="1" applyProtection="1">
      <alignment horizontal="center" vertical="center"/>
      <protection hidden="1"/>
    </xf>
    <xf numFmtId="2" fontId="14" fillId="0" borderId="0" xfId="0" applyNumberFormat="1" applyFont="1" applyAlignment="1" applyProtection="1">
      <alignment horizontal="center"/>
      <protection hidden="1"/>
    </xf>
    <xf numFmtId="0" fontId="14" fillId="0" borderId="0" xfId="0" applyFont="1" applyAlignment="1" applyProtection="1">
      <alignment horizontal="left" wrapText="1"/>
      <protection hidden="1"/>
    </xf>
    <xf numFmtId="0" fontId="14" fillId="0" borderId="0" xfId="0" applyFont="1" applyAlignment="1" applyProtection="1">
      <alignment horizontal="center"/>
      <protection hidden="1"/>
    </xf>
    <xf numFmtId="44" fontId="14" fillId="0" borderId="0" xfId="0" applyNumberFormat="1" applyFont="1" applyAlignment="1" applyProtection="1">
      <alignment horizontal="left"/>
      <protection hidden="1"/>
    </xf>
    <xf numFmtId="0" fontId="14" fillId="0" borderId="0" xfId="0" applyFont="1" applyAlignment="1" applyProtection="1">
      <alignment shrinkToFit="1"/>
      <protection hidden="1"/>
    </xf>
    <xf numFmtId="0" fontId="14" fillId="0" borderId="0" xfId="0" applyFont="1" applyProtection="1">
      <protection hidden="1"/>
    </xf>
    <xf numFmtId="44" fontId="46" fillId="0" borderId="0" xfId="2214" applyNumberFormat="1" applyFont="1" applyFill="1" applyBorder="1" applyAlignment="1" applyProtection="1">
      <alignment horizontal="center"/>
      <protection hidden="1"/>
    </xf>
    <xf numFmtId="49" fontId="26" fillId="0" borderId="0" xfId="0" applyNumberFormat="1" applyFont="1" applyFill="1" applyBorder="1" applyAlignment="1" applyProtection="1">
      <alignment horizontal="right"/>
      <protection hidden="1"/>
    </xf>
    <xf numFmtId="0" fontId="0" fillId="0" borderId="0" xfId="0" applyFill="1" applyAlignment="1" applyProtection="1">
      <alignment horizontal="right"/>
      <protection hidden="1"/>
    </xf>
    <xf numFmtId="0" fontId="14" fillId="0" borderId="0" xfId="0" applyFont="1" applyFill="1" applyBorder="1" applyAlignment="1" applyProtection="1">
      <alignment horizontal="left" wrapText="1"/>
      <protection hidden="1"/>
    </xf>
    <xf numFmtId="0" fontId="0" fillId="0" borderId="0" xfId="0" applyFill="1" applyAlignment="1" applyProtection="1">
      <alignment horizontal="left" wrapText="1"/>
      <protection hidden="1"/>
    </xf>
    <xf numFmtId="0" fontId="0" fillId="0" borderId="0" xfId="0" applyFill="1" applyAlignment="1" applyProtection="1">
      <alignment horizontal="center" wrapText="1"/>
      <protection hidden="1"/>
    </xf>
    <xf numFmtId="0" fontId="0" fillId="0" borderId="0" xfId="0" applyFill="1" applyAlignment="1" applyProtection="1">
      <alignment wrapText="1"/>
      <protection hidden="1"/>
    </xf>
    <xf numFmtId="44" fontId="14" fillId="0" borderId="0" xfId="0" applyNumberFormat="1" applyFont="1" applyFill="1" applyAlignment="1" applyProtection="1">
      <alignment horizontal="left"/>
      <protection hidden="1"/>
    </xf>
    <xf numFmtId="0" fontId="14" fillId="0" borderId="0" xfId="0" applyFont="1" applyFill="1" applyProtection="1">
      <protection hidden="1"/>
    </xf>
    <xf numFmtId="0" fontId="14" fillId="0" borderId="0" xfId="0" applyFont="1" applyFill="1" applyAlignment="1" applyProtection="1">
      <alignment shrinkToFit="1"/>
      <protection hidden="1"/>
    </xf>
    <xf numFmtId="0" fontId="14" fillId="0" borderId="0" xfId="0" applyFont="1" applyBorder="1" applyAlignment="1" applyProtection="1">
      <alignment horizontal="left" wrapText="1"/>
      <protection hidden="1"/>
    </xf>
    <xf numFmtId="0" fontId="14" fillId="15" borderId="0" xfId="0" applyFont="1" applyFill="1" applyBorder="1" applyAlignment="1" applyProtection="1">
      <alignment horizontal="center" vertical="center" wrapText="1"/>
      <protection hidden="1"/>
    </xf>
    <xf numFmtId="0" fontId="14" fillId="0" borderId="0" xfId="0" applyFont="1" applyBorder="1" applyAlignment="1" applyProtection="1">
      <alignment horizontal="center"/>
      <protection hidden="1"/>
    </xf>
    <xf numFmtId="2" fontId="14" fillId="0" borderId="0" xfId="0" applyNumberFormat="1" applyFont="1" applyBorder="1" applyAlignment="1" applyProtection="1">
      <alignment horizontal="center"/>
      <protection hidden="1"/>
    </xf>
    <xf numFmtId="0" fontId="14" fillId="0" borderId="0" xfId="0" applyNumberFormat="1" applyFont="1" applyAlignment="1" applyProtection="1">
      <alignment horizontal="center"/>
      <protection hidden="1"/>
    </xf>
    <xf numFmtId="0" fontId="26" fillId="15" borderId="10" xfId="0" applyFont="1" applyFill="1" applyBorder="1" applyAlignment="1" applyProtection="1">
      <alignment horizontal="center" vertical="center" wrapText="1"/>
      <protection hidden="1"/>
    </xf>
    <xf numFmtId="0" fontId="26" fillId="0" borderId="0" xfId="0" applyFont="1" applyAlignment="1" applyProtection="1">
      <alignment horizontal="center"/>
      <protection hidden="1"/>
    </xf>
    <xf numFmtId="2" fontId="50" fillId="15" borderId="7" xfId="0" applyNumberFormat="1" applyFont="1" applyFill="1" applyBorder="1" applyAlignment="1" applyProtection="1">
      <alignment horizontal="center" vertical="center" wrapText="1"/>
      <protection hidden="1"/>
    </xf>
    <xf numFmtId="0" fontId="14" fillId="15" borderId="6" xfId="0" applyFont="1" applyFill="1" applyBorder="1" applyAlignment="1" applyProtection="1">
      <alignment horizontal="center" vertical="center" wrapText="1"/>
      <protection hidden="1"/>
    </xf>
    <xf numFmtId="49" fontId="26" fillId="0" borderId="12" xfId="0" applyNumberFormat="1" applyFont="1" applyBorder="1" applyAlignment="1" applyProtection="1">
      <alignment horizontal="center" vertical="center" wrapText="1"/>
      <protection hidden="1"/>
    </xf>
    <xf numFmtId="2" fontId="20" fillId="0" borderId="12" xfId="0" applyNumberFormat="1" applyFont="1" applyBorder="1" applyAlignment="1" applyProtection="1">
      <alignment horizontal="center" wrapText="1"/>
      <protection hidden="1"/>
    </xf>
    <xf numFmtId="0" fontId="14" fillId="15" borderId="12" xfId="0" applyFont="1" applyFill="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6" fillId="0" borderId="12" xfId="0" applyNumberFormat="1" applyFont="1" applyBorder="1" applyAlignment="1" applyProtection="1">
      <alignment horizontal="center" vertical="center" wrapText="1"/>
      <protection hidden="1"/>
    </xf>
    <xf numFmtId="0" fontId="26" fillId="0" borderId="0" xfId="0" applyFont="1" applyBorder="1" applyAlignment="1" applyProtection="1">
      <alignment horizontal="center" vertical="center" shrinkToFit="1"/>
      <protection hidden="1"/>
    </xf>
    <xf numFmtId="44" fontId="26" fillId="0" borderId="0" xfId="0" applyNumberFormat="1" applyFont="1" applyBorder="1" applyAlignment="1" applyProtection="1">
      <alignment horizontal="center"/>
      <protection hidden="1"/>
    </xf>
    <xf numFmtId="0" fontId="26" fillId="0" borderId="0" xfId="0" applyFont="1" applyAlignment="1" applyProtection="1">
      <alignment horizontal="center" shrinkToFit="1"/>
      <protection hidden="1"/>
    </xf>
    <xf numFmtId="0" fontId="5" fillId="0" borderId="1" xfId="0" applyFont="1" applyBorder="1" applyAlignment="1">
      <alignment horizontal="center" vertical="center"/>
    </xf>
    <xf numFmtId="0" fontId="14" fillId="4" borderId="1" xfId="0" applyFont="1" applyFill="1" applyBorder="1" applyAlignment="1" applyProtection="1">
      <alignment horizontal="left" vertical="center" wrapText="1"/>
      <protection hidden="1"/>
    </xf>
    <xf numFmtId="0" fontId="14" fillId="15" borderId="1" xfId="0" applyFont="1" applyFill="1" applyBorder="1" applyAlignment="1" applyProtection="1">
      <alignment horizontal="left" vertical="center" wrapText="1"/>
      <protection hidden="1"/>
    </xf>
    <xf numFmtId="174" fontId="14" fillId="4" borderId="1" xfId="0" applyNumberFormat="1" applyFont="1" applyFill="1" applyBorder="1" applyAlignment="1" applyProtection="1">
      <alignment horizontal="center" vertical="center" wrapText="1"/>
      <protection hidden="1"/>
    </xf>
    <xf numFmtId="165" fontId="14" fillId="4" borderId="1" xfId="0" applyNumberFormat="1" applyFont="1" applyFill="1" applyBorder="1" applyAlignment="1" applyProtection="1">
      <alignment horizontal="center" vertical="center" wrapText="1"/>
      <protection hidden="1"/>
    </xf>
    <xf numFmtId="0" fontId="14" fillId="4" borderId="1" xfId="0" applyFont="1" applyFill="1" applyBorder="1" applyAlignment="1" applyProtection="1">
      <alignment horizontal="center" vertical="center" wrapText="1"/>
      <protection hidden="1"/>
    </xf>
    <xf numFmtId="44" fontId="14" fillId="4" borderId="1" xfId="0" applyNumberFormat="1" applyFont="1" applyFill="1" applyBorder="1" applyAlignment="1" applyProtection="1">
      <alignment horizontal="left" vertical="center" shrinkToFit="1"/>
      <protection hidden="1"/>
    </xf>
    <xf numFmtId="44" fontId="14" fillId="4" borderId="33" xfId="0" applyNumberFormat="1" applyFont="1" applyFill="1" applyBorder="1" applyAlignment="1" applyProtection="1">
      <alignment horizontal="left" vertical="center" shrinkToFit="1"/>
      <protection hidden="1"/>
    </xf>
    <xf numFmtId="44" fontId="14" fillId="4" borderId="3" xfId="0" applyNumberFormat="1" applyFont="1" applyFill="1" applyBorder="1" applyAlignment="1" applyProtection="1">
      <alignment vertical="center" shrinkToFit="1"/>
      <protection hidden="1"/>
    </xf>
    <xf numFmtId="0" fontId="5" fillId="0" borderId="28" xfId="0" applyFont="1" applyBorder="1" applyAlignment="1">
      <alignment horizontal="center" vertical="center"/>
    </xf>
    <xf numFmtId="0" fontId="14" fillId="4" borderId="28" xfId="0" applyFont="1" applyFill="1" applyBorder="1" applyAlignment="1" applyProtection="1">
      <alignment horizontal="left" vertical="center" wrapText="1"/>
      <protection hidden="1"/>
    </xf>
    <xf numFmtId="0" fontId="14" fillId="15" borderId="28" xfId="0" applyFont="1" applyFill="1" applyBorder="1" applyAlignment="1" applyProtection="1">
      <alignment horizontal="left" vertical="center" wrapText="1"/>
      <protection hidden="1"/>
    </xf>
    <xf numFmtId="174" fontId="14" fillId="4" borderId="28" xfId="0" applyNumberFormat="1" applyFont="1" applyFill="1" applyBorder="1" applyAlignment="1" applyProtection="1">
      <alignment horizontal="center" vertical="center" wrapText="1"/>
      <protection hidden="1"/>
    </xf>
    <xf numFmtId="165" fontId="14" fillId="4" borderId="28" xfId="0" applyNumberFormat="1" applyFont="1" applyFill="1" applyBorder="1" applyAlignment="1" applyProtection="1">
      <alignment horizontal="center" vertical="center" wrapText="1"/>
      <protection hidden="1"/>
    </xf>
    <xf numFmtId="0" fontId="14" fillId="4" borderId="28" xfId="0" applyFont="1" applyFill="1" applyBorder="1" applyAlignment="1" applyProtection="1">
      <alignment horizontal="center" vertical="center" wrapText="1"/>
      <protection hidden="1"/>
    </xf>
    <xf numFmtId="44" fontId="14" fillId="4" borderId="28" xfId="0" applyNumberFormat="1" applyFont="1" applyFill="1" applyBorder="1" applyAlignment="1" applyProtection="1">
      <alignment horizontal="left" vertical="center" shrinkToFit="1"/>
      <protection hidden="1"/>
    </xf>
    <xf numFmtId="44" fontId="14" fillId="4" borderId="30" xfId="0" applyNumberFormat="1" applyFont="1" applyFill="1" applyBorder="1" applyAlignment="1" applyProtection="1">
      <alignment horizontal="left" vertical="center" shrinkToFit="1"/>
      <protection hidden="1"/>
    </xf>
    <xf numFmtId="44" fontId="14" fillId="4" borderId="25" xfId="0" applyNumberFormat="1" applyFont="1" applyFill="1" applyBorder="1" applyAlignment="1" applyProtection="1">
      <alignment vertical="center" shrinkToFit="1"/>
      <protection hidden="1"/>
    </xf>
    <xf numFmtId="0" fontId="5" fillId="0" borderId="6" xfId="0" applyFont="1" applyBorder="1" applyAlignment="1">
      <alignment horizontal="center" vertical="center"/>
    </xf>
    <xf numFmtId="0" fontId="14" fillId="4" borderId="6" xfId="0" applyFont="1" applyFill="1" applyBorder="1" applyAlignment="1" applyProtection="1">
      <alignment horizontal="left" vertical="center" wrapText="1"/>
      <protection hidden="1"/>
    </xf>
    <xf numFmtId="0" fontId="14" fillId="15" borderId="6" xfId="0" applyFont="1" applyFill="1" applyBorder="1" applyAlignment="1" applyProtection="1">
      <alignment horizontal="left" vertical="center" wrapText="1"/>
      <protection hidden="1"/>
    </xf>
    <xf numFmtId="174" fontId="14" fillId="4" borderId="6" xfId="0" applyNumberFormat="1" applyFont="1" applyFill="1" applyBorder="1" applyAlignment="1" applyProtection="1">
      <alignment horizontal="center" vertical="center" wrapText="1"/>
      <protection hidden="1"/>
    </xf>
    <xf numFmtId="165" fontId="14" fillId="4" borderId="6" xfId="0" applyNumberFormat="1" applyFont="1" applyFill="1" applyBorder="1" applyAlignment="1" applyProtection="1">
      <alignment horizontal="center" vertical="center" wrapText="1"/>
      <protection hidden="1"/>
    </xf>
    <xf numFmtId="0" fontId="14" fillId="4" borderId="6" xfId="0" applyFont="1" applyFill="1" applyBorder="1" applyAlignment="1" applyProtection="1">
      <alignment horizontal="center" vertical="center" wrapText="1"/>
      <protection hidden="1"/>
    </xf>
    <xf numFmtId="44" fontId="14" fillId="4" borderId="6" xfId="0" applyNumberFormat="1" applyFont="1" applyFill="1" applyBorder="1" applyAlignment="1" applyProtection="1">
      <alignment horizontal="left" vertical="center" shrinkToFit="1"/>
      <protection hidden="1"/>
    </xf>
    <xf numFmtId="44" fontId="14" fillId="4" borderId="37" xfId="0" applyNumberFormat="1" applyFont="1" applyFill="1" applyBorder="1" applyAlignment="1" applyProtection="1">
      <alignment horizontal="left" vertical="center" shrinkToFit="1"/>
      <protection hidden="1"/>
    </xf>
    <xf numFmtId="44" fontId="14" fillId="4" borderId="38" xfId="0" applyNumberFormat="1" applyFont="1" applyFill="1" applyBorder="1" applyAlignment="1" applyProtection="1">
      <alignment vertical="center" shrinkToFit="1"/>
      <protection hidden="1"/>
    </xf>
    <xf numFmtId="0" fontId="51" fillId="0" borderId="0" xfId="0" applyFont="1" applyBorder="1" applyAlignment="1" applyProtection="1">
      <alignment horizontal="center"/>
      <protection hidden="1"/>
    </xf>
    <xf numFmtId="0" fontId="26" fillId="15" borderId="0" xfId="0" applyFont="1" applyFill="1" applyAlignment="1" applyProtection="1">
      <alignment horizontal="right" vertical="center" wrapText="1"/>
      <protection hidden="1"/>
    </xf>
    <xf numFmtId="164" fontId="26" fillId="4" borderId="6" xfId="0" applyNumberFormat="1" applyFont="1" applyFill="1" applyBorder="1" applyAlignment="1" applyProtection="1">
      <alignment horizontal="center" vertical="center"/>
      <protection hidden="1"/>
    </xf>
    <xf numFmtId="165" fontId="26" fillId="4" borderId="6" xfId="0" applyNumberFormat="1" applyFont="1" applyFill="1" applyBorder="1" applyAlignment="1" applyProtection="1">
      <alignment horizontal="center" vertical="center"/>
      <protection hidden="1"/>
    </xf>
    <xf numFmtId="0" fontId="14" fillId="0" borderId="0" xfId="0" applyFont="1" applyAlignment="1" applyProtection="1">
      <alignment horizontal="right" vertical="center" wrapText="1" shrinkToFit="1"/>
      <protection hidden="1"/>
    </xf>
    <xf numFmtId="0" fontId="14" fillId="0" borderId="0" xfId="0" applyNumberFormat="1" applyFont="1" applyAlignment="1" applyProtection="1">
      <alignment horizontal="left" vertical="center" shrinkToFit="1"/>
      <protection hidden="1"/>
    </xf>
    <xf numFmtId="44" fontId="26" fillId="4" borderId="10" xfId="0" applyNumberFormat="1" applyFont="1" applyFill="1" applyBorder="1" applyAlignment="1" applyProtection="1">
      <alignment horizontal="left" vertical="center" shrinkToFit="1"/>
      <protection hidden="1"/>
    </xf>
    <xf numFmtId="44" fontId="26" fillId="4" borderId="1" xfId="0" applyNumberFormat="1" applyFont="1" applyFill="1" applyBorder="1" applyAlignment="1" applyProtection="1">
      <alignment horizontal="left" vertical="center" shrinkToFit="1"/>
      <protection hidden="1"/>
    </xf>
    <xf numFmtId="44" fontId="26" fillId="4" borderId="33" xfId="0" applyNumberFormat="1" applyFont="1" applyFill="1" applyBorder="1" applyAlignment="1" applyProtection="1">
      <alignment horizontal="left" vertical="center" shrinkToFit="1"/>
      <protection hidden="1"/>
    </xf>
    <xf numFmtId="44" fontId="26" fillId="4" borderId="3" xfId="0" applyNumberFormat="1" applyFont="1" applyFill="1" applyBorder="1" applyAlignment="1" applyProtection="1">
      <alignment vertical="center" shrinkToFit="1"/>
      <protection hidden="1"/>
    </xf>
    <xf numFmtId="0" fontId="26" fillId="0" borderId="0" xfId="0" applyFont="1" applyBorder="1" applyAlignment="1" applyProtection="1">
      <alignment horizontal="center" wrapText="1"/>
      <protection hidden="1"/>
    </xf>
    <xf numFmtId="0" fontId="26" fillId="15" borderId="0" xfId="0" applyFont="1" applyFill="1" applyBorder="1" applyAlignment="1" applyProtection="1">
      <alignment horizontal="center" wrapText="1"/>
      <protection hidden="1"/>
    </xf>
    <xf numFmtId="0" fontId="26" fillId="0" borderId="0" xfId="0" applyFont="1" applyBorder="1" applyAlignment="1" applyProtection="1">
      <alignment horizontal="center"/>
      <protection hidden="1"/>
    </xf>
    <xf numFmtId="0" fontId="26" fillId="0" borderId="0" xfId="0" applyFont="1" applyBorder="1" applyAlignment="1" applyProtection="1">
      <alignment horizontal="right" vertical="center" wrapText="1"/>
      <protection hidden="1"/>
    </xf>
    <xf numFmtId="165" fontId="26" fillId="0" borderId="0" xfId="0" applyNumberFormat="1" applyFont="1" applyBorder="1" applyAlignment="1" applyProtection="1">
      <alignment horizontal="center" vertical="center"/>
      <protection hidden="1"/>
    </xf>
    <xf numFmtId="44" fontId="26" fillId="0" borderId="0" xfId="0" applyNumberFormat="1" applyFont="1" applyBorder="1" applyAlignment="1" applyProtection="1">
      <alignment horizontal="center" shrinkToFit="1"/>
      <protection hidden="1"/>
    </xf>
    <xf numFmtId="0" fontId="14" fillId="0" borderId="0" xfId="0" applyFont="1" applyAlignment="1" applyProtection="1">
      <alignment vertical="center" shrinkToFit="1"/>
      <protection hidden="1"/>
    </xf>
    <xf numFmtId="44" fontId="26" fillId="0" borderId="0" xfId="0" applyNumberFormat="1" applyFont="1" applyFill="1" applyBorder="1" applyAlignment="1" applyProtection="1">
      <alignment horizontal="center" vertical="center" shrinkToFit="1"/>
      <protection hidden="1"/>
    </xf>
    <xf numFmtId="0" fontId="26" fillId="0" borderId="0" xfId="0" applyFont="1" applyBorder="1" applyAlignment="1" applyProtection="1">
      <alignment horizontal="left"/>
      <protection hidden="1"/>
    </xf>
    <xf numFmtId="2" fontId="26" fillId="0" borderId="0" xfId="0" applyNumberFormat="1" applyFont="1" applyBorder="1" applyAlignment="1" applyProtection="1">
      <alignment horizontal="center"/>
      <protection hidden="1"/>
    </xf>
    <xf numFmtId="0" fontId="51" fillId="0" borderId="0" xfId="0" applyFont="1" applyFill="1" applyBorder="1" applyAlignment="1" applyProtection="1">
      <alignment horizontal="center"/>
      <protection hidden="1"/>
    </xf>
    <xf numFmtId="0" fontId="26" fillId="0" borderId="0" xfId="0" applyFont="1" applyFill="1" applyAlignment="1" applyProtection="1">
      <alignment horizontal="right" vertical="center" wrapText="1"/>
      <protection hidden="1"/>
    </xf>
    <xf numFmtId="0" fontId="14" fillId="0" borderId="0" xfId="0" applyFont="1" applyFill="1" applyAlignment="1" applyProtection="1">
      <alignment horizontal="left" vertical="center" wrapText="1"/>
      <protection hidden="1"/>
    </xf>
    <xf numFmtId="0" fontId="14" fillId="0" borderId="0" xfId="0" applyFont="1" applyFill="1" applyAlignment="1" applyProtection="1">
      <alignment vertical="center" shrinkToFit="1"/>
      <protection hidden="1"/>
    </xf>
    <xf numFmtId="2" fontId="14" fillId="4" borderId="1" xfId="0" applyNumberFormat="1" applyFont="1" applyFill="1" applyBorder="1" applyAlignment="1" applyProtection="1">
      <alignment horizontal="center" vertical="center" wrapText="1"/>
      <protection hidden="1"/>
    </xf>
    <xf numFmtId="2" fontId="14" fillId="4" borderId="28" xfId="0" applyNumberFormat="1" applyFont="1" applyFill="1" applyBorder="1" applyAlignment="1" applyProtection="1">
      <alignment horizontal="center" vertical="center" wrapText="1"/>
      <protection hidden="1"/>
    </xf>
    <xf numFmtId="2" fontId="14" fillId="4" borderId="6" xfId="0" applyNumberFormat="1" applyFont="1" applyFill="1" applyBorder="1" applyAlignment="1" applyProtection="1">
      <alignment horizontal="center" vertical="center" wrapText="1"/>
      <protection hidden="1"/>
    </xf>
    <xf numFmtId="0" fontId="50" fillId="0" borderId="0" xfId="0" applyFont="1" applyFill="1" applyBorder="1" applyAlignment="1" applyProtection="1">
      <alignment horizontal="right" vertical="center" wrapText="1"/>
      <protection hidden="1"/>
    </xf>
    <xf numFmtId="2" fontId="50" fillId="0" borderId="0" xfId="0" applyNumberFormat="1" applyFont="1" applyFill="1" applyAlignment="1" applyProtection="1">
      <alignment horizontal="center" vertical="center" wrapText="1"/>
      <protection hidden="1"/>
    </xf>
    <xf numFmtId="44" fontId="26" fillId="0" borderId="0" xfId="0" applyNumberFormat="1" applyFont="1" applyFill="1" applyBorder="1" applyAlignment="1" applyProtection="1">
      <alignment horizontal="left" vertical="center" shrinkToFit="1"/>
      <protection hidden="1"/>
    </xf>
    <xf numFmtId="0" fontId="26" fillId="15" borderId="0" xfId="0" applyFont="1" applyFill="1" applyBorder="1" applyAlignment="1" applyProtection="1">
      <alignment horizontal="center" vertical="center" wrapText="1"/>
      <protection hidden="1"/>
    </xf>
    <xf numFmtId="0" fontId="26" fillId="0" borderId="0" xfId="0" applyNumberFormat="1" applyFont="1" applyBorder="1" applyAlignment="1" applyProtection="1">
      <alignment horizontal="center"/>
      <protection hidden="1"/>
    </xf>
    <xf numFmtId="44" fontId="26" fillId="0" borderId="14" xfId="0" applyNumberFormat="1" applyFont="1" applyBorder="1" applyAlignment="1" applyProtection="1">
      <alignment horizontal="center" vertical="center" wrapText="1"/>
      <protection hidden="1"/>
    </xf>
    <xf numFmtId="44" fontId="26" fillId="4" borderId="7" xfId="0" applyNumberFormat="1" applyFont="1" applyFill="1" applyBorder="1" applyAlignment="1" applyProtection="1">
      <alignment horizontal="left" vertical="center" shrinkToFit="1"/>
      <protection hidden="1"/>
    </xf>
    <xf numFmtId="44" fontId="26" fillId="4" borderId="36" xfId="0" applyNumberFormat="1" applyFont="1" applyFill="1" applyBorder="1" applyAlignment="1" applyProtection="1">
      <alignment horizontal="left" vertical="center" shrinkToFit="1"/>
      <protection hidden="1"/>
    </xf>
    <xf numFmtId="174" fontId="14" fillId="4" borderId="1" xfId="0" applyNumberFormat="1" applyFont="1" applyFill="1" applyBorder="1" applyAlignment="1" applyProtection="1">
      <alignment horizontal="left" vertical="center" wrapText="1"/>
      <protection hidden="1"/>
    </xf>
    <xf numFmtId="174" fontId="14" fillId="4" borderId="28" xfId="0" applyNumberFormat="1" applyFont="1" applyFill="1" applyBorder="1" applyAlignment="1" applyProtection="1">
      <alignment horizontal="left" vertical="center" wrapText="1"/>
      <protection hidden="1"/>
    </xf>
    <xf numFmtId="174" fontId="14" fillId="4" borderId="6" xfId="0" applyNumberFormat="1" applyFont="1" applyFill="1" applyBorder="1" applyAlignment="1" applyProtection="1">
      <alignment horizontal="left" vertical="center" wrapText="1"/>
      <protection hidden="1"/>
    </xf>
    <xf numFmtId="44" fontId="26" fillId="4" borderId="6" xfId="0" applyNumberFormat="1" applyFont="1" applyFill="1" applyBorder="1" applyAlignment="1" applyProtection="1">
      <alignment horizontal="left" vertical="center" shrinkToFit="1"/>
      <protection hidden="1"/>
    </xf>
    <xf numFmtId="44" fontId="26" fillId="4" borderId="37" xfId="0" applyNumberFormat="1" applyFont="1" applyFill="1" applyBorder="1" applyAlignment="1" applyProtection="1">
      <alignment horizontal="left" vertical="center" shrinkToFit="1"/>
      <protection hidden="1"/>
    </xf>
    <xf numFmtId="44" fontId="14" fillId="0" borderId="0" xfId="0" applyNumberFormat="1" applyFont="1" applyBorder="1" applyAlignment="1" applyProtection="1">
      <alignment vertical="center" shrinkToFit="1"/>
      <protection hidden="1"/>
    </xf>
    <xf numFmtId="44" fontId="26" fillId="0" borderId="12" xfId="0" applyNumberFormat="1" applyFont="1" applyBorder="1" applyAlignment="1" applyProtection="1">
      <alignment vertical="center" wrapText="1"/>
      <protection hidden="1"/>
    </xf>
    <xf numFmtId="44" fontId="26" fillId="0" borderId="0" xfId="0" applyNumberFormat="1" applyFont="1" applyBorder="1" applyAlignment="1" applyProtection="1">
      <alignment vertical="center" wrapText="1"/>
      <protection hidden="1"/>
    </xf>
    <xf numFmtId="0" fontId="26" fillId="15" borderId="0" xfId="0" applyFont="1" applyFill="1" applyBorder="1" applyAlignment="1" applyProtection="1">
      <alignment horizontal="right" vertical="center" wrapText="1"/>
      <protection hidden="1"/>
    </xf>
    <xf numFmtId="44" fontId="26" fillId="4" borderId="11" xfId="0" applyNumberFormat="1" applyFont="1" applyFill="1" applyBorder="1" applyAlignment="1" applyProtection="1">
      <alignment vertical="center" shrinkToFit="1"/>
      <protection hidden="1"/>
    </xf>
    <xf numFmtId="0" fontId="14" fillId="0" borderId="0" xfId="0" applyFont="1" applyFill="1" applyBorder="1" applyAlignment="1" applyProtection="1">
      <alignment horizontal="left" vertical="center" wrapText="1"/>
      <protection hidden="1"/>
    </xf>
    <xf numFmtId="44" fontId="14" fillId="0" borderId="12" xfId="0" applyNumberFormat="1" applyFont="1" applyFill="1" applyBorder="1" applyAlignment="1" applyProtection="1">
      <alignment vertical="center" shrinkToFit="1"/>
      <protection hidden="1"/>
    </xf>
    <xf numFmtId="44" fontId="26" fillId="0" borderId="14" xfId="0" applyNumberFormat="1" applyFont="1" applyBorder="1" applyAlignment="1" applyProtection="1">
      <alignment vertical="center" wrapText="1"/>
      <protection hidden="1"/>
    </xf>
    <xf numFmtId="0" fontId="14" fillId="4" borderId="40" xfId="0" applyFont="1" applyFill="1" applyBorder="1" applyAlignment="1" applyProtection="1">
      <alignment horizontal="left" vertical="center" wrapText="1"/>
      <protection hidden="1"/>
    </xf>
    <xf numFmtId="49" fontId="27" fillId="0" borderId="0" xfId="0" applyNumberFormat="1" applyFont="1" applyAlignment="1" applyProtection="1">
      <alignment horizontal="center"/>
      <protection hidden="1"/>
    </xf>
    <xf numFmtId="0" fontId="14" fillId="15" borderId="0" xfId="0" applyFont="1" applyFill="1" applyAlignment="1" applyProtection="1">
      <alignment horizontal="left" wrapText="1"/>
      <protection hidden="1"/>
    </xf>
    <xf numFmtId="44" fontId="14" fillId="0" borderId="0" xfId="0" applyNumberFormat="1" applyFont="1" applyFill="1" applyBorder="1" applyAlignment="1" applyProtection="1">
      <alignment horizontal="left"/>
      <protection hidden="1"/>
    </xf>
    <xf numFmtId="0" fontId="14" fillId="0" borderId="0" xfId="0" applyFont="1" applyFill="1" applyAlignment="1" applyProtection="1">
      <alignment horizontal="center" vertical="center"/>
      <protection hidden="1"/>
    </xf>
    <xf numFmtId="0" fontId="14" fillId="0" borderId="0" xfId="0" applyFont="1" applyFill="1" applyBorder="1" applyAlignment="1" applyProtection="1">
      <alignment horizontal="center" wrapText="1"/>
      <protection hidden="1"/>
    </xf>
    <xf numFmtId="0" fontId="14" fillId="0" borderId="0" xfId="0" applyFont="1" applyFill="1" applyBorder="1" applyAlignment="1" applyProtection="1">
      <alignment wrapText="1"/>
      <protection hidden="1"/>
    </xf>
    <xf numFmtId="0" fontId="0" fillId="0" borderId="0" xfId="0" applyFill="1" applyAlignment="1" applyProtection="1">
      <alignment horizontal="right" wrapText="1"/>
      <protection hidden="1"/>
    </xf>
    <xf numFmtId="0" fontId="14" fillId="0" borderId="0" xfId="0" applyFont="1" applyFill="1" applyBorder="1" applyAlignment="1" applyProtection="1">
      <alignment horizontal="center" vertical="center" wrapText="1"/>
      <protection hidden="1"/>
    </xf>
    <xf numFmtId="0" fontId="26" fillId="0" borderId="10" xfId="0" applyFont="1" applyFill="1" applyBorder="1" applyAlignment="1" applyProtection="1">
      <alignment horizontal="center" vertical="center" wrapText="1"/>
      <protection hidden="1"/>
    </xf>
    <xf numFmtId="2" fontId="50" fillId="0" borderId="7" xfId="0" applyNumberFormat="1"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0" fontId="26" fillId="0" borderId="0" xfId="0" applyFont="1" applyFill="1" applyBorder="1" applyAlignment="1" applyProtection="1">
      <alignment horizontal="center" vertical="center" wrapText="1"/>
      <protection hidden="1"/>
    </xf>
    <xf numFmtId="0" fontId="14" fillId="4" borderId="1" xfId="0" applyFont="1" applyFill="1" applyBorder="1" applyAlignment="1" applyProtection="1">
      <alignment horizontal="left" vertical="center" wrapText="1" shrinkToFit="1"/>
      <protection hidden="1"/>
    </xf>
    <xf numFmtId="0" fontId="14" fillId="15" borderId="1" xfId="0" applyFont="1" applyFill="1" applyBorder="1" applyAlignment="1" applyProtection="1">
      <alignment horizontal="center" vertical="center" shrinkToFit="1"/>
      <protection hidden="1"/>
    </xf>
    <xf numFmtId="164" fontId="14" fillId="15" borderId="1" xfId="0" applyNumberFormat="1" applyFont="1" applyFill="1" applyBorder="1" applyAlignment="1" applyProtection="1">
      <alignment horizontal="center" vertical="center" shrinkToFit="1"/>
      <protection hidden="1"/>
    </xf>
    <xf numFmtId="174" fontId="14" fillId="4" borderId="1" xfId="0" applyNumberFormat="1" applyFont="1" applyFill="1" applyBorder="1" applyAlignment="1" applyProtection="1">
      <alignment horizontal="center" vertical="center" shrinkToFit="1"/>
      <protection hidden="1"/>
    </xf>
    <xf numFmtId="165" fontId="14" fillId="4" borderId="1" xfId="0" applyNumberFormat="1" applyFont="1" applyFill="1" applyBorder="1" applyAlignment="1" applyProtection="1">
      <alignment horizontal="center" vertical="center" shrinkToFit="1"/>
      <protection hidden="1"/>
    </xf>
    <xf numFmtId="0" fontId="14" fillId="4" borderId="1" xfId="0" applyNumberFormat="1" applyFont="1" applyFill="1" applyBorder="1" applyAlignment="1" applyProtection="1">
      <alignment horizontal="center" vertical="center" shrinkToFit="1"/>
      <protection hidden="1"/>
    </xf>
    <xf numFmtId="0" fontId="26" fillId="0" borderId="0" xfId="0" applyFont="1" applyAlignment="1" applyProtection="1">
      <alignment horizontal="right" vertical="center" wrapText="1" shrinkToFit="1"/>
      <protection hidden="1"/>
    </xf>
    <xf numFmtId="0" fontId="26" fillId="15" borderId="1" xfId="0" applyFont="1" applyFill="1" applyBorder="1" applyAlignment="1" applyProtection="1">
      <alignment horizontal="center" vertical="center" shrinkToFit="1"/>
      <protection hidden="1"/>
    </xf>
    <xf numFmtId="0" fontId="26" fillId="0" borderId="0" xfId="0" applyFont="1" applyFill="1" applyAlignment="1" applyProtection="1">
      <alignment horizontal="center" vertical="center" shrinkToFit="1"/>
      <protection hidden="1"/>
    </xf>
    <xf numFmtId="164" fontId="26" fillId="4" borderId="6" xfId="0" applyNumberFormat="1" applyFont="1" applyFill="1" applyBorder="1" applyAlignment="1" applyProtection="1">
      <alignment horizontal="center" vertical="center" shrinkToFit="1"/>
      <protection hidden="1"/>
    </xf>
    <xf numFmtId="165" fontId="26" fillId="4" borderId="6" xfId="0" applyNumberFormat="1" applyFont="1" applyFill="1" applyBorder="1" applyAlignment="1" applyProtection="1">
      <alignment horizontal="center" vertical="center" shrinkToFit="1"/>
      <protection hidden="1"/>
    </xf>
    <xf numFmtId="165" fontId="14" fillId="0" borderId="0" xfId="0" applyNumberFormat="1" applyFont="1" applyAlignment="1" applyProtection="1">
      <alignment horizontal="right" vertical="center" wrapText="1" shrinkToFit="1"/>
      <protection hidden="1"/>
    </xf>
    <xf numFmtId="0" fontId="26" fillId="0" borderId="0" xfId="0" applyFont="1" applyFill="1" applyAlignment="1" applyProtection="1">
      <alignment horizontal="right" vertical="center" wrapText="1" shrinkToFit="1"/>
      <protection hidden="1"/>
    </xf>
    <xf numFmtId="164" fontId="26" fillId="0" borderId="0" xfId="0" applyNumberFormat="1" applyFont="1" applyFill="1" applyBorder="1" applyAlignment="1" applyProtection="1">
      <alignment horizontal="center" vertical="center" shrinkToFit="1"/>
      <protection hidden="1"/>
    </xf>
    <xf numFmtId="165" fontId="26" fillId="0" borderId="0" xfId="0" applyNumberFormat="1" applyFont="1" applyFill="1" applyBorder="1" applyAlignment="1" applyProtection="1">
      <alignment horizontal="center" vertical="center" shrinkToFit="1"/>
      <protection hidden="1"/>
    </xf>
    <xf numFmtId="0" fontId="14" fillId="0" borderId="0" xfId="0" applyFont="1" applyFill="1" applyAlignment="1" applyProtection="1">
      <alignment horizontal="right" vertical="center" wrapText="1" shrinkToFit="1"/>
      <protection hidden="1"/>
    </xf>
    <xf numFmtId="0" fontId="14" fillId="0" borderId="0" xfId="0" applyNumberFormat="1" applyFont="1" applyFill="1" applyAlignment="1" applyProtection="1">
      <alignment horizontal="left" vertical="center" shrinkToFit="1"/>
      <protection hidden="1"/>
    </xf>
    <xf numFmtId="0" fontId="14" fillId="0" borderId="0" xfId="0" applyNumberFormat="1" applyFont="1" applyAlignment="1" applyProtection="1">
      <alignment vertical="center" shrinkToFit="1"/>
      <protection hidden="1"/>
    </xf>
    <xf numFmtId="165" fontId="14" fillId="0" borderId="0" xfId="0" applyNumberFormat="1" applyFont="1" applyFill="1" applyAlignment="1" applyProtection="1">
      <alignment horizontal="right" vertical="center" wrapText="1" shrinkToFit="1"/>
      <protection hidden="1"/>
    </xf>
    <xf numFmtId="0" fontId="14" fillId="0" borderId="0" xfId="0" applyNumberFormat="1" applyFont="1" applyFill="1" applyAlignment="1" applyProtection="1">
      <alignment vertical="center" shrinkToFit="1"/>
      <protection hidden="1"/>
    </xf>
    <xf numFmtId="0" fontId="14" fillId="4" borderId="1" xfId="0" applyFont="1" applyFill="1" applyBorder="1" applyAlignment="1" applyProtection="1">
      <alignment horizontal="center" vertical="center" shrinkToFit="1"/>
      <protection hidden="1"/>
    </xf>
    <xf numFmtId="0" fontId="14" fillId="0" borderId="0" xfId="0" applyFont="1" applyAlignment="1" applyProtection="1">
      <alignment horizontal="left" vertical="center" wrapText="1" shrinkToFit="1"/>
      <protection hidden="1"/>
    </xf>
    <xf numFmtId="0" fontId="14" fillId="0" borderId="0" xfId="0" applyFont="1" applyFill="1" applyAlignment="1" applyProtection="1">
      <alignment horizontal="left" vertical="center" wrapText="1" shrinkToFit="1"/>
      <protection hidden="1"/>
    </xf>
    <xf numFmtId="44" fontId="26" fillId="0" borderId="12" xfId="0" applyNumberFormat="1" applyFont="1" applyFill="1" applyBorder="1" applyAlignment="1" applyProtection="1">
      <alignment horizontal="left" vertical="center" shrinkToFit="1"/>
      <protection hidden="1"/>
    </xf>
    <xf numFmtId="44" fontId="14" fillId="0" borderId="0" xfId="0" applyNumberFormat="1" applyFont="1" applyBorder="1" applyAlignment="1" applyProtection="1">
      <alignment horizontal="left"/>
      <protection hidden="1"/>
    </xf>
    <xf numFmtId="44" fontId="14" fillId="0" borderId="14" xfId="0" applyNumberFormat="1" applyFont="1" applyBorder="1" applyAlignment="1" applyProtection="1">
      <alignment horizontal="left"/>
      <protection hidden="1"/>
    </xf>
    <xf numFmtId="0" fontId="14" fillId="4" borderId="41" xfId="0" applyFont="1" applyFill="1" applyBorder="1" applyAlignment="1" applyProtection="1">
      <alignment horizontal="center" vertical="center" shrinkToFit="1"/>
      <protection hidden="1"/>
    </xf>
    <xf numFmtId="0" fontId="14" fillId="4" borderId="42" xfId="0" applyFont="1" applyFill="1" applyBorder="1" applyAlignment="1" applyProtection="1">
      <alignment horizontal="center" vertical="center" shrinkToFit="1"/>
      <protection hidden="1"/>
    </xf>
    <xf numFmtId="0" fontId="14" fillId="4" borderId="28" xfId="0" applyFont="1" applyFill="1" applyBorder="1" applyAlignment="1" applyProtection="1">
      <alignment horizontal="left" vertical="center" wrapText="1" shrinkToFit="1"/>
      <protection hidden="1"/>
    </xf>
    <xf numFmtId="0" fontId="14" fillId="15" borderId="28" xfId="0" applyFont="1" applyFill="1" applyBorder="1" applyAlignment="1" applyProtection="1">
      <alignment horizontal="center" vertical="center" shrinkToFit="1"/>
      <protection hidden="1"/>
    </xf>
    <xf numFmtId="174" fontId="14" fillId="4" borderId="28" xfId="0" applyNumberFormat="1" applyFont="1" applyFill="1" applyBorder="1" applyAlignment="1" applyProtection="1">
      <alignment horizontal="center" vertical="center" shrinkToFit="1"/>
      <protection hidden="1"/>
    </xf>
    <xf numFmtId="165" fontId="14" fillId="4" borderId="28" xfId="0" applyNumberFormat="1" applyFont="1" applyFill="1" applyBorder="1" applyAlignment="1" applyProtection="1">
      <alignment horizontal="center" vertical="center" shrinkToFit="1"/>
      <protection hidden="1"/>
    </xf>
    <xf numFmtId="44" fontId="14" fillId="4" borderId="43" xfId="0" applyNumberFormat="1" applyFont="1" applyFill="1" applyBorder="1" applyAlignment="1" applyProtection="1">
      <alignment vertical="center" shrinkToFit="1"/>
      <protection hidden="1"/>
    </xf>
    <xf numFmtId="0" fontId="14" fillId="4" borderId="6" xfId="0" applyFont="1" applyFill="1" applyBorder="1" applyAlignment="1" applyProtection="1">
      <alignment horizontal="left" vertical="center" wrapText="1" shrinkToFit="1"/>
      <protection hidden="1"/>
    </xf>
    <xf numFmtId="0" fontId="14" fillId="15" borderId="6" xfId="0" applyFont="1" applyFill="1" applyBorder="1" applyAlignment="1" applyProtection="1">
      <alignment horizontal="center" vertical="center" shrinkToFit="1"/>
      <protection hidden="1"/>
    </xf>
    <xf numFmtId="174" fontId="14" fillId="4" borderId="6" xfId="0" applyNumberFormat="1" applyFont="1" applyFill="1" applyBorder="1" applyAlignment="1" applyProtection="1">
      <alignment horizontal="center" vertical="center" shrinkToFit="1"/>
      <protection hidden="1"/>
    </xf>
    <xf numFmtId="165" fontId="14" fillId="4" borderId="6" xfId="0" applyNumberFormat="1" applyFont="1" applyFill="1" applyBorder="1" applyAlignment="1" applyProtection="1">
      <alignment horizontal="center" vertical="center" shrinkToFit="1"/>
      <protection hidden="1"/>
    </xf>
    <xf numFmtId="44" fontId="14" fillId="4" borderId="42" xfId="0" applyNumberFormat="1" applyFont="1" applyFill="1" applyBorder="1" applyAlignment="1" applyProtection="1">
      <alignment horizontal="left" vertical="center" shrinkToFit="1"/>
      <protection hidden="1"/>
    </xf>
    <xf numFmtId="44" fontId="14" fillId="4" borderId="15" xfId="0" applyNumberFormat="1" applyFont="1" applyFill="1" applyBorder="1" applyAlignment="1" applyProtection="1">
      <alignment vertical="center" shrinkToFit="1"/>
      <protection hidden="1"/>
    </xf>
    <xf numFmtId="44" fontId="14" fillId="4" borderId="40" xfId="0" applyNumberFormat="1" applyFont="1" applyFill="1" applyBorder="1" applyAlignment="1" applyProtection="1">
      <alignment horizontal="left" vertical="center" shrinkToFit="1"/>
      <protection hidden="1"/>
    </xf>
    <xf numFmtId="44" fontId="14" fillId="4" borderId="44" xfId="0" applyNumberFormat="1" applyFont="1" applyFill="1" applyBorder="1" applyAlignment="1" applyProtection="1">
      <alignment horizontal="left" vertical="center" shrinkToFit="1"/>
      <protection hidden="1"/>
    </xf>
    <xf numFmtId="44" fontId="14" fillId="4" borderId="27" xfId="0" applyNumberFormat="1" applyFont="1" applyFill="1" applyBorder="1" applyAlignment="1" applyProtection="1">
      <alignment vertical="center" shrinkToFit="1"/>
      <protection hidden="1"/>
    </xf>
    <xf numFmtId="44" fontId="14" fillId="4" borderId="23" xfId="0" applyNumberFormat="1" applyFont="1" applyFill="1" applyBorder="1" applyAlignment="1" applyProtection="1">
      <alignment horizontal="left" vertical="center" shrinkToFit="1"/>
      <protection hidden="1"/>
    </xf>
    <xf numFmtId="44" fontId="14" fillId="4" borderId="41" xfId="0" applyNumberFormat="1" applyFont="1" applyFill="1" applyBorder="1" applyAlignment="1" applyProtection="1">
      <alignment horizontal="left" vertical="center" shrinkToFit="1"/>
      <protection hidden="1"/>
    </xf>
    <xf numFmtId="44" fontId="14" fillId="4" borderId="24" xfId="0" applyNumberFormat="1" applyFont="1" applyFill="1" applyBorder="1" applyAlignment="1" applyProtection="1">
      <alignment horizontal="left" vertical="center" shrinkToFit="1"/>
      <protection hidden="1"/>
    </xf>
    <xf numFmtId="44" fontId="26" fillId="0" borderId="0" xfId="0" applyNumberFormat="1" applyFont="1" applyFill="1" applyBorder="1" applyAlignment="1" applyProtection="1">
      <alignment vertical="center" shrinkToFit="1"/>
      <protection hidden="1"/>
    </xf>
    <xf numFmtId="0" fontId="26" fillId="0" borderId="0" xfId="0" applyFont="1" applyAlignment="1" applyProtection="1">
      <alignment horizontal="center" wrapText="1"/>
      <protection hidden="1"/>
    </xf>
    <xf numFmtId="0" fontId="14" fillId="15" borderId="1" xfId="0" applyFont="1" applyFill="1" applyBorder="1" applyAlignment="1" applyProtection="1">
      <alignment horizontal="center" vertical="center" wrapText="1" shrinkToFit="1"/>
      <protection hidden="1"/>
    </xf>
    <xf numFmtId="174" fontId="14" fillId="4" borderId="1" xfId="0" applyNumberFormat="1" applyFont="1" applyFill="1" applyBorder="1" applyAlignment="1" applyProtection="1">
      <alignment horizontal="center" vertical="center" wrapText="1" shrinkToFit="1"/>
      <protection hidden="1"/>
    </xf>
    <xf numFmtId="2" fontId="14" fillId="4" borderId="1" xfId="0" applyNumberFormat="1" applyFont="1" applyFill="1" applyBorder="1" applyAlignment="1" applyProtection="1">
      <alignment horizontal="center" vertical="center" wrapText="1" shrinkToFit="1"/>
      <protection hidden="1"/>
    </xf>
    <xf numFmtId="0" fontId="14" fillId="4" borderId="1" xfId="0" applyFont="1" applyFill="1" applyBorder="1" applyAlignment="1" applyProtection="1">
      <alignment horizontal="center" vertical="center" wrapText="1" shrinkToFit="1"/>
      <protection hidden="1"/>
    </xf>
    <xf numFmtId="0" fontId="14" fillId="0" borderId="9" xfId="0" applyFont="1" applyFill="1" applyBorder="1" applyAlignment="1" applyProtection="1">
      <alignment horizontal="center" vertical="center" shrinkToFit="1"/>
      <protection hidden="1"/>
    </xf>
    <xf numFmtId="44" fontId="14" fillId="0" borderId="0" xfId="0" applyNumberFormat="1" applyFont="1" applyFill="1" applyBorder="1" applyAlignment="1" applyProtection="1">
      <alignment horizontal="left" vertical="center" shrinkToFit="1"/>
      <protection hidden="1"/>
    </xf>
    <xf numFmtId="49" fontId="27" fillId="0" borderId="0" xfId="0" applyNumberFormat="1" applyFont="1" applyBorder="1" applyAlignment="1" applyProtection="1">
      <alignment horizontal="center" vertical="center"/>
      <protection hidden="1"/>
    </xf>
    <xf numFmtId="0" fontId="14" fillId="0" borderId="0" xfId="0" applyFont="1" applyFill="1" applyAlignment="1" applyProtection="1">
      <alignment horizontal="center" vertical="center" wrapText="1"/>
      <protection hidden="1"/>
    </xf>
    <xf numFmtId="44" fontId="26" fillId="0" borderId="14" xfId="0" applyNumberFormat="1" applyFont="1" applyBorder="1" applyAlignment="1" applyProtection="1">
      <alignment horizontal="center"/>
      <protection hidden="1"/>
    </xf>
    <xf numFmtId="44" fontId="14" fillId="4" borderId="6" xfId="0" applyNumberFormat="1" applyFont="1" applyFill="1" applyBorder="1" applyAlignment="1" applyProtection="1">
      <alignment horizontal="right" vertical="center" shrinkToFit="1"/>
      <protection hidden="1"/>
    </xf>
    <xf numFmtId="44" fontId="14" fillId="4" borderId="1" xfId="0" applyNumberFormat="1" applyFont="1" applyFill="1" applyBorder="1" applyAlignment="1" applyProtection="1">
      <alignment horizontal="right" vertical="center" shrinkToFit="1"/>
      <protection hidden="1"/>
    </xf>
    <xf numFmtId="0" fontId="14" fillId="0" borderId="0" xfId="0" applyNumberFormat="1" applyFont="1" applyAlignment="1" applyProtection="1">
      <alignment horizontal="center" vertical="center" shrinkToFit="1"/>
      <protection hidden="1"/>
    </xf>
    <xf numFmtId="44" fontId="26" fillId="4" borderId="1" xfId="0" applyNumberFormat="1" applyFont="1" applyFill="1" applyBorder="1" applyAlignment="1" applyProtection="1">
      <alignment horizontal="right" vertical="center" shrinkToFit="1"/>
      <protection hidden="1"/>
    </xf>
    <xf numFmtId="44" fontId="26" fillId="4" borderId="33" xfId="0" applyNumberFormat="1" applyFont="1" applyFill="1" applyBorder="1" applyAlignment="1" applyProtection="1">
      <alignment horizontal="right" vertical="center" shrinkToFit="1"/>
      <protection hidden="1"/>
    </xf>
    <xf numFmtId="49" fontId="27" fillId="0" borderId="0" xfId="0" applyNumberFormat="1" applyFont="1" applyFill="1" applyBorder="1" applyAlignment="1" applyProtection="1">
      <alignment horizontal="center" vertical="center"/>
      <protection hidden="1"/>
    </xf>
    <xf numFmtId="0" fontId="14" fillId="0" borderId="0" xfId="0" applyNumberFormat="1" applyFont="1" applyFill="1" applyAlignment="1" applyProtection="1">
      <alignment horizontal="center" vertical="center" shrinkToFit="1"/>
      <protection hidden="1"/>
    </xf>
    <xf numFmtId="44" fontId="26" fillId="0" borderId="0" xfId="0" applyNumberFormat="1" applyFont="1" applyFill="1" applyBorder="1" applyAlignment="1" applyProtection="1">
      <alignment horizontal="right" vertical="center" shrinkToFit="1"/>
      <protection hidden="1"/>
    </xf>
    <xf numFmtId="44" fontId="14" fillId="0" borderId="0" xfId="0" applyNumberFormat="1" applyFont="1" applyAlignment="1" applyProtection="1">
      <alignment horizontal="right"/>
      <protection hidden="1"/>
    </xf>
    <xf numFmtId="44" fontId="26" fillId="4" borderId="10" xfId="0" applyNumberFormat="1" applyFont="1" applyFill="1" applyBorder="1" applyAlignment="1" applyProtection="1">
      <alignment horizontal="right" vertical="center" shrinkToFit="1"/>
      <protection hidden="1"/>
    </xf>
    <xf numFmtId="49" fontId="26" fillId="0" borderId="0" xfId="0" applyNumberFormat="1" applyFont="1" applyAlignment="1" applyProtection="1">
      <alignment horizontal="left"/>
      <protection hidden="1"/>
    </xf>
    <xf numFmtId="0" fontId="14" fillId="4" borderId="40" xfId="0" applyFont="1" applyFill="1" applyBorder="1" applyAlignment="1" applyProtection="1">
      <alignment horizontal="center" vertical="center" shrinkToFit="1"/>
      <protection hidden="1"/>
    </xf>
    <xf numFmtId="0" fontId="13" fillId="0" borderId="0" xfId="2215" applyFill="1" applyBorder="1" applyAlignment="1" applyProtection="1">
      <alignment vertical="center"/>
      <protection hidden="1"/>
    </xf>
    <xf numFmtId="0" fontId="0" fillId="2" borderId="2" xfId="0" applyFill="1" applyBorder="1" applyAlignment="1" applyProtection="1">
      <alignment vertical="center"/>
      <protection hidden="1"/>
    </xf>
    <xf numFmtId="0" fontId="13" fillId="2" borderId="10" xfId="2215" applyFill="1" applyBorder="1" applyAlignment="1" applyProtection="1">
      <alignment horizontal="center" vertical="center"/>
      <protection hidden="1"/>
    </xf>
    <xf numFmtId="0" fontId="13" fillId="2" borderId="2" xfId="2215" applyFill="1" applyBorder="1" applyAlignment="1" applyProtection="1">
      <alignment vertical="center"/>
      <protection hidden="1"/>
    </xf>
    <xf numFmtId="175" fontId="17" fillId="2" borderId="6" xfId="2215" applyNumberFormat="1" applyFont="1" applyFill="1" applyBorder="1" applyAlignment="1" applyProtection="1">
      <alignment horizontal="center" vertical="center"/>
      <protection hidden="1"/>
    </xf>
    <xf numFmtId="0" fontId="0" fillId="0" borderId="9" xfId="0" applyBorder="1" applyAlignment="1" applyProtection="1">
      <alignment vertical="center"/>
      <protection hidden="1"/>
    </xf>
    <xf numFmtId="0" fontId="17" fillId="0" borderId="0" xfId="2215" applyFont="1" applyFill="1" applyBorder="1" applyAlignment="1" applyProtection="1">
      <alignment horizontal="center" vertical="center"/>
      <protection hidden="1"/>
    </xf>
    <xf numFmtId="0" fontId="13" fillId="2" borderId="4" xfId="2215" applyFill="1" applyBorder="1" applyAlignment="1" applyProtection="1">
      <alignment vertical="center"/>
      <protection hidden="1"/>
    </xf>
    <xf numFmtId="0" fontId="0" fillId="0" borderId="0" xfId="0" applyBorder="1" applyAlignment="1" applyProtection="1">
      <alignment vertical="center"/>
      <protection hidden="1"/>
    </xf>
    <xf numFmtId="0" fontId="13" fillId="16" borderId="13" xfId="2215" applyFill="1" applyBorder="1" applyAlignment="1" applyProtection="1">
      <alignment vertical="center"/>
      <protection hidden="1"/>
    </xf>
    <xf numFmtId="0" fontId="13" fillId="16" borderId="10" xfId="2215" applyFill="1" applyBorder="1" applyAlignment="1" applyProtection="1">
      <alignment vertical="center" shrinkToFit="1"/>
      <protection locked="0"/>
    </xf>
    <xf numFmtId="0" fontId="13" fillId="0" borderId="9" xfId="2215" applyFill="1" applyBorder="1" applyAlignment="1" applyProtection="1">
      <alignment vertical="center" shrinkToFit="1"/>
      <protection hidden="1"/>
    </xf>
    <xf numFmtId="0" fontId="13" fillId="16" borderId="7" xfId="2215" applyFill="1" applyBorder="1" applyAlignment="1" applyProtection="1">
      <alignment vertical="center"/>
      <protection hidden="1"/>
    </xf>
    <xf numFmtId="0" fontId="13" fillId="16" borderId="7" xfId="2215" applyFill="1" applyBorder="1" applyAlignment="1" applyProtection="1">
      <alignment vertical="center" shrinkToFit="1"/>
      <protection locked="0"/>
    </xf>
    <xf numFmtId="0" fontId="13" fillId="16" borderId="9" xfId="2215" applyFill="1" applyBorder="1" applyAlignment="1" applyProtection="1">
      <alignment vertical="center"/>
      <protection hidden="1"/>
    </xf>
    <xf numFmtId="0" fontId="13" fillId="16" borderId="6" xfId="2215" applyFill="1" applyBorder="1" applyAlignment="1" applyProtection="1">
      <alignment vertical="center"/>
      <protection hidden="1"/>
    </xf>
    <xf numFmtId="0" fontId="13" fillId="2" borderId="45" xfId="2215" applyFill="1" applyBorder="1" applyAlignment="1" applyProtection="1">
      <alignment vertical="center" shrinkToFit="1"/>
      <protection hidden="1"/>
    </xf>
    <xf numFmtId="0" fontId="17" fillId="0" borderId="12" xfId="2215" applyFont="1" applyBorder="1" applyAlignment="1" applyProtection="1">
      <alignment vertical="center"/>
      <protection hidden="1"/>
    </xf>
    <xf numFmtId="164" fontId="17" fillId="16" borderId="46" xfId="2215" applyNumberFormat="1" applyFont="1" applyFill="1" applyBorder="1" applyAlignment="1" applyProtection="1">
      <alignment vertical="center" shrinkToFit="1"/>
      <protection hidden="1"/>
    </xf>
    <xf numFmtId="164" fontId="17" fillId="16" borderId="47" xfId="2215" applyNumberFormat="1" applyFont="1" applyFill="1" applyBorder="1" applyAlignment="1" applyProtection="1">
      <alignment vertical="center" shrinkToFit="1"/>
      <protection hidden="1"/>
    </xf>
    <xf numFmtId="164" fontId="17" fillId="16" borderId="48" xfId="2215" applyNumberFormat="1" applyFont="1" applyFill="1" applyBorder="1" applyAlignment="1" applyProtection="1">
      <alignment vertical="center" shrinkToFit="1"/>
      <protection hidden="1"/>
    </xf>
    <xf numFmtId="165" fontId="17" fillId="16" borderId="18" xfId="2215" applyNumberFormat="1" applyFont="1" applyFill="1" applyBorder="1" applyAlignment="1" applyProtection="1">
      <alignment vertical="center" shrinkToFit="1"/>
      <protection hidden="1"/>
    </xf>
    <xf numFmtId="0" fontId="13" fillId="2" borderId="14" xfId="2215" applyFill="1" applyBorder="1" applyAlignment="1" applyProtection="1">
      <alignment vertical="center"/>
      <protection hidden="1"/>
    </xf>
    <xf numFmtId="0" fontId="13" fillId="17" borderId="10" xfId="2215" applyFill="1" applyBorder="1" applyAlignment="1" applyProtection="1">
      <alignment vertical="center"/>
      <protection hidden="1"/>
    </xf>
    <xf numFmtId="0" fontId="13" fillId="17" borderId="7" xfId="2215" applyFill="1" applyBorder="1" applyAlignment="1" applyProtection="1">
      <alignment vertical="center" shrinkToFit="1"/>
      <protection locked="0"/>
    </xf>
    <xf numFmtId="0" fontId="13" fillId="17" borderId="7" xfId="2215" applyFill="1" applyBorder="1" applyAlignment="1" applyProtection="1">
      <alignment vertical="center"/>
      <protection hidden="1"/>
    </xf>
    <xf numFmtId="0" fontId="13" fillId="17" borderId="8" xfId="2215" applyFill="1" applyBorder="1" applyAlignment="1" applyProtection="1">
      <alignment vertical="center"/>
      <protection hidden="1"/>
    </xf>
    <xf numFmtId="164" fontId="17" fillId="17" borderId="46" xfId="2215" applyNumberFormat="1" applyFont="1" applyFill="1" applyBorder="1" applyAlignment="1" applyProtection="1">
      <alignment vertical="center" shrinkToFit="1"/>
      <protection hidden="1"/>
    </xf>
    <xf numFmtId="164" fontId="17" fillId="17" borderId="47" xfId="2215" applyNumberFormat="1" applyFont="1" applyFill="1" applyBorder="1" applyAlignment="1" applyProtection="1">
      <alignment vertical="center" shrinkToFit="1"/>
      <protection hidden="1"/>
    </xf>
    <xf numFmtId="164" fontId="17" fillId="17" borderId="48" xfId="2215" applyNumberFormat="1" applyFont="1" applyFill="1" applyBorder="1" applyAlignment="1" applyProtection="1">
      <alignment vertical="center" shrinkToFit="1"/>
      <protection hidden="1"/>
    </xf>
    <xf numFmtId="165" fontId="17" fillId="17" borderId="18" xfId="2215" applyNumberFormat="1" applyFont="1" applyFill="1" applyBorder="1" applyAlignment="1" applyProtection="1">
      <alignment vertical="center" shrinkToFit="1"/>
      <protection hidden="1"/>
    </xf>
    <xf numFmtId="0" fontId="17" fillId="0" borderId="0" xfId="2215" applyFont="1" applyBorder="1" applyAlignment="1" applyProtection="1">
      <alignment vertical="center"/>
      <protection hidden="1"/>
    </xf>
    <xf numFmtId="164" fontId="17" fillId="0" borderId="49" xfId="2215" applyNumberFormat="1" applyFont="1" applyFill="1" applyBorder="1" applyAlignment="1" applyProtection="1">
      <alignment vertical="center" shrinkToFit="1"/>
      <protection hidden="1"/>
    </xf>
    <xf numFmtId="165" fontId="17" fillId="0" borderId="49" xfId="2215" applyNumberFormat="1" applyFont="1" applyFill="1" applyBorder="1" applyAlignment="1" applyProtection="1">
      <alignment vertical="center" shrinkToFit="1"/>
      <protection hidden="1"/>
    </xf>
    <xf numFmtId="0" fontId="17" fillId="0" borderId="0" xfId="2215" applyFont="1" applyBorder="1" applyAlignment="1" applyProtection="1">
      <alignment horizontal="center" vertical="center"/>
      <protection hidden="1"/>
    </xf>
    <xf numFmtId="164" fontId="17" fillId="0" borderId="0" xfId="2215" applyNumberFormat="1" applyFont="1" applyFill="1" applyBorder="1" applyAlignment="1" applyProtection="1">
      <alignment vertical="center" shrinkToFit="1"/>
      <protection hidden="1"/>
    </xf>
    <xf numFmtId="165" fontId="17" fillId="0" borderId="0" xfId="2215" applyNumberFormat="1" applyFont="1" applyFill="1" applyBorder="1" applyAlignment="1" applyProtection="1">
      <alignment vertical="center" shrinkToFit="1"/>
      <protection hidden="1"/>
    </xf>
    <xf numFmtId="0" fontId="17" fillId="0" borderId="0" xfId="2215" applyFont="1" applyFill="1" applyBorder="1" applyAlignment="1" applyProtection="1">
      <alignment horizontal="center"/>
      <protection hidden="1"/>
    </xf>
    <xf numFmtId="164" fontId="13" fillId="16" borderId="10" xfId="2215" applyNumberFormat="1" applyFill="1" applyBorder="1" applyAlignment="1" applyProtection="1">
      <alignment vertical="center" shrinkToFit="1"/>
      <protection locked="0"/>
    </xf>
    <xf numFmtId="164" fontId="13" fillId="16" borderId="7" xfId="2215" applyNumberFormat="1" applyFill="1" applyBorder="1" applyAlignment="1" applyProtection="1">
      <alignment vertical="center" shrinkToFit="1"/>
      <protection locked="0"/>
    </xf>
    <xf numFmtId="0" fontId="13" fillId="0" borderId="0" xfId="2215" applyFill="1" applyBorder="1" applyAlignment="1" applyProtection="1">
      <alignment vertical="center" shrinkToFit="1"/>
      <protection hidden="1"/>
    </xf>
    <xf numFmtId="0" fontId="13" fillId="16" borderId="8" xfId="2215" applyFill="1" applyBorder="1" applyAlignment="1" applyProtection="1">
      <alignment vertical="center"/>
      <protection hidden="1"/>
    </xf>
    <xf numFmtId="164" fontId="13" fillId="16" borderId="6" xfId="2215" applyNumberFormat="1" applyFill="1" applyBorder="1" applyAlignment="1" applyProtection="1">
      <alignment vertical="center" shrinkToFit="1"/>
      <protection locked="0"/>
    </xf>
    <xf numFmtId="165" fontId="17" fillId="0" borderId="51" xfId="2215" applyNumberFormat="1" applyFont="1" applyFill="1" applyBorder="1" applyAlignment="1" applyProtection="1">
      <alignment vertical="center" shrinkToFit="1"/>
      <protection hidden="1"/>
    </xf>
    <xf numFmtId="0" fontId="0" fillId="0" borderId="0" xfId="0" applyAlignment="1" applyProtection="1">
      <alignment horizontal="center" vertical="center"/>
      <protection hidden="1"/>
    </xf>
    <xf numFmtId="2" fontId="13" fillId="0" borderId="0" xfId="2215" applyNumberFormat="1" applyFill="1" applyBorder="1" applyAlignment="1" applyProtection="1">
      <alignment horizontal="center" vertical="center"/>
      <protection hidden="1"/>
    </xf>
    <xf numFmtId="0" fontId="17" fillId="0" borderId="0" xfId="2215" applyFont="1" applyFill="1" applyBorder="1" applyAlignment="1" applyProtection="1">
      <alignment horizontal="right" vertical="center"/>
      <protection hidden="1"/>
    </xf>
    <xf numFmtId="10" fontId="13" fillId="2" borderId="1" xfId="2215" applyNumberFormat="1" applyFill="1" applyBorder="1" applyAlignment="1" applyProtection="1">
      <alignment horizontal="center" vertical="center"/>
      <protection hidden="1"/>
    </xf>
    <xf numFmtId="2" fontId="13" fillId="2" borderId="9" xfId="2215" applyNumberFormat="1" applyFill="1" applyBorder="1" applyAlignment="1" applyProtection="1">
      <alignment horizontal="center" vertical="center"/>
      <protection hidden="1"/>
    </xf>
    <xf numFmtId="0" fontId="50" fillId="0" borderId="0" xfId="2215" applyFont="1" applyFill="1" applyBorder="1" applyAlignment="1" applyProtection="1">
      <alignment horizontal="center" vertical="center"/>
      <protection hidden="1"/>
    </xf>
    <xf numFmtId="0" fontId="13" fillId="2" borderId="4" xfId="2215" applyFill="1" applyBorder="1" applyAlignment="1" applyProtection="1">
      <alignment horizontal="center" vertical="center"/>
      <protection hidden="1"/>
    </xf>
    <xf numFmtId="0" fontId="13" fillId="2" borderId="0" xfId="2215" applyFill="1" applyBorder="1" applyAlignment="1" applyProtection="1">
      <alignment horizontal="center" vertical="center"/>
      <protection hidden="1"/>
    </xf>
    <xf numFmtId="165" fontId="13" fillId="16" borderId="7" xfId="2215" applyNumberFormat="1" applyFill="1" applyBorder="1" applyAlignment="1" applyProtection="1">
      <alignment vertical="center" shrinkToFit="1"/>
      <protection hidden="1"/>
    </xf>
    <xf numFmtId="165" fontId="17" fillId="16" borderId="46" xfId="2215" applyNumberFormat="1" applyFont="1" applyFill="1" applyBorder="1" applyAlignment="1" applyProtection="1">
      <alignment vertical="center" shrinkToFit="1"/>
      <protection hidden="1"/>
    </xf>
    <xf numFmtId="165" fontId="17" fillId="16" borderId="47" xfId="2215" applyNumberFormat="1" applyFont="1" applyFill="1" applyBorder="1" applyAlignment="1" applyProtection="1">
      <alignment vertical="center" shrinkToFit="1"/>
      <protection hidden="1"/>
    </xf>
    <xf numFmtId="165" fontId="17" fillId="16" borderId="48" xfId="2215" applyNumberFormat="1" applyFont="1" applyFill="1" applyBorder="1" applyAlignment="1" applyProtection="1">
      <alignment vertical="center" shrinkToFit="1"/>
      <protection hidden="1"/>
    </xf>
    <xf numFmtId="0" fontId="17" fillId="18" borderId="0" xfId="2215" applyFont="1" applyFill="1" applyBorder="1" applyAlignment="1" applyProtection="1">
      <alignment vertical="center"/>
      <protection hidden="1"/>
    </xf>
    <xf numFmtId="0" fontId="17" fillId="0" borderId="0" xfId="2215" applyFont="1" applyBorder="1" applyAlignment="1" applyProtection="1">
      <alignment vertical="center" shrinkToFit="1"/>
      <protection hidden="1"/>
    </xf>
    <xf numFmtId="0" fontId="13" fillId="19" borderId="0" xfId="2215" applyFill="1" applyBorder="1" applyAlignment="1" applyProtection="1">
      <alignment vertical="center" shrinkToFit="1"/>
      <protection hidden="1"/>
    </xf>
    <xf numFmtId="0" fontId="17" fillId="16" borderId="20" xfId="2215" applyFont="1" applyFill="1" applyBorder="1" applyAlignment="1" applyProtection="1">
      <alignment horizontal="center" vertical="center" shrinkToFit="1"/>
      <protection hidden="1"/>
    </xf>
    <xf numFmtId="2" fontId="13" fillId="0" borderId="9" xfId="2215" applyNumberFormat="1" applyFill="1" applyBorder="1" applyAlignment="1" applyProtection="1">
      <alignment vertical="center" shrinkToFit="1"/>
      <protection hidden="1"/>
    </xf>
    <xf numFmtId="2" fontId="13" fillId="0" borderId="45" xfId="2215" applyNumberFormat="1" applyFill="1" applyBorder="1" applyAlignment="1" applyProtection="1">
      <alignment vertical="center" shrinkToFit="1"/>
      <protection hidden="1"/>
    </xf>
    <xf numFmtId="0" fontId="13" fillId="2" borderId="12" xfId="2215" applyFill="1" applyBorder="1" applyAlignment="1" applyProtection="1">
      <alignment vertical="center"/>
      <protection hidden="1"/>
    </xf>
    <xf numFmtId="0" fontId="13" fillId="2" borderId="0" xfId="2215" applyFill="1" applyBorder="1" applyAlignment="1" applyProtection="1">
      <alignment vertical="center"/>
      <protection hidden="1"/>
    </xf>
    <xf numFmtId="2" fontId="17" fillId="0" borderId="0" xfId="2215" applyNumberFormat="1" applyFont="1" applyFill="1" applyBorder="1" applyAlignment="1" applyProtection="1">
      <alignment vertical="center" shrinkToFit="1"/>
      <protection hidden="1"/>
    </xf>
    <xf numFmtId="2" fontId="17" fillId="0" borderId="0" xfId="2215" applyNumberFormat="1" applyFont="1" applyFill="1" applyBorder="1" applyAlignment="1" applyProtection="1">
      <alignment horizontal="right" vertical="center"/>
      <protection hidden="1"/>
    </xf>
    <xf numFmtId="0" fontId="17" fillId="17" borderId="20" xfId="2215" applyFont="1" applyFill="1" applyBorder="1" applyAlignment="1" applyProtection="1">
      <alignment horizontal="center" vertical="center" shrinkToFit="1"/>
      <protection hidden="1"/>
    </xf>
    <xf numFmtId="0" fontId="13" fillId="17" borderId="13" xfId="2215" applyFill="1" applyBorder="1" applyAlignment="1" applyProtection="1">
      <alignment vertical="center"/>
      <protection hidden="1"/>
    </xf>
    <xf numFmtId="165" fontId="13" fillId="17" borderId="7" xfId="2215" applyNumberFormat="1" applyFill="1" applyBorder="1" applyAlignment="1" applyProtection="1">
      <alignment vertical="center" shrinkToFit="1"/>
      <protection hidden="1"/>
    </xf>
    <xf numFmtId="0" fontId="13" fillId="17" borderId="9" xfId="2215" applyFill="1" applyBorder="1" applyAlignment="1" applyProtection="1">
      <alignment vertical="center"/>
      <protection hidden="1"/>
    </xf>
    <xf numFmtId="165" fontId="17" fillId="17" borderId="46" xfId="2215" applyNumberFormat="1" applyFont="1" applyFill="1" applyBorder="1" applyAlignment="1" applyProtection="1">
      <alignment vertical="center" shrinkToFit="1"/>
      <protection hidden="1"/>
    </xf>
    <xf numFmtId="165" fontId="17" fillId="17" borderId="47" xfId="2215" applyNumberFormat="1" applyFont="1" applyFill="1" applyBorder="1" applyAlignment="1" applyProtection="1">
      <alignment vertical="center" shrinkToFit="1"/>
      <protection hidden="1"/>
    </xf>
    <xf numFmtId="165" fontId="17" fillId="17" borderId="48" xfId="2215" applyNumberFormat="1" applyFont="1" applyFill="1" applyBorder="1" applyAlignment="1" applyProtection="1">
      <alignment vertical="center" shrinkToFit="1"/>
      <protection hidden="1"/>
    </xf>
    <xf numFmtId="0" fontId="0" fillId="0" borderId="9" xfId="0" applyFill="1" applyBorder="1" applyAlignment="1" applyProtection="1">
      <alignment vertical="center" shrinkToFit="1"/>
      <protection hidden="1"/>
    </xf>
    <xf numFmtId="0" fontId="0" fillId="0" borderId="0" xfId="0" applyAlignment="1" applyProtection="1">
      <alignment vertical="center" shrinkToFit="1"/>
      <protection hidden="1"/>
    </xf>
    <xf numFmtId="165" fontId="26" fillId="4" borderId="18" xfId="0" applyNumberFormat="1" applyFont="1" applyFill="1" applyBorder="1" applyAlignment="1" applyProtection="1">
      <alignment vertical="center"/>
      <protection hidden="1"/>
    </xf>
    <xf numFmtId="0" fontId="51" fillId="0" borderId="0" xfId="2216" applyFont="1" applyAlignment="1" applyProtection="1">
      <alignment horizontal="right"/>
      <protection hidden="1"/>
    </xf>
    <xf numFmtId="0" fontId="18" fillId="2" borderId="0" xfId="2217" applyFont="1" applyFill="1" applyBorder="1" applyAlignment="1" applyProtection="1">
      <protection hidden="1"/>
    </xf>
    <xf numFmtId="0" fontId="12" fillId="0" borderId="0" xfId="2216" applyFont="1" applyAlignment="1" applyProtection="1">
      <alignment horizontal="right" vertical="center"/>
      <protection hidden="1"/>
    </xf>
    <xf numFmtId="0" fontId="12" fillId="4" borderId="0" xfId="2216" applyFont="1" applyFill="1" applyAlignment="1" applyProtection="1">
      <alignment horizontal="center" vertical="center"/>
      <protection hidden="1"/>
    </xf>
    <xf numFmtId="0" fontId="5" fillId="0" borderId="0" xfId="2216" applyFont="1" applyAlignment="1" applyProtection="1">
      <alignment horizontal="center" vertical="center"/>
      <protection hidden="1"/>
    </xf>
    <xf numFmtId="0" fontId="5" fillId="0" borderId="0" xfId="2216" applyFont="1" applyAlignment="1" applyProtection="1">
      <alignment vertical="center"/>
      <protection hidden="1"/>
    </xf>
    <xf numFmtId="0" fontId="27" fillId="0" borderId="0" xfId="2216" applyFont="1" applyAlignment="1" applyProtection="1">
      <alignment vertical="center"/>
      <protection hidden="1"/>
    </xf>
    <xf numFmtId="0" fontId="27" fillId="0" borderId="0" xfId="2216" applyFont="1" applyAlignment="1" applyProtection="1">
      <alignment horizontal="center" vertical="center"/>
      <protection hidden="1"/>
    </xf>
    <xf numFmtId="0" fontId="42" fillId="0" borderId="0" xfId="2216" applyFont="1" applyAlignment="1" applyProtection="1">
      <alignment vertical="center"/>
      <protection hidden="1"/>
    </xf>
    <xf numFmtId="0" fontId="12" fillId="0" borderId="0" xfId="2216" applyFont="1" applyAlignment="1" applyProtection="1">
      <alignment horizontal="center" vertical="center"/>
      <protection hidden="1"/>
    </xf>
    <xf numFmtId="165" fontId="5" fillId="4" borderId="0" xfId="2216" applyNumberFormat="1" applyFont="1" applyFill="1" applyAlignment="1" applyProtection="1">
      <alignment horizontal="center" vertical="center"/>
      <protection hidden="1"/>
    </xf>
    <xf numFmtId="164" fontId="5" fillId="4" borderId="0" xfId="2216" applyNumberFormat="1" applyFont="1" applyFill="1" applyAlignment="1" applyProtection="1">
      <alignment horizontal="center" vertical="center"/>
      <protection hidden="1"/>
    </xf>
    <xf numFmtId="165" fontId="5" fillId="3" borderId="0" xfId="2216" applyNumberFormat="1" applyFont="1" applyFill="1" applyAlignment="1" applyProtection="1">
      <alignment horizontal="center" vertical="center"/>
      <protection hidden="1"/>
    </xf>
    <xf numFmtId="164" fontId="5" fillId="3" borderId="0" xfId="2216" applyNumberFormat="1" applyFont="1" applyFill="1" applyAlignment="1" applyProtection="1">
      <alignment horizontal="center" vertical="center"/>
      <protection hidden="1"/>
    </xf>
    <xf numFmtId="0" fontId="5" fillId="0" borderId="0" xfId="2216" applyFont="1" applyFill="1" applyAlignment="1" applyProtection="1">
      <alignment horizontal="center" vertical="center"/>
      <protection hidden="1"/>
    </xf>
    <xf numFmtId="165" fontId="12" fillId="4" borderId="0" xfId="2216" applyNumberFormat="1" applyFont="1" applyFill="1" applyAlignment="1" applyProtection="1">
      <alignment horizontal="center" vertical="center"/>
      <protection hidden="1"/>
    </xf>
    <xf numFmtId="164" fontId="12" fillId="4" borderId="0" xfId="2216" applyNumberFormat="1" applyFont="1" applyFill="1" applyAlignment="1" applyProtection="1">
      <alignment horizontal="center" vertical="center"/>
      <protection hidden="1"/>
    </xf>
    <xf numFmtId="0" fontId="27" fillId="0" borderId="0" xfId="2216" applyFont="1" applyAlignment="1" applyProtection="1">
      <alignment horizontal="center"/>
      <protection hidden="1"/>
    </xf>
    <xf numFmtId="0" fontId="27" fillId="4" borderId="0" xfId="2216" applyFont="1" applyFill="1" applyAlignment="1" applyProtection="1">
      <alignment vertical="center"/>
      <protection hidden="1"/>
    </xf>
    <xf numFmtId="0" fontId="5" fillId="4" borderId="0" xfId="2216" applyFont="1" applyFill="1" applyAlignment="1" applyProtection="1">
      <alignment vertical="center"/>
      <protection hidden="1"/>
    </xf>
    <xf numFmtId="0" fontId="27" fillId="3" borderId="0" xfId="2216" applyFont="1" applyFill="1" applyAlignment="1" applyProtection="1">
      <alignment horizontal="center" vertical="center"/>
      <protection hidden="1"/>
    </xf>
    <xf numFmtId="0" fontId="27" fillId="0" borderId="0" xfId="2216" applyFont="1" applyFill="1" applyAlignment="1" applyProtection="1">
      <alignment horizontal="center" vertical="center"/>
      <protection hidden="1"/>
    </xf>
    <xf numFmtId="0" fontId="12" fillId="0" borderId="0" xfId="2216" applyFont="1" applyAlignment="1" applyProtection="1">
      <alignment vertical="center"/>
      <protection hidden="1"/>
    </xf>
    <xf numFmtId="0" fontId="66" fillId="0" borderId="0" xfId="2216" applyFont="1" applyAlignment="1" applyProtection="1">
      <alignment vertical="center"/>
      <protection hidden="1"/>
    </xf>
    <xf numFmtId="0" fontId="42" fillId="0" borderId="0" xfId="2216" applyFont="1" applyBorder="1" applyAlignment="1" applyProtection="1">
      <alignment vertical="center"/>
      <protection hidden="1"/>
    </xf>
    <xf numFmtId="0" fontId="5" fillId="0" borderId="0" xfId="2216" applyFont="1" applyAlignment="1" applyProtection="1">
      <alignment horizontal="right" vertical="center"/>
      <protection hidden="1"/>
    </xf>
    <xf numFmtId="165" fontId="5" fillId="3" borderId="0" xfId="2216" applyNumberFormat="1" applyFont="1" applyFill="1" applyAlignment="1" applyProtection="1">
      <alignment horizontal="center" vertical="center"/>
      <protection locked="0" hidden="1"/>
    </xf>
    <xf numFmtId="0" fontId="27" fillId="0" borderId="0" xfId="2216" applyFont="1" applyFill="1" applyAlignment="1" applyProtection="1">
      <alignment vertical="center"/>
      <protection hidden="1"/>
    </xf>
    <xf numFmtId="0" fontId="51" fillId="0" borderId="0" xfId="2216" applyFont="1" applyFill="1" applyAlignment="1" applyProtection="1">
      <alignment horizontal="right" vertical="center"/>
      <protection hidden="1"/>
    </xf>
    <xf numFmtId="165" fontId="51" fillId="0" borderId="0" xfId="2216" applyNumberFormat="1" applyFont="1" applyFill="1" applyAlignment="1" applyProtection="1">
      <alignment horizontal="center" vertical="center"/>
      <protection hidden="1"/>
    </xf>
    <xf numFmtId="0" fontId="51" fillId="0" borderId="0" xfId="2216" applyFont="1" applyFill="1" applyAlignment="1" applyProtection="1">
      <alignment vertical="center"/>
      <protection hidden="1"/>
    </xf>
    <xf numFmtId="0" fontId="51" fillId="0" borderId="0" xfId="2216" applyFont="1" applyFill="1" applyAlignment="1" applyProtection="1">
      <alignment horizontal="left" vertical="center"/>
      <protection hidden="1"/>
    </xf>
    <xf numFmtId="165" fontId="5" fillId="3" borderId="0" xfId="2216" applyNumberFormat="1" applyFont="1" applyFill="1" applyBorder="1" applyAlignment="1" applyProtection="1">
      <alignment horizontal="center" vertical="center"/>
      <protection locked="0" hidden="1"/>
    </xf>
    <xf numFmtId="165" fontId="27" fillId="0" borderId="0" xfId="2216" applyNumberFormat="1" applyFont="1" applyFill="1" applyBorder="1" applyAlignment="1" applyProtection="1">
      <alignment horizontal="center" vertical="center"/>
      <protection hidden="1"/>
    </xf>
    <xf numFmtId="165" fontId="12" fillId="0" borderId="0" xfId="2216" applyNumberFormat="1" applyFont="1" applyFill="1" applyAlignment="1" applyProtection="1">
      <alignment horizontal="center" vertical="center"/>
      <protection hidden="1"/>
    </xf>
    <xf numFmtId="0" fontId="67" fillId="0" borderId="0" xfId="2216" applyFont="1" applyAlignment="1" applyProtection="1">
      <alignment horizontal="left" vertical="center"/>
      <protection hidden="1"/>
    </xf>
    <xf numFmtId="0" fontId="5" fillId="0" borderId="13" xfId="2216" applyFont="1" applyBorder="1" applyAlignment="1" applyProtection="1">
      <alignment vertical="center"/>
      <protection hidden="1"/>
    </xf>
    <xf numFmtId="0" fontId="12" fillId="0" borderId="12" xfId="2216" applyFont="1" applyBorder="1" applyAlignment="1" applyProtection="1">
      <alignment horizontal="right" vertical="center"/>
      <protection hidden="1"/>
    </xf>
    <xf numFmtId="165" fontId="12" fillId="0" borderId="12" xfId="2216" applyNumberFormat="1" applyFont="1" applyFill="1" applyBorder="1" applyAlignment="1" applyProtection="1">
      <alignment horizontal="center" vertical="center"/>
      <protection hidden="1"/>
    </xf>
    <xf numFmtId="0" fontId="12" fillId="0" borderId="12" xfId="2216" applyFont="1" applyBorder="1" applyAlignment="1" applyProtection="1">
      <alignment vertical="center"/>
      <protection hidden="1"/>
    </xf>
    <xf numFmtId="0" fontId="67" fillId="0" borderId="12" xfId="2216" applyFont="1" applyBorder="1" applyAlignment="1" applyProtection="1">
      <alignment horizontal="left" vertical="center"/>
      <protection hidden="1"/>
    </xf>
    <xf numFmtId="0" fontId="67" fillId="0" borderId="11" xfId="2216" applyFont="1" applyBorder="1" applyAlignment="1" applyProtection="1">
      <alignment horizontal="left" vertical="center"/>
      <protection hidden="1"/>
    </xf>
    <xf numFmtId="0" fontId="5" fillId="0" borderId="0" xfId="2216" applyFont="1" applyBorder="1" applyAlignment="1" applyProtection="1">
      <alignment horizontal="center" vertical="center"/>
      <protection hidden="1"/>
    </xf>
    <xf numFmtId="0" fontId="5" fillId="0" borderId="0" xfId="2216" applyFont="1" applyBorder="1" applyAlignment="1" applyProtection="1">
      <alignment vertical="center"/>
      <protection hidden="1"/>
    </xf>
    <xf numFmtId="0" fontId="5" fillId="0" borderId="2" xfId="2216" applyFont="1" applyBorder="1" applyAlignment="1" applyProtection="1">
      <alignment horizontal="center" vertical="center"/>
      <protection hidden="1"/>
    </xf>
    <xf numFmtId="0" fontId="5" fillId="0" borderId="9" xfId="2216" applyFont="1" applyBorder="1" applyAlignment="1" applyProtection="1">
      <alignment vertical="center"/>
      <protection hidden="1"/>
    </xf>
    <xf numFmtId="0" fontId="5" fillId="0" borderId="0" xfId="2216" applyFont="1" applyBorder="1" applyAlignment="1" applyProtection="1">
      <alignment horizontal="right" vertical="center"/>
      <protection hidden="1"/>
    </xf>
    <xf numFmtId="44" fontId="5" fillId="4" borderId="0" xfId="2216" applyNumberFormat="1" applyFont="1" applyFill="1" applyBorder="1" applyAlignment="1" applyProtection="1">
      <alignment vertical="center" shrinkToFit="1"/>
      <protection hidden="1"/>
    </xf>
    <xf numFmtId="44" fontId="5" fillId="4" borderId="2" xfId="2216" applyNumberFormat="1" applyFont="1" applyFill="1" applyBorder="1" applyAlignment="1" applyProtection="1">
      <alignment vertical="center" shrinkToFit="1"/>
      <protection hidden="1"/>
    </xf>
    <xf numFmtId="44" fontId="5" fillId="3" borderId="0" xfId="2216" applyNumberFormat="1" applyFont="1" applyFill="1" applyBorder="1" applyAlignment="1" applyProtection="1">
      <alignment vertical="center" shrinkToFit="1"/>
      <protection hidden="1"/>
    </xf>
    <xf numFmtId="173" fontId="5" fillId="4" borderId="0" xfId="2216" applyNumberFormat="1" applyFont="1" applyFill="1" applyBorder="1" applyAlignment="1" applyProtection="1">
      <alignment horizontal="center" vertical="center" shrinkToFit="1"/>
      <protection hidden="1"/>
    </xf>
    <xf numFmtId="0" fontId="27" fillId="0" borderId="9" xfId="2216" applyFont="1" applyBorder="1" applyAlignment="1" applyProtection="1">
      <alignment vertical="center"/>
      <protection hidden="1"/>
    </xf>
    <xf numFmtId="0" fontId="27" fillId="0" borderId="0" xfId="2216" applyFont="1" applyBorder="1" applyAlignment="1" applyProtection="1">
      <alignment vertical="center"/>
      <protection hidden="1"/>
    </xf>
    <xf numFmtId="0" fontId="27" fillId="0" borderId="0" xfId="2216" applyFont="1" applyBorder="1" applyAlignment="1" applyProtection="1">
      <alignment horizontal="center" vertical="center"/>
      <protection hidden="1"/>
    </xf>
    <xf numFmtId="44" fontId="27" fillId="0" borderId="0" xfId="2216" applyNumberFormat="1" applyFont="1" applyBorder="1" applyAlignment="1" applyProtection="1">
      <alignment vertical="center"/>
      <protection hidden="1"/>
    </xf>
    <xf numFmtId="44" fontId="27" fillId="0" borderId="2" xfId="2216" applyNumberFormat="1" applyFont="1" applyBorder="1" applyAlignment="1" applyProtection="1">
      <alignment vertical="center"/>
      <protection hidden="1"/>
    </xf>
    <xf numFmtId="0" fontId="42" fillId="0" borderId="0" xfId="2216" applyFont="1" applyBorder="1" applyAlignment="1" applyProtection="1">
      <alignment horizontal="right" vertical="center"/>
      <protection hidden="1"/>
    </xf>
    <xf numFmtId="44" fontId="68" fillId="4" borderId="0" xfId="2216" applyNumberFormat="1" applyFont="1" applyFill="1" applyBorder="1" applyAlignment="1" applyProtection="1">
      <alignment horizontal="right" vertical="center" shrinkToFit="1"/>
      <protection hidden="1"/>
    </xf>
    <xf numFmtId="44" fontId="5" fillId="0" borderId="2" xfId="2216" applyNumberFormat="1" applyFont="1" applyBorder="1" applyAlignment="1" applyProtection="1">
      <alignment vertical="center"/>
      <protection hidden="1"/>
    </xf>
    <xf numFmtId="0" fontId="5" fillId="0" borderId="8" xfId="2216" applyFont="1" applyBorder="1" applyAlignment="1" applyProtection="1">
      <alignment vertical="center"/>
      <protection hidden="1"/>
    </xf>
    <xf numFmtId="44" fontId="68" fillId="0" borderId="14" xfId="2216" applyNumberFormat="1" applyFont="1" applyBorder="1" applyAlignment="1" applyProtection="1">
      <alignment vertical="center" shrinkToFit="1"/>
      <protection hidden="1"/>
    </xf>
    <xf numFmtId="0" fontId="5" fillId="0" borderId="15" xfId="2216" applyFont="1" applyBorder="1" applyAlignment="1" applyProtection="1">
      <alignment vertical="center"/>
      <protection hidden="1"/>
    </xf>
    <xf numFmtId="0" fontId="26" fillId="4" borderId="0" xfId="0" applyNumberFormat="1" applyFont="1" applyFill="1" applyAlignment="1" applyProtection="1">
      <alignment horizontal="center" vertical="center" wrapText="1"/>
      <protection hidden="1"/>
    </xf>
    <xf numFmtId="0" fontId="14" fillId="0" borderId="1" xfId="0" applyNumberFormat="1" applyFont="1" applyFill="1" applyBorder="1" applyAlignment="1" applyProtection="1">
      <alignment vertical="center" wrapText="1"/>
      <protection hidden="1"/>
    </xf>
    <xf numFmtId="0" fontId="40" fillId="2" borderId="0" xfId="1" applyNumberFormat="1" applyFont="1" applyFill="1" applyBorder="1" applyAlignment="1" applyProtection="1">
      <alignment horizontal="center" vertical="center"/>
      <protection hidden="1"/>
    </xf>
    <xf numFmtId="0" fontId="14" fillId="3" borderId="0" xfId="0" applyFont="1" applyFill="1" applyBorder="1" applyAlignment="1" applyProtection="1">
      <alignment horizontal="center" vertical="center"/>
      <protection locked="0"/>
    </xf>
    <xf numFmtId="170" fontId="3" fillId="3" borderId="0" xfId="0" applyNumberFormat="1" applyFont="1" applyFill="1" applyBorder="1" applyAlignment="1" applyProtection="1">
      <alignment horizontal="center" vertical="center" wrapText="1"/>
      <protection locked="0"/>
    </xf>
    <xf numFmtId="0" fontId="13" fillId="2" borderId="4" xfId="2" applyFont="1" applyFill="1" applyBorder="1" applyAlignment="1" applyProtection="1">
      <alignment horizontal="right" vertical="center" wrapText="1"/>
      <protection hidden="1"/>
    </xf>
    <xf numFmtId="0" fontId="5" fillId="3" borderId="0" xfId="0" applyFont="1" applyFill="1" applyBorder="1" applyAlignment="1" applyProtection="1">
      <alignment horizontal="left" vertical="center"/>
      <protection locked="0"/>
    </xf>
    <xf numFmtId="0" fontId="5" fillId="3" borderId="0" xfId="0" applyFont="1" applyFill="1" applyBorder="1" applyAlignment="1" applyProtection="1">
      <alignment horizontal="left" vertical="top" wrapText="1"/>
      <protection locked="0"/>
    </xf>
    <xf numFmtId="0" fontId="42" fillId="0" borderId="0" xfId="0" applyFont="1" applyAlignment="1" applyProtection="1">
      <alignment horizontal="left"/>
      <protection hidden="1"/>
    </xf>
    <xf numFmtId="0" fontId="12" fillId="0" borderId="0" xfId="0" applyFont="1" applyBorder="1" applyAlignment="1" applyProtection="1">
      <alignment horizontal="center"/>
      <protection hidden="1"/>
    </xf>
    <xf numFmtId="0" fontId="12" fillId="0" borderId="0" xfId="0" applyFont="1" applyAlignment="1" applyProtection="1">
      <alignment horizontal="left"/>
      <protection hidden="1"/>
    </xf>
    <xf numFmtId="0" fontId="14" fillId="0" borderId="9" xfId="0" applyFont="1" applyFill="1" applyBorder="1" applyAlignment="1" applyProtection="1">
      <alignment horizontal="right" vertical="center"/>
    </xf>
    <xf numFmtId="0" fontId="14" fillId="0" borderId="0" xfId="0" applyFont="1" applyFill="1" applyBorder="1" applyAlignment="1" applyProtection="1">
      <alignment horizontal="right" vertical="center"/>
    </xf>
    <xf numFmtId="0" fontId="14" fillId="3" borderId="0" xfId="0" applyFont="1" applyFill="1" applyBorder="1" applyAlignment="1" applyProtection="1">
      <alignment horizontal="center" vertical="center"/>
      <protection locked="0"/>
    </xf>
    <xf numFmtId="0" fontId="50" fillId="0" borderId="0" xfId="0" applyFont="1" applyAlignment="1" applyProtection="1">
      <alignment horizontal="center" vertical="center" wrapText="1"/>
      <protection hidden="1"/>
    </xf>
    <xf numFmtId="0" fontId="14" fillId="3" borderId="0" xfId="0" applyFont="1" applyFill="1" applyBorder="1" applyAlignment="1" applyProtection="1">
      <alignment horizontal="center" vertical="center" shrinkToFit="1"/>
      <protection locked="0"/>
    </xf>
    <xf numFmtId="0" fontId="5" fillId="3" borderId="0" xfId="0" applyFont="1" applyFill="1" applyBorder="1" applyAlignment="1" applyProtection="1">
      <alignment horizontal="left" vertical="center" shrinkToFit="1"/>
      <protection locked="0"/>
    </xf>
    <xf numFmtId="0" fontId="0" fillId="3" borderId="0" xfId="0" applyFill="1" applyBorder="1" applyAlignment="1" applyProtection="1">
      <alignment vertical="center" shrinkToFit="1"/>
      <protection locked="0"/>
    </xf>
    <xf numFmtId="0" fontId="2" fillId="3" borderId="0" xfId="0" applyFont="1" applyFill="1" applyBorder="1" applyAlignment="1" applyProtection="1">
      <alignment horizontal="left" vertical="center" shrinkToFit="1"/>
      <protection locked="0"/>
    </xf>
    <xf numFmtId="14" fontId="4" fillId="3" borderId="0" xfId="0" applyNumberFormat="1" applyFont="1" applyFill="1" applyBorder="1" applyAlignment="1" applyProtection="1">
      <alignment horizontal="left" vertical="top" wrapText="1"/>
      <protection locked="0"/>
    </xf>
    <xf numFmtId="14" fontId="5" fillId="3" borderId="0" xfId="0" applyNumberFormat="1" applyFont="1" applyFill="1" applyBorder="1" applyAlignment="1" applyProtection="1">
      <alignment horizontal="left" vertical="top" wrapText="1"/>
      <protection locked="0"/>
    </xf>
    <xf numFmtId="0" fontId="18" fillId="0" borderId="0" xfId="0" applyFont="1" applyAlignment="1" applyProtection="1">
      <alignment horizontal="left" vertical="center" wrapText="1"/>
      <protection hidden="1"/>
    </xf>
    <xf numFmtId="0" fontId="44" fillId="0" borderId="0" xfId="2214" applyFont="1" applyProtection="1">
      <protection hidden="1"/>
    </xf>
    <xf numFmtId="0" fontId="13" fillId="16" borderId="39" xfId="2215" applyFill="1" applyBorder="1" applyAlignment="1" applyProtection="1">
      <alignment horizontal="left" vertical="center" shrinkToFit="1"/>
      <protection hidden="1"/>
    </xf>
    <xf numFmtId="0" fontId="13" fillId="16" borderId="21" xfId="2215" applyFill="1" applyBorder="1" applyAlignment="1" applyProtection="1">
      <alignment horizontal="left" vertical="center" shrinkToFit="1"/>
      <protection hidden="1"/>
    </xf>
    <xf numFmtId="0" fontId="13" fillId="4" borderId="14" xfId="2215" applyFill="1" applyBorder="1" applyAlignment="1" applyProtection="1">
      <alignment horizontal="center" vertical="center"/>
      <protection hidden="1"/>
    </xf>
    <xf numFmtId="0" fontId="18" fillId="2" borderId="14" xfId="2215" applyFont="1" applyFill="1" applyBorder="1" applyAlignment="1" applyProtection="1">
      <alignment horizontal="left" wrapText="1"/>
      <protection hidden="1"/>
    </xf>
    <xf numFmtId="0" fontId="18" fillId="2" borderId="50" xfId="2215" applyFont="1" applyFill="1" applyBorder="1" applyAlignment="1" applyProtection="1">
      <alignment horizontal="left" vertical="center"/>
      <protection hidden="1"/>
    </xf>
    <xf numFmtId="0" fontId="13" fillId="17" borderId="39" xfId="2215" applyFill="1" applyBorder="1" applyAlignment="1" applyProtection="1">
      <alignment horizontal="left" vertical="center" shrinkToFit="1"/>
      <protection hidden="1"/>
    </xf>
    <xf numFmtId="0" fontId="13" fillId="17" borderId="21" xfId="2215" applyFill="1" applyBorder="1" applyAlignment="1" applyProtection="1">
      <alignment horizontal="left" vertical="center" shrinkToFit="1"/>
      <protection hidden="1"/>
    </xf>
    <xf numFmtId="44" fontId="26" fillId="0" borderId="12" xfId="0" applyNumberFormat="1" applyFont="1" applyFill="1" applyBorder="1" applyAlignment="1" applyProtection="1">
      <alignment horizontal="center" vertical="center" shrinkToFit="1"/>
      <protection hidden="1"/>
    </xf>
    <xf numFmtId="44" fontId="26" fillId="4" borderId="20" xfId="0" applyNumberFormat="1" applyFont="1" applyFill="1" applyBorder="1" applyAlignment="1" applyProtection="1">
      <alignment horizontal="center" vertical="center" shrinkToFit="1"/>
      <protection hidden="1"/>
    </xf>
    <xf numFmtId="44" fontId="26" fillId="4" borderId="21" xfId="0" applyNumberFormat="1" applyFont="1" applyFill="1" applyBorder="1" applyAlignment="1" applyProtection="1">
      <alignment horizontal="center" vertical="center" shrinkToFit="1"/>
      <protection hidden="1"/>
    </xf>
    <xf numFmtId="44" fontId="26" fillId="0" borderId="0" xfId="0" applyNumberFormat="1" applyFont="1" applyAlignment="1" applyProtection="1">
      <alignment horizontal="center" wrapText="1"/>
      <protection hidden="1"/>
    </xf>
    <xf numFmtId="44" fontId="26" fillId="0" borderId="14" xfId="0" applyNumberFormat="1" applyFont="1" applyBorder="1" applyAlignment="1" applyProtection="1">
      <alignment horizontal="center" wrapText="1"/>
      <protection hidden="1"/>
    </xf>
    <xf numFmtId="44" fontId="26" fillId="0" borderId="0" xfId="0" applyNumberFormat="1" applyFont="1" applyBorder="1" applyAlignment="1" applyProtection="1">
      <alignment horizontal="center" vertical="center" wrapText="1"/>
      <protection hidden="1"/>
    </xf>
    <xf numFmtId="44" fontId="26" fillId="0" borderId="14" xfId="0" applyNumberFormat="1" applyFont="1" applyBorder="1" applyAlignment="1" applyProtection="1">
      <alignment horizontal="center" vertical="center" wrapText="1"/>
      <protection hidden="1"/>
    </xf>
    <xf numFmtId="44" fontId="26" fillId="4" borderId="39" xfId="0" applyNumberFormat="1" applyFont="1" applyFill="1" applyBorder="1" applyAlignment="1" applyProtection="1">
      <alignment horizontal="center" vertical="center" shrinkToFit="1"/>
      <protection hidden="1"/>
    </xf>
    <xf numFmtId="44" fontId="26" fillId="0" borderId="0" xfId="0" applyNumberFormat="1" applyFont="1" applyAlignment="1" applyProtection="1">
      <alignment horizontal="center"/>
      <protection hidden="1"/>
    </xf>
    <xf numFmtId="44" fontId="26" fillId="0" borderId="14" xfId="0" applyNumberFormat="1" applyFont="1" applyBorder="1" applyAlignment="1" applyProtection="1">
      <alignment horizontal="center"/>
      <protection hidden="1"/>
    </xf>
    <xf numFmtId="0" fontId="67" fillId="0" borderId="35" xfId="0" applyFont="1" applyBorder="1" applyAlignment="1" applyProtection="1">
      <alignment horizontal="center" vertical="center" wrapText="1" shrinkToFit="1"/>
      <protection hidden="1"/>
    </xf>
    <xf numFmtId="0" fontId="67" fillId="0" borderId="36" xfId="0" applyFont="1" applyBorder="1" applyAlignment="1" applyProtection="1">
      <alignment horizontal="center" vertical="center" wrapText="1" shrinkToFit="1"/>
      <protection hidden="1"/>
    </xf>
    <xf numFmtId="0" fontId="67" fillId="0" borderId="37" xfId="0" applyFont="1" applyBorder="1" applyAlignment="1" applyProtection="1">
      <alignment horizontal="center" vertical="center" wrapText="1" shrinkToFit="1"/>
      <protection hidden="1"/>
    </xf>
    <xf numFmtId="0" fontId="26" fillId="0" borderId="3" xfId="0" applyFont="1" applyBorder="1" applyAlignment="1" applyProtection="1">
      <alignment horizontal="center" vertical="center"/>
      <protection hidden="1"/>
    </xf>
    <xf numFmtId="2" fontId="20" fillId="0" borderId="7" xfId="0" applyNumberFormat="1" applyFont="1" applyBorder="1" applyAlignment="1" applyProtection="1">
      <alignment horizontal="center" wrapText="1"/>
      <protection hidden="1"/>
    </xf>
    <xf numFmtId="2" fontId="20" fillId="0" borderId="6" xfId="0" applyNumberFormat="1" applyFont="1" applyBorder="1" applyAlignment="1" applyProtection="1">
      <alignment horizontal="center" wrapText="1"/>
      <protection hidden="1"/>
    </xf>
    <xf numFmtId="0" fontId="26" fillId="0" borderId="7" xfId="0" applyFont="1" applyBorder="1" applyAlignment="1" applyProtection="1">
      <alignment horizontal="center" vertical="center" wrapText="1"/>
      <protection hidden="1"/>
    </xf>
    <xf numFmtId="0" fontId="26" fillId="0" borderId="6" xfId="0" applyFont="1" applyBorder="1" applyAlignment="1" applyProtection="1">
      <alignment horizontal="center" vertical="center" wrapText="1"/>
      <protection hidden="1"/>
    </xf>
    <xf numFmtId="49" fontId="26" fillId="0" borderId="0" xfId="0" applyNumberFormat="1" applyFont="1" applyBorder="1" applyAlignment="1" applyProtection="1">
      <alignment horizontal="right"/>
      <protection hidden="1"/>
    </xf>
    <xf numFmtId="0" fontId="0" fillId="0" borderId="0" xfId="0" applyAlignment="1" applyProtection="1">
      <alignment horizontal="right"/>
      <protection hidden="1"/>
    </xf>
    <xf numFmtId="0" fontId="14" fillId="4" borderId="0" xfId="0" applyFont="1" applyFill="1" applyBorder="1" applyAlignment="1" applyProtection="1">
      <alignment horizontal="left" wrapText="1"/>
      <protection hidden="1"/>
    </xf>
    <xf numFmtId="49" fontId="26" fillId="0" borderId="10" xfId="0" applyNumberFormat="1" applyFont="1" applyBorder="1" applyAlignment="1" applyProtection="1">
      <alignment horizontal="center" vertical="center" wrapText="1"/>
      <protection hidden="1"/>
    </xf>
    <xf numFmtId="49" fontId="26" fillId="0" borderId="7" xfId="0" applyNumberFormat="1" applyFont="1" applyBorder="1" applyAlignment="1" applyProtection="1">
      <alignment horizontal="center" vertical="center" wrapText="1"/>
      <protection hidden="1"/>
    </xf>
    <xf numFmtId="49" fontId="26" fillId="0" borderId="6" xfId="0" applyNumberFormat="1"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0" xfId="0" applyNumberFormat="1" applyFont="1" applyBorder="1" applyAlignment="1" applyProtection="1">
      <alignment horizontal="center" vertical="center" wrapText="1"/>
      <protection hidden="1"/>
    </xf>
    <xf numFmtId="0" fontId="26" fillId="0" borderId="7" xfId="0" applyNumberFormat="1" applyFont="1" applyBorder="1" applyAlignment="1" applyProtection="1">
      <alignment horizontal="center" vertical="center" wrapText="1"/>
      <protection hidden="1"/>
    </xf>
    <xf numFmtId="0" fontId="26" fillId="0" borderId="6" xfId="0" applyNumberFormat="1" applyFont="1" applyBorder="1" applyAlignment="1" applyProtection="1">
      <alignment horizontal="center" vertical="center" wrapText="1"/>
      <protection hidden="1"/>
    </xf>
    <xf numFmtId="44" fontId="26" fillId="0" borderId="1" xfId="0" applyNumberFormat="1" applyFont="1" applyBorder="1" applyAlignment="1" applyProtection="1">
      <alignment horizontal="center"/>
      <protection hidden="1"/>
    </xf>
    <xf numFmtId="0" fontId="26" fillId="4" borderId="0" xfId="0" applyFont="1" applyFill="1" applyBorder="1" applyAlignment="1" applyProtection="1">
      <alignment horizontal="center" wrapText="1"/>
      <protection hidden="1"/>
    </xf>
    <xf numFmtId="0" fontId="26" fillId="0" borderId="0" xfId="0" applyFont="1" applyBorder="1" applyAlignment="1" applyProtection="1">
      <alignment horizontal="left" wrapText="1"/>
      <protection hidden="1"/>
    </xf>
    <xf numFmtId="0" fontId="26" fillId="0" borderId="14" xfId="0" applyFont="1" applyBorder="1" applyAlignment="1" applyProtection="1">
      <alignment horizontal="left" wrapText="1"/>
      <protection hidden="1"/>
    </xf>
    <xf numFmtId="44" fontId="26" fillId="0" borderId="0" xfId="0" applyNumberFormat="1" applyFont="1" applyFill="1" applyBorder="1" applyAlignment="1" applyProtection="1">
      <alignment horizontal="center" vertical="center" shrinkToFit="1"/>
      <protection hidden="1"/>
    </xf>
    <xf numFmtId="0" fontId="26" fillId="0" borderId="0" xfId="0" applyFont="1" applyBorder="1" applyAlignment="1" applyProtection="1">
      <alignment horizontal="left" wrapText="1" shrinkToFit="1"/>
      <protection hidden="1"/>
    </xf>
    <xf numFmtId="0" fontId="26" fillId="0" borderId="14" xfId="0" applyFont="1" applyBorder="1" applyAlignment="1" applyProtection="1">
      <alignment horizontal="left" wrapText="1" shrinkToFit="1"/>
      <protection hidden="1"/>
    </xf>
    <xf numFmtId="0" fontId="0" fillId="4" borderId="0" xfId="0" applyFill="1" applyAlignment="1" applyProtection="1">
      <alignment horizontal="left" wrapText="1"/>
      <protection hidden="1"/>
    </xf>
    <xf numFmtId="0" fontId="0" fillId="4" borderId="0" xfId="0" applyFill="1" applyAlignment="1" applyProtection="1">
      <alignment wrapText="1"/>
      <protection hidden="1"/>
    </xf>
    <xf numFmtId="0" fontId="26" fillId="0" borderId="13" xfId="0" applyNumberFormat="1" applyFont="1" applyBorder="1" applyAlignment="1" applyProtection="1">
      <alignment horizontal="center" vertical="center" wrapText="1"/>
      <protection hidden="1"/>
    </xf>
    <xf numFmtId="44" fontId="26" fillId="0" borderId="33" xfId="0" applyNumberFormat="1" applyFont="1" applyBorder="1" applyAlignment="1" applyProtection="1">
      <alignment horizontal="center"/>
      <protection hidden="1"/>
    </xf>
    <xf numFmtId="44" fontId="26" fillId="0" borderId="34" xfId="0" applyNumberFormat="1" applyFont="1" applyBorder="1" applyAlignment="1" applyProtection="1">
      <alignment horizontal="center"/>
      <protection hidden="1"/>
    </xf>
    <xf numFmtId="44" fontId="26" fillId="0" borderId="25" xfId="0" applyNumberFormat="1" applyFont="1" applyBorder="1" applyAlignment="1" applyProtection="1">
      <alignment horizontal="center"/>
      <protection hidden="1"/>
    </xf>
    <xf numFmtId="0" fontId="26" fillId="0" borderId="15" xfId="0" applyFont="1" applyBorder="1" applyAlignment="1" applyProtection="1">
      <alignment horizontal="center" vertical="center" shrinkToFit="1"/>
      <protection hidden="1"/>
    </xf>
    <xf numFmtId="0" fontId="26" fillId="0" borderId="3" xfId="0" applyFont="1" applyBorder="1" applyAlignment="1" applyProtection="1">
      <alignment horizontal="center" vertical="center" shrinkToFit="1"/>
      <protection hidden="1"/>
    </xf>
    <xf numFmtId="44" fontId="50" fillId="0" borderId="5" xfId="2213" applyNumberFormat="1" applyFont="1" applyBorder="1" applyAlignment="1" applyProtection="1">
      <alignment horizontal="center" vertical="center"/>
      <protection hidden="1"/>
    </xf>
    <xf numFmtId="44" fontId="50" fillId="0" borderId="3" xfId="2213" applyNumberFormat="1" applyFont="1" applyBorder="1" applyAlignment="1" applyProtection="1">
      <alignment horizontal="center" vertical="center"/>
      <protection hidden="1"/>
    </xf>
    <xf numFmtId="165" fontId="14" fillId="0" borderId="5" xfId="2213" applyFont="1" applyBorder="1" applyAlignment="1" applyProtection="1">
      <alignment horizontal="left" vertical="center"/>
      <protection hidden="1"/>
    </xf>
    <xf numFmtId="0" fontId="0" fillId="0" borderId="4" xfId="0" applyBorder="1" applyAlignment="1" applyProtection="1">
      <alignment horizontal="left" vertical="center"/>
      <protection hidden="1"/>
    </xf>
    <xf numFmtId="0" fontId="0" fillId="0" borderId="3" xfId="0" applyBorder="1" applyAlignment="1" applyProtection="1">
      <alignment horizontal="left" vertical="center"/>
      <protection hidden="1"/>
    </xf>
    <xf numFmtId="165" fontId="14" fillId="0" borderId="5" xfId="2213" applyFont="1" applyBorder="1" applyAlignment="1" applyProtection="1">
      <alignment vertical="top" shrinkToFit="1"/>
      <protection locked="0"/>
    </xf>
    <xf numFmtId="165" fontId="14" fillId="0" borderId="4" xfId="2213" applyFont="1" applyBorder="1" applyAlignment="1" applyProtection="1">
      <alignment vertical="top" shrinkToFit="1"/>
      <protection locked="0"/>
    </xf>
    <xf numFmtId="165" fontId="14" fillId="0" borderId="3" xfId="2213" applyFont="1" applyBorder="1" applyAlignment="1" applyProtection="1">
      <alignment vertical="top" shrinkToFit="1"/>
      <protection locked="0"/>
    </xf>
    <xf numFmtId="165" fontId="14" fillId="14" borderId="5" xfId="2213" applyFont="1" applyFill="1" applyBorder="1" applyAlignment="1" applyProtection="1">
      <alignment horizontal="left" vertical="center"/>
      <protection hidden="1"/>
    </xf>
    <xf numFmtId="165" fontId="14" fillId="14" borderId="4" xfId="2213" applyFont="1" applyFill="1" applyBorder="1" applyAlignment="1" applyProtection="1">
      <alignment horizontal="left" vertical="center"/>
      <protection hidden="1"/>
    </xf>
    <xf numFmtId="165" fontId="14" fillId="14" borderId="3" xfId="2213" applyFont="1" applyFill="1" applyBorder="1" applyAlignment="1" applyProtection="1">
      <alignment horizontal="left" vertical="center"/>
      <protection hidden="1"/>
    </xf>
    <xf numFmtId="165" fontId="14" fillId="0" borderId="5" xfId="2213" applyFont="1" applyBorder="1" applyAlignment="1" applyProtection="1">
      <alignment vertical="center"/>
      <protection hidden="1"/>
    </xf>
    <xf numFmtId="0" fontId="0" fillId="0" borderId="4" xfId="0" applyBorder="1" applyAlignment="1" applyProtection="1">
      <alignment vertical="center"/>
      <protection hidden="1"/>
    </xf>
    <xf numFmtId="0" fontId="0" fillId="0" borderId="3" xfId="0" applyBorder="1" applyAlignment="1" applyProtection="1">
      <alignment vertical="center"/>
      <protection hidden="1"/>
    </xf>
    <xf numFmtId="49" fontId="14" fillId="0" borderId="1" xfId="0" applyNumberFormat="1" applyFont="1" applyBorder="1" applyAlignment="1" applyProtection="1">
      <alignment horizontal="right" vertical="center"/>
      <protection hidden="1"/>
    </xf>
    <xf numFmtId="0" fontId="0" fillId="0" borderId="1" xfId="0" applyBorder="1" applyAlignment="1" applyProtection="1">
      <alignment vertical="center"/>
      <protection hidden="1"/>
    </xf>
    <xf numFmtId="0" fontId="14" fillId="0" borderId="1" xfId="0" applyFont="1" applyBorder="1" applyAlignment="1" applyProtection="1">
      <alignment vertical="center" wrapText="1"/>
      <protection hidden="1"/>
    </xf>
    <xf numFmtId="44" fontId="13" fillId="0" borderId="1" xfId="2213" applyNumberFormat="1" applyFont="1" applyBorder="1" applyAlignment="1" applyProtection="1">
      <alignment vertical="center" shrinkToFit="1"/>
      <protection locked="0"/>
    </xf>
    <xf numFmtId="44" fontId="73" fillId="0" borderId="1" xfId="0" applyNumberFormat="1" applyFont="1" applyBorder="1" applyAlignment="1" applyProtection="1">
      <alignment vertical="center" shrinkToFit="1"/>
      <protection locked="0"/>
    </xf>
    <xf numFmtId="44" fontId="14" fillId="4" borderId="1" xfId="2213" applyNumberFormat="1" applyFont="1" applyFill="1" applyBorder="1" applyAlignment="1" applyProtection="1">
      <alignment vertical="center" shrinkToFit="1"/>
      <protection hidden="1"/>
    </xf>
    <xf numFmtId="44" fontId="0" fillId="0" borderId="1" xfId="0" applyNumberFormat="1" applyBorder="1" applyAlignment="1" applyProtection="1">
      <alignment vertical="center" shrinkToFit="1"/>
      <protection hidden="1"/>
    </xf>
    <xf numFmtId="44" fontId="0" fillId="4" borderId="1" xfId="0" applyNumberFormat="1" applyFill="1" applyBorder="1" applyAlignment="1" applyProtection="1">
      <alignment vertical="center" shrinkToFit="1"/>
      <protection hidden="1"/>
    </xf>
    <xf numFmtId="165" fontId="14" fillId="0" borderId="5" xfId="2213" applyFont="1" applyBorder="1" applyAlignment="1" applyProtection="1">
      <alignment horizontal="left" vertical="center" wrapText="1"/>
      <protection hidden="1"/>
    </xf>
    <xf numFmtId="0" fontId="0" fillId="0" borderId="4" xfId="0" applyBorder="1" applyAlignment="1" applyProtection="1">
      <alignment horizontal="left" vertical="center" wrapText="1"/>
      <protection hidden="1"/>
    </xf>
    <xf numFmtId="0" fontId="0" fillId="0" borderId="3" xfId="0" applyBorder="1" applyAlignment="1" applyProtection="1">
      <alignment horizontal="left" vertical="center" wrapText="1"/>
      <protection hidden="1"/>
    </xf>
    <xf numFmtId="0" fontId="0" fillId="0" borderId="4" xfId="0" applyBorder="1" applyAlignment="1" applyProtection="1">
      <alignment vertical="top" shrinkToFit="1"/>
      <protection locked="0"/>
    </xf>
    <xf numFmtId="0" fontId="0" fillId="0" borderId="3" xfId="0" applyBorder="1" applyAlignment="1" applyProtection="1">
      <alignment vertical="top" shrinkToFit="1"/>
      <protection locked="0"/>
    </xf>
    <xf numFmtId="165" fontId="14" fillId="14" borderId="5" xfId="2213" applyFont="1" applyFill="1" applyBorder="1" applyAlignment="1" applyProtection="1">
      <alignment vertical="center"/>
      <protection hidden="1"/>
    </xf>
    <xf numFmtId="165" fontId="14" fillId="14" borderId="4" xfId="2213" applyFont="1" applyFill="1" applyBorder="1" applyAlignment="1" applyProtection="1">
      <alignment vertical="center"/>
      <protection hidden="1"/>
    </xf>
    <xf numFmtId="165" fontId="14" fillId="14" borderId="3" xfId="2213" applyFont="1" applyFill="1" applyBorder="1" applyAlignment="1" applyProtection="1">
      <alignment vertical="center"/>
      <protection hidden="1"/>
    </xf>
    <xf numFmtId="44" fontId="72" fillId="0" borderId="10" xfId="2213" applyNumberFormat="1" applyFont="1" applyBorder="1" applyAlignment="1" applyProtection="1">
      <alignment wrapText="1"/>
      <protection hidden="1"/>
    </xf>
    <xf numFmtId="0" fontId="32" fillId="0" borderId="6" xfId="0" applyFont="1" applyBorder="1" applyAlignment="1" applyProtection="1">
      <alignment wrapText="1"/>
      <protection hidden="1"/>
    </xf>
    <xf numFmtId="49" fontId="14" fillId="0" borderId="10" xfId="0" applyNumberFormat="1" applyFont="1" applyBorder="1" applyAlignment="1" applyProtection="1">
      <alignment horizontal="right" vertical="center"/>
      <protection hidden="1"/>
    </xf>
    <xf numFmtId="49" fontId="14" fillId="0" borderId="7" xfId="0" applyNumberFormat="1" applyFont="1" applyBorder="1" applyAlignment="1" applyProtection="1">
      <alignment horizontal="right" vertical="center"/>
      <protection hidden="1"/>
    </xf>
    <xf numFmtId="49" fontId="14" fillId="0" borderId="6" xfId="0" applyNumberFormat="1" applyFont="1" applyBorder="1" applyAlignment="1" applyProtection="1">
      <alignment horizontal="right" vertical="center"/>
      <protection hidden="1"/>
    </xf>
    <xf numFmtId="0" fontId="14" fillId="0" borderId="10" xfId="0" applyFont="1" applyBorder="1" applyAlignment="1" applyProtection="1">
      <alignment horizontal="left" vertical="center" wrapText="1"/>
      <protection hidden="1"/>
    </xf>
    <xf numFmtId="0" fontId="14" fillId="0" borderId="7" xfId="0" applyFont="1" applyBorder="1" applyAlignment="1" applyProtection="1">
      <alignment horizontal="left" vertical="center" wrapText="1"/>
      <protection hidden="1"/>
    </xf>
    <xf numFmtId="0" fontId="14" fillId="0" borderId="6" xfId="0" applyFont="1" applyBorder="1" applyAlignment="1" applyProtection="1">
      <alignment horizontal="left" vertical="center" wrapText="1"/>
      <protection hidden="1"/>
    </xf>
    <xf numFmtId="44" fontId="13" fillId="0" borderId="10" xfId="2213" applyNumberFormat="1" applyFont="1" applyBorder="1" applyAlignment="1" applyProtection="1">
      <alignment vertical="center" shrinkToFit="1"/>
      <protection locked="0"/>
    </xf>
    <xf numFmtId="44" fontId="13" fillId="0" borderId="7" xfId="2213" applyNumberFormat="1" applyFont="1" applyBorder="1" applyAlignment="1" applyProtection="1">
      <alignment vertical="center" shrinkToFit="1"/>
      <protection locked="0"/>
    </xf>
    <xf numFmtId="44" fontId="13" fillId="0" borderId="6" xfId="2213" applyNumberFormat="1" applyFont="1" applyBorder="1" applyAlignment="1" applyProtection="1">
      <alignment vertical="center" shrinkToFit="1"/>
      <protection locked="0"/>
    </xf>
    <xf numFmtId="44" fontId="13" fillId="4" borderId="10" xfId="2213" applyNumberFormat="1" applyFont="1" applyFill="1" applyBorder="1" applyAlignment="1" applyProtection="1">
      <alignment vertical="center" shrinkToFit="1"/>
      <protection hidden="1"/>
    </xf>
    <xf numFmtId="44" fontId="13" fillId="4" borderId="7" xfId="2213" applyNumberFormat="1" applyFont="1" applyFill="1" applyBorder="1" applyAlignment="1" applyProtection="1">
      <alignment vertical="center" shrinkToFit="1"/>
      <protection hidden="1"/>
    </xf>
    <xf numFmtId="44" fontId="13" fillId="4" borderId="6" xfId="2213" applyNumberFormat="1" applyFont="1" applyFill="1" applyBorder="1" applyAlignment="1" applyProtection="1">
      <alignment vertical="center" shrinkToFit="1"/>
      <protection hidden="1"/>
    </xf>
    <xf numFmtId="44" fontId="14" fillId="4" borderId="10" xfId="2213" applyNumberFormat="1" applyFont="1" applyFill="1" applyBorder="1" applyAlignment="1" applyProtection="1">
      <alignment horizontal="right" vertical="center" shrinkToFit="1"/>
      <protection hidden="1"/>
    </xf>
    <xf numFmtId="44" fontId="14" fillId="4" borderId="7" xfId="2213" applyNumberFormat="1" applyFont="1" applyFill="1" applyBorder="1" applyAlignment="1" applyProtection="1">
      <alignment horizontal="right" vertical="center" shrinkToFit="1"/>
      <protection hidden="1"/>
    </xf>
    <xf numFmtId="44" fontId="14" fillId="4" borderId="6" xfId="2213" applyNumberFormat="1" applyFont="1" applyFill="1" applyBorder="1" applyAlignment="1" applyProtection="1">
      <alignment horizontal="right" vertical="center" shrinkToFit="1"/>
      <protection hidden="1"/>
    </xf>
    <xf numFmtId="44" fontId="27" fillId="4" borderId="5" xfId="0" applyNumberFormat="1" applyFont="1" applyFill="1" applyBorder="1" applyAlignment="1" applyProtection="1">
      <alignment horizontal="center" vertical="center" wrapText="1"/>
      <protection hidden="1"/>
    </xf>
    <xf numFmtId="44" fontId="27" fillId="4" borderId="3" xfId="0" applyNumberFormat="1" applyFont="1" applyFill="1" applyBorder="1" applyAlignment="1" applyProtection="1">
      <alignment horizontal="center" vertical="center" wrapText="1"/>
      <protection hidden="1"/>
    </xf>
    <xf numFmtId="44" fontId="27" fillId="4" borderId="4" xfId="0" applyNumberFormat="1" applyFont="1" applyFill="1" applyBorder="1" applyAlignment="1" applyProtection="1">
      <alignment horizontal="center" vertical="center" wrapText="1"/>
      <protection hidden="1"/>
    </xf>
    <xf numFmtId="0" fontId="14" fillId="0" borderId="10" xfId="0" applyFont="1" applyBorder="1" applyAlignment="1" applyProtection="1">
      <alignment vertical="center" wrapText="1"/>
      <protection hidden="1"/>
    </xf>
    <xf numFmtId="0" fontId="14" fillId="0" borderId="6" xfId="0" applyFont="1" applyBorder="1" applyAlignment="1" applyProtection="1">
      <alignment vertical="center" wrapText="1"/>
      <protection hidden="1"/>
    </xf>
    <xf numFmtId="44" fontId="14" fillId="4" borderId="10" xfId="2213" applyNumberFormat="1" applyFont="1" applyFill="1" applyBorder="1" applyAlignment="1" applyProtection="1">
      <alignment vertical="center" shrinkToFit="1"/>
      <protection hidden="1"/>
    </xf>
    <xf numFmtId="44" fontId="14" fillId="4" borderId="6" xfId="2213" applyNumberFormat="1" applyFont="1" applyFill="1" applyBorder="1" applyAlignment="1" applyProtection="1">
      <alignment vertical="center" shrinkToFit="1"/>
      <protection hidden="1"/>
    </xf>
    <xf numFmtId="165" fontId="13" fillId="0" borderId="5" xfId="2213" applyFont="1" applyBorder="1" applyAlignment="1" applyProtection="1">
      <alignment vertical="top" shrinkToFit="1"/>
      <protection locked="0"/>
    </xf>
    <xf numFmtId="0" fontId="73" fillId="0" borderId="4" xfId="0" applyFont="1" applyBorder="1" applyAlignment="1" applyProtection="1">
      <alignment vertical="top" shrinkToFit="1"/>
      <protection locked="0"/>
    </xf>
    <xf numFmtId="0" fontId="73" fillId="0" borderId="3" xfId="0" applyFont="1" applyBorder="1" applyAlignment="1" applyProtection="1">
      <alignment vertical="top" shrinkToFit="1"/>
      <protection locked="0"/>
    </xf>
    <xf numFmtId="44" fontId="51" fillId="0" borderId="1" xfId="0" applyNumberFormat="1" applyFont="1" applyBorder="1" applyAlignment="1" applyProtection="1">
      <alignment horizontal="center" vertical="center" wrapText="1"/>
      <protection hidden="1"/>
    </xf>
    <xf numFmtId="44" fontId="51" fillId="0" borderId="5" xfId="0" applyNumberFormat="1" applyFont="1" applyBorder="1" applyAlignment="1" applyProtection="1">
      <alignment horizontal="center" vertical="center" wrapText="1"/>
      <protection hidden="1"/>
    </xf>
    <xf numFmtId="0" fontId="51" fillId="0" borderId="8" xfId="0" applyNumberFormat="1" applyFont="1" applyBorder="1" applyAlignment="1" applyProtection="1">
      <alignment horizontal="center" vertical="center" wrapText="1"/>
      <protection hidden="1"/>
    </xf>
    <xf numFmtId="0" fontId="0" fillId="0" borderId="14" xfId="0" applyBorder="1" applyAlignment="1" applyProtection="1">
      <alignment vertical="center"/>
      <protection hidden="1"/>
    </xf>
    <xf numFmtId="0" fontId="0" fillId="0" borderId="15" xfId="0" applyBorder="1" applyAlignment="1" applyProtection="1">
      <alignment vertical="center"/>
      <protection hidden="1"/>
    </xf>
    <xf numFmtId="165" fontId="74" fillId="0" borderId="5" xfId="2213" applyFont="1" applyBorder="1" applyAlignment="1" applyProtection="1">
      <alignment vertical="top" wrapText="1"/>
      <protection locked="0"/>
    </xf>
    <xf numFmtId="0" fontId="75" fillId="0" borderId="4" xfId="0" applyFont="1" applyBorder="1" applyAlignment="1" applyProtection="1">
      <alignment vertical="top" wrapText="1"/>
      <protection locked="0"/>
    </xf>
    <xf numFmtId="0" fontId="75" fillId="0" borderId="3" xfId="0" applyFont="1" applyBorder="1" applyAlignment="1" applyProtection="1">
      <alignment vertical="top" wrapText="1"/>
      <protection locked="0"/>
    </xf>
    <xf numFmtId="165" fontId="74" fillId="0" borderId="5" xfId="2213" applyFont="1" applyBorder="1" applyAlignment="1" applyProtection="1">
      <alignment vertical="top" shrinkToFit="1"/>
      <protection locked="0"/>
    </xf>
    <xf numFmtId="0" fontId="75" fillId="0" borderId="4" xfId="0" applyFont="1" applyBorder="1" applyAlignment="1" applyProtection="1">
      <alignment vertical="top" shrinkToFit="1"/>
      <protection locked="0"/>
    </xf>
    <xf numFmtId="0" fontId="75" fillId="0" borderId="3" xfId="0" applyFont="1" applyBorder="1" applyAlignment="1" applyProtection="1">
      <alignment vertical="top" shrinkToFit="1"/>
      <protection locked="0"/>
    </xf>
    <xf numFmtId="0" fontId="26" fillId="0" borderId="0" xfId="0" applyFont="1" applyAlignment="1" applyProtection="1">
      <alignment horizontal="right" vertical="center"/>
      <protection hidden="1"/>
    </xf>
    <xf numFmtId="44" fontId="17" fillId="4" borderId="0" xfId="0" applyNumberFormat="1" applyFont="1" applyFill="1" applyBorder="1" applyAlignment="1" applyProtection="1">
      <alignment vertical="center" shrinkToFit="1"/>
      <protection hidden="1"/>
    </xf>
    <xf numFmtId="0" fontId="26" fillId="0" borderId="5" xfId="0" applyFont="1" applyBorder="1" applyAlignment="1" applyProtection="1">
      <alignment horizontal="center" vertical="center" wrapText="1"/>
      <protection hidden="1"/>
    </xf>
    <xf numFmtId="44" fontId="26" fillId="0" borderId="13" xfId="0" applyNumberFormat="1" applyFont="1" applyBorder="1" applyAlignment="1" applyProtection="1">
      <alignment horizontal="center" vertical="center" wrapText="1"/>
      <protection hidden="1"/>
    </xf>
    <xf numFmtId="44" fontId="0" fillId="0" borderId="12" xfId="0" applyNumberFormat="1" applyBorder="1" applyAlignment="1" applyProtection="1">
      <alignment horizontal="center" vertical="center" wrapText="1"/>
      <protection hidden="1"/>
    </xf>
    <xf numFmtId="0" fontId="0" fillId="0" borderId="12" xfId="0" applyBorder="1" applyAlignment="1" applyProtection="1">
      <alignment vertical="center"/>
      <protection hidden="1"/>
    </xf>
    <xf numFmtId="0" fontId="0" fillId="0" borderId="11" xfId="0" applyBorder="1" applyAlignment="1" applyProtection="1">
      <alignment vertical="center"/>
      <protection hidden="1"/>
    </xf>
    <xf numFmtId="44" fontId="51" fillId="0" borderId="8" xfId="0" applyNumberFormat="1" applyFont="1" applyBorder="1" applyAlignment="1" applyProtection="1">
      <alignment horizontal="center" vertical="center" wrapText="1"/>
      <protection hidden="1"/>
    </xf>
    <xf numFmtId="44" fontId="70" fillId="0" borderId="14" xfId="0" applyNumberFormat="1" applyFont="1" applyBorder="1" applyAlignment="1" applyProtection="1">
      <alignment horizontal="center" vertical="center" wrapText="1"/>
      <protection hidden="1"/>
    </xf>
    <xf numFmtId="0" fontId="26" fillId="0" borderId="9" xfId="0" applyNumberFormat="1" applyFont="1" applyBorder="1" applyAlignment="1" applyProtection="1">
      <alignment horizontal="center" vertical="center" wrapText="1"/>
      <protection hidden="1"/>
    </xf>
    <xf numFmtId="0" fontId="0" fillId="0" borderId="0" xfId="0" applyBorder="1" applyAlignment="1" applyProtection="1">
      <alignment vertical="center"/>
      <protection hidden="1"/>
    </xf>
    <xf numFmtId="0" fontId="0" fillId="0" borderId="2" xfId="0" applyBorder="1" applyAlignment="1" applyProtection="1">
      <alignment vertical="center"/>
      <protection hidden="1"/>
    </xf>
    <xf numFmtId="44" fontId="24" fillId="0" borderId="7" xfId="0" applyNumberFormat="1" applyFont="1" applyBorder="1" applyAlignment="1" applyProtection="1">
      <alignment horizontal="center" vertical="center" wrapText="1"/>
      <protection hidden="1"/>
    </xf>
    <xf numFmtId="44" fontId="24" fillId="0" borderId="6" xfId="0" applyNumberFormat="1" applyFont="1" applyBorder="1" applyAlignment="1" applyProtection="1">
      <alignment horizontal="center" vertical="center" wrapText="1"/>
      <protection hidden="1"/>
    </xf>
    <xf numFmtId="0" fontId="14" fillId="0" borderId="0" xfId="0" applyFont="1" applyAlignment="1" applyProtection="1">
      <alignment horizontal="right" vertical="center" shrinkToFit="1"/>
      <protection hidden="1"/>
    </xf>
    <xf numFmtId="165" fontId="14" fillId="4" borderId="0" xfId="0" applyNumberFormat="1" applyFont="1" applyFill="1" applyBorder="1" applyAlignment="1" applyProtection="1">
      <alignment horizontal="center" vertical="center" shrinkToFit="1"/>
      <protection hidden="1"/>
    </xf>
    <xf numFmtId="0" fontId="18" fillId="0" borderId="0" xfId="0" applyFont="1" applyAlignment="1" applyProtection="1">
      <alignment horizontal="left" vertical="center" shrinkToFit="1"/>
      <protection hidden="1"/>
    </xf>
    <xf numFmtId="44" fontId="18" fillId="0" borderId="0" xfId="0" applyNumberFormat="1" applyFont="1" applyAlignment="1" applyProtection="1">
      <alignment horizontal="left" vertical="center" shrinkToFit="1"/>
      <protection hidden="1"/>
    </xf>
    <xf numFmtId="165" fontId="26" fillId="4" borderId="0" xfId="0" applyNumberFormat="1" applyFont="1" applyFill="1" applyBorder="1" applyAlignment="1" applyProtection="1">
      <alignment horizontal="center" vertical="center" shrinkToFit="1"/>
      <protection hidden="1"/>
    </xf>
    <xf numFmtId="0" fontId="26" fillId="0" borderId="0" xfId="0" applyFont="1" applyAlignment="1" applyProtection="1">
      <alignment horizontal="center" vertical="center"/>
      <protection hidden="1"/>
    </xf>
    <xf numFmtId="0" fontId="14" fillId="4" borderId="0" xfId="0" applyNumberFormat="1" applyFont="1" applyFill="1" applyBorder="1" applyAlignment="1" applyProtection="1">
      <alignment horizontal="left" vertical="center"/>
      <protection hidden="1"/>
    </xf>
    <xf numFmtId="0" fontId="42" fillId="0" borderId="14" xfId="2216" applyFont="1" applyBorder="1" applyAlignment="1" applyProtection="1">
      <alignment horizontal="right" vertical="center"/>
      <protection hidden="1"/>
    </xf>
    <xf numFmtId="0" fontId="5" fillId="0" borderId="0" xfId="2216" applyFont="1" applyAlignment="1" applyProtection="1">
      <alignment horizontal="left" vertical="center"/>
      <protection hidden="1"/>
    </xf>
    <xf numFmtId="0" fontId="27" fillId="0" borderId="0" xfId="2216" applyFont="1" applyAlignment="1" applyProtection="1">
      <alignment horizontal="left" vertical="center"/>
      <protection hidden="1"/>
    </xf>
    <xf numFmtId="0" fontId="67" fillId="0" borderId="0" xfId="2216" applyFont="1" applyAlignment="1" applyProtection="1">
      <alignment horizontal="left" vertical="center"/>
      <protection hidden="1"/>
    </xf>
    <xf numFmtId="0" fontId="46" fillId="0" borderId="9" xfId="2216" applyFont="1" applyBorder="1" applyAlignment="1" applyProtection="1">
      <alignment horizontal="left" vertical="center"/>
      <protection hidden="1"/>
    </xf>
    <xf numFmtId="0" fontId="46" fillId="0" borderId="0" xfId="2216" applyFont="1" applyBorder="1" applyAlignment="1" applyProtection="1">
      <alignment horizontal="left" vertical="center"/>
      <protection hidden="1"/>
    </xf>
    <xf numFmtId="0" fontId="51" fillId="3" borderId="0" xfId="2216" applyFont="1" applyFill="1" applyAlignment="1" applyProtection="1">
      <alignment horizontal="left" vertical="center"/>
      <protection hidden="1"/>
    </xf>
    <xf numFmtId="0" fontId="44" fillId="0" borderId="0" xfId="2214" applyFont="1" applyFill="1" applyBorder="1" applyAlignment="1" applyProtection="1">
      <alignment horizontal="center" vertical="center"/>
      <protection hidden="1"/>
    </xf>
    <xf numFmtId="0" fontId="44" fillId="0" borderId="0" xfId="2216" applyFont="1" applyBorder="1" applyAlignment="1" applyProtection="1">
      <alignment horizontal="center" vertical="center"/>
      <protection hidden="1"/>
    </xf>
    <xf numFmtId="0" fontId="5" fillId="4" borderId="0" xfId="2216" applyFont="1" applyFill="1" applyAlignment="1" applyProtection="1">
      <alignment vertical="center"/>
      <protection hidden="1"/>
    </xf>
    <xf numFmtId="0" fontId="0" fillId="4" borderId="0" xfId="0" applyFill="1" applyAlignment="1" applyProtection="1">
      <alignment vertical="center"/>
      <protection hidden="1"/>
    </xf>
    <xf numFmtId="0" fontId="65" fillId="3" borderId="0" xfId="2216" applyFont="1" applyFill="1" applyAlignment="1" applyProtection="1">
      <alignment horizontal="center" vertical="center" wrapText="1"/>
      <protection hidden="1"/>
    </xf>
    <xf numFmtId="0" fontId="5" fillId="4" borderId="0" xfId="2216" applyFont="1" applyFill="1" applyAlignment="1" applyProtection="1">
      <alignment horizontal="left" vertical="center"/>
      <protection hidden="1"/>
    </xf>
    <xf numFmtId="0" fontId="0" fillId="4" borderId="0" xfId="0" applyFill="1" applyAlignment="1" applyProtection="1">
      <alignment horizontal="left" vertical="center"/>
      <protection hidden="1"/>
    </xf>
    <xf numFmtId="0" fontId="26" fillId="0" borderId="10" xfId="0" applyFont="1" applyBorder="1" applyAlignment="1" applyProtection="1">
      <alignment horizontal="center" vertical="center"/>
      <protection hidden="1"/>
    </xf>
    <xf numFmtId="0" fontId="53" fillId="0" borderId="6" xfId="0" applyFont="1" applyBorder="1" applyAlignment="1">
      <alignment horizontal="center" vertical="center"/>
    </xf>
    <xf numFmtId="0" fontId="26" fillId="0" borderId="13" xfId="0" applyFont="1" applyFill="1" applyBorder="1" applyAlignment="1" applyProtection="1">
      <alignment horizontal="center" vertical="center"/>
      <protection hidden="1"/>
    </xf>
    <xf numFmtId="0" fontId="53" fillId="0" borderId="12" xfId="0" applyFont="1" applyBorder="1" applyAlignment="1">
      <alignment horizontal="center" vertical="center"/>
    </xf>
    <xf numFmtId="0" fontId="53" fillId="0" borderId="11" xfId="0" applyFont="1" applyBorder="1" applyAlignment="1">
      <alignment horizontal="center" vertical="center"/>
    </xf>
    <xf numFmtId="0" fontId="50" fillId="0" borderId="14" xfId="0" applyFont="1" applyBorder="1" applyAlignment="1" applyProtection="1">
      <alignment horizontal="center" vertical="center"/>
      <protection hidden="1"/>
    </xf>
    <xf numFmtId="0" fontId="26" fillId="0" borderId="10" xfId="0" applyFont="1" applyBorder="1" applyAlignment="1" applyProtection="1">
      <alignment horizontal="right" vertical="center"/>
      <protection hidden="1"/>
    </xf>
    <xf numFmtId="0" fontId="53" fillId="0" borderId="6" xfId="0" applyFont="1" applyBorder="1" applyAlignment="1">
      <alignment horizontal="right" vertical="center"/>
    </xf>
    <xf numFmtId="0" fontId="26" fillId="0" borderId="13" xfId="0" applyFont="1" applyBorder="1" applyAlignment="1" applyProtection="1">
      <alignment vertical="center" wrapText="1"/>
      <protection hidden="1"/>
    </xf>
    <xf numFmtId="0" fontId="53" fillId="0" borderId="8" xfId="0" applyFont="1" applyBorder="1" applyAlignment="1">
      <alignment vertical="center" wrapText="1"/>
    </xf>
    <xf numFmtId="0" fontId="26" fillId="0" borderId="5" xfId="0" applyFont="1" applyFill="1" applyBorder="1" applyAlignment="1" applyProtection="1">
      <alignment horizontal="center" vertical="center"/>
      <protection hidden="1"/>
    </xf>
    <xf numFmtId="0" fontId="26" fillId="0" borderId="4" xfId="0" applyFont="1" applyFill="1" applyBorder="1" applyAlignment="1" applyProtection="1">
      <alignment horizontal="center" vertical="center"/>
      <protection hidden="1"/>
    </xf>
    <xf numFmtId="0" fontId="26" fillId="0" borderId="3" xfId="0" applyFont="1" applyFill="1" applyBorder="1" applyAlignment="1" applyProtection="1">
      <alignment horizontal="center" vertical="center"/>
      <protection hidden="1"/>
    </xf>
    <xf numFmtId="1" fontId="14" fillId="0" borderId="5" xfId="0" applyNumberFormat="1" applyFont="1" applyBorder="1" applyAlignment="1" applyProtection="1">
      <alignment horizontal="center" vertical="center" wrapText="1"/>
      <protection hidden="1"/>
    </xf>
    <xf numFmtId="1" fontId="14" fillId="0" borderId="4" xfId="0" applyNumberFormat="1" applyFont="1" applyBorder="1" applyAlignment="1" applyProtection="1">
      <alignment horizontal="center" vertical="center" wrapText="1"/>
      <protection hidden="1"/>
    </xf>
    <xf numFmtId="1" fontId="14" fillId="0" borderId="3" xfId="0" applyNumberFormat="1" applyFont="1" applyBorder="1" applyAlignment="1" applyProtection="1">
      <alignment horizontal="center" vertical="center" wrapText="1"/>
      <protection hidden="1"/>
    </xf>
    <xf numFmtId="44" fontId="14" fillId="0" borderId="5" xfId="0" applyNumberFormat="1" applyFont="1" applyBorder="1" applyAlignment="1" applyProtection="1">
      <alignment horizontal="center" vertical="center" wrapText="1"/>
      <protection hidden="1"/>
    </xf>
    <xf numFmtId="44" fontId="14" fillId="0" borderId="4" xfId="0" applyNumberFormat="1" applyFont="1" applyBorder="1" applyAlignment="1" applyProtection="1">
      <alignment horizontal="center" vertical="center" wrapText="1"/>
      <protection hidden="1"/>
    </xf>
    <xf numFmtId="44" fontId="14" fillId="0" borderId="3" xfId="0" applyNumberFormat="1" applyFont="1" applyBorder="1" applyAlignment="1" applyProtection="1">
      <alignment horizontal="center" vertical="center" wrapText="1"/>
      <protection hidden="1"/>
    </xf>
    <xf numFmtId="2" fontId="14" fillId="0" borderId="5" xfId="0" applyNumberFormat="1" applyFont="1" applyBorder="1" applyAlignment="1" applyProtection="1">
      <alignment horizontal="center" vertical="center" wrapText="1"/>
      <protection hidden="1"/>
    </xf>
    <xf numFmtId="2" fontId="14" fillId="0" borderId="4" xfId="0" applyNumberFormat="1" applyFont="1" applyBorder="1" applyAlignment="1" applyProtection="1">
      <alignment horizontal="center" vertical="center" wrapText="1"/>
      <protection hidden="1"/>
    </xf>
    <xf numFmtId="2" fontId="14" fillId="0" borderId="3" xfId="0" applyNumberFormat="1" applyFont="1" applyBorder="1" applyAlignment="1" applyProtection="1">
      <alignment horizontal="center" vertical="center" wrapText="1"/>
      <protection hidden="1"/>
    </xf>
    <xf numFmtId="0" fontId="50" fillId="13" borderId="5" xfId="0" applyFont="1" applyFill="1" applyBorder="1" applyAlignment="1" applyProtection="1">
      <alignment horizontal="center" vertical="center"/>
      <protection hidden="1"/>
    </xf>
    <xf numFmtId="0" fontId="50" fillId="13" borderId="4" xfId="0" applyFont="1" applyFill="1" applyBorder="1" applyAlignment="1" applyProtection="1">
      <alignment horizontal="center" vertical="center"/>
      <protection hidden="1"/>
    </xf>
    <xf numFmtId="0" fontId="50" fillId="13" borderId="3" xfId="0" applyFont="1" applyFill="1" applyBorder="1" applyAlignment="1" applyProtection="1">
      <alignment horizontal="center" vertical="center"/>
      <protection hidden="1"/>
    </xf>
    <xf numFmtId="0" fontId="26" fillId="0" borderId="1" xfId="0" applyFont="1" applyBorder="1" applyAlignment="1" applyProtection="1">
      <alignment horizontal="center" vertical="center" wrapText="1"/>
      <protection hidden="1"/>
    </xf>
    <xf numFmtId="0" fontId="26" fillId="0" borderId="13"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6" fillId="0" borderId="8" xfId="0" applyFont="1" applyBorder="1" applyAlignment="1" applyProtection="1">
      <alignment horizontal="center" vertical="center" wrapText="1"/>
      <protection hidden="1"/>
    </xf>
    <xf numFmtId="49" fontId="26" fillId="0" borderId="0" xfId="0" applyNumberFormat="1" applyFont="1" applyBorder="1" applyAlignment="1" applyProtection="1">
      <alignment horizontal="right" vertical="center"/>
      <protection hidden="1"/>
    </xf>
    <xf numFmtId="0" fontId="0" fillId="0" borderId="0" xfId="0" applyAlignment="1" applyProtection="1">
      <alignment horizontal="right" vertical="center"/>
      <protection hidden="1"/>
    </xf>
    <xf numFmtId="0" fontId="26" fillId="4" borderId="0" xfId="0" applyFont="1" applyFill="1" applyBorder="1" applyAlignment="1" applyProtection="1">
      <alignment horizontal="center" vertical="center" wrapText="1"/>
      <protection hidden="1"/>
    </xf>
    <xf numFmtId="0" fontId="14" fillId="4" borderId="0" xfId="0" applyFont="1" applyFill="1" applyBorder="1" applyAlignment="1" applyProtection="1">
      <alignment horizontal="left" vertical="center" wrapText="1"/>
      <protection hidden="1"/>
    </xf>
    <xf numFmtId="44" fontId="26" fillId="0" borderId="20" xfId="0" applyNumberFormat="1" applyFont="1" applyBorder="1" applyAlignment="1" applyProtection="1">
      <alignment horizontal="center" vertical="center"/>
      <protection hidden="1"/>
    </xf>
    <xf numFmtId="44" fontId="26" fillId="0" borderId="21" xfId="0" applyNumberFormat="1" applyFont="1" applyBorder="1" applyAlignment="1" applyProtection="1">
      <alignment horizontal="center" vertical="center"/>
      <protection hidden="1"/>
    </xf>
    <xf numFmtId="44" fontId="14" fillId="0" borderId="5" xfId="0" applyNumberFormat="1" applyFont="1" applyBorder="1" applyAlignment="1" applyProtection="1">
      <alignment horizontal="center" vertical="center"/>
      <protection hidden="1"/>
    </xf>
    <xf numFmtId="44" fontId="14" fillId="0" borderId="3" xfId="0" applyNumberFormat="1"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169" fontId="14" fillId="0" borderId="5" xfId="0" applyNumberFormat="1" applyFont="1" applyBorder="1" applyAlignment="1" applyProtection="1">
      <alignment horizontal="center" vertical="center"/>
      <protection hidden="1"/>
    </xf>
    <xf numFmtId="169" fontId="14" fillId="0" borderId="3" xfId="0" applyNumberFormat="1" applyFont="1" applyBorder="1" applyAlignment="1" applyProtection="1">
      <alignment horizontal="center" vertical="center"/>
      <protection hidden="1"/>
    </xf>
    <xf numFmtId="172" fontId="14" fillId="0" borderId="5" xfId="0" applyNumberFormat="1" applyFont="1" applyBorder="1" applyAlignment="1" applyProtection="1">
      <alignment horizontal="center" vertical="center"/>
      <protection hidden="1"/>
    </xf>
    <xf numFmtId="172" fontId="14" fillId="0" borderId="3" xfId="0" applyNumberFormat="1" applyFont="1" applyBorder="1" applyAlignment="1" applyProtection="1">
      <alignment horizontal="center" vertical="center"/>
      <protection hidden="1"/>
    </xf>
    <xf numFmtId="44" fontId="14" fillId="0" borderId="13" xfId="0" applyNumberFormat="1" applyFont="1" applyBorder="1" applyAlignment="1" applyProtection="1">
      <alignment horizontal="center" vertical="center"/>
      <protection hidden="1"/>
    </xf>
    <xf numFmtId="44" fontId="14" fillId="0" borderId="11" xfId="0" applyNumberFormat="1" applyFont="1" applyBorder="1" applyAlignment="1" applyProtection="1">
      <alignment horizontal="center" vertical="center"/>
      <protection hidden="1"/>
    </xf>
    <xf numFmtId="0" fontId="26" fillId="0" borderId="11" xfId="0" applyFont="1" applyBorder="1" applyAlignment="1" applyProtection="1">
      <alignment horizontal="center" vertical="center" wrapText="1"/>
      <protection hidden="1"/>
    </xf>
    <xf numFmtId="0" fontId="26" fillId="0" borderId="2" xfId="0" applyFont="1" applyBorder="1" applyAlignment="1" applyProtection="1">
      <alignment horizontal="center" vertical="center" wrapText="1"/>
      <protection hidden="1"/>
    </xf>
    <xf numFmtId="0" fontId="26" fillId="0" borderId="15" xfId="0" applyFont="1" applyBorder="1" applyAlignment="1" applyProtection="1">
      <alignment horizontal="center" vertical="center" wrapText="1"/>
      <protection hidden="1"/>
    </xf>
    <xf numFmtId="0" fontId="13" fillId="3" borderId="0" xfId="2" applyFill="1" applyBorder="1" applyAlignment="1" applyProtection="1">
      <alignment horizontal="right" vertical="center" shrinkToFit="1"/>
      <protection locked="0"/>
    </xf>
    <xf numFmtId="0" fontId="13" fillId="3" borderId="2" xfId="2" applyFill="1" applyBorder="1" applyAlignment="1" applyProtection="1">
      <alignment horizontal="right" vertical="center" shrinkToFit="1"/>
      <protection locked="0"/>
    </xf>
    <xf numFmtId="0" fontId="26" fillId="2" borderId="5" xfId="1" applyFont="1" applyFill="1" applyBorder="1" applyAlignment="1" applyProtection="1">
      <alignment horizontal="right" vertical="center"/>
      <protection hidden="1"/>
    </xf>
    <xf numFmtId="0" fontId="26" fillId="2" borderId="4" xfId="1" applyFont="1" applyFill="1" applyBorder="1" applyAlignment="1" applyProtection="1">
      <alignment horizontal="right" vertical="center"/>
      <protection hidden="1"/>
    </xf>
    <xf numFmtId="169" fontId="13" fillId="4" borderId="4" xfId="2" applyNumberFormat="1" applyFont="1" applyFill="1" applyBorder="1" applyAlignment="1" applyProtection="1">
      <alignment horizontal="right" vertical="center" shrinkToFit="1"/>
      <protection hidden="1"/>
    </xf>
    <xf numFmtId="0" fontId="13" fillId="2" borderId="4" xfId="2" applyFont="1" applyFill="1" applyBorder="1" applyAlignment="1" applyProtection="1">
      <alignment horizontal="right" vertical="center" shrinkToFit="1"/>
      <protection hidden="1"/>
    </xf>
    <xf numFmtId="44" fontId="13" fillId="4" borderId="5" xfId="2" applyNumberFormat="1" applyFont="1" applyFill="1" applyBorder="1" applyAlignment="1" applyProtection="1">
      <alignment horizontal="center" shrinkToFit="1"/>
      <protection hidden="1"/>
    </xf>
    <xf numFmtId="44" fontId="13" fillId="4" borderId="4" xfId="2" applyNumberFormat="1" applyFont="1" applyFill="1" applyBorder="1" applyAlignment="1" applyProtection="1">
      <alignment horizontal="center" shrinkToFit="1"/>
      <protection hidden="1"/>
    </xf>
    <xf numFmtId="44" fontId="13" fillId="4" borderId="3" xfId="2" applyNumberFormat="1" applyFont="1" applyFill="1" applyBorder="1" applyAlignment="1" applyProtection="1">
      <alignment horizontal="center" shrinkToFit="1"/>
      <protection hidden="1"/>
    </xf>
    <xf numFmtId="0" fontId="13" fillId="2" borderId="13" xfId="2" applyFont="1" applyFill="1" applyBorder="1" applyAlignment="1" applyProtection="1">
      <alignment horizontal="right" vertical="center" wrapText="1"/>
      <protection hidden="1"/>
    </xf>
    <xf numFmtId="0" fontId="13" fillId="2" borderId="12" xfId="2" applyFont="1" applyFill="1" applyBorder="1" applyAlignment="1" applyProtection="1">
      <alignment horizontal="right" vertical="center" wrapText="1"/>
      <protection hidden="1"/>
    </xf>
    <xf numFmtId="0" fontId="13" fillId="2" borderId="0" xfId="2" applyFill="1" applyAlignment="1" applyProtection="1">
      <alignment horizontal="right" vertical="center" shrinkToFit="1"/>
      <protection hidden="1"/>
    </xf>
    <xf numFmtId="0" fontId="13" fillId="2" borderId="2" xfId="2" applyFill="1" applyBorder="1" applyAlignment="1" applyProtection="1">
      <alignment horizontal="right" vertical="center" shrinkToFit="1"/>
      <protection hidden="1"/>
    </xf>
    <xf numFmtId="0" fontId="13" fillId="2" borderId="9" xfId="2" applyFont="1" applyFill="1" applyBorder="1" applyAlignment="1" applyProtection="1">
      <alignment horizontal="right" vertical="center" wrapText="1"/>
      <protection hidden="1"/>
    </xf>
    <xf numFmtId="0" fontId="13" fillId="2" borderId="0" xfId="2" applyFont="1" applyFill="1" applyBorder="1" applyAlignment="1" applyProtection="1">
      <alignment horizontal="right" vertical="center" wrapText="1"/>
      <protection hidden="1"/>
    </xf>
    <xf numFmtId="0" fontId="13" fillId="2" borderId="8" xfId="2" applyFont="1" applyFill="1" applyBorder="1" applyAlignment="1" applyProtection="1">
      <alignment horizontal="right" vertical="center" wrapText="1"/>
      <protection hidden="1"/>
    </xf>
    <xf numFmtId="0" fontId="13" fillId="2" borderId="14" xfId="2" applyFont="1" applyFill="1" applyBorder="1" applyAlignment="1" applyProtection="1">
      <alignment horizontal="right" vertical="center" wrapText="1"/>
      <protection hidden="1"/>
    </xf>
    <xf numFmtId="0" fontId="14" fillId="2" borderId="14" xfId="1" applyFont="1" applyFill="1" applyBorder="1" applyAlignment="1" applyProtection="1">
      <alignment horizontal="right" vertical="center"/>
      <protection hidden="1"/>
    </xf>
    <xf numFmtId="44" fontId="14" fillId="3" borderId="14" xfId="1" applyNumberFormat="1" applyFont="1" applyFill="1" applyBorder="1" applyAlignment="1" applyProtection="1">
      <alignment horizontal="right" vertical="center"/>
      <protection locked="0"/>
    </xf>
    <xf numFmtId="44" fontId="13" fillId="3" borderId="1" xfId="0" applyNumberFormat="1" applyFont="1" applyFill="1" applyBorder="1" applyAlignment="1" applyProtection="1">
      <alignment horizontal="left" vertical="center"/>
      <protection locked="0"/>
    </xf>
    <xf numFmtId="0" fontId="13" fillId="2" borderId="10" xfId="2" applyFont="1" applyFill="1" applyBorder="1" applyAlignment="1" applyProtection="1">
      <alignment horizontal="center" vertical="top" wrapText="1"/>
      <protection hidden="1"/>
    </xf>
    <xf numFmtId="0" fontId="13" fillId="2" borderId="7" xfId="2" applyFont="1" applyFill="1" applyBorder="1" applyAlignment="1" applyProtection="1">
      <alignment horizontal="center" vertical="top" wrapText="1"/>
      <protection hidden="1"/>
    </xf>
    <xf numFmtId="0" fontId="17" fillId="2" borderId="13" xfId="2" applyFont="1" applyFill="1" applyBorder="1" applyAlignment="1" applyProtection="1">
      <alignment horizontal="center" vertical="center" wrapText="1"/>
      <protection hidden="1"/>
    </xf>
    <xf numFmtId="0" fontId="17" fillId="2" borderId="12" xfId="2" applyFont="1" applyFill="1" applyBorder="1" applyAlignment="1" applyProtection="1">
      <alignment horizontal="center" vertical="center" wrapText="1"/>
      <protection hidden="1"/>
    </xf>
    <xf numFmtId="0" fontId="17" fillId="2" borderId="11" xfId="2" applyFont="1" applyFill="1" applyBorder="1" applyAlignment="1" applyProtection="1">
      <alignment horizontal="center" vertical="center" wrapText="1"/>
      <protection hidden="1"/>
    </xf>
    <xf numFmtId="0" fontId="17" fillId="2" borderId="13" xfId="2" applyFont="1" applyFill="1" applyBorder="1" applyAlignment="1" applyProtection="1">
      <alignment horizontal="center" vertical="top" wrapText="1"/>
      <protection hidden="1"/>
    </xf>
    <xf numFmtId="0" fontId="17" fillId="2" borderId="12" xfId="2" applyFont="1" applyFill="1" applyBorder="1" applyAlignment="1" applyProtection="1">
      <alignment horizontal="center" vertical="top" wrapText="1"/>
      <protection hidden="1"/>
    </xf>
    <xf numFmtId="0" fontId="17" fillId="2" borderId="10" xfId="2" applyFont="1" applyFill="1" applyBorder="1" applyAlignment="1" applyProtection="1">
      <alignment horizontal="center" vertical="center" wrapText="1"/>
      <protection hidden="1"/>
    </xf>
    <xf numFmtId="0" fontId="17" fillId="2" borderId="7" xfId="2" applyFont="1" applyFill="1" applyBorder="1" applyAlignment="1" applyProtection="1">
      <alignment horizontal="center" vertical="center" wrapText="1"/>
      <protection hidden="1"/>
    </xf>
    <xf numFmtId="0" fontId="17" fillId="2" borderId="6" xfId="2" applyFont="1" applyFill="1" applyBorder="1" applyAlignment="1" applyProtection="1">
      <alignment horizontal="center" vertical="center" wrapText="1"/>
      <protection hidden="1"/>
    </xf>
    <xf numFmtId="0" fontId="13" fillId="2" borderId="9" xfId="2" applyFont="1" applyFill="1" applyBorder="1" applyAlignment="1" applyProtection="1">
      <alignment horizontal="center" vertical="center" wrapText="1"/>
      <protection hidden="1"/>
    </xf>
    <xf numFmtId="0" fontId="13" fillId="2" borderId="8" xfId="2" applyFont="1" applyFill="1" applyBorder="1" applyAlignment="1" applyProtection="1">
      <alignment horizontal="center" vertical="center" wrapText="1"/>
      <protection hidden="1"/>
    </xf>
    <xf numFmtId="2" fontId="16" fillId="2" borderId="7" xfId="2" applyNumberFormat="1" applyFont="1" applyFill="1" applyBorder="1" applyAlignment="1" applyProtection="1">
      <alignment horizontal="center" vertical="center" wrapText="1"/>
      <protection hidden="1"/>
    </xf>
    <xf numFmtId="2" fontId="13" fillId="2" borderId="7" xfId="2" applyNumberFormat="1" applyFont="1" applyFill="1" applyBorder="1" applyAlignment="1" applyProtection="1">
      <alignment horizontal="center" vertical="center" wrapText="1"/>
      <protection hidden="1"/>
    </xf>
    <xf numFmtId="0" fontId="13" fillId="2" borderId="7" xfId="2" applyFont="1" applyFill="1" applyBorder="1" applyAlignment="1" applyProtection="1">
      <alignment horizontal="center" vertical="center" wrapText="1"/>
      <protection hidden="1"/>
    </xf>
    <xf numFmtId="0" fontId="17" fillId="0" borderId="7" xfId="2" applyFont="1" applyFill="1" applyBorder="1" applyAlignment="1" applyProtection="1">
      <alignment horizontal="center" vertical="center" wrapText="1"/>
      <protection hidden="1"/>
    </xf>
    <xf numFmtId="0" fontId="17" fillId="0" borderId="6" xfId="2" applyFont="1" applyFill="1" applyBorder="1" applyAlignment="1" applyProtection="1">
      <alignment horizontal="center" vertical="center" wrapText="1"/>
      <protection hidden="1"/>
    </xf>
    <xf numFmtId="0" fontId="16" fillId="2" borderId="7" xfId="2" applyFont="1" applyFill="1" applyBorder="1" applyAlignment="1" applyProtection="1">
      <alignment horizontal="center" vertical="center" wrapText="1"/>
      <protection hidden="1"/>
    </xf>
    <xf numFmtId="0" fontId="16" fillId="3" borderId="7" xfId="2" applyFont="1" applyFill="1" applyBorder="1" applyAlignment="1" applyProtection="1">
      <alignment horizontal="center" vertical="center" wrapText="1"/>
      <protection locked="0"/>
    </xf>
    <xf numFmtId="0" fontId="16" fillId="3" borderId="6" xfId="2" applyFont="1" applyFill="1" applyBorder="1" applyAlignment="1" applyProtection="1">
      <alignment horizontal="center" vertical="center" wrapText="1"/>
      <protection locked="0"/>
    </xf>
    <xf numFmtId="0" fontId="13" fillId="0" borderId="12" xfId="1" applyFont="1" applyFill="1" applyBorder="1" applyAlignment="1" applyProtection="1">
      <alignment horizontal="center" vertical="center"/>
      <protection hidden="1"/>
    </xf>
    <xf numFmtId="0" fontId="13" fillId="0" borderId="0" xfId="0" applyFont="1" applyFill="1" applyAlignment="1" applyProtection="1">
      <alignment horizontal="center" vertical="center" shrinkToFit="1"/>
      <protection hidden="1"/>
    </xf>
    <xf numFmtId="0" fontId="14" fillId="0" borderId="14" xfId="0" applyFont="1" applyFill="1" applyBorder="1" applyAlignment="1" applyProtection="1">
      <alignment horizontal="center" vertical="center" shrinkToFit="1"/>
      <protection hidden="1"/>
    </xf>
    <xf numFmtId="0" fontId="13" fillId="4" borderId="5" xfId="0" applyFont="1" applyFill="1" applyBorder="1" applyAlignment="1" applyProtection="1">
      <alignment horizontal="center" vertical="center"/>
      <protection hidden="1"/>
    </xf>
    <xf numFmtId="0" fontId="13" fillId="4" borderId="3" xfId="0" applyFont="1" applyFill="1" applyBorder="1" applyAlignment="1" applyProtection="1">
      <alignment horizontal="center" vertical="center"/>
      <protection hidden="1"/>
    </xf>
    <xf numFmtId="0" fontId="13" fillId="3" borderId="5" xfId="0" applyFont="1" applyFill="1" applyBorder="1" applyAlignment="1" applyProtection="1">
      <alignment horizontal="center" vertical="center"/>
      <protection locked="0"/>
    </xf>
    <xf numFmtId="0" fontId="13" fillId="3" borderId="3" xfId="0" applyFont="1" applyFill="1" applyBorder="1" applyAlignment="1" applyProtection="1">
      <alignment horizontal="center" vertical="center"/>
      <protection locked="0"/>
    </xf>
    <xf numFmtId="0" fontId="13" fillId="2" borderId="0" xfId="1" applyFont="1" applyFill="1" applyBorder="1" applyAlignment="1" applyProtection="1">
      <alignment horizontal="right" vertical="center" shrinkToFit="1"/>
      <protection hidden="1"/>
    </xf>
    <xf numFmtId="49" fontId="13" fillId="3" borderId="0" xfId="1" applyNumberFormat="1" applyFont="1" applyFill="1" applyBorder="1" applyAlignment="1" applyProtection="1">
      <alignment horizontal="center" vertical="center"/>
      <protection locked="0"/>
    </xf>
    <xf numFmtId="0" fontId="14" fillId="2" borderId="0" xfId="1" applyFont="1" applyFill="1" applyAlignment="1" applyProtection="1">
      <alignment horizontal="right" vertical="center" wrapText="1"/>
      <protection hidden="1"/>
    </xf>
    <xf numFmtId="0" fontId="18" fillId="2" borderId="0" xfId="1" applyFont="1" applyFill="1" applyBorder="1" applyAlignment="1" applyProtection="1">
      <alignment horizontal="left" vertical="center"/>
      <protection hidden="1"/>
    </xf>
    <xf numFmtId="49" fontId="26" fillId="2" borderId="0" xfId="0" applyNumberFormat="1" applyFont="1" applyFill="1" applyBorder="1" applyAlignment="1" applyProtection="1">
      <alignment horizontal="right"/>
      <protection hidden="1"/>
    </xf>
    <xf numFmtId="0" fontId="9" fillId="4" borderId="0" xfId="0" applyFont="1" applyFill="1" applyAlignment="1" applyProtection="1">
      <alignment horizontal="left" wrapText="1"/>
      <protection hidden="1"/>
    </xf>
    <xf numFmtId="0" fontId="13" fillId="2" borderId="0" xfId="1" applyFont="1" applyFill="1" applyBorder="1" applyAlignment="1" applyProtection="1">
      <alignment horizontal="right" vertical="center"/>
      <protection hidden="1"/>
    </xf>
    <xf numFmtId="0" fontId="17" fillId="3" borderId="0" xfId="1" applyFont="1" applyFill="1" applyBorder="1" applyAlignment="1" applyProtection="1">
      <alignment horizontal="left" vertical="center"/>
      <protection locked="0"/>
    </xf>
    <xf numFmtId="0" fontId="24" fillId="2" borderId="0" xfId="1" applyFont="1" applyFill="1" applyBorder="1" applyAlignment="1" applyProtection="1">
      <alignment horizontal="left"/>
      <protection hidden="1"/>
    </xf>
    <xf numFmtId="0" fontId="16" fillId="2" borderId="0" xfId="2" applyFont="1" applyFill="1" applyBorder="1" applyAlignment="1" applyProtection="1">
      <alignment horizontal="center"/>
      <protection hidden="1"/>
    </xf>
    <xf numFmtId="49" fontId="17" fillId="3" borderId="0" xfId="1" applyNumberFormat="1" applyFont="1" applyFill="1" applyBorder="1" applyAlignment="1" applyProtection="1">
      <alignment horizontal="left" vertical="center"/>
      <protection locked="0"/>
    </xf>
    <xf numFmtId="169" fontId="13" fillId="3" borderId="4" xfId="2" applyNumberFormat="1" applyFont="1" applyFill="1" applyBorder="1" applyAlignment="1" applyProtection="1">
      <alignment horizontal="right" vertical="center" shrinkToFit="1"/>
      <protection locked="0"/>
    </xf>
    <xf numFmtId="49" fontId="14" fillId="3" borderId="0" xfId="1" applyNumberFormat="1" applyFont="1" applyFill="1" applyAlignment="1" applyProtection="1">
      <alignment horizontal="center" vertical="center" shrinkToFit="1"/>
      <protection locked="0"/>
    </xf>
    <xf numFmtId="0" fontId="17" fillId="4" borderId="0" xfId="1" applyFont="1" applyFill="1" applyBorder="1" applyAlignment="1" applyProtection="1">
      <alignment horizontal="left" vertical="center"/>
      <protection hidden="1"/>
    </xf>
    <xf numFmtId="49" fontId="13" fillId="4" borderId="0" xfId="1" applyNumberFormat="1" applyFont="1" applyFill="1" applyBorder="1" applyAlignment="1" applyProtection="1">
      <alignment horizontal="center" vertical="center"/>
      <protection hidden="1"/>
    </xf>
    <xf numFmtId="49" fontId="14" fillId="4" borderId="0" xfId="1" applyNumberFormat="1" applyFont="1" applyFill="1" applyAlignment="1" applyProtection="1">
      <alignment horizontal="center" vertical="center" shrinkToFit="1"/>
      <protection hidden="1"/>
    </xf>
    <xf numFmtId="44" fontId="13" fillId="4" borderId="1" xfId="0" applyNumberFormat="1" applyFont="1" applyFill="1" applyBorder="1" applyAlignment="1" applyProtection="1">
      <alignment horizontal="left" vertical="center"/>
      <protection hidden="1"/>
    </xf>
    <xf numFmtId="0" fontId="13" fillId="3" borderId="0" xfId="2" applyFill="1" applyBorder="1" applyAlignment="1" applyProtection="1">
      <alignment horizontal="right" vertical="center" shrinkToFit="1"/>
      <protection hidden="1"/>
    </xf>
    <xf numFmtId="0" fontId="13" fillId="3" borderId="2" xfId="2" applyFill="1" applyBorder="1" applyAlignment="1" applyProtection="1">
      <alignment horizontal="right" vertical="center" shrinkToFit="1"/>
      <protection hidden="1"/>
    </xf>
    <xf numFmtId="0" fontId="16" fillId="4" borderId="7" xfId="2" applyFont="1" applyFill="1" applyBorder="1" applyAlignment="1" applyProtection="1">
      <alignment horizontal="center" vertical="center" wrapText="1"/>
      <protection hidden="1"/>
    </xf>
    <xf numFmtId="0" fontId="16" fillId="4" borderId="6" xfId="2" applyFont="1" applyFill="1" applyBorder="1" applyAlignment="1" applyProtection="1">
      <alignment horizontal="center" vertical="center" wrapText="1"/>
      <protection hidden="1"/>
    </xf>
    <xf numFmtId="2" fontId="35" fillId="2" borderId="10" xfId="2" applyNumberFormat="1" applyFont="1" applyFill="1" applyBorder="1" applyAlignment="1" applyProtection="1">
      <alignment horizontal="center" wrapText="1"/>
      <protection hidden="1"/>
    </xf>
    <xf numFmtId="2" fontId="13" fillId="2" borderId="7" xfId="2" applyNumberFormat="1" applyFont="1" applyFill="1" applyBorder="1" applyAlignment="1" applyProtection="1">
      <alignment horizontal="center" wrapText="1"/>
      <protection hidden="1"/>
    </xf>
    <xf numFmtId="0" fontId="13" fillId="0" borderId="0" xfId="1" applyFont="1" applyFill="1" applyBorder="1" applyAlignment="1" applyProtection="1">
      <alignment horizontal="right" vertical="center" shrinkToFit="1"/>
      <protection hidden="1"/>
    </xf>
    <xf numFmtId="0" fontId="13" fillId="11" borderId="5" xfId="0" applyFont="1" applyFill="1" applyBorder="1" applyAlignment="1" applyProtection="1">
      <alignment horizontal="center" vertical="center"/>
      <protection locked="0"/>
    </xf>
    <xf numFmtId="0" fontId="13" fillId="11" borderId="3" xfId="0" applyFont="1" applyFill="1" applyBorder="1" applyAlignment="1" applyProtection="1">
      <alignment horizontal="center" vertical="center"/>
      <protection locked="0"/>
    </xf>
    <xf numFmtId="44" fontId="14" fillId="0" borderId="14" xfId="1" applyNumberFormat="1" applyFont="1" applyFill="1" applyBorder="1" applyAlignment="1" applyProtection="1">
      <alignment horizontal="right" vertical="center"/>
      <protection hidden="1"/>
    </xf>
    <xf numFmtId="0" fontId="13" fillId="2" borderId="0" xfId="2" applyFill="1" applyBorder="1" applyAlignment="1" applyProtection="1">
      <alignment horizontal="right" vertical="center" shrinkToFit="1"/>
      <protection hidden="1"/>
    </xf>
    <xf numFmtId="0" fontId="13" fillId="2" borderId="10" xfId="2" applyFont="1" applyFill="1" applyBorder="1" applyAlignment="1" applyProtection="1">
      <alignment horizontal="center" vertical="center" wrapText="1"/>
      <protection hidden="1"/>
    </xf>
    <xf numFmtId="0" fontId="13" fillId="2" borderId="6" xfId="2" applyFont="1" applyFill="1" applyBorder="1" applyAlignment="1" applyProtection="1">
      <alignment horizontal="center" vertical="center" wrapText="1"/>
      <protection hidden="1"/>
    </xf>
    <xf numFmtId="0" fontId="7" fillId="2" borderId="0" xfId="10" applyFont="1" applyFill="1" applyAlignment="1" applyProtection="1">
      <alignment horizontal="center" vertical="center"/>
      <protection hidden="1"/>
    </xf>
    <xf numFmtId="0" fontId="8" fillId="2" borderId="0" xfId="10" applyFill="1" applyAlignment="1" applyProtection="1">
      <alignment horizontal="center" vertical="center"/>
      <protection hidden="1"/>
    </xf>
    <xf numFmtId="0" fontId="9" fillId="4" borderId="0" xfId="0" applyFont="1" applyFill="1" applyAlignment="1" applyProtection="1">
      <alignment horizontal="left" vertical="center" wrapText="1"/>
      <protection hidden="1"/>
    </xf>
    <xf numFmtId="0" fontId="14" fillId="4" borderId="10" xfId="10" applyFont="1" applyFill="1" applyBorder="1" applyAlignment="1" applyProtection="1">
      <alignment horizontal="center" vertical="center" wrapText="1"/>
      <protection hidden="1"/>
    </xf>
    <xf numFmtId="0" fontId="14" fillId="4" borderId="6" xfId="10" applyFont="1" applyFill="1" applyBorder="1" applyAlignment="1" applyProtection="1">
      <alignment horizontal="center" vertical="center" wrapText="1"/>
      <protection hidden="1"/>
    </xf>
    <xf numFmtId="0" fontId="13" fillId="0" borderId="0" xfId="2" applyFill="1" applyBorder="1" applyAlignment="1" applyProtection="1">
      <alignment horizontal="right" vertical="center" shrinkToFit="1"/>
      <protection hidden="1"/>
    </xf>
    <xf numFmtId="44" fontId="13" fillId="0" borderId="12" xfId="2" applyNumberFormat="1" applyFont="1" applyFill="1" applyBorder="1" applyAlignment="1" applyProtection="1">
      <alignment horizontal="center" shrinkToFit="1"/>
      <protection hidden="1"/>
    </xf>
    <xf numFmtId="0" fontId="13" fillId="2" borderId="5" xfId="2" applyFont="1" applyFill="1" applyBorder="1" applyAlignment="1" applyProtection="1">
      <alignment horizontal="right" vertical="center" wrapText="1"/>
      <protection hidden="1"/>
    </xf>
    <xf numFmtId="0" fontId="13" fillId="2" borderId="4" xfId="2" applyFont="1" applyFill="1" applyBorder="1" applyAlignment="1" applyProtection="1">
      <alignment horizontal="right" vertical="center" wrapText="1"/>
      <protection hidden="1"/>
    </xf>
    <xf numFmtId="0" fontId="17" fillId="2" borderId="0" xfId="2" applyFont="1" applyFill="1" applyAlignment="1" applyProtection="1">
      <alignment horizontal="right" vertical="center" shrinkToFit="1"/>
      <protection hidden="1"/>
    </xf>
    <xf numFmtId="0" fontId="17" fillId="2" borderId="2" xfId="2" applyFont="1" applyFill="1" applyBorder="1" applyAlignment="1" applyProtection="1">
      <alignment horizontal="right" vertical="center" shrinkToFit="1"/>
      <protection hidden="1"/>
    </xf>
    <xf numFmtId="0" fontId="13" fillId="0" borderId="10" xfId="2" applyFont="1" applyFill="1" applyBorder="1" applyAlignment="1" applyProtection="1">
      <alignment horizontal="center" vertical="center" wrapText="1"/>
      <protection hidden="1"/>
    </xf>
    <xf numFmtId="0" fontId="13" fillId="0" borderId="7" xfId="2" applyFont="1" applyFill="1" applyBorder="1" applyAlignment="1" applyProtection="1">
      <alignment horizontal="center" vertical="center" wrapText="1"/>
      <protection hidden="1"/>
    </xf>
    <xf numFmtId="2" fontId="13" fillId="2" borderId="6" xfId="2" applyNumberFormat="1" applyFont="1" applyFill="1" applyBorder="1" applyAlignment="1" applyProtection="1">
      <alignment horizontal="center" vertical="center" wrapText="1"/>
      <protection hidden="1"/>
    </xf>
    <xf numFmtId="0" fontId="13" fillId="3" borderId="7" xfId="2" applyFont="1" applyFill="1" applyBorder="1" applyAlignment="1" applyProtection="1">
      <alignment horizontal="center" vertical="center" wrapText="1"/>
      <protection locked="0"/>
    </xf>
    <xf numFmtId="0" fontId="14" fillId="4" borderId="5" xfId="0" applyFont="1" applyFill="1" applyBorder="1" applyAlignment="1" applyProtection="1">
      <alignment horizontal="right" vertical="center"/>
      <protection hidden="1"/>
    </xf>
    <xf numFmtId="0" fontId="14" fillId="4" borderId="4" xfId="0" applyFont="1" applyFill="1" applyBorder="1" applyAlignment="1" applyProtection="1">
      <alignment horizontal="right" vertical="center"/>
      <protection hidden="1"/>
    </xf>
    <xf numFmtId="0" fontId="14" fillId="4" borderId="3" xfId="0" applyFont="1" applyFill="1" applyBorder="1" applyAlignment="1" applyProtection="1">
      <alignment horizontal="right" vertical="center"/>
      <protection hidden="1"/>
    </xf>
    <xf numFmtId="44" fontId="17" fillId="3" borderId="5" xfId="2212" applyFont="1" applyFill="1" applyBorder="1" applyAlignment="1" applyProtection="1">
      <alignment horizontal="center" vertical="center"/>
      <protection locked="0"/>
    </xf>
    <xf numFmtId="44" fontId="17" fillId="3" borderId="3" xfId="2212" applyFont="1" applyFill="1" applyBorder="1" applyAlignment="1" applyProtection="1">
      <alignment horizontal="center" vertical="center"/>
      <protection locked="0"/>
    </xf>
    <xf numFmtId="0" fontId="13" fillId="2" borderId="6" xfId="2" applyFont="1" applyFill="1" applyBorder="1" applyAlignment="1" applyProtection="1">
      <alignment horizontal="center" vertical="top" wrapText="1"/>
      <protection hidden="1"/>
    </xf>
    <xf numFmtId="0" fontId="17" fillId="2" borderId="11" xfId="2" applyFont="1" applyFill="1" applyBorder="1" applyAlignment="1" applyProtection="1">
      <alignment horizontal="center" vertical="top" wrapText="1"/>
      <protection hidden="1"/>
    </xf>
    <xf numFmtId="0" fontId="26" fillId="2" borderId="10" xfId="1" applyFont="1" applyFill="1" applyBorder="1" applyAlignment="1" applyProtection="1">
      <alignment horizontal="center" vertical="center" wrapText="1"/>
      <protection hidden="1"/>
    </xf>
    <xf numFmtId="0" fontId="26" fillId="2" borderId="7" xfId="1" applyFont="1" applyFill="1" applyBorder="1" applyAlignment="1" applyProtection="1">
      <alignment horizontal="center" vertical="center" wrapText="1"/>
      <protection hidden="1"/>
    </xf>
    <xf numFmtId="0" fontId="26" fillId="2" borderId="6" xfId="1" applyFont="1" applyFill="1" applyBorder="1" applyAlignment="1" applyProtection="1">
      <alignment horizontal="center" vertical="center" wrapText="1"/>
      <protection hidden="1"/>
    </xf>
    <xf numFmtId="0" fontId="13" fillId="2" borderId="14" xfId="0" applyFont="1" applyFill="1" applyBorder="1" applyAlignment="1" applyProtection="1">
      <alignment horizontal="center" vertical="center" shrinkToFit="1"/>
      <protection hidden="1"/>
    </xf>
    <xf numFmtId="0" fontId="14" fillId="4" borderId="13" xfId="10" applyFont="1" applyFill="1" applyBorder="1" applyAlignment="1" applyProtection="1">
      <alignment horizontal="center" vertical="center" wrapText="1"/>
      <protection hidden="1"/>
    </xf>
    <xf numFmtId="0" fontId="14" fillId="4" borderId="12" xfId="10" applyFont="1" applyFill="1" applyBorder="1" applyAlignment="1" applyProtection="1">
      <alignment horizontal="center" vertical="center" wrapText="1"/>
      <protection hidden="1"/>
    </xf>
    <xf numFmtId="0" fontId="14" fillId="4" borderId="11" xfId="10" applyFont="1" applyFill="1" applyBorder="1" applyAlignment="1" applyProtection="1">
      <alignment horizontal="center" vertical="center" wrapText="1"/>
      <protection hidden="1"/>
    </xf>
    <xf numFmtId="0" fontId="14" fillId="3" borderId="5" xfId="0" applyFont="1" applyFill="1" applyBorder="1" applyAlignment="1" applyProtection="1">
      <alignment horizontal="left" vertical="center"/>
      <protection locked="0"/>
    </xf>
    <xf numFmtId="0" fontId="14" fillId="3" borderId="4" xfId="0" applyFont="1" applyFill="1" applyBorder="1" applyAlignment="1" applyProtection="1">
      <alignment horizontal="left" vertical="center"/>
      <protection locked="0"/>
    </xf>
    <xf numFmtId="0" fontId="14" fillId="3" borderId="3" xfId="0" applyFont="1" applyFill="1" applyBorder="1" applyAlignment="1" applyProtection="1">
      <alignment horizontal="left" vertical="center"/>
      <protection locked="0"/>
    </xf>
    <xf numFmtId="0" fontId="16" fillId="3" borderId="7" xfId="2" applyFont="1" applyFill="1" applyBorder="1" applyAlignment="1" applyProtection="1">
      <alignment vertical="center" wrapText="1"/>
      <protection locked="0"/>
    </xf>
    <xf numFmtId="14" fontId="14" fillId="0" borderId="0" xfId="1" applyNumberFormat="1" applyFont="1" applyFill="1" applyAlignment="1" applyProtection="1">
      <alignment horizontal="center" vertical="center" shrinkToFit="1"/>
      <protection hidden="1"/>
    </xf>
    <xf numFmtId="166" fontId="15" fillId="3" borderId="4" xfId="2" applyNumberFormat="1" applyFont="1" applyFill="1" applyBorder="1" applyAlignment="1" applyProtection="1">
      <alignment horizontal="center" vertical="center" shrinkToFit="1"/>
      <protection locked="0" hidden="1"/>
    </xf>
    <xf numFmtId="166" fontId="15" fillId="3" borderId="3" xfId="2" applyNumberFormat="1" applyFont="1" applyFill="1" applyBorder="1" applyAlignment="1" applyProtection="1">
      <alignment horizontal="center" vertical="center" shrinkToFit="1"/>
      <protection locked="0" hidden="1"/>
    </xf>
    <xf numFmtId="169" fontId="13" fillId="3" borderId="4" xfId="2" applyNumberFormat="1" applyFont="1" applyFill="1" applyBorder="1" applyAlignment="1" applyProtection="1">
      <alignment horizontal="right" vertical="center" shrinkToFit="1"/>
      <protection locked="0" hidden="1"/>
    </xf>
    <xf numFmtId="44" fontId="14" fillId="3" borderId="4" xfId="1" applyNumberFormat="1" applyFont="1" applyFill="1" applyBorder="1" applyAlignment="1" applyProtection="1">
      <alignment horizontal="right" vertical="center"/>
      <protection locked="0" hidden="1"/>
    </xf>
    <xf numFmtId="1" fontId="13" fillId="3" borderId="3" xfId="2" applyNumberFormat="1" applyFont="1" applyFill="1" applyBorder="1" applyAlignment="1" applyProtection="1">
      <alignment horizontal="center" vertical="center" shrinkToFit="1"/>
      <protection locked="0" hidden="1"/>
    </xf>
  </cellXfs>
  <cellStyles count="2218">
    <cellStyle name="Akzent2 2" xfId="29"/>
    <cellStyle name="Ausgabe 2" xfId="30"/>
    <cellStyle name="Euro" xfId="3"/>
    <cellStyle name="Gut 2" xfId="25"/>
    <cellStyle name="Hyperlink 2" xfId="455"/>
    <cellStyle name="Komma" xfId="2213" builtinId="3"/>
    <cellStyle name="Link" xfId="2214" builtinId="8"/>
    <cellStyle name="Neutral 2" xfId="27"/>
    <cellStyle name="Schlecht 2" xfId="26"/>
    <cellStyle name="Standard" xfId="0" builtinId="0"/>
    <cellStyle name="Standard 2" xfId="4"/>
    <cellStyle name="Standard 2 10" xfId="193"/>
    <cellStyle name="Standard 2 10 2" xfId="367"/>
    <cellStyle name="Standard 2 10 2 2" xfId="809"/>
    <cellStyle name="Standard 2 10 2 2 2" xfId="2123"/>
    <cellStyle name="Standard 2 10 2 3" xfId="1682"/>
    <cellStyle name="Standard 2 10 2 4" xfId="1246"/>
    <cellStyle name="Standard 2 10 3" xfId="635"/>
    <cellStyle name="Standard 2 10 3 2" xfId="1949"/>
    <cellStyle name="Standard 2 10 4" xfId="1508"/>
    <cellStyle name="Standard 2 10 5" xfId="1072"/>
    <cellStyle name="Standard 2 11" xfId="106"/>
    <cellStyle name="Standard 2 11 2" xfId="548"/>
    <cellStyle name="Standard 2 11 2 2" xfId="1862"/>
    <cellStyle name="Standard 2 11 3" xfId="1421"/>
    <cellStyle name="Standard 2 11 4" xfId="985"/>
    <cellStyle name="Standard 2 12" xfId="280"/>
    <cellStyle name="Standard 2 12 2" xfId="722"/>
    <cellStyle name="Standard 2 12 2 2" xfId="2036"/>
    <cellStyle name="Standard 2 12 3" xfId="1595"/>
    <cellStyle name="Standard 2 12 4" xfId="1159"/>
    <cellStyle name="Standard 2 13" xfId="456"/>
    <cellStyle name="Standard 2 13 2" xfId="1770"/>
    <cellStyle name="Standard 2 14" xfId="461"/>
    <cellStyle name="Standard 2 14 2" xfId="1775"/>
    <cellStyle name="Standard 2 15" xfId="1334"/>
    <cellStyle name="Standard 2 16" xfId="898"/>
    <cellStyle name="Standard 2 17" xfId="2211"/>
    <cellStyle name="Standard 2 18" xfId="13"/>
    <cellStyle name="Standard 2 19" xfId="2216"/>
    <cellStyle name="Standard 2 2" xfId="5"/>
    <cellStyle name="Standard 2 2 10" xfId="281"/>
    <cellStyle name="Standard 2 2 10 2" xfId="723"/>
    <cellStyle name="Standard 2 2 10 2 2" xfId="2037"/>
    <cellStyle name="Standard 2 2 10 3" xfId="1596"/>
    <cellStyle name="Standard 2 2 10 4" xfId="1160"/>
    <cellStyle name="Standard 2 2 11" xfId="457"/>
    <cellStyle name="Standard 2 2 11 2" xfId="1771"/>
    <cellStyle name="Standard 2 2 12" xfId="462"/>
    <cellStyle name="Standard 2 2 12 2" xfId="1776"/>
    <cellStyle name="Standard 2 2 13" xfId="1335"/>
    <cellStyle name="Standard 2 2 14" xfId="899"/>
    <cellStyle name="Standard 2 2 15" xfId="14"/>
    <cellStyle name="Standard 2 2 2" xfId="18"/>
    <cellStyle name="Standard 2 2 2 10" xfId="1339"/>
    <cellStyle name="Standard 2 2 2 11" xfId="903"/>
    <cellStyle name="Standard 2 2 2 2" xfId="36"/>
    <cellStyle name="Standard 2 2 2 2 2" xfId="94"/>
    <cellStyle name="Standard 2 2 2 2 2 2" xfId="268"/>
    <cellStyle name="Standard 2 2 2 2 2 2 2" xfId="442"/>
    <cellStyle name="Standard 2 2 2 2 2 2 2 2" xfId="884"/>
    <cellStyle name="Standard 2 2 2 2 2 2 2 2 2" xfId="2198"/>
    <cellStyle name="Standard 2 2 2 2 2 2 2 3" xfId="1757"/>
    <cellStyle name="Standard 2 2 2 2 2 2 2 4" xfId="1321"/>
    <cellStyle name="Standard 2 2 2 2 2 2 3" xfId="710"/>
    <cellStyle name="Standard 2 2 2 2 2 2 3 2" xfId="2024"/>
    <cellStyle name="Standard 2 2 2 2 2 2 4" xfId="1583"/>
    <cellStyle name="Standard 2 2 2 2 2 2 5" xfId="1147"/>
    <cellStyle name="Standard 2 2 2 2 2 3" xfId="152"/>
    <cellStyle name="Standard 2 2 2 2 2 3 2" xfId="594"/>
    <cellStyle name="Standard 2 2 2 2 2 3 2 2" xfId="1908"/>
    <cellStyle name="Standard 2 2 2 2 2 3 3" xfId="1467"/>
    <cellStyle name="Standard 2 2 2 2 2 3 4" xfId="1031"/>
    <cellStyle name="Standard 2 2 2 2 2 4" xfId="326"/>
    <cellStyle name="Standard 2 2 2 2 2 4 2" xfId="768"/>
    <cellStyle name="Standard 2 2 2 2 2 4 2 2" xfId="2082"/>
    <cellStyle name="Standard 2 2 2 2 2 4 3" xfId="1641"/>
    <cellStyle name="Standard 2 2 2 2 2 4 4" xfId="1205"/>
    <cellStyle name="Standard 2 2 2 2 2 5" xfId="536"/>
    <cellStyle name="Standard 2 2 2 2 2 5 2" xfId="1850"/>
    <cellStyle name="Standard 2 2 2 2 2 6" xfId="1409"/>
    <cellStyle name="Standard 2 2 2 2 2 7" xfId="973"/>
    <cellStyle name="Standard 2 2 2 2 3" xfId="65"/>
    <cellStyle name="Standard 2 2 2 2 3 2" xfId="239"/>
    <cellStyle name="Standard 2 2 2 2 3 2 2" xfId="413"/>
    <cellStyle name="Standard 2 2 2 2 3 2 2 2" xfId="855"/>
    <cellStyle name="Standard 2 2 2 2 3 2 2 2 2" xfId="2169"/>
    <cellStyle name="Standard 2 2 2 2 3 2 2 3" xfId="1728"/>
    <cellStyle name="Standard 2 2 2 2 3 2 2 4" xfId="1292"/>
    <cellStyle name="Standard 2 2 2 2 3 2 3" xfId="681"/>
    <cellStyle name="Standard 2 2 2 2 3 2 3 2" xfId="1995"/>
    <cellStyle name="Standard 2 2 2 2 3 2 4" xfId="1554"/>
    <cellStyle name="Standard 2 2 2 2 3 2 5" xfId="1118"/>
    <cellStyle name="Standard 2 2 2 2 3 3" xfId="181"/>
    <cellStyle name="Standard 2 2 2 2 3 3 2" xfId="623"/>
    <cellStyle name="Standard 2 2 2 2 3 3 2 2" xfId="1937"/>
    <cellStyle name="Standard 2 2 2 2 3 3 3" xfId="1496"/>
    <cellStyle name="Standard 2 2 2 2 3 3 4" xfId="1060"/>
    <cellStyle name="Standard 2 2 2 2 3 4" xfId="355"/>
    <cellStyle name="Standard 2 2 2 2 3 4 2" xfId="797"/>
    <cellStyle name="Standard 2 2 2 2 3 4 2 2" xfId="2111"/>
    <cellStyle name="Standard 2 2 2 2 3 4 3" xfId="1670"/>
    <cellStyle name="Standard 2 2 2 2 3 4 4" xfId="1234"/>
    <cellStyle name="Standard 2 2 2 2 3 5" xfId="507"/>
    <cellStyle name="Standard 2 2 2 2 3 5 2" xfId="1821"/>
    <cellStyle name="Standard 2 2 2 2 3 6" xfId="1380"/>
    <cellStyle name="Standard 2 2 2 2 3 7" xfId="944"/>
    <cellStyle name="Standard 2 2 2 2 4" xfId="210"/>
    <cellStyle name="Standard 2 2 2 2 4 2" xfId="384"/>
    <cellStyle name="Standard 2 2 2 2 4 2 2" xfId="826"/>
    <cellStyle name="Standard 2 2 2 2 4 2 2 2" xfId="2140"/>
    <cellStyle name="Standard 2 2 2 2 4 2 3" xfId="1699"/>
    <cellStyle name="Standard 2 2 2 2 4 2 4" xfId="1263"/>
    <cellStyle name="Standard 2 2 2 2 4 3" xfId="652"/>
    <cellStyle name="Standard 2 2 2 2 4 3 2" xfId="1966"/>
    <cellStyle name="Standard 2 2 2 2 4 4" xfId="1525"/>
    <cellStyle name="Standard 2 2 2 2 4 5" xfId="1089"/>
    <cellStyle name="Standard 2 2 2 2 5" xfId="123"/>
    <cellStyle name="Standard 2 2 2 2 5 2" xfId="565"/>
    <cellStyle name="Standard 2 2 2 2 5 2 2" xfId="1879"/>
    <cellStyle name="Standard 2 2 2 2 5 3" xfId="1438"/>
    <cellStyle name="Standard 2 2 2 2 5 4" xfId="1002"/>
    <cellStyle name="Standard 2 2 2 2 6" xfId="297"/>
    <cellStyle name="Standard 2 2 2 2 6 2" xfId="739"/>
    <cellStyle name="Standard 2 2 2 2 6 2 2" xfId="2053"/>
    <cellStyle name="Standard 2 2 2 2 6 3" xfId="1612"/>
    <cellStyle name="Standard 2 2 2 2 6 4" xfId="1176"/>
    <cellStyle name="Standard 2 2 2 2 7" xfId="478"/>
    <cellStyle name="Standard 2 2 2 2 7 2" xfId="1792"/>
    <cellStyle name="Standard 2 2 2 2 8" xfId="1351"/>
    <cellStyle name="Standard 2 2 2 2 9" xfId="915"/>
    <cellStyle name="Standard 2 2 2 3" xfId="44"/>
    <cellStyle name="Standard 2 2 2 3 2" xfId="102"/>
    <cellStyle name="Standard 2 2 2 3 2 2" xfId="276"/>
    <cellStyle name="Standard 2 2 2 3 2 2 2" xfId="450"/>
    <cellStyle name="Standard 2 2 2 3 2 2 2 2" xfId="892"/>
    <cellStyle name="Standard 2 2 2 3 2 2 2 2 2" xfId="2206"/>
    <cellStyle name="Standard 2 2 2 3 2 2 2 3" xfId="1765"/>
    <cellStyle name="Standard 2 2 2 3 2 2 2 4" xfId="1329"/>
    <cellStyle name="Standard 2 2 2 3 2 2 3" xfId="718"/>
    <cellStyle name="Standard 2 2 2 3 2 2 3 2" xfId="2032"/>
    <cellStyle name="Standard 2 2 2 3 2 2 4" xfId="1591"/>
    <cellStyle name="Standard 2 2 2 3 2 2 5" xfId="1155"/>
    <cellStyle name="Standard 2 2 2 3 2 3" xfId="160"/>
    <cellStyle name="Standard 2 2 2 3 2 3 2" xfId="602"/>
    <cellStyle name="Standard 2 2 2 3 2 3 2 2" xfId="1916"/>
    <cellStyle name="Standard 2 2 2 3 2 3 3" xfId="1475"/>
    <cellStyle name="Standard 2 2 2 3 2 3 4" xfId="1039"/>
    <cellStyle name="Standard 2 2 2 3 2 4" xfId="334"/>
    <cellStyle name="Standard 2 2 2 3 2 4 2" xfId="776"/>
    <cellStyle name="Standard 2 2 2 3 2 4 2 2" xfId="2090"/>
    <cellStyle name="Standard 2 2 2 3 2 4 3" xfId="1649"/>
    <cellStyle name="Standard 2 2 2 3 2 4 4" xfId="1213"/>
    <cellStyle name="Standard 2 2 2 3 2 5" xfId="544"/>
    <cellStyle name="Standard 2 2 2 3 2 5 2" xfId="1858"/>
    <cellStyle name="Standard 2 2 2 3 2 6" xfId="1417"/>
    <cellStyle name="Standard 2 2 2 3 2 7" xfId="981"/>
    <cellStyle name="Standard 2 2 2 3 3" xfId="73"/>
    <cellStyle name="Standard 2 2 2 3 3 2" xfId="247"/>
    <cellStyle name="Standard 2 2 2 3 3 2 2" xfId="421"/>
    <cellStyle name="Standard 2 2 2 3 3 2 2 2" xfId="863"/>
    <cellStyle name="Standard 2 2 2 3 3 2 2 2 2" xfId="2177"/>
    <cellStyle name="Standard 2 2 2 3 3 2 2 3" xfId="1736"/>
    <cellStyle name="Standard 2 2 2 3 3 2 2 4" xfId="1300"/>
    <cellStyle name="Standard 2 2 2 3 3 2 3" xfId="689"/>
    <cellStyle name="Standard 2 2 2 3 3 2 3 2" xfId="2003"/>
    <cellStyle name="Standard 2 2 2 3 3 2 4" xfId="1562"/>
    <cellStyle name="Standard 2 2 2 3 3 2 5" xfId="1126"/>
    <cellStyle name="Standard 2 2 2 3 3 3" xfId="189"/>
    <cellStyle name="Standard 2 2 2 3 3 3 2" xfId="631"/>
    <cellStyle name="Standard 2 2 2 3 3 3 2 2" xfId="1945"/>
    <cellStyle name="Standard 2 2 2 3 3 3 3" xfId="1504"/>
    <cellStyle name="Standard 2 2 2 3 3 3 4" xfId="1068"/>
    <cellStyle name="Standard 2 2 2 3 3 4" xfId="363"/>
    <cellStyle name="Standard 2 2 2 3 3 4 2" xfId="805"/>
    <cellStyle name="Standard 2 2 2 3 3 4 2 2" xfId="2119"/>
    <cellStyle name="Standard 2 2 2 3 3 4 3" xfId="1678"/>
    <cellStyle name="Standard 2 2 2 3 3 4 4" xfId="1242"/>
    <cellStyle name="Standard 2 2 2 3 3 5" xfId="515"/>
    <cellStyle name="Standard 2 2 2 3 3 5 2" xfId="1829"/>
    <cellStyle name="Standard 2 2 2 3 3 6" xfId="1388"/>
    <cellStyle name="Standard 2 2 2 3 3 7" xfId="952"/>
    <cellStyle name="Standard 2 2 2 3 4" xfId="218"/>
    <cellStyle name="Standard 2 2 2 3 4 2" xfId="392"/>
    <cellStyle name="Standard 2 2 2 3 4 2 2" xfId="834"/>
    <cellStyle name="Standard 2 2 2 3 4 2 2 2" xfId="2148"/>
    <cellStyle name="Standard 2 2 2 3 4 2 3" xfId="1707"/>
    <cellStyle name="Standard 2 2 2 3 4 2 4" xfId="1271"/>
    <cellStyle name="Standard 2 2 2 3 4 3" xfId="660"/>
    <cellStyle name="Standard 2 2 2 3 4 3 2" xfId="1974"/>
    <cellStyle name="Standard 2 2 2 3 4 4" xfId="1533"/>
    <cellStyle name="Standard 2 2 2 3 4 5" xfId="1097"/>
    <cellStyle name="Standard 2 2 2 3 5" xfId="131"/>
    <cellStyle name="Standard 2 2 2 3 5 2" xfId="573"/>
    <cellStyle name="Standard 2 2 2 3 5 2 2" xfId="1887"/>
    <cellStyle name="Standard 2 2 2 3 5 3" xfId="1446"/>
    <cellStyle name="Standard 2 2 2 3 5 4" xfId="1010"/>
    <cellStyle name="Standard 2 2 2 3 6" xfId="305"/>
    <cellStyle name="Standard 2 2 2 3 6 2" xfId="747"/>
    <cellStyle name="Standard 2 2 2 3 6 2 2" xfId="2061"/>
    <cellStyle name="Standard 2 2 2 3 6 3" xfId="1620"/>
    <cellStyle name="Standard 2 2 2 3 6 4" xfId="1184"/>
    <cellStyle name="Standard 2 2 2 3 7" xfId="486"/>
    <cellStyle name="Standard 2 2 2 3 7 2" xfId="1800"/>
    <cellStyle name="Standard 2 2 2 3 8" xfId="1359"/>
    <cellStyle name="Standard 2 2 2 3 9" xfId="923"/>
    <cellStyle name="Standard 2 2 2 4" xfId="82"/>
    <cellStyle name="Standard 2 2 2 4 2" xfId="256"/>
    <cellStyle name="Standard 2 2 2 4 2 2" xfId="430"/>
    <cellStyle name="Standard 2 2 2 4 2 2 2" xfId="872"/>
    <cellStyle name="Standard 2 2 2 4 2 2 2 2" xfId="2186"/>
    <cellStyle name="Standard 2 2 2 4 2 2 3" xfId="1745"/>
    <cellStyle name="Standard 2 2 2 4 2 2 4" xfId="1309"/>
    <cellStyle name="Standard 2 2 2 4 2 3" xfId="698"/>
    <cellStyle name="Standard 2 2 2 4 2 3 2" xfId="2012"/>
    <cellStyle name="Standard 2 2 2 4 2 4" xfId="1571"/>
    <cellStyle name="Standard 2 2 2 4 2 5" xfId="1135"/>
    <cellStyle name="Standard 2 2 2 4 3" xfId="140"/>
    <cellStyle name="Standard 2 2 2 4 3 2" xfId="582"/>
    <cellStyle name="Standard 2 2 2 4 3 2 2" xfId="1896"/>
    <cellStyle name="Standard 2 2 2 4 3 3" xfId="1455"/>
    <cellStyle name="Standard 2 2 2 4 3 4" xfId="1019"/>
    <cellStyle name="Standard 2 2 2 4 4" xfId="314"/>
    <cellStyle name="Standard 2 2 2 4 4 2" xfId="756"/>
    <cellStyle name="Standard 2 2 2 4 4 2 2" xfId="2070"/>
    <cellStyle name="Standard 2 2 2 4 4 3" xfId="1629"/>
    <cellStyle name="Standard 2 2 2 4 4 4" xfId="1193"/>
    <cellStyle name="Standard 2 2 2 4 5" xfId="524"/>
    <cellStyle name="Standard 2 2 2 4 5 2" xfId="1838"/>
    <cellStyle name="Standard 2 2 2 4 6" xfId="1397"/>
    <cellStyle name="Standard 2 2 2 4 7" xfId="961"/>
    <cellStyle name="Standard 2 2 2 5" xfId="53"/>
    <cellStyle name="Standard 2 2 2 5 2" xfId="227"/>
    <cellStyle name="Standard 2 2 2 5 2 2" xfId="401"/>
    <cellStyle name="Standard 2 2 2 5 2 2 2" xfId="843"/>
    <cellStyle name="Standard 2 2 2 5 2 2 2 2" xfId="2157"/>
    <cellStyle name="Standard 2 2 2 5 2 2 3" xfId="1716"/>
    <cellStyle name="Standard 2 2 2 5 2 2 4" xfId="1280"/>
    <cellStyle name="Standard 2 2 2 5 2 3" xfId="669"/>
    <cellStyle name="Standard 2 2 2 5 2 3 2" xfId="1983"/>
    <cellStyle name="Standard 2 2 2 5 2 4" xfId="1542"/>
    <cellStyle name="Standard 2 2 2 5 2 5" xfId="1106"/>
    <cellStyle name="Standard 2 2 2 5 3" xfId="169"/>
    <cellStyle name="Standard 2 2 2 5 3 2" xfId="611"/>
    <cellStyle name="Standard 2 2 2 5 3 2 2" xfId="1925"/>
    <cellStyle name="Standard 2 2 2 5 3 3" xfId="1484"/>
    <cellStyle name="Standard 2 2 2 5 3 4" xfId="1048"/>
    <cellStyle name="Standard 2 2 2 5 4" xfId="343"/>
    <cellStyle name="Standard 2 2 2 5 4 2" xfId="785"/>
    <cellStyle name="Standard 2 2 2 5 4 2 2" xfId="2099"/>
    <cellStyle name="Standard 2 2 2 5 4 3" xfId="1658"/>
    <cellStyle name="Standard 2 2 2 5 4 4" xfId="1222"/>
    <cellStyle name="Standard 2 2 2 5 5" xfId="495"/>
    <cellStyle name="Standard 2 2 2 5 5 2" xfId="1809"/>
    <cellStyle name="Standard 2 2 2 5 6" xfId="1368"/>
    <cellStyle name="Standard 2 2 2 5 7" xfId="932"/>
    <cellStyle name="Standard 2 2 2 6" xfId="198"/>
    <cellStyle name="Standard 2 2 2 6 2" xfId="372"/>
    <cellStyle name="Standard 2 2 2 6 2 2" xfId="814"/>
    <cellStyle name="Standard 2 2 2 6 2 2 2" xfId="2128"/>
    <cellStyle name="Standard 2 2 2 6 2 3" xfId="1687"/>
    <cellStyle name="Standard 2 2 2 6 2 4" xfId="1251"/>
    <cellStyle name="Standard 2 2 2 6 3" xfId="640"/>
    <cellStyle name="Standard 2 2 2 6 3 2" xfId="1954"/>
    <cellStyle name="Standard 2 2 2 6 4" xfId="1513"/>
    <cellStyle name="Standard 2 2 2 6 5" xfId="1077"/>
    <cellStyle name="Standard 2 2 2 7" xfId="111"/>
    <cellStyle name="Standard 2 2 2 7 2" xfId="553"/>
    <cellStyle name="Standard 2 2 2 7 2 2" xfId="1867"/>
    <cellStyle name="Standard 2 2 2 7 3" xfId="1426"/>
    <cellStyle name="Standard 2 2 2 7 4" xfId="990"/>
    <cellStyle name="Standard 2 2 2 8" xfId="285"/>
    <cellStyle name="Standard 2 2 2 8 2" xfId="727"/>
    <cellStyle name="Standard 2 2 2 8 2 2" xfId="2041"/>
    <cellStyle name="Standard 2 2 2 8 3" xfId="1600"/>
    <cellStyle name="Standard 2 2 2 8 4" xfId="1164"/>
    <cellStyle name="Standard 2 2 2 9" xfId="466"/>
    <cellStyle name="Standard 2 2 2 9 2" xfId="1780"/>
    <cellStyle name="Standard 2 2 3" xfId="22"/>
    <cellStyle name="Standard 2 2 3 2" xfId="86"/>
    <cellStyle name="Standard 2 2 3 2 2" xfId="260"/>
    <cellStyle name="Standard 2 2 3 2 2 2" xfId="434"/>
    <cellStyle name="Standard 2 2 3 2 2 2 2" xfId="876"/>
    <cellStyle name="Standard 2 2 3 2 2 2 2 2" xfId="2190"/>
    <cellStyle name="Standard 2 2 3 2 2 2 3" xfId="1749"/>
    <cellStyle name="Standard 2 2 3 2 2 2 4" xfId="1313"/>
    <cellStyle name="Standard 2 2 3 2 2 3" xfId="702"/>
    <cellStyle name="Standard 2 2 3 2 2 3 2" xfId="2016"/>
    <cellStyle name="Standard 2 2 3 2 2 4" xfId="1575"/>
    <cellStyle name="Standard 2 2 3 2 2 5" xfId="1139"/>
    <cellStyle name="Standard 2 2 3 2 3" xfId="144"/>
    <cellStyle name="Standard 2 2 3 2 3 2" xfId="586"/>
    <cellStyle name="Standard 2 2 3 2 3 2 2" xfId="1900"/>
    <cellStyle name="Standard 2 2 3 2 3 3" xfId="1459"/>
    <cellStyle name="Standard 2 2 3 2 3 4" xfId="1023"/>
    <cellStyle name="Standard 2 2 3 2 4" xfId="318"/>
    <cellStyle name="Standard 2 2 3 2 4 2" xfId="760"/>
    <cellStyle name="Standard 2 2 3 2 4 2 2" xfId="2074"/>
    <cellStyle name="Standard 2 2 3 2 4 3" xfId="1633"/>
    <cellStyle name="Standard 2 2 3 2 4 4" xfId="1197"/>
    <cellStyle name="Standard 2 2 3 2 5" xfId="528"/>
    <cellStyle name="Standard 2 2 3 2 5 2" xfId="1842"/>
    <cellStyle name="Standard 2 2 3 2 6" xfId="1401"/>
    <cellStyle name="Standard 2 2 3 2 7" xfId="965"/>
    <cellStyle name="Standard 2 2 3 3" xfId="57"/>
    <cellStyle name="Standard 2 2 3 3 2" xfId="231"/>
    <cellStyle name="Standard 2 2 3 3 2 2" xfId="405"/>
    <cellStyle name="Standard 2 2 3 3 2 2 2" xfId="847"/>
    <cellStyle name="Standard 2 2 3 3 2 2 2 2" xfId="2161"/>
    <cellStyle name="Standard 2 2 3 3 2 2 3" xfId="1720"/>
    <cellStyle name="Standard 2 2 3 3 2 2 4" xfId="1284"/>
    <cellStyle name="Standard 2 2 3 3 2 3" xfId="673"/>
    <cellStyle name="Standard 2 2 3 3 2 3 2" xfId="1987"/>
    <cellStyle name="Standard 2 2 3 3 2 4" xfId="1546"/>
    <cellStyle name="Standard 2 2 3 3 2 5" xfId="1110"/>
    <cellStyle name="Standard 2 2 3 3 3" xfId="173"/>
    <cellStyle name="Standard 2 2 3 3 3 2" xfId="615"/>
    <cellStyle name="Standard 2 2 3 3 3 2 2" xfId="1929"/>
    <cellStyle name="Standard 2 2 3 3 3 3" xfId="1488"/>
    <cellStyle name="Standard 2 2 3 3 3 4" xfId="1052"/>
    <cellStyle name="Standard 2 2 3 3 4" xfId="347"/>
    <cellStyle name="Standard 2 2 3 3 4 2" xfId="789"/>
    <cellStyle name="Standard 2 2 3 3 4 2 2" xfId="2103"/>
    <cellStyle name="Standard 2 2 3 3 4 3" xfId="1662"/>
    <cellStyle name="Standard 2 2 3 3 4 4" xfId="1226"/>
    <cellStyle name="Standard 2 2 3 3 5" xfId="499"/>
    <cellStyle name="Standard 2 2 3 3 5 2" xfId="1813"/>
    <cellStyle name="Standard 2 2 3 3 6" xfId="1372"/>
    <cellStyle name="Standard 2 2 3 3 7" xfId="936"/>
    <cellStyle name="Standard 2 2 3 4" xfId="202"/>
    <cellStyle name="Standard 2 2 3 4 2" xfId="376"/>
    <cellStyle name="Standard 2 2 3 4 2 2" xfId="818"/>
    <cellStyle name="Standard 2 2 3 4 2 2 2" xfId="2132"/>
    <cellStyle name="Standard 2 2 3 4 2 3" xfId="1691"/>
    <cellStyle name="Standard 2 2 3 4 2 4" xfId="1255"/>
    <cellStyle name="Standard 2 2 3 4 3" xfId="644"/>
    <cellStyle name="Standard 2 2 3 4 3 2" xfId="1958"/>
    <cellStyle name="Standard 2 2 3 4 4" xfId="1517"/>
    <cellStyle name="Standard 2 2 3 4 5" xfId="1081"/>
    <cellStyle name="Standard 2 2 3 5" xfId="115"/>
    <cellStyle name="Standard 2 2 3 5 2" xfId="557"/>
    <cellStyle name="Standard 2 2 3 5 2 2" xfId="1871"/>
    <cellStyle name="Standard 2 2 3 5 3" xfId="1430"/>
    <cellStyle name="Standard 2 2 3 5 4" xfId="994"/>
    <cellStyle name="Standard 2 2 3 6" xfId="289"/>
    <cellStyle name="Standard 2 2 3 6 2" xfId="731"/>
    <cellStyle name="Standard 2 2 3 6 2 2" xfId="2045"/>
    <cellStyle name="Standard 2 2 3 6 3" xfId="1604"/>
    <cellStyle name="Standard 2 2 3 6 4" xfId="1168"/>
    <cellStyle name="Standard 2 2 3 7" xfId="470"/>
    <cellStyle name="Standard 2 2 3 7 2" xfId="1784"/>
    <cellStyle name="Standard 2 2 3 8" xfId="1343"/>
    <cellStyle name="Standard 2 2 3 9" xfId="907"/>
    <cellStyle name="Standard 2 2 4" xfId="32"/>
    <cellStyle name="Standard 2 2 4 2" xfId="90"/>
    <cellStyle name="Standard 2 2 4 2 2" xfId="264"/>
    <cellStyle name="Standard 2 2 4 2 2 2" xfId="438"/>
    <cellStyle name="Standard 2 2 4 2 2 2 2" xfId="880"/>
    <cellStyle name="Standard 2 2 4 2 2 2 2 2" xfId="2194"/>
    <cellStyle name="Standard 2 2 4 2 2 2 3" xfId="1753"/>
    <cellStyle name="Standard 2 2 4 2 2 2 4" xfId="1317"/>
    <cellStyle name="Standard 2 2 4 2 2 3" xfId="706"/>
    <cellStyle name="Standard 2 2 4 2 2 3 2" xfId="2020"/>
    <cellStyle name="Standard 2 2 4 2 2 4" xfId="1579"/>
    <cellStyle name="Standard 2 2 4 2 2 5" xfId="1143"/>
    <cellStyle name="Standard 2 2 4 2 3" xfId="148"/>
    <cellStyle name="Standard 2 2 4 2 3 2" xfId="590"/>
    <cellStyle name="Standard 2 2 4 2 3 2 2" xfId="1904"/>
    <cellStyle name="Standard 2 2 4 2 3 3" xfId="1463"/>
    <cellStyle name="Standard 2 2 4 2 3 4" xfId="1027"/>
    <cellStyle name="Standard 2 2 4 2 4" xfId="322"/>
    <cellStyle name="Standard 2 2 4 2 4 2" xfId="764"/>
    <cellStyle name="Standard 2 2 4 2 4 2 2" xfId="2078"/>
    <cellStyle name="Standard 2 2 4 2 4 3" xfId="1637"/>
    <cellStyle name="Standard 2 2 4 2 4 4" xfId="1201"/>
    <cellStyle name="Standard 2 2 4 2 5" xfId="532"/>
    <cellStyle name="Standard 2 2 4 2 5 2" xfId="1846"/>
    <cellStyle name="Standard 2 2 4 2 6" xfId="1405"/>
    <cellStyle name="Standard 2 2 4 2 7" xfId="969"/>
    <cellStyle name="Standard 2 2 4 3" xfId="61"/>
    <cellStyle name="Standard 2 2 4 3 2" xfId="235"/>
    <cellStyle name="Standard 2 2 4 3 2 2" xfId="409"/>
    <cellStyle name="Standard 2 2 4 3 2 2 2" xfId="851"/>
    <cellStyle name="Standard 2 2 4 3 2 2 2 2" xfId="2165"/>
    <cellStyle name="Standard 2 2 4 3 2 2 3" xfId="1724"/>
    <cellStyle name="Standard 2 2 4 3 2 2 4" xfId="1288"/>
    <cellStyle name="Standard 2 2 4 3 2 3" xfId="677"/>
    <cellStyle name="Standard 2 2 4 3 2 3 2" xfId="1991"/>
    <cellStyle name="Standard 2 2 4 3 2 4" xfId="1550"/>
    <cellStyle name="Standard 2 2 4 3 2 5" xfId="1114"/>
    <cellStyle name="Standard 2 2 4 3 3" xfId="177"/>
    <cellStyle name="Standard 2 2 4 3 3 2" xfId="619"/>
    <cellStyle name="Standard 2 2 4 3 3 2 2" xfId="1933"/>
    <cellStyle name="Standard 2 2 4 3 3 3" xfId="1492"/>
    <cellStyle name="Standard 2 2 4 3 3 4" xfId="1056"/>
    <cellStyle name="Standard 2 2 4 3 4" xfId="351"/>
    <cellStyle name="Standard 2 2 4 3 4 2" xfId="793"/>
    <cellStyle name="Standard 2 2 4 3 4 2 2" xfId="2107"/>
    <cellStyle name="Standard 2 2 4 3 4 3" xfId="1666"/>
    <cellStyle name="Standard 2 2 4 3 4 4" xfId="1230"/>
    <cellStyle name="Standard 2 2 4 3 5" xfId="503"/>
    <cellStyle name="Standard 2 2 4 3 5 2" xfId="1817"/>
    <cellStyle name="Standard 2 2 4 3 6" xfId="1376"/>
    <cellStyle name="Standard 2 2 4 3 7" xfId="940"/>
    <cellStyle name="Standard 2 2 4 4" xfId="206"/>
    <cellStyle name="Standard 2 2 4 4 2" xfId="380"/>
    <cellStyle name="Standard 2 2 4 4 2 2" xfId="822"/>
    <cellStyle name="Standard 2 2 4 4 2 2 2" xfId="2136"/>
    <cellStyle name="Standard 2 2 4 4 2 3" xfId="1695"/>
    <cellStyle name="Standard 2 2 4 4 2 4" xfId="1259"/>
    <cellStyle name="Standard 2 2 4 4 3" xfId="648"/>
    <cellStyle name="Standard 2 2 4 4 3 2" xfId="1962"/>
    <cellStyle name="Standard 2 2 4 4 4" xfId="1521"/>
    <cellStyle name="Standard 2 2 4 4 5" xfId="1085"/>
    <cellStyle name="Standard 2 2 4 5" xfId="119"/>
    <cellStyle name="Standard 2 2 4 5 2" xfId="561"/>
    <cellStyle name="Standard 2 2 4 5 2 2" xfId="1875"/>
    <cellStyle name="Standard 2 2 4 5 3" xfId="1434"/>
    <cellStyle name="Standard 2 2 4 5 4" xfId="998"/>
    <cellStyle name="Standard 2 2 4 6" xfId="293"/>
    <cellStyle name="Standard 2 2 4 6 2" xfId="735"/>
    <cellStyle name="Standard 2 2 4 6 2 2" xfId="2049"/>
    <cellStyle name="Standard 2 2 4 6 3" xfId="1608"/>
    <cellStyle name="Standard 2 2 4 6 4" xfId="1172"/>
    <cellStyle name="Standard 2 2 4 7" xfId="474"/>
    <cellStyle name="Standard 2 2 4 7 2" xfId="1788"/>
    <cellStyle name="Standard 2 2 4 8" xfId="1347"/>
    <cellStyle name="Standard 2 2 4 9" xfId="911"/>
    <cellStyle name="Standard 2 2 5" xfId="40"/>
    <cellStyle name="Standard 2 2 5 2" xfId="98"/>
    <cellStyle name="Standard 2 2 5 2 2" xfId="272"/>
    <cellStyle name="Standard 2 2 5 2 2 2" xfId="446"/>
    <cellStyle name="Standard 2 2 5 2 2 2 2" xfId="888"/>
    <cellStyle name="Standard 2 2 5 2 2 2 2 2" xfId="2202"/>
    <cellStyle name="Standard 2 2 5 2 2 2 3" xfId="1761"/>
    <cellStyle name="Standard 2 2 5 2 2 2 4" xfId="1325"/>
    <cellStyle name="Standard 2 2 5 2 2 3" xfId="714"/>
    <cellStyle name="Standard 2 2 5 2 2 3 2" xfId="2028"/>
    <cellStyle name="Standard 2 2 5 2 2 4" xfId="1587"/>
    <cellStyle name="Standard 2 2 5 2 2 5" xfId="1151"/>
    <cellStyle name="Standard 2 2 5 2 3" xfId="156"/>
    <cellStyle name="Standard 2 2 5 2 3 2" xfId="598"/>
    <cellStyle name="Standard 2 2 5 2 3 2 2" xfId="1912"/>
    <cellStyle name="Standard 2 2 5 2 3 3" xfId="1471"/>
    <cellStyle name="Standard 2 2 5 2 3 4" xfId="1035"/>
    <cellStyle name="Standard 2 2 5 2 4" xfId="330"/>
    <cellStyle name="Standard 2 2 5 2 4 2" xfId="772"/>
    <cellStyle name="Standard 2 2 5 2 4 2 2" xfId="2086"/>
    <cellStyle name="Standard 2 2 5 2 4 3" xfId="1645"/>
    <cellStyle name="Standard 2 2 5 2 4 4" xfId="1209"/>
    <cellStyle name="Standard 2 2 5 2 5" xfId="540"/>
    <cellStyle name="Standard 2 2 5 2 5 2" xfId="1854"/>
    <cellStyle name="Standard 2 2 5 2 6" xfId="1413"/>
    <cellStyle name="Standard 2 2 5 2 7" xfId="977"/>
    <cellStyle name="Standard 2 2 5 3" xfId="69"/>
    <cellStyle name="Standard 2 2 5 3 2" xfId="243"/>
    <cellStyle name="Standard 2 2 5 3 2 2" xfId="417"/>
    <cellStyle name="Standard 2 2 5 3 2 2 2" xfId="859"/>
    <cellStyle name="Standard 2 2 5 3 2 2 2 2" xfId="2173"/>
    <cellStyle name="Standard 2 2 5 3 2 2 3" xfId="1732"/>
    <cellStyle name="Standard 2 2 5 3 2 2 4" xfId="1296"/>
    <cellStyle name="Standard 2 2 5 3 2 3" xfId="685"/>
    <cellStyle name="Standard 2 2 5 3 2 3 2" xfId="1999"/>
    <cellStyle name="Standard 2 2 5 3 2 4" xfId="1558"/>
    <cellStyle name="Standard 2 2 5 3 2 5" xfId="1122"/>
    <cellStyle name="Standard 2 2 5 3 3" xfId="185"/>
    <cellStyle name="Standard 2 2 5 3 3 2" xfId="627"/>
    <cellStyle name="Standard 2 2 5 3 3 2 2" xfId="1941"/>
    <cellStyle name="Standard 2 2 5 3 3 3" xfId="1500"/>
    <cellStyle name="Standard 2 2 5 3 3 4" xfId="1064"/>
    <cellStyle name="Standard 2 2 5 3 4" xfId="359"/>
    <cellStyle name="Standard 2 2 5 3 4 2" xfId="801"/>
    <cellStyle name="Standard 2 2 5 3 4 2 2" xfId="2115"/>
    <cellStyle name="Standard 2 2 5 3 4 3" xfId="1674"/>
    <cellStyle name="Standard 2 2 5 3 4 4" xfId="1238"/>
    <cellStyle name="Standard 2 2 5 3 5" xfId="511"/>
    <cellStyle name="Standard 2 2 5 3 5 2" xfId="1825"/>
    <cellStyle name="Standard 2 2 5 3 6" xfId="1384"/>
    <cellStyle name="Standard 2 2 5 3 7" xfId="948"/>
    <cellStyle name="Standard 2 2 5 4" xfId="214"/>
    <cellStyle name="Standard 2 2 5 4 2" xfId="388"/>
    <cellStyle name="Standard 2 2 5 4 2 2" xfId="830"/>
    <cellStyle name="Standard 2 2 5 4 2 2 2" xfId="2144"/>
    <cellStyle name="Standard 2 2 5 4 2 3" xfId="1703"/>
    <cellStyle name="Standard 2 2 5 4 2 4" xfId="1267"/>
    <cellStyle name="Standard 2 2 5 4 3" xfId="656"/>
    <cellStyle name="Standard 2 2 5 4 3 2" xfId="1970"/>
    <cellStyle name="Standard 2 2 5 4 4" xfId="1529"/>
    <cellStyle name="Standard 2 2 5 4 5" xfId="1093"/>
    <cellStyle name="Standard 2 2 5 5" xfId="127"/>
    <cellStyle name="Standard 2 2 5 5 2" xfId="569"/>
    <cellStyle name="Standard 2 2 5 5 2 2" xfId="1883"/>
    <cellStyle name="Standard 2 2 5 5 3" xfId="1442"/>
    <cellStyle name="Standard 2 2 5 5 4" xfId="1006"/>
    <cellStyle name="Standard 2 2 5 6" xfId="301"/>
    <cellStyle name="Standard 2 2 5 6 2" xfId="743"/>
    <cellStyle name="Standard 2 2 5 6 2 2" xfId="2057"/>
    <cellStyle name="Standard 2 2 5 6 3" xfId="1616"/>
    <cellStyle name="Standard 2 2 5 6 4" xfId="1180"/>
    <cellStyle name="Standard 2 2 5 7" xfId="482"/>
    <cellStyle name="Standard 2 2 5 7 2" xfId="1796"/>
    <cellStyle name="Standard 2 2 5 8" xfId="1355"/>
    <cellStyle name="Standard 2 2 5 9" xfId="919"/>
    <cellStyle name="Standard 2 2 6" xfId="78"/>
    <cellStyle name="Standard 2 2 6 2" xfId="252"/>
    <cellStyle name="Standard 2 2 6 2 2" xfId="426"/>
    <cellStyle name="Standard 2 2 6 2 2 2" xfId="868"/>
    <cellStyle name="Standard 2 2 6 2 2 2 2" xfId="2182"/>
    <cellStyle name="Standard 2 2 6 2 2 3" xfId="1741"/>
    <cellStyle name="Standard 2 2 6 2 2 4" xfId="1305"/>
    <cellStyle name="Standard 2 2 6 2 3" xfId="694"/>
    <cellStyle name="Standard 2 2 6 2 3 2" xfId="2008"/>
    <cellStyle name="Standard 2 2 6 2 4" xfId="1567"/>
    <cellStyle name="Standard 2 2 6 2 5" xfId="1131"/>
    <cellStyle name="Standard 2 2 6 3" xfId="136"/>
    <cellStyle name="Standard 2 2 6 3 2" xfId="578"/>
    <cellStyle name="Standard 2 2 6 3 2 2" xfId="1892"/>
    <cellStyle name="Standard 2 2 6 3 3" xfId="1451"/>
    <cellStyle name="Standard 2 2 6 3 4" xfId="1015"/>
    <cellStyle name="Standard 2 2 6 4" xfId="310"/>
    <cellStyle name="Standard 2 2 6 4 2" xfId="752"/>
    <cellStyle name="Standard 2 2 6 4 2 2" xfId="2066"/>
    <cellStyle name="Standard 2 2 6 4 3" xfId="1625"/>
    <cellStyle name="Standard 2 2 6 4 4" xfId="1189"/>
    <cellStyle name="Standard 2 2 6 5" xfId="520"/>
    <cellStyle name="Standard 2 2 6 5 2" xfId="1834"/>
    <cellStyle name="Standard 2 2 6 6" xfId="1393"/>
    <cellStyle name="Standard 2 2 6 7" xfId="957"/>
    <cellStyle name="Standard 2 2 7" xfId="49"/>
    <cellStyle name="Standard 2 2 7 2" xfId="223"/>
    <cellStyle name="Standard 2 2 7 2 2" xfId="397"/>
    <cellStyle name="Standard 2 2 7 2 2 2" xfId="839"/>
    <cellStyle name="Standard 2 2 7 2 2 2 2" xfId="2153"/>
    <cellStyle name="Standard 2 2 7 2 2 3" xfId="1712"/>
    <cellStyle name="Standard 2 2 7 2 2 4" xfId="1276"/>
    <cellStyle name="Standard 2 2 7 2 3" xfId="665"/>
    <cellStyle name="Standard 2 2 7 2 3 2" xfId="1979"/>
    <cellStyle name="Standard 2 2 7 2 4" xfId="1538"/>
    <cellStyle name="Standard 2 2 7 2 5" xfId="1102"/>
    <cellStyle name="Standard 2 2 7 3" xfId="165"/>
    <cellStyle name="Standard 2 2 7 3 2" xfId="607"/>
    <cellStyle name="Standard 2 2 7 3 2 2" xfId="1921"/>
    <cellStyle name="Standard 2 2 7 3 3" xfId="1480"/>
    <cellStyle name="Standard 2 2 7 3 4" xfId="1044"/>
    <cellStyle name="Standard 2 2 7 4" xfId="339"/>
    <cellStyle name="Standard 2 2 7 4 2" xfId="781"/>
    <cellStyle name="Standard 2 2 7 4 2 2" xfId="2095"/>
    <cellStyle name="Standard 2 2 7 4 3" xfId="1654"/>
    <cellStyle name="Standard 2 2 7 4 4" xfId="1218"/>
    <cellStyle name="Standard 2 2 7 5" xfId="491"/>
    <cellStyle name="Standard 2 2 7 5 2" xfId="1805"/>
    <cellStyle name="Standard 2 2 7 6" xfId="1364"/>
    <cellStyle name="Standard 2 2 7 7" xfId="928"/>
    <cellStyle name="Standard 2 2 8" xfId="194"/>
    <cellStyle name="Standard 2 2 8 2" xfId="368"/>
    <cellStyle name="Standard 2 2 8 2 2" xfId="810"/>
    <cellStyle name="Standard 2 2 8 2 2 2" xfId="2124"/>
    <cellStyle name="Standard 2 2 8 2 3" xfId="1683"/>
    <cellStyle name="Standard 2 2 8 2 4" xfId="1247"/>
    <cellStyle name="Standard 2 2 8 3" xfId="636"/>
    <cellStyle name="Standard 2 2 8 3 2" xfId="1950"/>
    <cellStyle name="Standard 2 2 8 4" xfId="1509"/>
    <cellStyle name="Standard 2 2 8 5" xfId="1073"/>
    <cellStyle name="Standard 2 2 9" xfId="107"/>
    <cellStyle name="Standard 2 2 9 2" xfId="549"/>
    <cellStyle name="Standard 2 2 9 2 2" xfId="1863"/>
    <cellStyle name="Standard 2 2 9 3" xfId="1422"/>
    <cellStyle name="Standard 2 2 9 4" xfId="986"/>
    <cellStyle name="Standard 2 3" xfId="2"/>
    <cellStyle name="Standard 2 4" xfId="17"/>
    <cellStyle name="Standard 2 4 10" xfId="1338"/>
    <cellStyle name="Standard 2 4 11" xfId="902"/>
    <cellStyle name="Standard 2 4 2" xfId="35"/>
    <cellStyle name="Standard 2 4 2 2" xfId="93"/>
    <cellStyle name="Standard 2 4 2 2 2" xfId="267"/>
    <cellStyle name="Standard 2 4 2 2 2 2" xfId="441"/>
    <cellStyle name="Standard 2 4 2 2 2 2 2" xfId="883"/>
    <cellStyle name="Standard 2 4 2 2 2 2 2 2" xfId="2197"/>
    <cellStyle name="Standard 2 4 2 2 2 2 3" xfId="1756"/>
    <cellStyle name="Standard 2 4 2 2 2 2 4" xfId="1320"/>
    <cellStyle name="Standard 2 4 2 2 2 3" xfId="709"/>
    <cellStyle name="Standard 2 4 2 2 2 3 2" xfId="2023"/>
    <cellStyle name="Standard 2 4 2 2 2 4" xfId="1582"/>
    <cellStyle name="Standard 2 4 2 2 2 5" xfId="1146"/>
    <cellStyle name="Standard 2 4 2 2 3" xfId="151"/>
    <cellStyle name="Standard 2 4 2 2 3 2" xfId="593"/>
    <cellStyle name="Standard 2 4 2 2 3 2 2" xfId="1907"/>
    <cellStyle name="Standard 2 4 2 2 3 3" xfId="1466"/>
    <cellStyle name="Standard 2 4 2 2 3 4" xfId="1030"/>
    <cellStyle name="Standard 2 4 2 2 4" xfId="325"/>
    <cellStyle name="Standard 2 4 2 2 4 2" xfId="767"/>
    <cellStyle name="Standard 2 4 2 2 4 2 2" xfId="2081"/>
    <cellStyle name="Standard 2 4 2 2 4 3" xfId="1640"/>
    <cellStyle name="Standard 2 4 2 2 4 4" xfId="1204"/>
    <cellStyle name="Standard 2 4 2 2 5" xfId="535"/>
    <cellStyle name="Standard 2 4 2 2 5 2" xfId="1849"/>
    <cellStyle name="Standard 2 4 2 2 6" xfId="1408"/>
    <cellStyle name="Standard 2 4 2 2 7" xfId="972"/>
    <cellStyle name="Standard 2 4 2 3" xfId="64"/>
    <cellStyle name="Standard 2 4 2 3 2" xfId="238"/>
    <cellStyle name="Standard 2 4 2 3 2 2" xfId="412"/>
    <cellStyle name="Standard 2 4 2 3 2 2 2" xfId="854"/>
    <cellStyle name="Standard 2 4 2 3 2 2 2 2" xfId="2168"/>
    <cellStyle name="Standard 2 4 2 3 2 2 3" xfId="1727"/>
    <cellStyle name="Standard 2 4 2 3 2 2 4" xfId="1291"/>
    <cellStyle name="Standard 2 4 2 3 2 3" xfId="680"/>
    <cellStyle name="Standard 2 4 2 3 2 3 2" xfId="1994"/>
    <cellStyle name="Standard 2 4 2 3 2 4" xfId="1553"/>
    <cellStyle name="Standard 2 4 2 3 2 5" xfId="1117"/>
    <cellStyle name="Standard 2 4 2 3 3" xfId="180"/>
    <cellStyle name="Standard 2 4 2 3 3 2" xfId="622"/>
    <cellStyle name="Standard 2 4 2 3 3 2 2" xfId="1936"/>
    <cellStyle name="Standard 2 4 2 3 3 3" xfId="1495"/>
    <cellStyle name="Standard 2 4 2 3 3 4" xfId="1059"/>
    <cellStyle name="Standard 2 4 2 3 4" xfId="354"/>
    <cellStyle name="Standard 2 4 2 3 4 2" xfId="796"/>
    <cellStyle name="Standard 2 4 2 3 4 2 2" xfId="2110"/>
    <cellStyle name="Standard 2 4 2 3 4 3" xfId="1669"/>
    <cellStyle name="Standard 2 4 2 3 4 4" xfId="1233"/>
    <cellStyle name="Standard 2 4 2 3 5" xfId="506"/>
    <cellStyle name="Standard 2 4 2 3 5 2" xfId="1820"/>
    <cellStyle name="Standard 2 4 2 3 6" xfId="1379"/>
    <cellStyle name="Standard 2 4 2 3 7" xfId="943"/>
    <cellStyle name="Standard 2 4 2 4" xfId="209"/>
    <cellStyle name="Standard 2 4 2 4 2" xfId="383"/>
    <cellStyle name="Standard 2 4 2 4 2 2" xfId="825"/>
    <cellStyle name="Standard 2 4 2 4 2 2 2" xfId="2139"/>
    <cellStyle name="Standard 2 4 2 4 2 3" xfId="1698"/>
    <cellStyle name="Standard 2 4 2 4 2 4" xfId="1262"/>
    <cellStyle name="Standard 2 4 2 4 3" xfId="651"/>
    <cellStyle name="Standard 2 4 2 4 3 2" xfId="1965"/>
    <cellStyle name="Standard 2 4 2 4 4" xfId="1524"/>
    <cellStyle name="Standard 2 4 2 4 5" xfId="1088"/>
    <cellStyle name="Standard 2 4 2 5" xfId="122"/>
    <cellStyle name="Standard 2 4 2 5 2" xfId="564"/>
    <cellStyle name="Standard 2 4 2 5 2 2" xfId="1878"/>
    <cellStyle name="Standard 2 4 2 5 3" xfId="1437"/>
    <cellStyle name="Standard 2 4 2 5 4" xfId="1001"/>
    <cellStyle name="Standard 2 4 2 6" xfId="296"/>
    <cellStyle name="Standard 2 4 2 6 2" xfId="738"/>
    <cellStyle name="Standard 2 4 2 6 2 2" xfId="2052"/>
    <cellStyle name="Standard 2 4 2 6 3" xfId="1611"/>
    <cellStyle name="Standard 2 4 2 6 4" xfId="1175"/>
    <cellStyle name="Standard 2 4 2 7" xfId="477"/>
    <cellStyle name="Standard 2 4 2 7 2" xfId="1791"/>
    <cellStyle name="Standard 2 4 2 8" xfId="1350"/>
    <cellStyle name="Standard 2 4 2 9" xfId="914"/>
    <cellStyle name="Standard 2 4 3" xfId="43"/>
    <cellStyle name="Standard 2 4 3 2" xfId="101"/>
    <cellStyle name="Standard 2 4 3 2 2" xfId="275"/>
    <cellStyle name="Standard 2 4 3 2 2 2" xfId="449"/>
    <cellStyle name="Standard 2 4 3 2 2 2 2" xfId="891"/>
    <cellStyle name="Standard 2 4 3 2 2 2 2 2" xfId="2205"/>
    <cellStyle name="Standard 2 4 3 2 2 2 3" xfId="1764"/>
    <cellStyle name="Standard 2 4 3 2 2 2 4" xfId="1328"/>
    <cellStyle name="Standard 2 4 3 2 2 3" xfId="717"/>
    <cellStyle name="Standard 2 4 3 2 2 3 2" xfId="2031"/>
    <cellStyle name="Standard 2 4 3 2 2 4" xfId="1590"/>
    <cellStyle name="Standard 2 4 3 2 2 5" xfId="1154"/>
    <cellStyle name="Standard 2 4 3 2 3" xfId="159"/>
    <cellStyle name="Standard 2 4 3 2 3 2" xfId="601"/>
    <cellStyle name="Standard 2 4 3 2 3 2 2" xfId="1915"/>
    <cellStyle name="Standard 2 4 3 2 3 3" xfId="1474"/>
    <cellStyle name="Standard 2 4 3 2 3 4" xfId="1038"/>
    <cellStyle name="Standard 2 4 3 2 4" xfId="333"/>
    <cellStyle name="Standard 2 4 3 2 4 2" xfId="775"/>
    <cellStyle name="Standard 2 4 3 2 4 2 2" xfId="2089"/>
    <cellStyle name="Standard 2 4 3 2 4 3" xfId="1648"/>
    <cellStyle name="Standard 2 4 3 2 4 4" xfId="1212"/>
    <cellStyle name="Standard 2 4 3 2 5" xfId="543"/>
    <cellStyle name="Standard 2 4 3 2 5 2" xfId="1857"/>
    <cellStyle name="Standard 2 4 3 2 6" xfId="1416"/>
    <cellStyle name="Standard 2 4 3 2 7" xfId="980"/>
    <cellStyle name="Standard 2 4 3 3" xfId="72"/>
    <cellStyle name="Standard 2 4 3 3 2" xfId="246"/>
    <cellStyle name="Standard 2 4 3 3 2 2" xfId="420"/>
    <cellStyle name="Standard 2 4 3 3 2 2 2" xfId="862"/>
    <cellStyle name="Standard 2 4 3 3 2 2 2 2" xfId="2176"/>
    <cellStyle name="Standard 2 4 3 3 2 2 3" xfId="1735"/>
    <cellStyle name="Standard 2 4 3 3 2 2 4" xfId="1299"/>
    <cellStyle name="Standard 2 4 3 3 2 3" xfId="688"/>
    <cellStyle name="Standard 2 4 3 3 2 3 2" xfId="2002"/>
    <cellStyle name="Standard 2 4 3 3 2 4" xfId="1561"/>
    <cellStyle name="Standard 2 4 3 3 2 5" xfId="1125"/>
    <cellStyle name="Standard 2 4 3 3 3" xfId="188"/>
    <cellStyle name="Standard 2 4 3 3 3 2" xfId="630"/>
    <cellStyle name="Standard 2 4 3 3 3 2 2" xfId="1944"/>
    <cellStyle name="Standard 2 4 3 3 3 3" xfId="1503"/>
    <cellStyle name="Standard 2 4 3 3 3 4" xfId="1067"/>
    <cellStyle name="Standard 2 4 3 3 4" xfId="362"/>
    <cellStyle name="Standard 2 4 3 3 4 2" xfId="804"/>
    <cellStyle name="Standard 2 4 3 3 4 2 2" xfId="2118"/>
    <cellStyle name="Standard 2 4 3 3 4 3" xfId="1677"/>
    <cellStyle name="Standard 2 4 3 3 4 4" xfId="1241"/>
    <cellStyle name="Standard 2 4 3 3 5" xfId="514"/>
    <cellStyle name="Standard 2 4 3 3 5 2" xfId="1828"/>
    <cellStyle name="Standard 2 4 3 3 6" xfId="1387"/>
    <cellStyle name="Standard 2 4 3 3 7" xfId="951"/>
    <cellStyle name="Standard 2 4 3 4" xfId="217"/>
    <cellStyle name="Standard 2 4 3 4 2" xfId="391"/>
    <cellStyle name="Standard 2 4 3 4 2 2" xfId="833"/>
    <cellStyle name="Standard 2 4 3 4 2 2 2" xfId="2147"/>
    <cellStyle name="Standard 2 4 3 4 2 3" xfId="1706"/>
    <cellStyle name="Standard 2 4 3 4 2 4" xfId="1270"/>
    <cellStyle name="Standard 2 4 3 4 3" xfId="659"/>
    <cellStyle name="Standard 2 4 3 4 3 2" xfId="1973"/>
    <cellStyle name="Standard 2 4 3 4 4" xfId="1532"/>
    <cellStyle name="Standard 2 4 3 4 5" xfId="1096"/>
    <cellStyle name="Standard 2 4 3 5" xfId="130"/>
    <cellStyle name="Standard 2 4 3 5 2" xfId="572"/>
    <cellStyle name="Standard 2 4 3 5 2 2" xfId="1886"/>
    <cellStyle name="Standard 2 4 3 5 3" xfId="1445"/>
    <cellStyle name="Standard 2 4 3 5 4" xfId="1009"/>
    <cellStyle name="Standard 2 4 3 6" xfId="304"/>
    <cellStyle name="Standard 2 4 3 6 2" xfId="746"/>
    <cellStyle name="Standard 2 4 3 6 2 2" xfId="2060"/>
    <cellStyle name="Standard 2 4 3 6 3" xfId="1619"/>
    <cellStyle name="Standard 2 4 3 6 4" xfId="1183"/>
    <cellStyle name="Standard 2 4 3 7" xfId="485"/>
    <cellStyle name="Standard 2 4 3 7 2" xfId="1799"/>
    <cellStyle name="Standard 2 4 3 8" xfId="1358"/>
    <cellStyle name="Standard 2 4 3 9" xfId="922"/>
    <cellStyle name="Standard 2 4 4" xfId="81"/>
    <cellStyle name="Standard 2 4 4 2" xfId="255"/>
    <cellStyle name="Standard 2 4 4 2 2" xfId="429"/>
    <cellStyle name="Standard 2 4 4 2 2 2" xfId="871"/>
    <cellStyle name="Standard 2 4 4 2 2 2 2" xfId="2185"/>
    <cellStyle name="Standard 2 4 4 2 2 3" xfId="1744"/>
    <cellStyle name="Standard 2 4 4 2 2 4" xfId="1308"/>
    <cellStyle name="Standard 2 4 4 2 3" xfId="697"/>
    <cellStyle name="Standard 2 4 4 2 3 2" xfId="2011"/>
    <cellStyle name="Standard 2 4 4 2 4" xfId="1570"/>
    <cellStyle name="Standard 2 4 4 2 5" xfId="1134"/>
    <cellStyle name="Standard 2 4 4 3" xfId="139"/>
    <cellStyle name="Standard 2 4 4 3 2" xfId="581"/>
    <cellStyle name="Standard 2 4 4 3 2 2" xfId="1895"/>
    <cellStyle name="Standard 2 4 4 3 3" xfId="1454"/>
    <cellStyle name="Standard 2 4 4 3 4" xfId="1018"/>
    <cellStyle name="Standard 2 4 4 4" xfId="313"/>
    <cellStyle name="Standard 2 4 4 4 2" xfId="755"/>
    <cellStyle name="Standard 2 4 4 4 2 2" xfId="2069"/>
    <cellStyle name="Standard 2 4 4 4 3" xfId="1628"/>
    <cellStyle name="Standard 2 4 4 4 4" xfId="1192"/>
    <cellStyle name="Standard 2 4 4 5" xfId="523"/>
    <cellStyle name="Standard 2 4 4 5 2" xfId="1837"/>
    <cellStyle name="Standard 2 4 4 6" xfId="1396"/>
    <cellStyle name="Standard 2 4 4 7" xfId="960"/>
    <cellStyle name="Standard 2 4 5" xfId="52"/>
    <cellStyle name="Standard 2 4 5 2" xfId="226"/>
    <cellStyle name="Standard 2 4 5 2 2" xfId="400"/>
    <cellStyle name="Standard 2 4 5 2 2 2" xfId="842"/>
    <cellStyle name="Standard 2 4 5 2 2 2 2" xfId="2156"/>
    <cellStyle name="Standard 2 4 5 2 2 3" xfId="1715"/>
    <cellStyle name="Standard 2 4 5 2 2 4" xfId="1279"/>
    <cellStyle name="Standard 2 4 5 2 3" xfId="668"/>
    <cellStyle name="Standard 2 4 5 2 3 2" xfId="1982"/>
    <cellStyle name="Standard 2 4 5 2 4" xfId="1541"/>
    <cellStyle name="Standard 2 4 5 2 5" xfId="1105"/>
    <cellStyle name="Standard 2 4 5 3" xfId="168"/>
    <cellStyle name="Standard 2 4 5 3 2" xfId="610"/>
    <cellStyle name="Standard 2 4 5 3 2 2" xfId="1924"/>
    <cellStyle name="Standard 2 4 5 3 3" xfId="1483"/>
    <cellStyle name="Standard 2 4 5 3 4" xfId="1047"/>
    <cellStyle name="Standard 2 4 5 4" xfId="342"/>
    <cellStyle name="Standard 2 4 5 4 2" xfId="784"/>
    <cellStyle name="Standard 2 4 5 4 2 2" xfId="2098"/>
    <cellStyle name="Standard 2 4 5 4 3" xfId="1657"/>
    <cellStyle name="Standard 2 4 5 4 4" xfId="1221"/>
    <cellStyle name="Standard 2 4 5 5" xfId="494"/>
    <cellStyle name="Standard 2 4 5 5 2" xfId="1808"/>
    <cellStyle name="Standard 2 4 5 6" xfId="1367"/>
    <cellStyle name="Standard 2 4 5 7" xfId="931"/>
    <cellStyle name="Standard 2 4 6" xfId="197"/>
    <cellStyle name="Standard 2 4 6 2" xfId="371"/>
    <cellStyle name="Standard 2 4 6 2 2" xfId="813"/>
    <cellStyle name="Standard 2 4 6 2 2 2" xfId="2127"/>
    <cellStyle name="Standard 2 4 6 2 3" xfId="1686"/>
    <cellStyle name="Standard 2 4 6 2 4" xfId="1250"/>
    <cellStyle name="Standard 2 4 6 3" xfId="639"/>
    <cellStyle name="Standard 2 4 6 3 2" xfId="1953"/>
    <cellStyle name="Standard 2 4 6 4" xfId="1512"/>
    <cellStyle name="Standard 2 4 6 5" xfId="1076"/>
    <cellStyle name="Standard 2 4 7" xfId="110"/>
    <cellStyle name="Standard 2 4 7 2" xfId="552"/>
    <cellStyle name="Standard 2 4 7 2 2" xfId="1866"/>
    <cellStyle name="Standard 2 4 7 3" xfId="1425"/>
    <cellStyle name="Standard 2 4 7 4" xfId="989"/>
    <cellStyle name="Standard 2 4 8" xfId="284"/>
    <cellStyle name="Standard 2 4 8 2" xfId="726"/>
    <cellStyle name="Standard 2 4 8 2 2" xfId="2040"/>
    <cellStyle name="Standard 2 4 8 3" xfId="1599"/>
    <cellStyle name="Standard 2 4 8 4" xfId="1163"/>
    <cellStyle name="Standard 2 4 9" xfId="465"/>
    <cellStyle name="Standard 2 4 9 2" xfId="1779"/>
    <cellStyle name="Standard 2 5" xfId="21"/>
    <cellStyle name="Standard 2 5 2" xfId="85"/>
    <cellStyle name="Standard 2 5 2 2" xfId="259"/>
    <cellStyle name="Standard 2 5 2 2 2" xfId="433"/>
    <cellStyle name="Standard 2 5 2 2 2 2" xfId="875"/>
    <cellStyle name="Standard 2 5 2 2 2 2 2" xfId="2189"/>
    <cellStyle name="Standard 2 5 2 2 2 3" xfId="1748"/>
    <cellStyle name="Standard 2 5 2 2 2 4" xfId="1312"/>
    <cellStyle name="Standard 2 5 2 2 3" xfId="701"/>
    <cellStyle name="Standard 2 5 2 2 3 2" xfId="2015"/>
    <cellStyle name="Standard 2 5 2 2 4" xfId="1574"/>
    <cellStyle name="Standard 2 5 2 2 5" xfId="1138"/>
    <cellStyle name="Standard 2 5 2 3" xfId="143"/>
    <cellStyle name="Standard 2 5 2 3 2" xfId="585"/>
    <cellStyle name="Standard 2 5 2 3 2 2" xfId="1899"/>
    <cellStyle name="Standard 2 5 2 3 3" xfId="1458"/>
    <cellStyle name="Standard 2 5 2 3 4" xfId="1022"/>
    <cellStyle name="Standard 2 5 2 4" xfId="317"/>
    <cellStyle name="Standard 2 5 2 4 2" xfId="759"/>
    <cellStyle name="Standard 2 5 2 4 2 2" xfId="2073"/>
    <cellStyle name="Standard 2 5 2 4 3" xfId="1632"/>
    <cellStyle name="Standard 2 5 2 4 4" xfId="1196"/>
    <cellStyle name="Standard 2 5 2 5" xfId="527"/>
    <cellStyle name="Standard 2 5 2 5 2" xfId="1841"/>
    <cellStyle name="Standard 2 5 2 6" xfId="1400"/>
    <cellStyle name="Standard 2 5 2 7" xfId="964"/>
    <cellStyle name="Standard 2 5 3" xfId="56"/>
    <cellStyle name="Standard 2 5 3 2" xfId="230"/>
    <cellStyle name="Standard 2 5 3 2 2" xfId="404"/>
    <cellStyle name="Standard 2 5 3 2 2 2" xfId="846"/>
    <cellStyle name="Standard 2 5 3 2 2 2 2" xfId="2160"/>
    <cellStyle name="Standard 2 5 3 2 2 3" xfId="1719"/>
    <cellStyle name="Standard 2 5 3 2 2 4" xfId="1283"/>
    <cellStyle name="Standard 2 5 3 2 3" xfId="672"/>
    <cellStyle name="Standard 2 5 3 2 3 2" xfId="1986"/>
    <cellStyle name="Standard 2 5 3 2 4" xfId="1545"/>
    <cellStyle name="Standard 2 5 3 2 5" xfId="1109"/>
    <cellStyle name="Standard 2 5 3 3" xfId="172"/>
    <cellStyle name="Standard 2 5 3 3 2" xfId="614"/>
    <cellStyle name="Standard 2 5 3 3 2 2" xfId="1928"/>
    <cellStyle name="Standard 2 5 3 3 3" xfId="1487"/>
    <cellStyle name="Standard 2 5 3 3 4" xfId="1051"/>
    <cellStyle name="Standard 2 5 3 4" xfId="346"/>
    <cellStyle name="Standard 2 5 3 4 2" xfId="788"/>
    <cellStyle name="Standard 2 5 3 4 2 2" xfId="2102"/>
    <cellStyle name="Standard 2 5 3 4 3" xfId="1661"/>
    <cellStyle name="Standard 2 5 3 4 4" xfId="1225"/>
    <cellStyle name="Standard 2 5 3 5" xfId="498"/>
    <cellStyle name="Standard 2 5 3 5 2" xfId="1812"/>
    <cellStyle name="Standard 2 5 3 6" xfId="1371"/>
    <cellStyle name="Standard 2 5 3 7" xfId="935"/>
    <cellStyle name="Standard 2 5 4" xfId="201"/>
    <cellStyle name="Standard 2 5 4 2" xfId="375"/>
    <cellStyle name="Standard 2 5 4 2 2" xfId="817"/>
    <cellStyle name="Standard 2 5 4 2 2 2" xfId="2131"/>
    <cellStyle name="Standard 2 5 4 2 3" xfId="1690"/>
    <cellStyle name="Standard 2 5 4 2 4" xfId="1254"/>
    <cellStyle name="Standard 2 5 4 3" xfId="643"/>
    <cellStyle name="Standard 2 5 4 3 2" xfId="1957"/>
    <cellStyle name="Standard 2 5 4 4" xfId="1516"/>
    <cellStyle name="Standard 2 5 4 5" xfId="1080"/>
    <cellStyle name="Standard 2 5 5" xfId="114"/>
    <cellStyle name="Standard 2 5 5 2" xfId="556"/>
    <cellStyle name="Standard 2 5 5 2 2" xfId="1870"/>
    <cellStyle name="Standard 2 5 5 3" xfId="1429"/>
    <cellStyle name="Standard 2 5 5 4" xfId="993"/>
    <cellStyle name="Standard 2 5 6" xfId="288"/>
    <cellStyle name="Standard 2 5 6 2" xfId="730"/>
    <cellStyle name="Standard 2 5 6 2 2" xfId="2044"/>
    <cellStyle name="Standard 2 5 6 3" xfId="1603"/>
    <cellStyle name="Standard 2 5 6 4" xfId="1167"/>
    <cellStyle name="Standard 2 5 7" xfId="469"/>
    <cellStyle name="Standard 2 5 7 2" xfId="1783"/>
    <cellStyle name="Standard 2 5 8" xfId="1342"/>
    <cellStyle name="Standard 2 5 9" xfId="906"/>
    <cellStyle name="Standard 2 6" xfId="31"/>
    <cellStyle name="Standard 2 6 2" xfId="89"/>
    <cellStyle name="Standard 2 6 2 2" xfId="263"/>
    <cellStyle name="Standard 2 6 2 2 2" xfId="437"/>
    <cellStyle name="Standard 2 6 2 2 2 2" xfId="879"/>
    <cellStyle name="Standard 2 6 2 2 2 2 2" xfId="2193"/>
    <cellStyle name="Standard 2 6 2 2 2 3" xfId="1752"/>
    <cellStyle name="Standard 2 6 2 2 2 4" xfId="1316"/>
    <cellStyle name="Standard 2 6 2 2 3" xfId="705"/>
    <cellStyle name="Standard 2 6 2 2 3 2" xfId="2019"/>
    <cellStyle name="Standard 2 6 2 2 4" xfId="1578"/>
    <cellStyle name="Standard 2 6 2 2 5" xfId="1142"/>
    <cellStyle name="Standard 2 6 2 3" xfId="147"/>
    <cellStyle name="Standard 2 6 2 3 2" xfId="589"/>
    <cellStyle name="Standard 2 6 2 3 2 2" xfId="1903"/>
    <cellStyle name="Standard 2 6 2 3 3" xfId="1462"/>
    <cellStyle name="Standard 2 6 2 3 4" xfId="1026"/>
    <cellStyle name="Standard 2 6 2 4" xfId="321"/>
    <cellStyle name="Standard 2 6 2 4 2" xfId="763"/>
    <cellStyle name="Standard 2 6 2 4 2 2" xfId="2077"/>
    <cellStyle name="Standard 2 6 2 4 3" xfId="1636"/>
    <cellStyle name="Standard 2 6 2 4 4" xfId="1200"/>
    <cellStyle name="Standard 2 6 2 5" xfId="531"/>
    <cellStyle name="Standard 2 6 2 5 2" xfId="1845"/>
    <cellStyle name="Standard 2 6 2 6" xfId="1404"/>
    <cellStyle name="Standard 2 6 2 7" xfId="968"/>
    <cellStyle name="Standard 2 6 3" xfId="60"/>
    <cellStyle name="Standard 2 6 3 2" xfId="234"/>
    <cellStyle name="Standard 2 6 3 2 2" xfId="408"/>
    <cellStyle name="Standard 2 6 3 2 2 2" xfId="850"/>
    <cellStyle name="Standard 2 6 3 2 2 2 2" xfId="2164"/>
    <cellStyle name="Standard 2 6 3 2 2 3" xfId="1723"/>
    <cellStyle name="Standard 2 6 3 2 2 4" xfId="1287"/>
    <cellStyle name="Standard 2 6 3 2 3" xfId="676"/>
    <cellStyle name="Standard 2 6 3 2 3 2" xfId="1990"/>
    <cellStyle name="Standard 2 6 3 2 4" xfId="1549"/>
    <cellStyle name="Standard 2 6 3 2 5" xfId="1113"/>
    <cellStyle name="Standard 2 6 3 3" xfId="176"/>
    <cellStyle name="Standard 2 6 3 3 2" xfId="618"/>
    <cellStyle name="Standard 2 6 3 3 2 2" xfId="1932"/>
    <cellStyle name="Standard 2 6 3 3 3" xfId="1491"/>
    <cellStyle name="Standard 2 6 3 3 4" xfId="1055"/>
    <cellStyle name="Standard 2 6 3 4" xfId="350"/>
    <cellStyle name="Standard 2 6 3 4 2" xfId="792"/>
    <cellStyle name="Standard 2 6 3 4 2 2" xfId="2106"/>
    <cellStyle name="Standard 2 6 3 4 3" xfId="1665"/>
    <cellStyle name="Standard 2 6 3 4 4" xfId="1229"/>
    <cellStyle name="Standard 2 6 3 5" xfId="502"/>
    <cellStyle name="Standard 2 6 3 5 2" xfId="1816"/>
    <cellStyle name="Standard 2 6 3 6" xfId="1375"/>
    <cellStyle name="Standard 2 6 3 7" xfId="939"/>
    <cellStyle name="Standard 2 6 4" xfId="205"/>
    <cellStyle name="Standard 2 6 4 2" xfId="379"/>
    <cellStyle name="Standard 2 6 4 2 2" xfId="821"/>
    <cellStyle name="Standard 2 6 4 2 2 2" xfId="2135"/>
    <cellStyle name="Standard 2 6 4 2 3" xfId="1694"/>
    <cellStyle name="Standard 2 6 4 2 4" xfId="1258"/>
    <cellStyle name="Standard 2 6 4 3" xfId="647"/>
    <cellStyle name="Standard 2 6 4 3 2" xfId="1961"/>
    <cellStyle name="Standard 2 6 4 4" xfId="1520"/>
    <cellStyle name="Standard 2 6 4 5" xfId="1084"/>
    <cellStyle name="Standard 2 6 5" xfId="118"/>
    <cellStyle name="Standard 2 6 5 2" xfId="560"/>
    <cellStyle name="Standard 2 6 5 2 2" xfId="1874"/>
    <cellStyle name="Standard 2 6 5 3" xfId="1433"/>
    <cellStyle name="Standard 2 6 5 4" xfId="997"/>
    <cellStyle name="Standard 2 6 6" xfId="292"/>
    <cellStyle name="Standard 2 6 6 2" xfId="734"/>
    <cellStyle name="Standard 2 6 6 2 2" xfId="2048"/>
    <cellStyle name="Standard 2 6 6 3" xfId="1607"/>
    <cellStyle name="Standard 2 6 6 4" xfId="1171"/>
    <cellStyle name="Standard 2 6 7" xfId="473"/>
    <cellStyle name="Standard 2 6 7 2" xfId="1787"/>
    <cellStyle name="Standard 2 6 8" xfId="1346"/>
    <cellStyle name="Standard 2 6 9" xfId="910"/>
    <cellStyle name="Standard 2 7" xfId="39"/>
    <cellStyle name="Standard 2 7 2" xfId="97"/>
    <cellStyle name="Standard 2 7 2 2" xfId="271"/>
    <cellStyle name="Standard 2 7 2 2 2" xfId="445"/>
    <cellStyle name="Standard 2 7 2 2 2 2" xfId="887"/>
    <cellStyle name="Standard 2 7 2 2 2 2 2" xfId="2201"/>
    <cellStyle name="Standard 2 7 2 2 2 3" xfId="1760"/>
    <cellStyle name="Standard 2 7 2 2 2 4" xfId="1324"/>
    <cellStyle name="Standard 2 7 2 2 3" xfId="713"/>
    <cellStyle name="Standard 2 7 2 2 3 2" xfId="2027"/>
    <cellStyle name="Standard 2 7 2 2 4" xfId="1586"/>
    <cellStyle name="Standard 2 7 2 2 5" xfId="1150"/>
    <cellStyle name="Standard 2 7 2 3" xfId="155"/>
    <cellStyle name="Standard 2 7 2 3 2" xfId="597"/>
    <cellStyle name="Standard 2 7 2 3 2 2" xfId="1911"/>
    <cellStyle name="Standard 2 7 2 3 3" xfId="1470"/>
    <cellStyle name="Standard 2 7 2 3 4" xfId="1034"/>
    <cellStyle name="Standard 2 7 2 4" xfId="329"/>
    <cellStyle name="Standard 2 7 2 4 2" xfId="771"/>
    <cellStyle name="Standard 2 7 2 4 2 2" xfId="2085"/>
    <cellStyle name="Standard 2 7 2 4 3" xfId="1644"/>
    <cellStyle name="Standard 2 7 2 4 4" xfId="1208"/>
    <cellStyle name="Standard 2 7 2 5" xfId="539"/>
    <cellStyle name="Standard 2 7 2 5 2" xfId="1853"/>
    <cellStyle name="Standard 2 7 2 6" xfId="1412"/>
    <cellStyle name="Standard 2 7 2 7" xfId="976"/>
    <cellStyle name="Standard 2 7 3" xfId="68"/>
    <cellStyle name="Standard 2 7 3 2" xfId="242"/>
    <cellStyle name="Standard 2 7 3 2 2" xfId="416"/>
    <cellStyle name="Standard 2 7 3 2 2 2" xfId="858"/>
    <cellStyle name="Standard 2 7 3 2 2 2 2" xfId="2172"/>
    <cellStyle name="Standard 2 7 3 2 2 3" xfId="1731"/>
    <cellStyle name="Standard 2 7 3 2 2 4" xfId="1295"/>
    <cellStyle name="Standard 2 7 3 2 3" xfId="684"/>
    <cellStyle name="Standard 2 7 3 2 3 2" xfId="1998"/>
    <cellStyle name="Standard 2 7 3 2 4" xfId="1557"/>
    <cellStyle name="Standard 2 7 3 2 5" xfId="1121"/>
    <cellStyle name="Standard 2 7 3 3" xfId="184"/>
    <cellStyle name="Standard 2 7 3 3 2" xfId="626"/>
    <cellStyle name="Standard 2 7 3 3 2 2" xfId="1940"/>
    <cellStyle name="Standard 2 7 3 3 3" xfId="1499"/>
    <cellStyle name="Standard 2 7 3 3 4" xfId="1063"/>
    <cellStyle name="Standard 2 7 3 4" xfId="358"/>
    <cellStyle name="Standard 2 7 3 4 2" xfId="800"/>
    <cellStyle name="Standard 2 7 3 4 2 2" xfId="2114"/>
    <cellStyle name="Standard 2 7 3 4 3" xfId="1673"/>
    <cellStyle name="Standard 2 7 3 4 4" xfId="1237"/>
    <cellStyle name="Standard 2 7 3 5" xfId="510"/>
    <cellStyle name="Standard 2 7 3 5 2" xfId="1824"/>
    <cellStyle name="Standard 2 7 3 6" xfId="1383"/>
    <cellStyle name="Standard 2 7 3 7" xfId="947"/>
    <cellStyle name="Standard 2 7 4" xfId="213"/>
    <cellStyle name="Standard 2 7 4 2" xfId="387"/>
    <cellStyle name="Standard 2 7 4 2 2" xfId="829"/>
    <cellStyle name="Standard 2 7 4 2 2 2" xfId="2143"/>
    <cellStyle name="Standard 2 7 4 2 3" xfId="1702"/>
    <cellStyle name="Standard 2 7 4 2 4" xfId="1266"/>
    <cellStyle name="Standard 2 7 4 3" xfId="655"/>
    <cellStyle name="Standard 2 7 4 3 2" xfId="1969"/>
    <cellStyle name="Standard 2 7 4 4" xfId="1528"/>
    <cellStyle name="Standard 2 7 4 5" xfId="1092"/>
    <cellStyle name="Standard 2 7 5" xfId="126"/>
    <cellStyle name="Standard 2 7 5 2" xfId="568"/>
    <cellStyle name="Standard 2 7 5 2 2" xfId="1882"/>
    <cellStyle name="Standard 2 7 5 3" xfId="1441"/>
    <cellStyle name="Standard 2 7 5 4" xfId="1005"/>
    <cellStyle name="Standard 2 7 6" xfId="300"/>
    <cellStyle name="Standard 2 7 6 2" xfId="742"/>
    <cellStyle name="Standard 2 7 6 2 2" xfId="2056"/>
    <cellStyle name="Standard 2 7 6 3" xfId="1615"/>
    <cellStyle name="Standard 2 7 6 4" xfId="1179"/>
    <cellStyle name="Standard 2 7 7" xfId="481"/>
    <cellStyle name="Standard 2 7 7 2" xfId="1795"/>
    <cellStyle name="Standard 2 7 8" xfId="1354"/>
    <cellStyle name="Standard 2 7 9" xfId="918"/>
    <cellStyle name="Standard 2 8" xfId="77"/>
    <cellStyle name="Standard 2 8 2" xfId="251"/>
    <cellStyle name="Standard 2 8 2 2" xfId="425"/>
    <cellStyle name="Standard 2 8 2 2 2" xfId="867"/>
    <cellStyle name="Standard 2 8 2 2 2 2" xfId="2181"/>
    <cellStyle name="Standard 2 8 2 2 3" xfId="1740"/>
    <cellStyle name="Standard 2 8 2 2 4" xfId="1304"/>
    <cellStyle name="Standard 2 8 2 3" xfId="693"/>
    <cellStyle name="Standard 2 8 2 3 2" xfId="2007"/>
    <cellStyle name="Standard 2 8 2 4" xfId="1566"/>
    <cellStyle name="Standard 2 8 2 5" xfId="1130"/>
    <cellStyle name="Standard 2 8 3" xfId="135"/>
    <cellStyle name="Standard 2 8 3 2" xfId="577"/>
    <cellStyle name="Standard 2 8 3 2 2" xfId="1891"/>
    <cellStyle name="Standard 2 8 3 3" xfId="1450"/>
    <cellStyle name="Standard 2 8 3 4" xfId="1014"/>
    <cellStyle name="Standard 2 8 4" xfId="309"/>
    <cellStyle name="Standard 2 8 4 2" xfId="751"/>
    <cellStyle name="Standard 2 8 4 2 2" xfId="2065"/>
    <cellStyle name="Standard 2 8 4 3" xfId="1624"/>
    <cellStyle name="Standard 2 8 4 4" xfId="1188"/>
    <cellStyle name="Standard 2 8 5" xfId="519"/>
    <cellStyle name="Standard 2 8 5 2" xfId="1833"/>
    <cellStyle name="Standard 2 8 6" xfId="1392"/>
    <cellStyle name="Standard 2 8 7" xfId="956"/>
    <cellStyle name="Standard 2 9" xfId="48"/>
    <cellStyle name="Standard 2 9 2" xfId="222"/>
    <cellStyle name="Standard 2 9 2 2" xfId="396"/>
    <cellStyle name="Standard 2 9 2 2 2" xfId="838"/>
    <cellStyle name="Standard 2 9 2 2 2 2" xfId="2152"/>
    <cellStyle name="Standard 2 9 2 2 3" xfId="1711"/>
    <cellStyle name="Standard 2 9 2 2 4" xfId="1275"/>
    <cellStyle name="Standard 2 9 2 3" xfId="664"/>
    <cellStyle name="Standard 2 9 2 3 2" xfId="1978"/>
    <cellStyle name="Standard 2 9 2 4" xfId="1537"/>
    <cellStyle name="Standard 2 9 2 5" xfId="1101"/>
    <cellStyle name="Standard 2 9 3" xfId="164"/>
    <cellStyle name="Standard 2 9 3 2" xfId="606"/>
    <cellStyle name="Standard 2 9 3 2 2" xfId="1920"/>
    <cellStyle name="Standard 2 9 3 3" xfId="1479"/>
    <cellStyle name="Standard 2 9 3 4" xfId="1043"/>
    <cellStyle name="Standard 2 9 4" xfId="338"/>
    <cellStyle name="Standard 2 9 4 2" xfId="780"/>
    <cellStyle name="Standard 2 9 4 2 2" xfId="2094"/>
    <cellStyle name="Standard 2 9 4 3" xfId="1653"/>
    <cellStyle name="Standard 2 9 4 4" xfId="1217"/>
    <cellStyle name="Standard 2 9 5" xfId="490"/>
    <cellStyle name="Standard 2 9 5 2" xfId="1804"/>
    <cellStyle name="Standard 2 9 6" xfId="1363"/>
    <cellStyle name="Standard 2 9 7" xfId="927"/>
    <cellStyle name="Standard 3" xfId="6"/>
    <cellStyle name="Standard 3 10" xfId="282"/>
    <cellStyle name="Standard 3 10 2" xfId="724"/>
    <cellStyle name="Standard 3 10 2 2" xfId="2038"/>
    <cellStyle name="Standard 3 10 3" xfId="1597"/>
    <cellStyle name="Standard 3 10 4" xfId="1161"/>
    <cellStyle name="Standard 3 11" xfId="458"/>
    <cellStyle name="Standard 3 11 2" xfId="1772"/>
    <cellStyle name="Standard 3 12" xfId="463"/>
    <cellStyle name="Standard 3 12 2" xfId="1777"/>
    <cellStyle name="Standard 3 13" xfId="1336"/>
    <cellStyle name="Standard 3 14" xfId="900"/>
    <cellStyle name="Standard 3 15" xfId="15"/>
    <cellStyle name="Standard 3 2" xfId="19"/>
    <cellStyle name="Standard 3 2 10" xfId="1340"/>
    <cellStyle name="Standard 3 2 11" xfId="904"/>
    <cellStyle name="Standard 3 2 2" xfId="37"/>
    <cellStyle name="Standard 3 2 2 2" xfId="95"/>
    <cellStyle name="Standard 3 2 2 2 2" xfId="269"/>
    <cellStyle name="Standard 3 2 2 2 2 2" xfId="443"/>
    <cellStyle name="Standard 3 2 2 2 2 2 2" xfId="885"/>
    <cellStyle name="Standard 3 2 2 2 2 2 2 2" xfId="2199"/>
    <cellStyle name="Standard 3 2 2 2 2 2 3" xfId="1758"/>
    <cellStyle name="Standard 3 2 2 2 2 2 4" xfId="1322"/>
    <cellStyle name="Standard 3 2 2 2 2 3" xfId="711"/>
    <cellStyle name="Standard 3 2 2 2 2 3 2" xfId="2025"/>
    <cellStyle name="Standard 3 2 2 2 2 4" xfId="1584"/>
    <cellStyle name="Standard 3 2 2 2 2 5" xfId="1148"/>
    <cellStyle name="Standard 3 2 2 2 3" xfId="153"/>
    <cellStyle name="Standard 3 2 2 2 3 2" xfId="595"/>
    <cellStyle name="Standard 3 2 2 2 3 2 2" xfId="1909"/>
    <cellStyle name="Standard 3 2 2 2 3 3" xfId="1468"/>
    <cellStyle name="Standard 3 2 2 2 3 4" xfId="1032"/>
    <cellStyle name="Standard 3 2 2 2 4" xfId="327"/>
    <cellStyle name="Standard 3 2 2 2 4 2" xfId="769"/>
    <cellStyle name="Standard 3 2 2 2 4 2 2" xfId="2083"/>
    <cellStyle name="Standard 3 2 2 2 4 3" xfId="1642"/>
    <cellStyle name="Standard 3 2 2 2 4 4" xfId="1206"/>
    <cellStyle name="Standard 3 2 2 2 5" xfId="537"/>
    <cellStyle name="Standard 3 2 2 2 5 2" xfId="1851"/>
    <cellStyle name="Standard 3 2 2 2 6" xfId="1410"/>
    <cellStyle name="Standard 3 2 2 2 7" xfId="974"/>
    <cellStyle name="Standard 3 2 2 3" xfId="66"/>
    <cellStyle name="Standard 3 2 2 3 2" xfId="240"/>
    <cellStyle name="Standard 3 2 2 3 2 2" xfId="414"/>
    <cellStyle name="Standard 3 2 2 3 2 2 2" xfId="856"/>
    <cellStyle name="Standard 3 2 2 3 2 2 2 2" xfId="2170"/>
    <cellStyle name="Standard 3 2 2 3 2 2 3" xfId="1729"/>
    <cellStyle name="Standard 3 2 2 3 2 2 4" xfId="1293"/>
    <cellStyle name="Standard 3 2 2 3 2 3" xfId="682"/>
    <cellStyle name="Standard 3 2 2 3 2 3 2" xfId="1996"/>
    <cellStyle name="Standard 3 2 2 3 2 4" xfId="1555"/>
    <cellStyle name="Standard 3 2 2 3 2 5" xfId="1119"/>
    <cellStyle name="Standard 3 2 2 3 3" xfId="182"/>
    <cellStyle name="Standard 3 2 2 3 3 2" xfId="624"/>
    <cellStyle name="Standard 3 2 2 3 3 2 2" xfId="1938"/>
    <cellStyle name="Standard 3 2 2 3 3 3" xfId="1497"/>
    <cellStyle name="Standard 3 2 2 3 3 4" xfId="1061"/>
    <cellStyle name="Standard 3 2 2 3 4" xfId="356"/>
    <cellStyle name="Standard 3 2 2 3 4 2" xfId="798"/>
    <cellStyle name="Standard 3 2 2 3 4 2 2" xfId="2112"/>
    <cellStyle name="Standard 3 2 2 3 4 3" xfId="1671"/>
    <cellStyle name="Standard 3 2 2 3 4 4" xfId="1235"/>
    <cellStyle name="Standard 3 2 2 3 5" xfId="508"/>
    <cellStyle name="Standard 3 2 2 3 5 2" xfId="1822"/>
    <cellStyle name="Standard 3 2 2 3 6" xfId="1381"/>
    <cellStyle name="Standard 3 2 2 3 7" xfId="945"/>
    <cellStyle name="Standard 3 2 2 4" xfId="211"/>
    <cellStyle name="Standard 3 2 2 4 2" xfId="385"/>
    <cellStyle name="Standard 3 2 2 4 2 2" xfId="827"/>
    <cellStyle name="Standard 3 2 2 4 2 2 2" xfId="2141"/>
    <cellStyle name="Standard 3 2 2 4 2 3" xfId="1700"/>
    <cellStyle name="Standard 3 2 2 4 2 4" xfId="1264"/>
    <cellStyle name="Standard 3 2 2 4 3" xfId="653"/>
    <cellStyle name="Standard 3 2 2 4 3 2" xfId="1967"/>
    <cellStyle name="Standard 3 2 2 4 4" xfId="1526"/>
    <cellStyle name="Standard 3 2 2 4 5" xfId="1090"/>
    <cellStyle name="Standard 3 2 2 5" xfId="124"/>
    <cellStyle name="Standard 3 2 2 5 2" xfId="566"/>
    <cellStyle name="Standard 3 2 2 5 2 2" xfId="1880"/>
    <cellStyle name="Standard 3 2 2 5 3" xfId="1439"/>
    <cellStyle name="Standard 3 2 2 5 4" xfId="1003"/>
    <cellStyle name="Standard 3 2 2 6" xfId="298"/>
    <cellStyle name="Standard 3 2 2 6 2" xfId="740"/>
    <cellStyle name="Standard 3 2 2 6 2 2" xfId="2054"/>
    <cellStyle name="Standard 3 2 2 6 3" xfId="1613"/>
    <cellStyle name="Standard 3 2 2 6 4" xfId="1177"/>
    <cellStyle name="Standard 3 2 2 7" xfId="479"/>
    <cellStyle name="Standard 3 2 2 7 2" xfId="1793"/>
    <cellStyle name="Standard 3 2 2 8" xfId="1352"/>
    <cellStyle name="Standard 3 2 2 9" xfId="916"/>
    <cellStyle name="Standard 3 2 3" xfId="45"/>
    <cellStyle name="Standard 3 2 3 2" xfId="103"/>
    <cellStyle name="Standard 3 2 3 2 2" xfId="277"/>
    <cellStyle name="Standard 3 2 3 2 2 2" xfId="451"/>
    <cellStyle name="Standard 3 2 3 2 2 2 2" xfId="893"/>
    <cellStyle name="Standard 3 2 3 2 2 2 2 2" xfId="2207"/>
    <cellStyle name="Standard 3 2 3 2 2 2 3" xfId="1766"/>
    <cellStyle name="Standard 3 2 3 2 2 2 4" xfId="1330"/>
    <cellStyle name="Standard 3 2 3 2 2 3" xfId="719"/>
    <cellStyle name="Standard 3 2 3 2 2 3 2" xfId="2033"/>
    <cellStyle name="Standard 3 2 3 2 2 4" xfId="1592"/>
    <cellStyle name="Standard 3 2 3 2 2 5" xfId="1156"/>
    <cellStyle name="Standard 3 2 3 2 3" xfId="161"/>
    <cellStyle name="Standard 3 2 3 2 3 2" xfId="603"/>
    <cellStyle name="Standard 3 2 3 2 3 2 2" xfId="1917"/>
    <cellStyle name="Standard 3 2 3 2 3 3" xfId="1476"/>
    <cellStyle name="Standard 3 2 3 2 3 4" xfId="1040"/>
    <cellStyle name="Standard 3 2 3 2 4" xfId="335"/>
    <cellStyle name="Standard 3 2 3 2 4 2" xfId="777"/>
    <cellStyle name="Standard 3 2 3 2 4 2 2" xfId="2091"/>
    <cellStyle name="Standard 3 2 3 2 4 3" xfId="1650"/>
    <cellStyle name="Standard 3 2 3 2 4 4" xfId="1214"/>
    <cellStyle name="Standard 3 2 3 2 5" xfId="545"/>
    <cellStyle name="Standard 3 2 3 2 5 2" xfId="1859"/>
    <cellStyle name="Standard 3 2 3 2 6" xfId="1418"/>
    <cellStyle name="Standard 3 2 3 2 7" xfId="982"/>
    <cellStyle name="Standard 3 2 3 3" xfId="74"/>
    <cellStyle name="Standard 3 2 3 3 2" xfId="248"/>
    <cellStyle name="Standard 3 2 3 3 2 2" xfId="422"/>
    <cellStyle name="Standard 3 2 3 3 2 2 2" xfId="864"/>
    <cellStyle name="Standard 3 2 3 3 2 2 2 2" xfId="2178"/>
    <cellStyle name="Standard 3 2 3 3 2 2 3" xfId="1737"/>
    <cellStyle name="Standard 3 2 3 3 2 2 4" xfId="1301"/>
    <cellStyle name="Standard 3 2 3 3 2 3" xfId="690"/>
    <cellStyle name="Standard 3 2 3 3 2 3 2" xfId="2004"/>
    <cellStyle name="Standard 3 2 3 3 2 4" xfId="1563"/>
    <cellStyle name="Standard 3 2 3 3 2 5" xfId="1127"/>
    <cellStyle name="Standard 3 2 3 3 3" xfId="190"/>
    <cellStyle name="Standard 3 2 3 3 3 2" xfId="632"/>
    <cellStyle name="Standard 3 2 3 3 3 2 2" xfId="1946"/>
    <cellStyle name="Standard 3 2 3 3 3 3" xfId="1505"/>
    <cellStyle name="Standard 3 2 3 3 3 4" xfId="1069"/>
    <cellStyle name="Standard 3 2 3 3 4" xfId="364"/>
    <cellStyle name="Standard 3 2 3 3 4 2" xfId="806"/>
    <cellStyle name="Standard 3 2 3 3 4 2 2" xfId="2120"/>
    <cellStyle name="Standard 3 2 3 3 4 3" xfId="1679"/>
    <cellStyle name="Standard 3 2 3 3 4 4" xfId="1243"/>
    <cellStyle name="Standard 3 2 3 3 5" xfId="516"/>
    <cellStyle name="Standard 3 2 3 3 5 2" xfId="1830"/>
    <cellStyle name="Standard 3 2 3 3 6" xfId="1389"/>
    <cellStyle name="Standard 3 2 3 3 7" xfId="953"/>
    <cellStyle name="Standard 3 2 3 4" xfId="219"/>
    <cellStyle name="Standard 3 2 3 4 2" xfId="393"/>
    <cellStyle name="Standard 3 2 3 4 2 2" xfId="835"/>
    <cellStyle name="Standard 3 2 3 4 2 2 2" xfId="2149"/>
    <cellStyle name="Standard 3 2 3 4 2 3" xfId="1708"/>
    <cellStyle name="Standard 3 2 3 4 2 4" xfId="1272"/>
    <cellStyle name="Standard 3 2 3 4 3" xfId="661"/>
    <cellStyle name="Standard 3 2 3 4 3 2" xfId="1975"/>
    <cellStyle name="Standard 3 2 3 4 4" xfId="1534"/>
    <cellStyle name="Standard 3 2 3 4 5" xfId="1098"/>
    <cellStyle name="Standard 3 2 3 5" xfId="132"/>
    <cellStyle name="Standard 3 2 3 5 2" xfId="574"/>
    <cellStyle name="Standard 3 2 3 5 2 2" xfId="1888"/>
    <cellStyle name="Standard 3 2 3 5 3" xfId="1447"/>
    <cellStyle name="Standard 3 2 3 5 4" xfId="1011"/>
    <cellStyle name="Standard 3 2 3 6" xfId="306"/>
    <cellStyle name="Standard 3 2 3 6 2" xfId="748"/>
    <cellStyle name="Standard 3 2 3 6 2 2" xfId="2062"/>
    <cellStyle name="Standard 3 2 3 6 3" xfId="1621"/>
    <cellStyle name="Standard 3 2 3 6 4" xfId="1185"/>
    <cellStyle name="Standard 3 2 3 7" xfId="487"/>
    <cellStyle name="Standard 3 2 3 7 2" xfId="1801"/>
    <cellStyle name="Standard 3 2 3 8" xfId="1360"/>
    <cellStyle name="Standard 3 2 3 9" xfId="924"/>
    <cellStyle name="Standard 3 2 4" xfId="83"/>
    <cellStyle name="Standard 3 2 4 2" xfId="257"/>
    <cellStyle name="Standard 3 2 4 2 2" xfId="431"/>
    <cellStyle name="Standard 3 2 4 2 2 2" xfId="873"/>
    <cellStyle name="Standard 3 2 4 2 2 2 2" xfId="2187"/>
    <cellStyle name="Standard 3 2 4 2 2 3" xfId="1746"/>
    <cellStyle name="Standard 3 2 4 2 2 4" xfId="1310"/>
    <cellStyle name="Standard 3 2 4 2 3" xfId="699"/>
    <cellStyle name="Standard 3 2 4 2 3 2" xfId="2013"/>
    <cellStyle name="Standard 3 2 4 2 4" xfId="1572"/>
    <cellStyle name="Standard 3 2 4 2 5" xfId="1136"/>
    <cellStyle name="Standard 3 2 4 3" xfId="141"/>
    <cellStyle name="Standard 3 2 4 3 2" xfId="583"/>
    <cellStyle name="Standard 3 2 4 3 2 2" xfId="1897"/>
    <cellStyle name="Standard 3 2 4 3 3" xfId="1456"/>
    <cellStyle name="Standard 3 2 4 3 4" xfId="1020"/>
    <cellStyle name="Standard 3 2 4 4" xfId="315"/>
    <cellStyle name="Standard 3 2 4 4 2" xfId="757"/>
    <cellStyle name="Standard 3 2 4 4 2 2" xfId="2071"/>
    <cellStyle name="Standard 3 2 4 4 3" xfId="1630"/>
    <cellStyle name="Standard 3 2 4 4 4" xfId="1194"/>
    <cellStyle name="Standard 3 2 4 5" xfId="525"/>
    <cellStyle name="Standard 3 2 4 5 2" xfId="1839"/>
    <cellStyle name="Standard 3 2 4 6" xfId="1398"/>
    <cellStyle name="Standard 3 2 4 7" xfId="962"/>
    <cellStyle name="Standard 3 2 5" xfId="54"/>
    <cellStyle name="Standard 3 2 5 2" xfId="228"/>
    <cellStyle name="Standard 3 2 5 2 2" xfId="402"/>
    <cellStyle name="Standard 3 2 5 2 2 2" xfId="844"/>
    <cellStyle name="Standard 3 2 5 2 2 2 2" xfId="2158"/>
    <cellStyle name="Standard 3 2 5 2 2 3" xfId="1717"/>
    <cellStyle name="Standard 3 2 5 2 2 4" xfId="1281"/>
    <cellStyle name="Standard 3 2 5 2 3" xfId="670"/>
    <cellStyle name="Standard 3 2 5 2 3 2" xfId="1984"/>
    <cellStyle name="Standard 3 2 5 2 4" xfId="1543"/>
    <cellStyle name="Standard 3 2 5 2 5" xfId="1107"/>
    <cellStyle name="Standard 3 2 5 3" xfId="170"/>
    <cellStyle name="Standard 3 2 5 3 2" xfId="612"/>
    <cellStyle name="Standard 3 2 5 3 2 2" xfId="1926"/>
    <cellStyle name="Standard 3 2 5 3 3" xfId="1485"/>
    <cellStyle name="Standard 3 2 5 3 4" xfId="1049"/>
    <cellStyle name="Standard 3 2 5 4" xfId="344"/>
    <cellStyle name="Standard 3 2 5 4 2" xfId="786"/>
    <cellStyle name="Standard 3 2 5 4 2 2" xfId="2100"/>
    <cellStyle name="Standard 3 2 5 4 3" xfId="1659"/>
    <cellStyle name="Standard 3 2 5 4 4" xfId="1223"/>
    <cellStyle name="Standard 3 2 5 5" xfId="496"/>
    <cellStyle name="Standard 3 2 5 5 2" xfId="1810"/>
    <cellStyle name="Standard 3 2 5 6" xfId="1369"/>
    <cellStyle name="Standard 3 2 5 7" xfId="933"/>
    <cellStyle name="Standard 3 2 6" xfId="199"/>
    <cellStyle name="Standard 3 2 6 2" xfId="373"/>
    <cellStyle name="Standard 3 2 6 2 2" xfId="815"/>
    <cellStyle name="Standard 3 2 6 2 2 2" xfId="2129"/>
    <cellStyle name="Standard 3 2 6 2 3" xfId="1688"/>
    <cellStyle name="Standard 3 2 6 2 4" xfId="1252"/>
    <cellStyle name="Standard 3 2 6 3" xfId="641"/>
    <cellStyle name="Standard 3 2 6 3 2" xfId="1955"/>
    <cellStyle name="Standard 3 2 6 4" xfId="1514"/>
    <cellStyle name="Standard 3 2 6 5" xfId="1078"/>
    <cellStyle name="Standard 3 2 7" xfId="112"/>
    <cellStyle name="Standard 3 2 7 2" xfId="554"/>
    <cellStyle name="Standard 3 2 7 2 2" xfId="1868"/>
    <cellStyle name="Standard 3 2 7 3" xfId="1427"/>
    <cellStyle name="Standard 3 2 7 4" xfId="991"/>
    <cellStyle name="Standard 3 2 8" xfId="286"/>
    <cellStyle name="Standard 3 2 8 2" xfId="728"/>
    <cellStyle name="Standard 3 2 8 2 2" xfId="2042"/>
    <cellStyle name="Standard 3 2 8 3" xfId="1601"/>
    <cellStyle name="Standard 3 2 8 4" xfId="1165"/>
    <cellStyle name="Standard 3 2 9" xfId="467"/>
    <cellStyle name="Standard 3 2 9 2" xfId="1781"/>
    <cellStyle name="Standard 3 3" xfId="23"/>
    <cellStyle name="Standard 3 3 2" xfId="87"/>
    <cellStyle name="Standard 3 3 2 2" xfId="261"/>
    <cellStyle name="Standard 3 3 2 2 2" xfId="435"/>
    <cellStyle name="Standard 3 3 2 2 2 2" xfId="877"/>
    <cellStyle name="Standard 3 3 2 2 2 2 2" xfId="2191"/>
    <cellStyle name="Standard 3 3 2 2 2 3" xfId="1750"/>
    <cellStyle name="Standard 3 3 2 2 2 4" xfId="1314"/>
    <cellStyle name="Standard 3 3 2 2 3" xfId="703"/>
    <cellStyle name="Standard 3 3 2 2 3 2" xfId="2017"/>
    <cellStyle name="Standard 3 3 2 2 4" xfId="1576"/>
    <cellStyle name="Standard 3 3 2 2 5" xfId="1140"/>
    <cellStyle name="Standard 3 3 2 3" xfId="145"/>
    <cellStyle name="Standard 3 3 2 3 2" xfId="587"/>
    <cellStyle name="Standard 3 3 2 3 2 2" xfId="1901"/>
    <cellStyle name="Standard 3 3 2 3 3" xfId="1460"/>
    <cellStyle name="Standard 3 3 2 3 4" xfId="1024"/>
    <cellStyle name="Standard 3 3 2 4" xfId="319"/>
    <cellStyle name="Standard 3 3 2 4 2" xfId="761"/>
    <cellStyle name="Standard 3 3 2 4 2 2" xfId="2075"/>
    <cellStyle name="Standard 3 3 2 4 3" xfId="1634"/>
    <cellStyle name="Standard 3 3 2 4 4" xfId="1198"/>
    <cellStyle name="Standard 3 3 2 5" xfId="529"/>
    <cellStyle name="Standard 3 3 2 5 2" xfId="1843"/>
    <cellStyle name="Standard 3 3 2 6" xfId="1402"/>
    <cellStyle name="Standard 3 3 2 7" xfId="966"/>
    <cellStyle name="Standard 3 3 3" xfId="58"/>
    <cellStyle name="Standard 3 3 3 2" xfId="232"/>
    <cellStyle name="Standard 3 3 3 2 2" xfId="406"/>
    <cellStyle name="Standard 3 3 3 2 2 2" xfId="848"/>
    <cellStyle name="Standard 3 3 3 2 2 2 2" xfId="2162"/>
    <cellStyle name="Standard 3 3 3 2 2 3" xfId="1721"/>
    <cellStyle name="Standard 3 3 3 2 2 4" xfId="1285"/>
    <cellStyle name="Standard 3 3 3 2 3" xfId="674"/>
    <cellStyle name="Standard 3 3 3 2 3 2" xfId="1988"/>
    <cellStyle name="Standard 3 3 3 2 4" xfId="1547"/>
    <cellStyle name="Standard 3 3 3 2 5" xfId="1111"/>
    <cellStyle name="Standard 3 3 3 3" xfId="174"/>
    <cellStyle name="Standard 3 3 3 3 2" xfId="616"/>
    <cellStyle name="Standard 3 3 3 3 2 2" xfId="1930"/>
    <cellStyle name="Standard 3 3 3 3 3" xfId="1489"/>
    <cellStyle name="Standard 3 3 3 3 4" xfId="1053"/>
    <cellStyle name="Standard 3 3 3 4" xfId="348"/>
    <cellStyle name="Standard 3 3 3 4 2" xfId="790"/>
    <cellStyle name="Standard 3 3 3 4 2 2" xfId="2104"/>
    <cellStyle name="Standard 3 3 3 4 3" xfId="1663"/>
    <cellStyle name="Standard 3 3 3 4 4" xfId="1227"/>
    <cellStyle name="Standard 3 3 3 5" xfId="500"/>
    <cellStyle name="Standard 3 3 3 5 2" xfId="1814"/>
    <cellStyle name="Standard 3 3 3 6" xfId="1373"/>
    <cellStyle name="Standard 3 3 3 7" xfId="937"/>
    <cellStyle name="Standard 3 3 4" xfId="203"/>
    <cellStyle name="Standard 3 3 4 2" xfId="377"/>
    <cellStyle name="Standard 3 3 4 2 2" xfId="819"/>
    <cellStyle name="Standard 3 3 4 2 2 2" xfId="2133"/>
    <cellStyle name="Standard 3 3 4 2 3" xfId="1692"/>
    <cellStyle name="Standard 3 3 4 2 4" xfId="1256"/>
    <cellStyle name="Standard 3 3 4 3" xfId="645"/>
    <cellStyle name="Standard 3 3 4 3 2" xfId="1959"/>
    <cellStyle name="Standard 3 3 4 4" xfId="1518"/>
    <cellStyle name="Standard 3 3 4 5" xfId="1082"/>
    <cellStyle name="Standard 3 3 5" xfId="116"/>
    <cellStyle name="Standard 3 3 5 2" xfId="558"/>
    <cellStyle name="Standard 3 3 5 2 2" xfId="1872"/>
    <cellStyle name="Standard 3 3 5 3" xfId="1431"/>
    <cellStyle name="Standard 3 3 5 4" xfId="995"/>
    <cellStyle name="Standard 3 3 6" xfId="290"/>
    <cellStyle name="Standard 3 3 6 2" xfId="732"/>
    <cellStyle name="Standard 3 3 6 2 2" xfId="2046"/>
    <cellStyle name="Standard 3 3 6 3" xfId="1605"/>
    <cellStyle name="Standard 3 3 6 4" xfId="1169"/>
    <cellStyle name="Standard 3 3 7" xfId="471"/>
    <cellStyle name="Standard 3 3 7 2" xfId="1785"/>
    <cellStyle name="Standard 3 3 8" xfId="1344"/>
    <cellStyle name="Standard 3 3 9" xfId="908"/>
    <cellStyle name="Standard 3 4" xfId="33"/>
    <cellStyle name="Standard 3 4 2" xfId="91"/>
    <cellStyle name="Standard 3 4 2 2" xfId="265"/>
    <cellStyle name="Standard 3 4 2 2 2" xfId="439"/>
    <cellStyle name="Standard 3 4 2 2 2 2" xfId="881"/>
    <cellStyle name="Standard 3 4 2 2 2 2 2" xfId="2195"/>
    <cellStyle name="Standard 3 4 2 2 2 3" xfId="1754"/>
    <cellStyle name="Standard 3 4 2 2 2 4" xfId="1318"/>
    <cellStyle name="Standard 3 4 2 2 3" xfId="707"/>
    <cellStyle name="Standard 3 4 2 2 3 2" xfId="2021"/>
    <cellStyle name="Standard 3 4 2 2 4" xfId="1580"/>
    <cellStyle name="Standard 3 4 2 2 5" xfId="1144"/>
    <cellStyle name="Standard 3 4 2 3" xfId="149"/>
    <cellStyle name="Standard 3 4 2 3 2" xfId="591"/>
    <cellStyle name="Standard 3 4 2 3 2 2" xfId="1905"/>
    <cellStyle name="Standard 3 4 2 3 3" xfId="1464"/>
    <cellStyle name="Standard 3 4 2 3 4" xfId="1028"/>
    <cellStyle name="Standard 3 4 2 4" xfId="323"/>
    <cellStyle name="Standard 3 4 2 4 2" xfId="765"/>
    <cellStyle name="Standard 3 4 2 4 2 2" xfId="2079"/>
    <cellStyle name="Standard 3 4 2 4 3" xfId="1638"/>
    <cellStyle name="Standard 3 4 2 4 4" xfId="1202"/>
    <cellStyle name="Standard 3 4 2 5" xfId="533"/>
    <cellStyle name="Standard 3 4 2 5 2" xfId="1847"/>
    <cellStyle name="Standard 3 4 2 6" xfId="1406"/>
    <cellStyle name="Standard 3 4 2 7" xfId="970"/>
    <cellStyle name="Standard 3 4 3" xfId="62"/>
    <cellStyle name="Standard 3 4 3 2" xfId="236"/>
    <cellStyle name="Standard 3 4 3 2 2" xfId="410"/>
    <cellStyle name="Standard 3 4 3 2 2 2" xfId="852"/>
    <cellStyle name="Standard 3 4 3 2 2 2 2" xfId="2166"/>
    <cellStyle name="Standard 3 4 3 2 2 3" xfId="1725"/>
    <cellStyle name="Standard 3 4 3 2 2 4" xfId="1289"/>
    <cellStyle name="Standard 3 4 3 2 3" xfId="678"/>
    <cellStyle name="Standard 3 4 3 2 3 2" xfId="1992"/>
    <cellStyle name="Standard 3 4 3 2 4" xfId="1551"/>
    <cellStyle name="Standard 3 4 3 2 5" xfId="1115"/>
    <cellStyle name="Standard 3 4 3 3" xfId="178"/>
    <cellStyle name="Standard 3 4 3 3 2" xfId="620"/>
    <cellStyle name="Standard 3 4 3 3 2 2" xfId="1934"/>
    <cellStyle name="Standard 3 4 3 3 3" xfId="1493"/>
    <cellStyle name="Standard 3 4 3 3 4" xfId="1057"/>
    <cellStyle name="Standard 3 4 3 4" xfId="352"/>
    <cellStyle name="Standard 3 4 3 4 2" xfId="794"/>
    <cellStyle name="Standard 3 4 3 4 2 2" xfId="2108"/>
    <cellStyle name="Standard 3 4 3 4 3" xfId="1667"/>
    <cellStyle name="Standard 3 4 3 4 4" xfId="1231"/>
    <cellStyle name="Standard 3 4 3 5" xfId="504"/>
    <cellStyle name="Standard 3 4 3 5 2" xfId="1818"/>
    <cellStyle name="Standard 3 4 3 6" xfId="1377"/>
    <cellStyle name="Standard 3 4 3 7" xfId="941"/>
    <cellStyle name="Standard 3 4 4" xfId="207"/>
    <cellStyle name="Standard 3 4 4 2" xfId="381"/>
    <cellStyle name="Standard 3 4 4 2 2" xfId="823"/>
    <cellStyle name="Standard 3 4 4 2 2 2" xfId="2137"/>
    <cellStyle name="Standard 3 4 4 2 3" xfId="1696"/>
    <cellStyle name="Standard 3 4 4 2 4" xfId="1260"/>
    <cellStyle name="Standard 3 4 4 3" xfId="649"/>
    <cellStyle name="Standard 3 4 4 3 2" xfId="1963"/>
    <cellStyle name="Standard 3 4 4 4" xfId="1522"/>
    <cellStyle name="Standard 3 4 4 5" xfId="1086"/>
    <cellStyle name="Standard 3 4 5" xfId="120"/>
    <cellStyle name="Standard 3 4 5 2" xfId="562"/>
    <cellStyle name="Standard 3 4 5 2 2" xfId="1876"/>
    <cellStyle name="Standard 3 4 5 3" xfId="1435"/>
    <cellStyle name="Standard 3 4 5 4" xfId="999"/>
    <cellStyle name="Standard 3 4 6" xfId="294"/>
    <cellStyle name="Standard 3 4 6 2" xfId="736"/>
    <cellStyle name="Standard 3 4 6 2 2" xfId="2050"/>
    <cellStyle name="Standard 3 4 6 3" xfId="1609"/>
    <cellStyle name="Standard 3 4 6 4" xfId="1173"/>
    <cellStyle name="Standard 3 4 7" xfId="475"/>
    <cellStyle name="Standard 3 4 7 2" xfId="1789"/>
    <cellStyle name="Standard 3 4 8" xfId="1348"/>
    <cellStyle name="Standard 3 4 9" xfId="912"/>
    <cellStyle name="Standard 3 5" xfId="41"/>
    <cellStyle name="Standard 3 5 2" xfId="99"/>
    <cellStyle name="Standard 3 5 2 2" xfId="273"/>
    <cellStyle name="Standard 3 5 2 2 2" xfId="447"/>
    <cellStyle name="Standard 3 5 2 2 2 2" xfId="889"/>
    <cellStyle name="Standard 3 5 2 2 2 2 2" xfId="2203"/>
    <cellStyle name="Standard 3 5 2 2 2 3" xfId="1762"/>
    <cellStyle name="Standard 3 5 2 2 2 4" xfId="1326"/>
    <cellStyle name="Standard 3 5 2 2 3" xfId="715"/>
    <cellStyle name="Standard 3 5 2 2 3 2" xfId="2029"/>
    <cellStyle name="Standard 3 5 2 2 4" xfId="1588"/>
    <cellStyle name="Standard 3 5 2 2 5" xfId="1152"/>
    <cellStyle name="Standard 3 5 2 3" xfId="157"/>
    <cellStyle name="Standard 3 5 2 3 2" xfId="599"/>
    <cellStyle name="Standard 3 5 2 3 2 2" xfId="1913"/>
    <cellStyle name="Standard 3 5 2 3 3" xfId="1472"/>
    <cellStyle name="Standard 3 5 2 3 4" xfId="1036"/>
    <cellStyle name="Standard 3 5 2 4" xfId="331"/>
    <cellStyle name="Standard 3 5 2 4 2" xfId="773"/>
    <cellStyle name="Standard 3 5 2 4 2 2" xfId="2087"/>
    <cellStyle name="Standard 3 5 2 4 3" xfId="1646"/>
    <cellStyle name="Standard 3 5 2 4 4" xfId="1210"/>
    <cellStyle name="Standard 3 5 2 5" xfId="541"/>
    <cellStyle name="Standard 3 5 2 5 2" xfId="1855"/>
    <cellStyle name="Standard 3 5 2 6" xfId="1414"/>
    <cellStyle name="Standard 3 5 2 7" xfId="978"/>
    <cellStyle name="Standard 3 5 3" xfId="70"/>
    <cellStyle name="Standard 3 5 3 2" xfId="244"/>
    <cellStyle name="Standard 3 5 3 2 2" xfId="418"/>
    <cellStyle name="Standard 3 5 3 2 2 2" xfId="860"/>
    <cellStyle name="Standard 3 5 3 2 2 2 2" xfId="2174"/>
    <cellStyle name="Standard 3 5 3 2 2 3" xfId="1733"/>
    <cellStyle name="Standard 3 5 3 2 2 4" xfId="1297"/>
    <cellStyle name="Standard 3 5 3 2 3" xfId="686"/>
    <cellStyle name="Standard 3 5 3 2 3 2" xfId="2000"/>
    <cellStyle name="Standard 3 5 3 2 4" xfId="1559"/>
    <cellStyle name="Standard 3 5 3 2 5" xfId="1123"/>
    <cellStyle name="Standard 3 5 3 3" xfId="186"/>
    <cellStyle name="Standard 3 5 3 3 2" xfId="628"/>
    <cellStyle name="Standard 3 5 3 3 2 2" xfId="1942"/>
    <cellStyle name="Standard 3 5 3 3 3" xfId="1501"/>
    <cellStyle name="Standard 3 5 3 3 4" xfId="1065"/>
    <cellStyle name="Standard 3 5 3 4" xfId="360"/>
    <cellStyle name="Standard 3 5 3 4 2" xfId="802"/>
    <cellStyle name="Standard 3 5 3 4 2 2" xfId="2116"/>
    <cellStyle name="Standard 3 5 3 4 3" xfId="1675"/>
    <cellStyle name="Standard 3 5 3 4 4" xfId="1239"/>
    <cellStyle name="Standard 3 5 3 5" xfId="512"/>
    <cellStyle name="Standard 3 5 3 5 2" xfId="1826"/>
    <cellStyle name="Standard 3 5 3 6" xfId="1385"/>
    <cellStyle name="Standard 3 5 3 7" xfId="949"/>
    <cellStyle name="Standard 3 5 4" xfId="215"/>
    <cellStyle name="Standard 3 5 4 2" xfId="389"/>
    <cellStyle name="Standard 3 5 4 2 2" xfId="831"/>
    <cellStyle name="Standard 3 5 4 2 2 2" xfId="2145"/>
    <cellStyle name="Standard 3 5 4 2 3" xfId="1704"/>
    <cellStyle name="Standard 3 5 4 2 4" xfId="1268"/>
    <cellStyle name="Standard 3 5 4 3" xfId="657"/>
    <cellStyle name="Standard 3 5 4 3 2" xfId="1971"/>
    <cellStyle name="Standard 3 5 4 4" xfId="1530"/>
    <cellStyle name="Standard 3 5 4 5" xfId="1094"/>
    <cellStyle name="Standard 3 5 5" xfId="128"/>
    <cellStyle name="Standard 3 5 5 2" xfId="570"/>
    <cellStyle name="Standard 3 5 5 2 2" xfId="1884"/>
    <cellStyle name="Standard 3 5 5 3" xfId="1443"/>
    <cellStyle name="Standard 3 5 5 4" xfId="1007"/>
    <cellStyle name="Standard 3 5 6" xfId="302"/>
    <cellStyle name="Standard 3 5 6 2" xfId="744"/>
    <cellStyle name="Standard 3 5 6 2 2" xfId="2058"/>
    <cellStyle name="Standard 3 5 6 3" xfId="1617"/>
    <cellStyle name="Standard 3 5 6 4" xfId="1181"/>
    <cellStyle name="Standard 3 5 7" xfId="483"/>
    <cellStyle name="Standard 3 5 7 2" xfId="1797"/>
    <cellStyle name="Standard 3 5 8" xfId="1356"/>
    <cellStyle name="Standard 3 5 9" xfId="920"/>
    <cellStyle name="Standard 3 6" xfId="79"/>
    <cellStyle name="Standard 3 6 2" xfId="253"/>
    <cellStyle name="Standard 3 6 2 2" xfId="427"/>
    <cellStyle name="Standard 3 6 2 2 2" xfId="869"/>
    <cellStyle name="Standard 3 6 2 2 2 2" xfId="2183"/>
    <cellStyle name="Standard 3 6 2 2 3" xfId="1742"/>
    <cellStyle name="Standard 3 6 2 2 4" xfId="1306"/>
    <cellStyle name="Standard 3 6 2 3" xfId="695"/>
    <cellStyle name="Standard 3 6 2 3 2" xfId="2009"/>
    <cellStyle name="Standard 3 6 2 4" xfId="1568"/>
    <cellStyle name="Standard 3 6 2 5" xfId="1132"/>
    <cellStyle name="Standard 3 6 3" xfId="137"/>
    <cellStyle name="Standard 3 6 3 2" xfId="579"/>
    <cellStyle name="Standard 3 6 3 2 2" xfId="1893"/>
    <cellStyle name="Standard 3 6 3 3" xfId="1452"/>
    <cellStyle name="Standard 3 6 3 4" xfId="1016"/>
    <cellStyle name="Standard 3 6 4" xfId="311"/>
    <cellStyle name="Standard 3 6 4 2" xfId="753"/>
    <cellStyle name="Standard 3 6 4 2 2" xfId="2067"/>
    <cellStyle name="Standard 3 6 4 3" xfId="1626"/>
    <cellStyle name="Standard 3 6 4 4" xfId="1190"/>
    <cellStyle name="Standard 3 6 5" xfId="521"/>
    <cellStyle name="Standard 3 6 5 2" xfId="1835"/>
    <cellStyle name="Standard 3 6 6" xfId="1394"/>
    <cellStyle name="Standard 3 6 7" xfId="958"/>
    <cellStyle name="Standard 3 7" xfId="50"/>
    <cellStyle name="Standard 3 7 2" xfId="224"/>
    <cellStyle name="Standard 3 7 2 2" xfId="398"/>
    <cellStyle name="Standard 3 7 2 2 2" xfId="840"/>
    <cellStyle name="Standard 3 7 2 2 2 2" xfId="2154"/>
    <cellStyle name="Standard 3 7 2 2 3" xfId="1713"/>
    <cellStyle name="Standard 3 7 2 2 4" xfId="1277"/>
    <cellStyle name="Standard 3 7 2 3" xfId="666"/>
    <cellStyle name="Standard 3 7 2 3 2" xfId="1980"/>
    <cellStyle name="Standard 3 7 2 4" xfId="1539"/>
    <cellStyle name="Standard 3 7 2 5" xfId="1103"/>
    <cellStyle name="Standard 3 7 3" xfId="166"/>
    <cellStyle name="Standard 3 7 3 2" xfId="608"/>
    <cellStyle name="Standard 3 7 3 2 2" xfId="1922"/>
    <cellStyle name="Standard 3 7 3 3" xfId="1481"/>
    <cellStyle name="Standard 3 7 3 4" xfId="1045"/>
    <cellStyle name="Standard 3 7 4" xfId="340"/>
    <cellStyle name="Standard 3 7 4 2" xfId="782"/>
    <cellStyle name="Standard 3 7 4 2 2" xfId="2096"/>
    <cellStyle name="Standard 3 7 4 3" xfId="1655"/>
    <cellStyle name="Standard 3 7 4 4" xfId="1219"/>
    <cellStyle name="Standard 3 7 5" xfId="492"/>
    <cellStyle name="Standard 3 7 5 2" xfId="1806"/>
    <cellStyle name="Standard 3 7 6" xfId="1365"/>
    <cellStyle name="Standard 3 7 7" xfId="929"/>
    <cellStyle name="Standard 3 8" xfId="195"/>
    <cellStyle name="Standard 3 8 2" xfId="369"/>
    <cellStyle name="Standard 3 8 2 2" xfId="811"/>
    <cellStyle name="Standard 3 8 2 2 2" xfId="2125"/>
    <cellStyle name="Standard 3 8 2 3" xfId="1684"/>
    <cellStyle name="Standard 3 8 2 4" xfId="1248"/>
    <cellStyle name="Standard 3 8 3" xfId="637"/>
    <cellStyle name="Standard 3 8 3 2" xfId="1951"/>
    <cellStyle name="Standard 3 8 4" xfId="1510"/>
    <cellStyle name="Standard 3 8 5" xfId="1074"/>
    <cellStyle name="Standard 3 9" xfId="108"/>
    <cellStyle name="Standard 3 9 2" xfId="550"/>
    <cellStyle name="Standard 3 9 2 2" xfId="1864"/>
    <cellStyle name="Standard 3 9 3" xfId="1423"/>
    <cellStyle name="Standard 3 9 4" xfId="987"/>
    <cellStyle name="Standard 4" xfId="1"/>
    <cellStyle name="Standard 4 10" xfId="279"/>
    <cellStyle name="Standard 4 10 2" xfId="721"/>
    <cellStyle name="Standard 4 10 2 2" xfId="2035"/>
    <cellStyle name="Standard 4 10 3" xfId="1594"/>
    <cellStyle name="Standard 4 10 4" xfId="1158"/>
    <cellStyle name="Standard 4 11" xfId="459"/>
    <cellStyle name="Standard 4 11 2" xfId="1773"/>
    <cellStyle name="Standard 4 12" xfId="460"/>
    <cellStyle name="Standard 4 12 2" xfId="1774"/>
    <cellStyle name="Standard 4 13" xfId="1333"/>
    <cellStyle name="Standard 4 14" xfId="897"/>
    <cellStyle name="Standard 4 15" xfId="12"/>
    <cellStyle name="Standard 4 16" xfId="2217"/>
    <cellStyle name="Standard 4 2" xfId="9"/>
    <cellStyle name="Standard 4 2 10" xfId="464"/>
    <cellStyle name="Standard 4 2 10 2" xfId="1778"/>
    <cellStyle name="Standard 4 2 11" xfId="1337"/>
    <cellStyle name="Standard 4 2 12" xfId="901"/>
    <cellStyle name="Standard 4 2 13" xfId="16"/>
    <cellStyle name="Standard 4 2 2" xfId="11"/>
    <cellStyle name="Standard 4 2 2 10" xfId="24"/>
    <cellStyle name="Standard 4 2 2 2" xfId="88"/>
    <cellStyle name="Standard 4 2 2 2 2" xfId="262"/>
    <cellStyle name="Standard 4 2 2 2 2 2" xfId="436"/>
    <cellStyle name="Standard 4 2 2 2 2 2 2" xfId="878"/>
    <cellStyle name="Standard 4 2 2 2 2 2 2 2" xfId="2192"/>
    <cellStyle name="Standard 4 2 2 2 2 2 3" xfId="1751"/>
    <cellStyle name="Standard 4 2 2 2 2 2 4" xfId="1315"/>
    <cellStyle name="Standard 4 2 2 2 2 3" xfId="704"/>
    <cellStyle name="Standard 4 2 2 2 2 3 2" xfId="2018"/>
    <cellStyle name="Standard 4 2 2 2 2 4" xfId="1577"/>
    <cellStyle name="Standard 4 2 2 2 2 5" xfId="1141"/>
    <cellStyle name="Standard 4 2 2 2 3" xfId="146"/>
    <cellStyle name="Standard 4 2 2 2 3 2" xfId="588"/>
    <cellStyle name="Standard 4 2 2 2 3 2 2" xfId="1902"/>
    <cellStyle name="Standard 4 2 2 2 3 3" xfId="1461"/>
    <cellStyle name="Standard 4 2 2 2 3 4" xfId="1025"/>
    <cellStyle name="Standard 4 2 2 2 4" xfId="320"/>
    <cellStyle name="Standard 4 2 2 2 4 2" xfId="762"/>
    <cellStyle name="Standard 4 2 2 2 4 2 2" xfId="2076"/>
    <cellStyle name="Standard 4 2 2 2 4 3" xfId="1635"/>
    <cellStyle name="Standard 4 2 2 2 4 4" xfId="1199"/>
    <cellStyle name="Standard 4 2 2 2 5" xfId="530"/>
    <cellStyle name="Standard 4 2 2 2 5 2" xfId="1844"/>
    <cellStyle name="Standard 4 2 2 2 6" xfId="1403"/>
    <cellStyle name="Standard 4 2 2 2 7" xfId="967"/>
    <cellStyle name="Standard 4 2 2 3" xfId="59"/>
    <cellStyle name="Standard 4 2 2 3 2" xfId="233"/>
    <cellStyle name="Standard 4 2 2 3 2 2" xfId="407"/>
    <cellStyle name="Standard 4 2 2 3 2 2 2" xfId="849"/>
    <cellStyle name="Standard 4 2 2 3 2 2 2 2" xfId="2163"/>
    <cellStyle name="Standard 4 2 2 3 2 2 3" xfId="1722"/>
    <cellStyle name="Standard 4 2 2 3 2 2 4" xfId="1286"/>
    <cellStyle name="Standard 4 2 2 3 2 3" xfId="675"/>
    <cellStyle name="Standard 4 2 2 3 2 3 2" xfId="1989"/>
    <cellStyle name="Standard 4 2 2 3 2 4" xfId="1548"/>
    <cellStyle name="Standard 4 2 2 3 2 5" xfId="1112"/>
    <cellStyle name="Standard 4 2 2 3 3" xfId="175"/>
    <cellStyle name="Standard 4 2 2 3 3 2" xfId="617"/>
    <cellStyle name="Standard 4 2 2 3 3 2 2" xfId="1931"/>
    <cellStyle name="Standard 4 2 2 3 3 3" xfId="1490"/>
    <cellStyle name="Standard 4 2 2 3 3 4" xfId="1054"/>
    <cellStyle name="Standard 4 2 2 3 4" xfId="349"/>
    <cellStyle name="Standard 4 2 2 3 4 2" xfId="791"/>
    <cellStyle name="Standard 4 2 2 3 4 2 2" xfId="2105"/>
    <cellStyle name="Standard 4 2 2 3 4 3" xfId="1664"/>
    <cellStyle name="Standard 4 2 2 3 4 4" xfId="1228"/>
    <cellStyle name="Standard 4 2 2 3 5" xfId="501"/>
    <cellStyle name="Standard 4 2 2 3 5 2" xfId="1815"/>
    <cellStyle name="Standard 4 2 2 3 6" xfId="1374"/>
    <cellStyle name="Standard 4 2 2 3 7" xfId="938"/>
    <cellStyle name="Standard 4 2 2 4" xfId="204"/>
    <cellStyle name="Standard 4 2 2 4 2" xfId="378"/>
    <cellStyle name="Standard 4 2 2 4 2 2" xfId="820"/>
    <cellStyle name="Standard 4 2 2 4 2 2 2" xfId="2134"/>
    <cellStyle name="Standard 4 2 2 4 2 3" xfId="1693"/>
    <cellStyle name="Standard 4 2 2 4 2 4" xfId="1257"/>
    <cellStyle name="Standard 4 2 2 4 3" xfId="646"/>
    <cellStyle name="Standard 4 2 2 4 3 2" xfId="1960"/>
    <cellStyle name="Standard 4 2 2 4 4" xfId="1519"/>
    <cellStyle name="Standard 4 2 2 4 5" xfId="1083"/>
    <cellStyle name="Standard 4 2 2 5" xfId="117"/>
    <cellStyle name="Standard 4 2 2 5 2" xfId="559"/>
    <cellStyle name="Standard 4 2 2 5 2 2" xfId="1873"/>
    <cellStyle name="Standard 4 2 2 5 3" xfId="1432"/>
    <cellStyle name="Standard 4 2 2 5 4" xfId="996"/>
    <cellStyle name="Standard 4 2 2 6" xfId="291"/>
    <cellStyle name="Standard 4 2 2 6 2" xfId="733"/>
    <cellStyle name="Standard 4 2 2 6 2 2" xfId="2047"/>
    <cellStyle name="Standard 4 2 2 6 3" xfId="1606"/>
    <cellStyle name="Standard 4 2 2 6 4" xfId="1170"/>
    <cellStyle name="Standard 4 2 2 7" xfId="472"/>
    <cellStyle name="Standard 4 2 2 7 2" xfId="1786"/>
    <cellStyle name="Standard 4 2 2 8" xfId="1345"/>
    <cellStyle name="Standard 4 2 2 9" xfId="909"/>
    <cellStyle name="Standard 4 2 3" xfId="38"/>
    <cellStyle name="Standard 4 2 3 2" xfId="96"/>
    <cellStyle name="Standard 4 2 3 2 2" xfId="270"/>
    <cellStyle name="Standard 4 2 3 2 2 2" xfId="444"/>
    <cellStyle name="Standard 4 2 3 2 2 2 2" xfId="886"/>
    <cellStyle name="Standard 4 2 3 2 2 2 2 2" xfId="2200"/>
    <cellStyle name="Standard 4 2 3 2 2 2 3" xfId="1759"/>
    <cellStyle name="Standard 4 2 3 2 2 2 4" xfId="1323"/>
    <cellStyle name="Standard 4 2 3 2 2 3" xfId="712"/>
    <cellStyle name="Standard 4 2 3 2 2 3 2" xfId="2026"/>
    <cellStyle name="Standard 4 2 3 2 2 4" xfId="1585"/>
    <cellStyle name="Standard 4 2 3 2 2 5" xfId="1149"/>
    <cellStyle name="Standard 4 2 3 2 3" xfId="154"/>
    <cellStyle name="Standard 4 2 3 2 3 2" xfId="596"/>
    <cellStyle name="Standard 4 2 3 2 3 2 2" xfId="1910"/>
    <cellStyle name="Standard 4 2 3 2 3 3" xfId="1469"/>
    <cellStyle name="Standard 4 2 3 2 3 4" xfId="1033"/>
    <cellStyle name="Standard 4 2 3 2 4" xfId="328"/>
    <cellStyle name="Standard 4 2 3 2 4 2" xfId="770"/>
    <cellStyle name="Standard 4 2 3 2 4 2 2" xfId="2084"/>
    <cellStyle name="Standard 4 2 3 2 4 3" xfId="1643"/>
    <cellStyle name="Standard 4 2 3 2 4 4" xfId="1207"/>
    <cellStyle name="Standard 4 2 3 2 5" xfId="538"/>
    <cellStyle name="Standard 4 2 3 2 5 2" xfId="1852"/>
    <cellStyle name="Standard 4 2 3 2 6" xfId="1411"/>
    <cellStyle name="Standard 4 2 3 2 7" xfId="975"/>
    <cellStyle name="Standard 4 2 3 3" xfId="67"/>
    <cellStyle name="Standard 4 2 3 3 2" xfId="241"/>
    <cellStyle name="Standard 4 2 3 3 2 2" xfId="415"/>
    <cellStyle name="Standard 4 2 3 3 2 2 2" xfId="857"/>
    <cellStyle name="Standard 4 2 3 3 2 2 2 2" xfId="2171"/>
    <cellStyle name="Standard 4 2 3 3 2 2 3" xfId="1730"/>
    <cellStyle name="Standard 4 2 3 3 2 2 4" xfId="1294"/>
    <cellStyle name="Standard 4 2 3 3 2 3" xfId="683"/>
    <cellStyle name="Standard 4 2 3 3 2 3 2" xfId="1997"/>
    <cellStyle name="Standard 4 2 3 3 2 4" xfId="1556"/>
    <cellStyle name="Standard 4 2 3 3 2 5" xfId="1120"/>
    <cellStyle name="Standard 4 2 3 3 3" xfId="183"/>
    <cellStyle name="Standard 4 2 3 3 3 2" xfId="625"/>
    <cellStyle name="Standard 4 2 3 3 3 2 2" xfId="1939"/>
    <cellStyle name="Standard 4 2 3 3 3 3" xfId="1498"/>
    <cellStyle name="Standard 4 2 3 3 3 4" xfId="1062"/>
    <cellStyle name="Standard 4 2 3 3 4" xfId="357"/>
    <cellStyle name="Standard 4 2 3 3 4 2" xfId="799"/>
    <cellStyle name="Standard 4 2 3 3 4 2 2" xfId="2113"/>
    <cellStyle name="Standard 4 2 3 3 4 3" xfId="1672"/>
    <cellStyle name="Standard 4 2 3 3 4 4" xfId="1236"/>
    <cellStyle name="Standard 4 2 3 3 5" xfId="509"/>
    <cellStyle name="Standard 4 2 3 3 5 2" xfId="1823"/>
    <cellStyle name="Standard 4 2 3 3 6" xfId="1382"/>
    <cellStyle name="Standard 4 2 3 3 7" xfId="946"/>
    <cellStyle name="Standard 4 2 3 4" xfId="212"/>
    <cellStyle name="Standard 4 2 3 4 2" xfId="386"/>
    <cellStyle name="Standard 4 2 3 4 2 2" xfId="828"/>
    <cellStyle name="Standard 4 2 3 4 2 2 2" xfId="2142"/>
    <cellStyle name="Standard 4 2 3 4 2 3" xfId="1701"/>
    <cellStyle name="Standard 4 2 3 4 2 4" xfId="1265"/>
    <cellStyle name="Standard 4 2 3 4 3" xfId="654"/>
    <cellStyle name="Standard 4 2 3 4 3 2" xfId="1968"/>
    <cellStyle name="Standard 4 2 3 4 4" xfId="1527"/>
    <cellStyle name="Standard 4 2 3 4 5" xfId="1091"/>
    <cellStyle name="Standard 4 2 3 5" xfId="125"/>
    <cellStyle name="Standard 4 2 3 5 2" xfId="567"/>
    <cellStyle name="Standard 4 2 3 5 2 2" xfId="1881"/>
    <cellStyle name="Standard 4 2 3 5 3" xfId="1440"/>
    <cellStyle name="Standard 4 2 3 5 4" xfId="1004"/>
    <cellStyle name="Standard 4 2 3 6" xfId="299"/>
    <cellStyle name="Standard 4 2 3 6 2" xfId="741"/>
    <cellStyle name="Standard 4 2 3 6 2 2" xfId="2055"/>
    <cellStyle name="Standard 4 2 3 6 3" xfId="1614"/>
    <cellStyle name="Standard 4 2 3 6 4" xfId="1178"/>
    <cellStyle name="Standard 4 2 3 7" xfId="480"/>
    <cellStyle name="Standard 4 2 3 7 2" xfId="1794"/>
    <cellStyle name="Standard 4 2 3 8" xfId="1353"/>
    <cellStyle name="Standard 4 2 3 9" xfId="917"/>
    <cellStyle name="Standard 4 2 4" xfId="46"/>
    <cellStyle name="Standard 4 2 4 2" xfId="104"/>
    <cellStyle name="Standard 4 2 4 2 2" xfId="278"/>
    <cellStyle name="Standard 4 2 4 2 2 2" xfId="452"/>
    <cellStyle name="Standard 4 2 4 2 2 2 2" xfId="894"/>
    <cellStyle name="Standard 4 2 4 2 2 2 2 2" xfId="2208"/>
    <cellStyle name="Standard 4 2 4 2 2 2 3" xfId="1767"/>
    <cellStyle name="Standard 4 2 4 2 2 2 4" xfId="1331"/>
    <cellStyle name="Standard 4 2 4 2 2 3" xfId="720"/>
    <cellStyle name="Standard 4 2 4 2 2 3 2" xfId="2034"/>
    <cellStyle name="Standard 4 2 4 2 2 4" xfId="1593"/>
    <cellStyle name="Standard 4 2 4 2 2 5" xfId="1157"/>
    <cellStyle name="Standard 4 2 4 2 3" xfId="162"/>
    <cellStyle name="Standard 4 2 4 2 3 2" xfId="604"/>
    <cellStyle name="Standard 4 2 4 2 3 2 2" xfId="1918"/>
    <cellStyle name="Standard 4 2 4 2 3 3" xfId="1477"/>
    <cellStyle name="Standard 4 2 4 2 3 4" xfId="1041"/>
    <cellStyle name="Standard 4 2 4 2 4" xfId="336"/>
    <cellStyle name="Standard 4 2 4 2 4 2" xfId="778"/>
    <cellStyle name="Standard 4 2 4 2 4 2 2" xfId="2092"/>
    <cellStyle name="Standard 4 2 4 2 4 3" xfId="1651"/>
    <cellStyle name="Standard 4 2 4 2 4 4" xfId="1215"/>
    <cellStyle name="Standard 4 2 4 2 5" xfId="546"/>
    <cellStyle name="Standard 4 2 4 2 5 2" xfId="1860"/>
    <cellStyle name="Standard 4 2 4 2 6" xfId="1419"/>
    <cellStyle name="Standard 4 2 4 2 7" xfId="983"/>
    <cellStyle name="Standard 4 2 4 3" xfId="75"/>
    <cellStyle name="Standard 4 2 4 3 2" xfId="249"/>
    <cellStyle name="Standard 4 2 4 3 2 2" xfId="423"/>
    <cellStyle name="Standard 4 2 4 3 2 2 2" xfId="865"/>
    <cellStyle name="Standard 4 2 4 3 2 2 2 2" xfId="2179"/>
    <cellStyle name="Standard 4 2 4 3 2 2 3" xfId="1738"/>
    <cellStyle name="Standard 4 2 4 3 2 2 4" xfId="1302"/>
    <cellStyle name="Standard 4 2 4 3 2 3" xfId="691"/>
    <cellStyle name="Standard 4 2 4 3 2 3 2" xfId="2005"/>
    <cellStyle name="Standard 4 2 4 3 2 4" xfId="1564"/>
    <cellStyle name="Standard 4 2 4 3 2 5" xfId="1128"/>
    <cellStyle name="Standard 4 2 4 3 3" xfId="191"/>
    <cellStyle name="Standard 4 2 4 3 3 2" xfId="633"/>
    <cellStyle name="Standard 4 2 4 3 3 2 2" xfId="1947"/>
    <cellStyle name="Standard 4 2 4 3 3 3" xfId="1506"/>
    <cellStyle name="Standard 4 2 4 3 3 4" xfId="1070"/>
    <cellStyle name="Standard 4 2 4 3 4" xfId="365"/>
    <cellStyle name="Standard 4 2 4 3 4 2" xfId="807"/>
    <cellStyle name="Standard 4 2 4 3 4 2 2" xfId="2121"/>
    <cellStyle name="Standard 4 2 4 3 4 3" xfId="1680"/>
    <cellStyle name="Standard 4 2 4 3 4 4" xfId="1244"/>
    <cellStyle name="Standard 4 2 4 3 5" xfId="517"/>
    <cellStyle name="Standard 4 2 4 3 5 2" xfId="1831"/>
    <cellStyle name="Standard 4 2 4 3 6" xfId="1390"/>
    <cellStyle name="Standard 4 2 4 3 7" xfId="954"/>
    <cellStyle name="Standard 4 2 4 4" xfId="220"/>
    <cellStyle name="Standard 4 2 4 4 2" xfId="394"/>
    <cellStyle name="Standard 4 2 4 4 2 2" xfId="836"/>
    <cellStyle name="Standard 4 2 4 4 2 2 2" xfId="2150"/>
    <cellStyle name="Standard 4 2 4 4 2 3" xfId="1709"/>
    <cellStyle name="Standard 4 2 4 4 2 4" xfId="1273"/>
    <cellStyle name="Standard 4 2 4 4 3" xfId="662"/>
    <cellStyle name="Standard 4 2 4 4 3 2" xfId="1976"/>
    <cellStyle name="Standard 4 2 4 4 4" xfId="1535"/>
    <cellStyle name="Standard 4 2 4 4 5" xfId="1099"/>
    <cellStyle name="Standard 4 2 4 5" xfId="133"/>
    <cellStyle name="Standard 4 2 4 5 2" xfId="575"/>
    <cellStyle name="Standard 4 2 4 5 2 2" xfId="1889"/>
    <cellStyle name="Standard 4 2 4 5 3" xfId="1448"/>
    <cellStyle name="Standard 4 2 4 5 4" xfId="1012"/>
    <cellStyle name="Standard 4 2 4 6" xfId="307"/>
    <cellStyle name="Standard 4 2 4 6 2" xfId="749"/>
    <cellStyle name="Standard 4 2 4 6 2 2" xfId="2063"/>
    <cellStyle name="Standard 4 2 4 6 3" xfId="1622"/>
    <cellStyle name="Standard 4 2 4 6 4" xfId="1186"/>
    <cellStyle name="Standard 4 2 4 7" xfId="488"/>
    <cellStyle name="Standard 4 2 4 7 2" xfId="1802"/>
    <cellStyle name="Standard 4 2 4 8" xfId="1361"/>
    <cellStyle name="Standard 4 2 4 9" xfId="925"/>
    <cellStyle name="Standard 4 2 5" xfId="80"/>
    <cellStyle name="Standard 4 2 5 2" xfId="254"/>
    <cellStyle name="Standard 4 2 5 2 2" xfId="428"/>
    <cellStyle name="Standard 4 2 5 2 2 2" xfId="870"/>
    <cellStyle name="Standard 4 2 5 2 2 2 2" xfId="2184"/>
    <cellStyle name="Standard 4 2 5 2 2 3" xfId="1743"/>
    <cellStyle name="Standard 4 2 5 2 2 4" xfId="1307"/>
    <cellStyle name="Standard 4 2 5 2 3" xfId="696"/>
    <cellStyle name="Standard 4 2 5 2 3 2" xfId="2010"/>
    <cellStyle name="Standard 4 2 5 2 4" xfId="1569"/>
    <cellStyle name="Standard 4 2 5 2 5" xfId="1133"/>
    <cellStyle name="Standard 4 2 5 3" xfId="138"/>
    <cellStyle name="Standard 4 2 5 3 2" xfId="580"/>
    <cellStyle name="Standard 4 2 5 3 2 2" xfId="1894"/>
    <cellStyle name="Standard 4 2 5 3 3" xfId="1453"/>
    <cellStyle name="Standard 4 2 5 3 4" xfId="1017"/>
    <cellStyle name="Standard 4 2 5 4" xfId="312"/>
    <cellStyle name="Standard 4 2 5 4 2" xfId="754"/>
    <cellStyle name="Standard 4 2 5 4 2 2" xfId="2068"/>
    <cellStyle name="Standard 4 2 5 4 3" xfId="1627"/>
    <cellStyle name="Standard 4 2 5 4 4" xfId="1191"/>
    <cellStyle name="Standard 4 2 5 5" xfId="522"/>
    <cellStyle name="Standard 4 2 5 5 2" xfId="1836"/>
    <cellStyle name="Standard 4 2 5 6" xfId="1395"/>
    <cellStyle name="Standard 4 2 5 7" xfId="959"/>
    <cellStyle name="Standard 4 2 6" xfId="51"/>
    <cellStyle name="Standard 4 2 6 2" xfId="225"/>
    <cellStyle name="Standard 4 2 6 2 2" xfId="399"/>
    <cellStyle name="Standard 4 2 6 2 2 2" xfId="841"/>
    <cellStyle name="Standard 4 2 6 2 2 2 2" xfId="2155"/>
    <cellStyle name="Standard 4 2 6 2 2 3" xfId="1714"/>
    <cellStyle name="Standard 4 2 6 2 2 4" xfId="1278"/>
    <cellStyle name="Standard 4 2 6 2 3" xfId="667"/>
    <cellStyle name="Standard 4 2 6 2 3 2" xfId="1981"/>
    <cellStyle name="Standard 4 2 6 2 4" xfId="1540"/>
    <cellStyle name="Standard 4 2 6 2 5" xfId="1104"/>
    <cellStyle name="Standard 4 2 6 3" xfId="167"/>
    <cellStyle name="Standard 4 2 6 3 2" xfId="609"/>
    <cellStyle name="Standard 4 2 6 3 2 2" xfId="1923"/>
    <cellStyle name="Standard 4 2 6 3 3" xfId="1482"/>
    <cellStyle name="Standard 4 2 6 3 4" xfId="1046"/>
    <cellStyle name="Standard 4 2 6 4" xfId="341"/>
    <cellStyle name="Standard 4 2 6 4 2" xfId="783"/>
    <cellStyle name="Standard 4 2 6 4 2 2" xfId="2097"/>
    <cellStyle name="Standard 4 2 6 4 3" xfId="1656"/>
    <cellStyle name="Standard 4 2 6 4 4" xfId="1220"/>
    <cellStyle name="Standard 4 2 6 5" xfId="493"/>
    <cellStyle name="Standard 4 2 6 5 2" xfId="1807"/>
    <cellStyle name="Standard 4 2 6 6" xfId="1366"/>
    <cellStyle name="Standard 4 2 6 7" xfId="930"/>
    <cellStyle name="Standard 4 2 7" xfId="196"/>
    <cellStyle name="Standard 4 2 7 2" xfId="370"/>
    <cellStyle name="Standard 4 2 7 2 2" xfId="812"/>
    <cellStyle name="Standard 4 2 7 2 2 2" xfId="2126"/>
    <cellStyle name="Standard 4 2 7 2 3" xfId="1685"/>
    <cellStyle name="Standard 4 2 7 2 4" xfId="1249"/>
    <cellStyle name="Standard 4 2 7 3" xfId="638"/>
    <cellStyle name="Standard 4 2 7 3 2" xfId="1952"/>
    <cellStyle name="Standard 4 2 7 4" xfId="1511"/>
    <cellStyle name="Standard 4 2 7 5" xfId="1075"/>
    <cellStyle name="Standard 4 2 8" xfId="109"/>
    <cellStyle name="Standard 4 2 8 2" xfId="551"/>
    <cellStyle name="Standard 4 2 8 2 2" xfId="1865"/>
    <cellStyle name="Standard 4 2 8 3" xfId="1424"/>
    <cellStyle name="Standard 4 2 8 4" xfId="988"/>
    <cellStyle name="Standard 4 2 9" xfId="283"/>
    <cellStyle name="Standard 4 2 9 2" xfId="725"/>
    <cellStyle name="Standard 4 2 9 2 2" xfId="2039"/>
    <cellStyle name="Standard 4 2 9 3" xfId="1598"/>
    <cellStyle name="Standard 4 2 9 4" xfId="1162"/>
    <cellStyle name="Standard 4 3" xfId="10"/>
    <cellStyle name="Standard 4 3 10" xfId="20"/>
    <cellStyle name="Standard 4 3 2" xfId="84"/>
    <cellStyle name="Standard 4 3 2 2" xfId="258"/>
    <cellStyle name="Standard 4 3 2 2 2" xfId="432"/>
    <cellStyle name="Standard 4 3 2 2 2 2" xfId="874"/>
    <cellStyle name="Standard 4 3 2 2 2 2 2" xfId="2188"/>
    <cellStyle name="Standard 4 3 2 2 2 3" xfId="1747"/>
    <cellStyle name="Standard 4 3 2 2 2 4" xfId="1311"/>
    <cellStyle name="Standard 4 3 2 2 3" xfId="700"/>
    <cellStyle name="Standard 4 3 2 2 3 2" xfId="2014"/>
    <cellStyle name="Standard 4 3 2 2 4" xfId="1573"/>
    <cellStyle name="Standard 4 3 2 2 5" xfId="1137"/>
    <cellStyle name="Standard 4 3 2 3" xfId="142"/>
    <cellStyle name="Standard 4 3 2 3 2" xfId="584"/>
    <cellStyle name="Standard 4 3 2 3 2 2" xfId="1898"/>
    <cellStyle name="Standard 4 3 2 3 3" xfId="1457"/>
    <cellStyle name="Standard 4 3 2 3 4" xfId="1021"/>
    <cellStyle name="Standard 4 3 2 4" xfId="316"/>
    <cellStyle name="Standard 4 3 2 4 2" xfId="758"/>
    <cellStyle name="Standard 4 3 2 4 2 2" xfId="2072"/>
    <cellStyle name="Standard 4 3 2 4 3" xfId="1631"/>
    <cellStyle name="Standard 4 3 2 4 4" xfId="1195"/>
    <cellStyle name="Standard 4 3 2 5" xfId="526"/>
    <cellStyle name="Standard 4 3 2 5 2" xfId="1840"/>
    <cellStyle name="Standard 4 3 2 6" xfId="1399"/>
    <cellStyle name="Standard 4 3 2 7" xfId="963"/>
    <cellStyle name="Standard 4 3 3" xfId="55"/>
    <cellStyle name="Standard 4 3 3 2" xfId="229"/>
    <cellStyle name="Standard 4 3 3 2 2" xfId="403"/>
    <cellStyle name="Standard 4 3 3 2 2 2" xfId="845"/>
    <cellStyle name="Standard 4 3 3 2 2 2 2" xfId="2159"/>
    <cellStyle name="Standard 4 3 3 2 2 3" xfId="1718"/>
    <cellStyle name="Standard 4 3 3 2 2 4" xfId="1282"/>
    <cellStyle name="Standard 4 3 3 2 3" xfId="671"/>
    <cellStyle name="Standard 4 3 3 2 3 2" xfId="1985"/>
    <cellStyle name="Standard 4 3 3 2 4" xfId="1544"/>
    <cellStyle name="Standard 4 3 3 2 5" xfId="1108"/>
    <cellStyle name="Standard 4 3 3 3" xfId="171"/>
    <cellStyle name="Standard 4 3 3 3 2" xfId="613"/>
    <cellStyle name="Standard 4 3 3 3 2 2" xfId="1927"/>
    <cellStyle name="Standard 4 3 3 3 3" xfId="1486"/>
    <cellStyle name="Standard 4 3 3 3 4" xfId="1050"/>
    <cellStyle name="Standard 4 3 3 4" xfId="345"/>
    <cellStyle name="Standard 4 3 3 4 2" xfId="787"/>
    <cellStyle name="Standard 4 3 3 4 2 2" xfId="2101"/>
    <cellStyle name="Standard 4 3 3 4 3" xfId="1660"/>
    <cellStyle name="Standard 4 3 3 4 4" xfId="1224"/>
    <cellStyle name="Standard 4 3 3 5" xfId="497"/>
    <cellStyle name="Standard 4 3 3 5 2" xfId="1811"/>
    <cellStyle name="Standard 4 3 3 6" xfId="1370"/>
    <cellStyle name="Standard 4 3 3 7" xfId="934"/>
    <cellStyle name="Standard 4 3 4" xfId="200"/>
    <cellStyle name="Standard 4 3 4 2" xfId="374"/>
    <cellStyle name="Standard 4 3 4 2 2" xfId="816"/>
    <cellStyle name="Standard 4 3 4 2 2 2" xfId="2130"/>
    <cellStyle name="Standard 4 3 4 2 3" xfId="1689"/>
    <cellStyle name="Standard 4 3 4 2 4" xfId="1253"/>
    <cellStyle name="Standard 4 3 4 3" xfId="642"/>
    <cellStyle name="Standard 4 3 4 3 2" xfId="1956"/>
    <cellStyle name="Standard 4 3 4 4" xfId="1515"/>
    <cellStyle name="Standard 4 3 4 5" xfId="1079"/>
    <cellStyle name="Standard 4 3 5" xfId="113"/>
    <cellStyle name="Standard 4 3 5 2" xfId="555"/>
    <cellStyle name="Standard 4 3 5 2 2" xfId="1869"/>
    <cellStyle name="Standard 4 3 5 3" xfId="1428"/>
    <cellStyle name="Standard 4 3 5 4" xfId="992"/>
    <cellStyle name="Standard 4 3 6" xfId="287"/>
    <cellStyle name="Standard 4 3 6 2" xfId="729"/>
    <cellStyle name="Standard 4 3 6 2 2" xfId="2043"/>
    <cellStyle name="Standard 4 3 6 3" xfId="1602"/>
    <cellStyle name="Standard 4 3 6 4" xfId="1166"/>
    <cellStyle name="Standard 4 3 7" xfId="468"/>
    <cellStyle name="Standard 4 3 7 2" xfId="1782"/>
    <cellStyle name="Standard 4 3 8" xfId="1341"/>
    <cellStyle name="Standard 4 3 9" xfId="905"/>
    <cellStyle name="Standard 4 4" xfId="34"/>
    <cellStyle name="Standard 4 4 2" xfId="92"/>
    <cellStyle name="Standard 4 4 2 2" xfId="266"/>
    <cellStyle name="Standard 4 4 2 2 2" xfId="440"/>
    <cellStyle name="Standard 4 4 2 2 2 2" xfId="882"/>
    <cellStyle name="Standard 4 4 2 2 2 2 2" xfId="2196"/>
    <cellStyle name="Standard 4 4 2 2 2 3" xfId="1755"/>
    <cellStyle name="Standard 4 4 2 2 2 4" xfId="1319"/>
    <cellStyle name="Standard 4 4 2 2 3" xfId="708"/>
    <cellStyle name="Standard 4 4 2 2 3 2" xfId="2022"/>
    <cellStyle name="Standard 4 4 2 2 4" xfId="1581"/>
    <cellStyle name="Standard 4 4 2 2 5" xfId="1145"/>
    <cellStyle name="Standard 4 4 2 3" xfId="150"/>
    <cellStyle name="Standard 4 4 2 3 2" xfId="592"/>
    <cellStyle name="Standard 4 4 2 3 2 2" xfId="1906"/>
    <cellStyle name="Standard 4 4 2 3 3" xfId="1465"/>
    <cellStyle name="Standard 4 4 2 3 4" xfId="1029"/>
    <cellStyle name="Standard 4 4 2 4" xfId="324"/>
    <cellStyle name="Standard 4 4 2 4 2" xfId="766"/>
    <cellStyle name="Standard 4 4 2 4 2 2" xfId="2080"/>
    <cellStyle name="Standard 4 4 2 4 3" xfId="1639"/>
    <cellStyle name="Standard 4 4 2 4 4" xfId="1203"/>
    <cellStyle name="Standard 4 4 2 5" xfId="534"/>
    <cellStyle name="Standard 4 4 2 5 2" xfId="1848"/>
    <cellStyle name="Standard 4 4 2 6" xfId="1407"/>
    <cellStyle name="Standard 4 4 2 7" xfId="971"/>
    <cellStyle name="Standard 4 4 3" xfId="63"/>
    <cellStyle name="Standard 4 4 3 2" xfId="237"/>
    <cellStyle name="Standard 4 4 3 2 2" xfId="411"/>
    <cellStyle name="Standard 4 4 3 2 2 2" xfId="853"/>
    <cellStyle name="Standard 4 4 3 2 2 2 2" xfId="2167"/>
    <cellStyle name="Standard 4 4 3 2 2 3" xfId="1726"/>
    <cellStyle name="Standard 4 4 3 2 2 4" xfId="1290"/>
    <cellStyle name="Standard 4 4 3 2 3" xfId="679"/>
    <cellStyle name="Standard 4 4 3 2 3 2" xfId="1993"/>
    <cellStyle name="Standard 4 4 3 2 4" xfId="1552"/>
    <cellStyle name="Standard 4 4 3 2 5" xfId="1116"/>
    <cellStyle name="Standard 4 4 3 3" xfId="179"/>
    <cellStyle name="Standard 4 4 3 3 2" xfId="621"/>
    <cellStyle name="Standard 4 4 3 3 2 2" xfId="1935"/>
    <cellStyle name="Standard 4 4 3 3 3" xfId="1494"/>
    <cellStyle name="Standard 4 4 3 3 4" xfId="1058"/>
    <cellStyle name="Standard 4 4 3 4" xfId="353"/>
    <cellStyle name="Standard 4 4 3 4 2" xfId="795"/>
    <cellStyle name="Standard 4 4 3 4 2 2" xfId="2109"/>
    <cellStyle name="Standard 4 4 3 4 3" xfId="1668"/>
    <cellStyle name="Standard 4 4 3 4 4" xfId="1232"/>
    <cellStyle name="Standard 4 4 3 5" xfId="505"/>
    <cellStyle name="Standard 4 4 3 5 2" xfId="1819"/>
    <cellStyle name="Standard 4 4 3 6" xfId="1378"/>
    <cellStyle name="Standard 4 4 3 7" xfId="942"/>
    <cellStyle name="Standard 4 4 4" xfId="208"/>
    <cellStyle name="Standard 4 4 4 2" xfId="382"/>
    <cellStyle name="Standard 4 4 4 2 2" xfId="824"/>
    <cellStyle name="Standard 4 4 4 2 2 2" xfId="2138"/>
    <cellStyle name="Standard 4 4 4 2 3" xfId="1697"/>
    <cellStyle name="Standard 4 4 4 2 4" xfId="1261"/>
    <cellStyle name="Standard 4 4 4 3" xfId="650"/>
    <cellStyle name="Standard 4 4 4 3 2" xfId="1964"/>
    <cellStyle name="Standard 4 4 4 4" xfId="1523"/>
    <cellStyle name="Standard 4 4 4 5" xfId="1087"/>
    <cellStyle name="Standard 4 4 5" xfId="121"/>
    <cellStyle name="Standard 4 4 5 2" xfId="563"/>
    <cellStyle name="Standard 4 4 5 2 2" xfId="1877"/>
    <cellStyle name="Standard 4 4 5 3" xfId="1436"/>
    <cellStyle name="Standard 4 4 5 4" xfId="1000"/>
    <cellStyle name="Standard 4 4 6" xfId="295"/>
    <cellStyle name="Standard 4 4 6 2" xfId="737"/>
    <cellStyle name="Standard 4 4 6 2 2" xfId="2051"/>
    <cellStyle name="Standard 4 4 6 3" xfId="1610"/>
    <cellStyle name="Standard 4 4 6 4" xfId="1174"/>
    <cellStyle name="Standard 4 4 7" xfId="476"/>
    <cellStyle name="Standard 4 4 7 2" xfId="1790"/>
    <cellStyle name="Standard 4 4 8" xfId="1349"/>
    <cellStyle name="Standard 4 4 9" xfId="913"/>
    <cellStyle name="Standard 4 5" xfId="42"/>
    <cellStyle name="Standard 4 5 2" xfId="100"/>
    <cellStyle name="Standard 4 5 2 2" xfId="274"/>
    <cellStyle name="Standard 4 5 2 2 2" xfId="448"/>
    <cellStyle name="Standard 4 5 2 2 2 2" xfId="890"/>
    <cellStyle name="Standard 4 5 2 2 2 2 2" xfId="2204"/>
    <cellStyle name="Standard 4 5 2 2 2 3" xfId="1763"/>
    <cellStyle name="Standard 4 5 2 2 2 4" xfId="1327"/>
    <cellStyle name="Standard 4 5 2 2 3" xfId="716"/>
    <cellStyle name="Standard 4 5 2 2 3 2" xfId="2030"/>
    <cellStyle name="Standard 4 5 2 2 4" xfId="1589"/>
    <cellStyle name="Standard 4 5 2 2 5" xfId="1153"/>
    <cellStyle name="Standard 4 5 2 3" xfId="158"/>
    <cellStyle name="Standard 4 5 2 3 2" xfId="600"/>
    <cellStyle name="Standard 4 5 2 3 2 2" xfId="1914"/>
    <cellStyle name="Standard 4 5 2 3 3" xfId="1473"/>
    <cellStyle name="Standard 4 5 2 3 4" xfId="1037"/>
    <cellStyle name="Standard 4 5 2 4" xfId="332"/>
    <cellStyle name="Standard 4 5 2 4 2" xfId="774"/>
    <cellStyle name="Standard 4 5 2 4 2 2" xfId="2088"/>
    <cellStyle name="Standard 4 5 2 4 3" xfId="1647"/>
    <cellStyle name="Standard 4 5 2 4 4" xfId="1211"/>
    <cellStyle name="Standard 4 5 2 5" xfId="542"/>
    <cellStyle name="Standard 4 5 2 5 2" xfId="1856"/>
    <cellStyle name="Standard 4 5 2 6" xfId="1415"/>
    <cellStyle name="Standard 4 5 2 7" xfId="979"/>
    <cellStyle name="Standard 4 5 3" xfId="71"/>
    <cellStyle name="Standard 4 5 3 2" xfId="245"/>
    <cellStyle name="Standard 4 5 3 2 2" xfId="419"/>
    <cellStyle name="Standard 4 5 3 2 2 2" xfId="861"/>
    <cellStyle name="Standard 4 5 3 2 2 2 2" xfId="2175"/>
    <cellStyle name="Standard 4 5 3 2 2 3" xfId="1734"/>
    <cellStyle name="Standard 4 5 3 2 2 4" xfId="1298"/>
    <cellStyle name="Standard 4 5 3 2 3" xfId="687"/>
    <cellStyle name="Standard 4 5 3 2 3 2" xfId="2001"/>
    <cellStyle name="Standard 4 5 3 2 4" xfId="1560"/>
    <cellStyle name="Standard 4 5 3 2 5" xfId="1124"/>
    <cellStyle name="Standard 4 5 3 3" xfId="187"/>
    <cellStyle name="Standard 4 5 3 3 2" xfId="629"/>
    <cellStyle name="Standard 4 5 3 3 2 2" xfId="1943"/>
    <cellStyle name="Standard 4 5 3 3 3" xfId="1502"/>
    <cellStyle name="Standard 4 5 3 3 4" xfId="1066"/>
    <cellStyle name="Standard 4 5 3 4" xfId="361"/>
    <cellStyle name="Standard 4 5 3 4 2" xfId="803"/>
    <cellStyle name="Standard 4 5 3 4 2 2" xfId="2117"/>
    <cellStyle name="Standard 4 5 3 4 3" xfId="1676"/>
    <cellStyle name="Standard 4 5 3 4 4" xfId="1240"/>
    <cellStyle name="Standard 4 5 3 5" xfId="513"/>
    <cellStyle name="Standard 4 5 3 5 2" xfId="1827"/>
    <cellStyle name="Standard 4 5 3 6" xfId="1386"/>
    <cellStyle name="Standard 4 5 3 7" xfId="950"/>
    <cellStyle name="Standard 4 5 4" xfId="216"/>
    <cellStyle name="Standard 4 5 4 2" xfId="390"/>
    <cellStyle name="Standard 4 5 4 2 2" xfId="832"/>
    <cellStyle name="Standard 4 5 4 2 2 2" xfId="2146"/>
    <cellStyle name="Standard 4 5 4 2 3" xfId="1705"/>
    <cellStyle name="Standard 4 5 4 2 4" xfId="1269"/>
    <cellStyle name="Standard 4 5 4 3" xfId="658"/>
    <cellStyle name="Standard 4 5 4 3 2" xfId="1972"/>
    <cellStyle name="Standard 4 5 4 4" xfId="1531"/>
    <cellStyle name="Standard 4 5 4 5" xfId="1095"/>
    <cellStyle name="Standard 4 5 5" xfId="129"/>
    <cellStyle name="Standard 4 5 5 2" xfId="571"/>
    <cellStyle name="Standard 4 5 5 2 2" xfId="1885"/>
    <cellStyle name="Standard 4 5 5 3" xfId="1444"/>
    <cellStyle name="Standard 4 5 5 4" xfId="1008"/>
    <cellStyle name="Standard 4 5 6" xfId="303"/>
    <cellStyle name="Standard 4 5 6 2" xfId="745"/>
    <cellStyle name="Standard 4 5 6 2 2" xfId="2059"/>
    <cellStyle name="Standard 4 5 6 3" xfId="1618"/>
    <cellStyle name="Standard 4 5 6 4" xfId="1182"/>
    <cellStyle name="Standard 4 5 7" xfId="484"/>
    <cellStyle name="Standard 4 5 7 2" xfId="1798"/>
    <cellStyle name="Standard 4 5 8" xfId="1357"/>
    <cellStyle name="Standard 4 5 9" xfId="921"/>
    <cellStyle name="Standard 4 6" xfId="76"/>
    <cellStyle name="Standard 4 6 2" xfId="250"/>
    <cellStyle name="Standard 4 6 2 2" xfId="424"/>
    <cellStyle name="Standard 4 6 2 2 2" xfId="866"/>
    <cellStyle name="Standard 4 6 2 2 2 2" xfId="2180"/>
    <cellStyle name="Standard 4 6 2 2 3" xfId="1739"/>
    <cellStyle name="Standard 4 6 2 2 4" xfId="1303"/>
    <cellStyle name="Standard 4 6 2 3" xfId="692"/>
    <cellStyle name="Standard 4 6 2 3 2" xfId="2006"/>
    <cellStyle name="Standard 4 6 2 4" xfId="1565"/>
    <cellStyle name="Standard 4 6 2 5" xfId="1129"/>
    <cellStyle name="Standard 4 6 3" xfId="134"/>
    <cellStyle name="Standard 4 6 3 2" xfId="576"/>
    <cellStyle name="Standard 4 6 3 2 2" xfId="1890"/>
    <cellStyle name="Standard 4 6 3 3" xfId="1449"/>
    <cellStyle name="Standard 4 6 3 4" xfId="1013"/>
    <cellStyle name="Standard 4 6 4" xfId="308"/>
    <cellStyle name="Standard 4 6 4 2" xfId="750"/>
    <cellStyle name="Standard 4 6 4 2 2" xfId="2064"/>
    <cellStyle name="Standard 4 6 4 3" xfId="1623"/>
    <cellStyle name="Standard 4 6 4 4" xfId="1187"/>
    <cellStyle name="Standard 4 6 5" xfId="518"/>
    <cellStyle name="Standard 4 6 5 2" xfId="1832"/>
    <cellStyle name="Standard 4 6 6" xfId="1391"/>
    <cellStyle name="Standard 4 6 7" xfId="955"/>
    <cellStyle name="Standard 4 7" xfId="47"/>
    <cellStyle name="Standard 4 7 2" xfId="221"/>
    <cellStyle name="Standard 4 7 2 2" xfId="395"/>
    <cellStyle name="Standard 4 7 2 2 2" xfId="837"/>
    <cellStyle name="Standard 4 7 2 2 2 2" xfId="2151"/>
    <cellStyle name="Standard 4 7 2 2 3" xfId="1710"/>
    <cellStyle name="Standard 4 7 2 2 4" xfId="1274"/>
    <cellStyle name="Standard 4 7 2 3" xfId="663"/>
    <cellStyle name="Standard 4 7 2 3 2" xfId="1977"/>
    <cellStyle name="Standard 4 7 2 4" xfId="1536"/>
    <cellStyle name="Standard 4 7 2 5" xfId="1100"/>
    <cellStyle name="Standard 4 7 3" xfId="163"/>
    <cellStyle name="Standard 4 7 3 2" xfId="605"/>
    <cellStyle name="Standard 4 7 3 2 2" xfId="1919"/>
    <cellStyle name="Standard 4 7 3 3" xfId="1478"/>
    <cellStyle name="Standard 4 7 3 4" xfId="1042"/>
    <cellStyle name="Standard 4 7 4" xfId="337"/>
    <cellStyle name="Standard 4 7 4 2" xfId="779"/>
    <cellStyle name="Standard 4 7 4 2 2" xfId="2093"/>
    <cellStyle name="Standard 4 7 4 3" xfId="1652"/>
    <cellStyle name="Standard 4 7 4 4" xfId="1216"/>
    <cellStyle name="Standard 4 7 5" xfId="489"/>
    <cellStyle name="Standard 4 7 5 2" xfId="1803"/>
    <cellStyle name="Standard 4 7 6" xfId="1362"/>
    <cellStyle name="Standard 4 7 7" xfId="926"/>
    <cellStyle name="Standard 4 8" xfId="192"/>
    <cellStyle name="Standard 4 8 2" xfId="366"/>
    <cellStyle name="Standard 4 8 2 2" xfId="808"/>
    <cellStyle name="Standard 4 8 2 2 2" xfId="2122"/>
    <cellStyle name="Standard 4 8 2 3" xfId="1681"/>
    <cellStyle name="Standard 4 8 2 4" xfId="1245"/>
    <cellStyle name="Standard 4 8 3" xfId="634"/>
    <cellStyle name="Standard 4 8 3 2" xfId="1948"/>
    <cellStyle name="Standard 4 8 4" xfId="1507"/>
    <cellStyle name="Standard 4 8 5" xfId="1071"/>
    <cellStyle name="Standard 4 9" xfId="105"/>
    <cellStyle name="Standard 4 9 2" xfId="547"/>
    <cellStyle name="Standard 4 9 2 2" xfId="1861"/>
    <cellStyle name="Standard 4 9 3" xfId="1420"/>
    <cellStyle name="Standard 4 9 4" xfId="984"/>
    <cellStyle name="Standard 5" xfId="453"/>
    <cellStyle name="Standard 5 2" xfId="895"/>
    <cellStyle name="Standard 5 2 2" xfId="2209"/>
    <cellStyle name="Standard 5 3" xfId="1768"/>
    <cellStyle name="Standard 5 4" xfId="1332"/>
    <cellStyle name="Standard 6" xfId="454"/>
    <cellStyle name="Standard 6 2" xfId="896"/>
    <cellStyle name="Standard 6 2 2" xfId="2210"/>
    <cellStyle name="Standard 6 3" xfId="1769"/>
    <cellStyle name="Standard_Albert Schweitzer Betreuungsstunden 2014" xfId="2215"/>
    <cellStyle name="Stil 1" xfId="7"/>
    <cellStyle name="Stil 2" xfId="8"/>
    <cellStyle name="Währung" xfId="2212" builtinId="4"/>
    <cellStyle name="Zelle überprüfen 2" xfId="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90"/>
  <sheetViews>
    <sheetView showGridLines="0" tabSelected="1" view="pageLayout" zoomScaleNormal="100" workbookViewId="0">
      <selection activeCell="C4" sqref="C4"/>
    </sheetView>
  </sheetViews>
  <sheetFormatPr baseColWidth="10" defaultColWidth="11.42578125" defaultRowHeight="15" x14ac:dyDescent="0.25"/>
  <cols>
    <col min="1" max="1" width="6" style="205" customWidth="1"/>
    <col min="2" max="2" width="35.5703125" style="211" customWidth="1"/>
    <col min="3" max="4" width="16.42578125" style="206" customWidth="1"/>
    <col min="5" max="5" width="16.42578125" style="205" customWidth="1"/>
    <col min="6" max="6" width="3.42578125" style="205" customWidth="1"/>
    <col min="7" max="7" width="38.5703125" style="205" hidden="1" customWidth="1"/>
    <col min="8" max="8" width="27.5703125" style="203" customWidth="1"/>
    <col min="9" max="9" width="11.42578125" style="204"/>
    <col min="10" max="14" width="11.42578125" style="203"/>
    <col min="15" max="15" width="4.85546875" style="203" customWidth="1"/>
    <col min="16" max="16384" width="11.42578125" style="205"/>
  </cols>
  <sheetData>
    <row r="1" spans="1:7" ht="9.75" customHeight="1" x14ac:dyDescent="0.2">
      <c r="A1" s="924" t="s">
        <v>11</v>
      </c>
      <c r="B1" s="924"/>
      <c r="C1" s="924"/>
      <c r="D1" s="924"/>
      <c r="E1" s="202"/>
      <c r="F1" s="202"/>
      <c r="G1" s="202"/>
    </row>
    <row r="2" spans="1:7" ht="12.75" customHeight="1" x14ac:dyDescent="0.2">
      <c r="A2" s="924" t="s">
        <v>278</v>
      </c>
      <c r="B2" s="924"/>
      <c r="C2" s="924"/>
      <c r="D2" s="924"/>
    </row>
    <row r="3" spans="1:7" x14ac:dyDescent="0.25">
      <c r="A3" s="911" t="s">
        <v>279</v>
      </c>
      <c r="B3" s="911"/>
    </row>
    <row r="4" spans="1:7" x14ac:dyDescent="0.2">
      <c r="B4" s="207" t="s">
        <v>280</v>
      </c>
      <c r="C4" s="208">
        <v>2022</v>
      </c>
      <c r="D4" s="209" t="s">
        <v>281</v>
      </c>
      <c r="E4" s="210"/>
    </row>
    <row r="5" spans="1:7" x14ac:dyDescent="0.25">
      <c r="D5" s="925"/>
      <c r="E5" s="925"/>
    </row>
    <row r="6" spans="1:7" ht="22.5" customHeight="1" x14ac:dyDescent="0.2">
      <c r="B6" s="212" t="s">
        <v>18</v>
      </c>
      <c r="C6" s="921"/>
      <c r="D6" s="920"/>
      <c r="E6" s="920"/>
    </row>
    <row r="7" spans="1:7" ht="22.5" customHeight="1" x14ac:dyDescent="0.2">
      <c r="B7" s="212" t="s">
        <v>282</v>
      </c>
      <c r="C7" s="921"/>
      <c r="D7" s="920"/>
      <c r="E7" s="920"/>
    </row>
    <row r="8" spans="1:7" x14ac:dyDescent="0.25">
      <c r="B8" s="212"/>
      <c r="C8" s="213"/>
      <c r="D8" s="214"/>
      <c r="E8" s="214"/>
    </row>
    <row r="9" spans="1:7" ht="22.5" customHeight="1" x14ac:dyDescent="0.2">
      <c r="B9" s="212" t="s">
        <v>17</v>
      </c>
      <c r="C9" s="919"/>
      <c r="D9" s="920"/>
      <c r="E9" s="920"/>
    </row>
    <row r="10" spans="1:7" ht="22.5" customHeight="1" x14ac:dyDescent="0.2">
      <c r="B10" s="212" t="s">
        <v>282</v>
      </c>
      <c r="C10" s="919"/>
      <c r="D10" s="920"/>
      <c r="E10" s="920"/>
    </row>
    <row r="12" spans="1:7" x14ac:dyDescent="0.25">
      <c r="A12" s="911" t="s">
        <v>283</v>
      </c>
      <c r="B12" s="911"/>
    </row>
    <row r="13" spans="1:7" ht="22.5" customHeight="1" x14ac:dyDescent="0.2">
      <c r="B13" s="212" t="s">
        <v>16</v>
      </c>
      <c r="C13" s="921"/>
      <c r="D13" s="920"/>
      <c r="E13" s="920"/>
    </row>
    <row r="14" spans="1:7" ht="22.5" customHeight="1" x14ac:dyDescent="0.2">
      <c r="B14" s="212" t="s">
        <v>284</v>
      </c>
      <c r="C14" s="907"/>
      <c r="D14" s="209" t="s">
        <v>285</v>
      </c>
      <c r="E14" s="210"/>
    </row>
    <row r="16" spans="1:7" x14ac:dyDescent="0.25">
      <c r="A16" s="911" t="s">
        <v>286</v>
      </c>
      <c r="B16" s="911"/>
      <c r="C16" s="215"/>
      <c r="D16" s="216"/>
      <c r="E16" s="217"/>
    </row>
    <row r="17" spans="1:6" x14ac:dyDescent="0.25">
      <c r="A17" s="218"/>
      <c r="B17" s="218"/>
      <c r="C17" s="219"/>
      <c r="D17" s="220"/>
      <c r="E17" s="221"/>
    </row>
    <row r="18" spans="1:6" ht="22.5" customHeight="1" x14ac:dyDescent="0.2">
      <c r="B18" s="212" t="s">
        <v>287</v>
      </c>
      <c r="C18" s="222"/>
      <c r="D18" s="223"/>
      <c r="E18" s="224"/>
    </row>
    <row r="19" spans="1:6" ht="22.5" customHeight="1" x14ac:dyDescent="0.2">
      <c r="B19" s="212" t="s">
        <v>288</v>
      </c>
      <c r="C19" s="222"/>
      <c r="D19" s="223"/>
      <c r="E19" s="224"/>
    </row>
    <row r="20" spans="1:6" ht="22.5" customHeight="1" x14ac:dyDescent="0.2">
      <c r="B20" s="212" t="s">
        <v>289</v>
      </c>
      <c r="C20" s="222"/>
      <c r="D20" s="223"/>
      <c r="E20" s="224"/>
    </row>
    <row r="21" spans="1:6" ht="22.5" customHeight="1" thickBot="1" x14ac:dyDescent="0.3">
      <c r="B21" s="225" t="s">
        <v>290</v>
      </c>
      <c r="C21" s="226" t="str">
        <f>IF(SUM(C18:C20)=0,"",SUM(C18:C20))</f>
        <v/>
      </c>
      <c r="D21" s="227"/>
      <c r="E21" s="228"/>
    </row>
    <row r="22" spans="1:6" ht="15.75" thickTop="1" x14ac:dyDescent="0.25"/>
    <row r="23" spans="1:6" x14ac:dyDescent="0.25">
      <c r="A23" s="911" t="s">
        <v>291</v>
      </c>
      <c r="B23" s="911"/>
      <c r="C23" s="215"/>
      <c r="D23" s="229"/>
      <c r="E23" s="230"/>
    </row>
    <row r="24" spans="1:6" ht="22.5" customHeight="1" x14ac:dyDescent="0.2">
      <c r="B24" s="212" t="s">
        <v>292</v>
      </c>
      <c r="C24" s="231"/>
      <c r="D24" s="232"/>
      <c r="E24" s="233"/>
    </row>
    <row r="25" spans="1:6" ht="22.5" customHeight="1" x14ac:dyDescent="0.2">
      <c r="B25" s="212" t="s">
        <v>293</v>
      </c>
      <c r="C25" s="234"/>
      <c r="D25" s="209" t="s">
        <v>294</v>
      </c>
      <c r="E25" s="233"/>
    </row>
    <row r="26" spans="1:6" ht="22.5" customHeight="1" x14ac:dyDescent="0.2">
      <c r="B26" s="212" t="s">
        <v>295</v>
      </c>
      <c r="C26" s="922"/>
      <c r="D26" s="923"/>
      <c r="E26" s="923"/>
      <c r="F26" s="923"/>
    </row>
    <row r="27" spans="1:6" ht="22.5" customHeight="1" x14ac:dyDescent="0.2">
      <c r="B27" s="212"/>
      <c r="C27" s="923"/>
      <c r="D27" s="923"/>
      <c r="E27" s="923"/>
      <c r="F27" s="923"/>
    </row>
    <row r="28" spans="1:6" x14ac:dyDescent="0.25">
      <c r="B28" s="235"/>
      <c r="C28" s="215"/>
      <c r="D28" s="229"/>
      <c r="E28" s="230"/>
    </row>
    <row r="29" spans="1:6" x14ac:dyDescent="0.25">
      <c r="A29" s="911" t="s">
        <v>296</v>
      </c>
      <c r="B29" s="911"/>
      <c r="C29" s="205"/>
      <c r="D29" s="205"/>
    </row>
    <row r="30" spans="1:6" ht="22.5" customHeight="1" x14ac:dyDescent="0.2">
      <c r="B30" s="212" t="s">
        <v>297</v>
      </c>
      <c r="C30" s="222"/>
      <c r="D30" s="232"/>
      <c r="E30" s="233"/>
    </row>
    <row r="31" spans="1:6" ht="22.5" customHeight="1" x14ac:dyDescent="0.2">
      <c r="B31" s="212" t="s">
        <v>298</v>
      </c>
      <c r="C31" s="236"/>
      <c r="D31" s="237"/>
      <c r="E31" s="233"/>
    </row>
    <row r="32" spans="1:6" ht="22.5" customHeight="1" x14ac:dyDescent="0.2">
      <c r="B32" s="212" t="s">
        <v>299</v>
      </c>
      <c r="C32" s="236"/>
      <c r="D32" s="237"/>
      <c r="E32" s="233"/>
    </row>
    <row r="33" spans="1:6" ht="22.5" customHeight="1" x14ac:dyDescent="0.2">
      <c r="B33" s="212" t="s">
        <v>300</v>
      </c>
      <c r="C33" s="236"/>
      <c r="D33" s="237"/>
      <c r="E33" s="233"/>
    </row>
    <row r="34" spans="1:6" ht="22.5" customHeight="1" x14ac:dyDescent="0.2">
      <c r="B34" s="238" t="s">
        <v>301</v>
      </c>
      <c r="C34" s="222"/>
      <c r="D34" s="209" t="s">
        <v>302</v>
      </c>
      <c r="E34" s="233"/>
    </row>
    <row r="35" spans="1:6" ht="22.5" customHeight="1" x14ac:dyDescent="0.2">
      <c r="B35" s="212" t="s">
        <v>295</v>
      </c>
      <c r="C35" s="922"/>
      <c r="D35" s="923"/>
      <c r="E35" s="923"/>
      <c r="F35" s="923"/>
    </row>
    <row r="36" spans="1:6" ht="22.5" customHeight="1" x14ac:dyDescent="0.2">
      <c r="B36" s="212"/>
      <c r="C36" s="923"/>
      <c r="D36" s="923"/>
      <c r="E36" s="923"/>
      <c r="F36" s="923"/>
    </row>
    <row r="37" spans="1:6" x14ac:dyDescent="0.25">
      <c r="B37" s="239"/>
      <c r="C37" s="240"/>
      <c r="D37" s="240"/>
      <c r="E37" s="240"/>
    </row>
    <row r="38" spans="1:6" x14ac:dyDescent="0.25">
      <c r="A38" s="911" t="s">
        <v>303</v>
      </c>
      <c r="B38" s="911"/>
      <c r="D38" s="241"/>
    </row>
    <row r="39" spans="1:6" x14ac:dyDescent="0.25">
      <c r="A39" s="913" t="s">
        <v>304</v>
      </c>
      <c r="B39" s="913"/>
      <c r="D39" s="242"/>
    </row>
    <row r="40" spans="1:6" x14ac:dyDescent="0.25">
      <c r="B40" s="207" t="s">
        <v>287</v>
      </c>
      <c r="C40" s="243">
        <f>Belegung!$N$13</f>
        <v>0</v>
      </c>
      <c r="D40" s="242"/>
    </row>
    <row r="41" spans="1:6" ht="14.25" x14ac:dyDescent="0.2">
      <c r="B41" s="207" t="s">
        <v>288</v>
      </c>
      <c r="C41" s="243">
        <f>Belegung!$N$23</f>
        <v>0</v>
      </c>
    </row>
    <row r="42" spans="1:6" ht="14.25" x14ac:dyDescent="0.2">
      <c r="B42" s="207" t="s">
        <v>289</v>
      </c>
      <c r="C42" s="243">
        <f>Belegung!$N$33</f>
        <v>0</v>
      </c>
    </row>
    <row r="43" spans="1:6" ht="15.75" thickBot="1" x14ac:dyDescent="0.3">
      <c r="B43" s="239" t="s">
        <v>290</v>
      </c>
      <c r="C43" s="244">
        <f>SUM(C40:C42)</f>
        <v>0</v>
      </c>
      <c r="F43" s="245" t="str">
        <f>IF(E50="Leitungsfreistellung:","h","")</f>
        <v/>
      </c>
    </row>
    <row r="44" spans="1:6" ht="15.75" thickTop="1" x14ac:dyDescent="0.25">
      <c r="A44" s="913" t="s">
        <v>305</v>
      </c>
      <c r="B44" s="913"/>
      <c r="D44" s="242"/>
    </row>
    <row r="45" spans="1:6" ht="14.25" x14ac:dyDescent="0.2">
      <c r="B45" s="246" t="s">
        <v>306</v>
      </c>
    </row>
    <row r="46" spans="1:6" ht="14.25" x14ac:dyDescent="0.2">
      <c r="B46" s="207" t="s">
        <v>287</v>
      </c>
      <c r="C46" s="243">
        <f>Belegung!$N$73</f>
        <v>0</v>
      </c>
    </row>
    <row r="47" spans="1:6" ht="14.25" x14ac:dyDescent="0.2">
      <c r="B47" s="207" t="s">
        <v>288</v>
      </c>
      <c r="C47" s="243">
        <f>Belegung!$N$85</f>
        <v>0</v>
      </c>
    </row>
    <row r="48" spans="1:6" ht="14.25" x14ac:dyDescent="0.2">
      <c r="B48" s="207" t="s">
        <v>289</v>
      </c>
      <c r="C48" s="243">
        <f>Belegung!$N$99</f>
        <v>0</v>
      </c>
    </row>
    <row r="49" spans="1:15" ht="15.75" thickBot="1" x14ac:dyDescent="0.3">
      <c r="B49" s="239" t="s">
        <v>290</v>
      </c>
      <c r="C49" s="244">
        <f>SUM(C46:C48)</f>
        <v>0</v>
      </c>
    </row>
    <row r="50" spans="1:15" thickTop="1" x14ac:dyDescent="0.2">
      <c r="B50" s="246" t="s">
        <v>307</v>
      </c>
      <c r="E50" s="247"/>
    </row>
    <row r="51" spans="1:15" ht="14.25" x14ac:dyDescent="0.2">
      <c r="B51" s="207" t="s">
        <v>287</v>
      </c>
      <c r="C51" s="243">
        <f>Belegung!$N$74</f>
        <v>0</v>
      </c>
      <c r="E51" s="248"/>
    </row>
    <row r="52" spans="1:15" ht="14.25" x14ac:dyDescent="0.2">
      <c r="B52" s="207" t="s">
        <v>288</v>
      </c>
      <c r="C52" s="243">
        <f>Belegung!$N$86</f>
        <v>0</v>
      </c>
    </row>
    <row r="53" spans="1:15" ht="14.25" x14ac:dyDescent="0.2">
      <c r="B53" s="207" t="s">
        <v>289</v>
      </c>
      <c r="C53" s="243">
        <f>Belegung!$N$100</f>
        <v>0</v>
      </c>
      <c r="G53" s="205" t="s">
        <v>308</v>
      </c>
    </row>
    <row r="54" spans="1:15" ht="15.75" thickBot="1" x14ac:dyDescent="0.3">
      <c r="B54" s="239" t="s">
        <v>290</v>
      </c>
      <c r="C54" s="244">
        <f>SUM(C51:C53)</f>
        <v>0</v>
      </c>
      <c r="E54" s="247"/>
      <c r="G54" s="205" t="s">
        <v>309</v>
      </c>
    </row>
    <row r="55" spans="1:15" ht="15.75" thickTop="1" x14ac:dyDescent="0.25">
      <c r="A55" s="913" t="s">
        <v>310</v>
      </c>
      <c r="B55" s="913"/>
      <c r="C55" s="205"/>
      <c r="E55" s="249"/>
      <c r="H55" s="250" t="s">
        <v>311</v>
      </c>
      <c r="I55" s="251"/>
      <c r="J55" s="252" t="s">
        <v>312</v>
      </c>
      <c r="K55" s="251"/>
      <c r="L55" s="253"/>
      <c r="M55" s="253"/>
      <c r="N55" s="252" t="s">
        <v>312</v>
      </c>
      <c r="O55" s="254"/>
    </row>
    <row r="56" spans="1:15" ht="15" customHeight="1" x14ac:dyDescent="0.25">
      <c r="A56" s="255"/>
      <c r="B56" s="207" t="s">
        <v>313</v>
      </c>
      <c r="C56" s="256">
        <f>IF(C21="",0,ROUNDUP(IF('INTERN Personalstunden'!C23&gt;C21,'INTERN Personalstunden'!C23,IF(C43&gt;=200,40,IF(C43&gt;=170,30,'INTERN Personalstunden'!C23))),0))</f>
        <v>0</v>
      </c>
      <c r="G56" s="205" t="s">
        <v>314</v>
      </c>
      <c r="H56" s="914" t="s">
        <v>315</v>
      </c>
      <c r="I56" s="915"/>
      <c r="J56" s="916"/>
      <c r="K56" s="916"/>
      <c r="L56" s="916"/>
      <c r="M56" s="257" t="s">
        <v>316</v>
      </c>
      <c r="N56" s="258"/>
      <c r="O56" s="259"/>
    </row>
    <row r="57" spans="1:15" ht="15.75" customHeight="1" x14ac:dyDescent="0.25">
      <c r="A57" s="255"/>
      <c r="B57" s="212" t="s">
        <v>317</v>
      </c>
      <c r="C57" s="260">
        <f>IF(N56="Ja",IF(N60="Ja",N62,0),0)</f>
        <v>0</v>
      </c>
      <c r="D57" s="917" t="s">
        <v>318</v>
      </c>
      <c r="E57" s="917"/>
      <c r="F57" s="917"/>
      <c r="G57" s="205" t="s">
        <v>319</v>
      </c>
      <c r="H57" s="261"/>
      <c r="I57" s="262"/>
      <c r="J57" s="263"/>
      <c r="K57" s="263"/>
      <c r="L57" s="263"/>
      <c r="M57" s="264" t="s">
        <v>320</v>
      </c>
      <c r="N57" s="265"/>
      <c r="O57" s="266"/>
    </row>
    <row r="58" spans="1:15" ht="15.75" thickBot="1" x14ac:dyDescent="0.3">
      <c r="A58" s="255"/>
      <c r="B58" s="239" t="s">
        <v>290</v>
      </c>
      <c r="C58" s="244">
        <f>'INTERN Personalstunden'!$C$35</f>
        <v>0</v>
      </c>
      <c r="G58" s="205" t="s">
        <v>321</v>
      </c>
      <c r="H58" s="261"/>
      <c r="I58" s="262"/>
      <c r="J58" s="263"/>
      <c r="K58" s="263"/>
      <c r="L58" s="263"/>
      <c r="M58" s="264" t="s">
        <v>322</v>
      </c>
      <c r="N58" s="267"/>
      <c r="O58" s="259"/>
    </row>
    <row r="59" spans="1:15" ht="15.75" thickTop="1" x14ac:dyDescent="0.25">
      <c r="A59" s="913" t="s">
        <v>323</v>
      </c>
      <c r="B59" s="913"/>
      <c r="C59" s="268"/>
      <c r="H59" s="261"/>
      <c r="I59" s="262"/>
      <c r="J59" s="269"/>
      <c r="K59" s="270"/>
      <c r="L59" s="263"/>
      <c r="M59" s="263"/>
      <c r="N59" s="263"/>
      <c r="O59" s="266"/>
    </row>
    <row r="60" spans="1:15" x14ac:dyDescent="0.25">
      <c r="A60" s="255"/>
      <c r="B60" s="207" t="s">
        <v>324</v>
      </c>
      <c r="C60" s="271">
        <f>'INTERN Personalstunden'!$C$27</f>
        <v>0</v>
      </c>
      <c r="G60" s="205" t="s">
        <v>325</v>
      </c>
      <c r="H60" s="914" t="s">
        <v>326</v>
      </c>
      <c r="I60" s="915"/>
      <c r="J60" s="915"/>
      <c r="K60" s="915"/>
      <c r="L60" s="915"/>
      <c r="M60" s="915"/>
      <c r="N60" s="906"/>
      <c r="O60" s="259"/>
    </row>
    <row r="61" spans="1:15" x14ac:dyDescent="0.25">
      <c r="A61" s="255"/>
      <c r="B61" s="207" t="s">
        <v>327</v>
      </c>
      <c r="C61" s="272">
        <f>'INTERN Personalstunden'!$C$28</f>
        <v>0</v>
      </c>
      <c r="G61" s="205" t="s">
        <v>328</v>
      </c>
      <c r="H61" s="261"/>
      <c r="I61" s="262"/>
      <c r="J61" s="263"/>
      <c r="K61" s="263"/>
      <c r="L61" s="263"/>
      <c r="M61" s="264" t="s">
        <v>329</v>
      </c>
      <c r="N61" s="265"/>
      <c r="O61" s="266"/>
    </row>
    <row r="62" spans="1:15" ht="15.75" thickBot="1" x14ac:dyDescent="0.3">
      <c r="A62" s="255"/>
      <c r="B62" s="239" t="s">
        <v>290</v>
      </c>
      <c r="C62" s="244">
        <f>C60+C61</f>
        <v>0</v>
      </c>
      <c r="G62" s="205" t="s">
        <v>321</v>
      </c>
      <c r="H62" s="261"/>
      <c r="I62" s="262"/>
      <c r="J62" s="263"/>
      <c r="K62" s="263"/>
      <c r="L62" s="263"/>
      <c r="M62" s="264" t="s">
        <v>330</v>
      </c>
      <c r="N62" s="267"/>
      <c r="O62" s="266"/>
    </row>
    <row r="63" spans="1:15" ht="15.75" thickTop="1" x14ac:dyDescent="0.25">
      <c r="A63" s="255"/>
      <c r="B63" s="239"/>
      <c r="C63" s="273"/>
      <c r="H63" s="274"/>
      <c r="I63" s="275"/>
      <c r="J63" s="275"/>
      <c r="K63" s="275"/>
      <c r="L63" s="275"/>
      <c r="M63" s="275"/>
      <c r="N63" s="275"/>
      <c r="O63" s="276"/>
    </row>
    <row r="64" spans="1:15" x14ac:dyDescent="0.25">
      <c r="A64" s="913" t="s">
        <v>331</v>
      </c>
      <c r="B64" s="913"/>
      <c r="H64" s="250" t="s">
        <v>332</v>
      </c>
      <c r="I64" s="251"/>
      <c r="J64" s="251"/>
      <c r="K64" s="252" t="s">
        <v>312</v>
      </c>
      <c r="L64" s="253"/>
      <c r="M64" s="253"/>
      <c r="N64" s="252" t="s">
        <v>312</v>
      </c>
      <c r="O64" s="277"/>
    </row>
    <row r="65" spans="1:15" x14ac:dyDescent="0.25">
      <c r="A65" s="255"/>
      <c r="B65" s="212" t="s">
        <v>266</v>
      </c>
      <c r="C65" s="243">
        <f>C49</f>
        <v>0</v>
      </c>
      <c r="G65" s="205" t="s">
        <v>333</v>
      </c>
      <c r="H65" s="914" t="s">
        <v>334</v>
      </c>
      <c r="I65" s="915"/>
      <c r="J65" s="915"/>
      <c r="K65" s="918"/>
      <c r="L65" s="918"/>
      <c r="M65" s="257" t="s">
        <v>316</v>
      </c>
      <c r="N65" s="906"/>
      <c r="O65" s="266"/>
    </row>
    <row r="66" spans="1:15" ht="15" customHeight="1" x14ac:dyDescent="0.25">
      <c r="A66" s="255"/>
      <c r="B66" s="212" t="s">
        <v>335</v>
      </c>
      <c r="C66" s="260">
        <f>IF(N65="Ja",IF(N69="Ja",N71,0),0)</f>
        <v>0</v>
      </c>
      <c r="D66" s="917" t="s">
        <v>336</v>
      </c>
      <c r="E66" s="917"/>
      <c r="F66" s="917"/>
      <c r="G66" s="205" t="s">
        <v>337</v>
      </c>
      <c r="H66" s="261"/>
      <c r="I66" s="262"/>
      <c r="J66" s="263"/>
      <c r="K66" s="263"/>
      <c r="L66" s="263"/>
      <c r="M66" s="264" t="s">
        <v>320</v>
      </c>
      <c r="N66" s="265"/>
      <c r="O66" s="266"/>
    </row>
    <row r="67" spans="1:15" x14ac:dyDescent="0.25">
      <c r="A67" s="255"/>
      <c r="B67" s="212" t="s">
        <v>338</v>
      </c>
      <c r="C67" s="243">
        <f>C58</f>
        <v>0</v>
      </c>
      <c r="D67" s="278"/>
      <c r="E67" s="278"/>
      <c r="F67" s="278"/>
      <c r="H67" s="261"/>
      <c r="I67" s="262"/>
      <c r="J67" s="263"/>
      <c r="K67" s="263"/>
      <c r="L67" s="263"/>
      <c r="M67" s="264" t="s">
        <v>339</v>
      </c>
      <c r="N67" s="267"/>
      <c r="O67" s="266"/>
    </row>
    <row r="68" spans="1:15" ht="14.25" x14ac:dyDescent="0.2">
      <c r="B68" s="212" t="s">
        <v>340</v>
      </c>
      <c r="C68" s="272">
        <f>C62</f>
        <v>0</v>
      </c>
      <c r="H68" s="279"/>
      <c r="I68" s="280"/>
      <c r="J68" s="280"/>
      <c r="K68" s="280"/>
      <c r="L68" s="280"/>
      <c r="M68" s="280"/>
      <c r="N68" s="280"/>
      <c r="O68" s="281"/>
    </row>
    <row r="69" spans="1:15" ht="15.75" thickBot="1" x14ac:dyDescent="0.3">
      <c r="B69" s="239" t="s">
        <v>290</v>
      </c>
      <c r="C69" s="244">
        <f>SUM(C65:C68)</f>
        <v>0</v>
      </c>
      <c r="H69" s="914" t="s">
        <v>341</v>
      </c>
      <c r="I69" s="915"/>
      <c r="J69" s="915"/>
      <c r="K69" s="915"/>
      <c r="L69" s="915"/>
      <c r="M69" s="915"/>
      <c r="N69" s="906"/>
      <c r="O69" s="266"/>
    </row>
    <row r="70" spans="1:15" ht="15.75" thickTop="1" x14ac:dyDescent="0.25">
      <c r="H70" s="261"/>
      <c r="I70" s="262"/>
      <c r="J70" s="263"/>
      <c r="K70" s="263"/>
      <c r="L70" s="263"/>
      <c r="M70" s="264" t="s">
        <v>329</v>
      </c>
      <c r="N70" s="265"/>
      <c r="O70" s="266"/>
    </row>
    <row r="71" spans="1:15" x14ac:dyDescent="0.25">
      <c r="A71" s="911" t="s">
        <v>342</v>
      </c>
      <c r="B71" s="911"/>
      <c r="C71" s="911"/>
      <c r="D71" s="242"/>
      <c r="H71" s="261"/>
      <c r="I71" s="262"/>
      <c r="J71" s="263"/>
      <c r="K71" s="263"/>
      <c r="L71" s="263"/>
      <c r="M71" s="264" t="s">
        <v>343</v>
      </c>
      <c r="N71" s="267"/>
      <c r="O71" s="266"/>
    </row>
    <row r="72" spans="1:15" ht="14.25" x14ac:dyDescent="0.2">
      <c r="B72" s="207" t="s">
        <v>344</v>
      </c>
      <c r="C72" s="243">
        <f>'INTERN Personalstunden'!$C$41</f>
        <v>0</v>
      </c>
      <c r="D72" s="207" t="s">
        <v>345</v>
      </c>
      <c r="E72" s="282">
        <f>IF(C72=0,0,C72/C14)</f>
        <v>0</v>
      </c>
      <c r="H72" s="283"/>
      <c r="I72" s="284"/>
      <c r="J72" s="285"/>
      <c r="K72" s="285"/>
      <c r="L72" s="285"/>
      <c r="M72" s="285"/>
      <c r="N72" s="285"/>
      <c r="O72" s="286"/>
    </row>
    <row r="73" spans="1:15" ht="14.25" x14ac:dyDescent="0.2">
      <c r="B73" s="207" t="s">
        <v>346</v>
      </c>
      <c r="C73" s="243">
        <f>C69</f>
        <v>0</v>
      </c>
      <c r="D73" s="207" t="s">
        <v>345</v>
      </c>
      <c r="E73" s="282">
        <f>IF(C14="",0,IF(C73=0,0,C73/C14))</f>
        <v>0</v>
      </c>
      <c r="H73" s="205"/>
      <c r="I73" s="205"/>
      <c r="J73" s="205"/>
      <c r="K73" s="205"/>
      <c r="L73" s="205"/>
      <c r="M73" s="205"/>
      <c r="N73" s="205"/>
      <c r="O73" s="205"/>
    </row>
    <row r="74" spans="1:15" ht="14.25" x14ac:dyDescent="0.2">
      <c r="B74" s="207" t="str">
        <f>'INTERN Personalstunden'!B43</f>
        <v>Differenz:</v>
      </c>
      <c r="C74" s="243">
        <f>'INTERN Personalstunden'!C43</f>
        <v>0</v>
      </c>
      <c r="D74" s="287" t="str">
        <f>IF(C74&gt;0,"PLUS",(IF(C74=0,"","MINUS ist umgehend auszugleichen!")))</f>
        <v/>
      </c>
      <c r="E74" s="288"/>
      <c r="H74" s="205"/>
      <c r="I74" s="205"/>
      <c r="J74" s="205"/>
      <c r="K74" s="205"/>
      <c r="L74" s="205"/>
      <c r="M74" s="205"/>
      <c r="N74" s="205"/>
      <c r="O74" s="205"/>
    </row>
    <row r="75" spans="1:15" ht="14.25" x14ac:dyDescent="0.2">
      <c r="B75" s="841" t="str">
        <f>IF(C75=0,"","(bis zu 5 h werden vom FD mitgetragen)")</f>
        <v/>
      </c>
      <c r="C75" s="243">
        <f>'INTERN Personalstunden'!$C$45</f>
        <v>0</v>
      </c>
      <c r="D75" s="289" t="str">
        <f>IF(C75=0,"","PLUS")</f>
        <v/>
      </c>
    </row>
    <row r="76" spans="1:15" ht="14.25" x14ac:dyDescent="0.2">
      <c r="B76" s="841" t="str">
        <f>IF(C76=0,"","(über 5 h werden vom FD nicht mitgetragen)")</f>
        <v/>
      </c>
      <c r="C76" s="243">
        <f>'INTERN Personalstunden'!$C$49</f>
        <v>0</v>
      </c>
      <c r="D76" s="289" t="str">
        <f>IF(C76=0,"","PLUS")</f>
        <v/>
      </c>
    </row>
    <row r="77" spans="1:15" x14ac:dyDescent="0.25">
      <c r="B77" s="239"/>
      <c r="C77" s="290"/>
    </row>
    <row r="78" spans="1:15" x14ac:dyDescent="0.25">
      <c r="B78" s="291" t="str">
        <f>IF(C76=0,"",'INTERN Personalstunden'!$D$58)</f>
        <v/>
      </c>
      <c r="C78" s="292">
        <f>'INTERN Personalstunden'!$E$58</f>
        <v>0</v>
      </c>
    </row>
    <row r="80" spans="1:15" x14ac:dyDescent="0.25">
      <c r="A80" s="911" t="s">
        <v>347</v>
      </c>
      <c r="B80" s="911"/>
    </row>
    <row r="81" spans="1:7" x14ac:dyDescent="0.25">
      <c r="A81" s="280"/>
      <c r="B81" s="293"/>
      <c r="C81" s="912" t="s">
        <v>348</v>
      </c>
      <c r="D81" s="912"/>
    </row>
    <row r="82" spans="1:7" ht="19.5" x14ac:dyDescent="0.2">
      <c r="A82" s="294" t="str">
        <f>IF(C82="als Anlage beigefügt",CHAR(254),IF(C82="","",CHAR(253)))</f>
        <v/>
      </c>
      <c r="B82" s="295" t="s">
        <v>349</v>
      </c>
      <c r="C82" s="909"/>
      <c r="D82" s="909"/>
      <c r="G82" s="205" t="s">
        <v>350</v>
      </c>
    </row>
    <row r="83" spans="1:7" ht="19.5" x14ac:dyDescent="0.2">
      <c r="A83" s="294" t="str">
        <f t="shared" ref="A83:A90" si="0">IF(C83="als Anlage beigefügt",CHAR(254),IF(C83="","",CHAR(253)))</f>
        <v/>
      </c>
      <c r="B83" s="295" t="s">
        <v>351</v>
      </c>
      <c r="C83" s="909"/>
      <c r="D83" s="909"/>
      <c r="G83" s="205" t="s">
        <v>352</v>
      </c>
    </row>
    <row r="84" spans="1:7" ht="19.5" x14ac:dyDescent="0.2">
      <c r="A84" s="294" t="str">
        <f t="shared" si="0"/>
        <v/>
      </c>
      <c r="B84" s="295" t="s">
        <v>353</v>
      </c>
      <c r="C84" s="909"/>
      <c r="D84" s="909"/>
      <c r="G84" s="205" t="s">
        <v>354</v>
      </c>
    </row>
    <row r="85" spans="1:7" ht="19.5" x14ac:dyDescent="0.2">
      <c r="A85" s="294" t="str">
        <f t="shared" si="0"/>
        <v/>
      </c>
      <c r="B85" s="295" t="s">
        <v>355</v>
      </c>
      <c r="C85" s="909"/>
      <c r="D85" s="909"/>
    </row>
    <row r="86" spans="1:7" ht="19.5" x14ac:dyDescent="0.2">
      <c r="A86" s="294" t="str">
        <f t="shared" si="0"/>
        <v/>
      </c>
      <c r="B86" s="295" t="s">
        <v>356</v>
      </c>
      <c r="C86" s="909"/>
      <c r="D86" s="909"/>
    </row>
    <row r="87" spans="1:7" ht="19.5" x14ac:dyDescent="0.2">
      <c r="A87" s="294"/>
      <c r="B87" s="295" t="s">
        <v>204</v>
      </c>
      <c r="C87" s="296"/>
      <c r="D87" s="296"/>
    </row>
    <row r="88" spans="1:7" ht="19.5" x14ac:dyDescent="0.2">
      <c r="A88" s="294" t="str">
        <f t="shared" si="0"/>
        <v/>
      </c>
      <c r="B88" s="910"/>
      <c r="C88" s="910"/>
      <c r="D88" s="910"/>
      <c r="E88" s="910"/>
    </row>
    <row r="89" spans="1:7" ht="19.5" x14ac:dyDescent="0.2">
      <c r="A89" s="294" t="str">
        <f t="shared" si="0"/>
        <v/>
      </c>
      <c r="B89" s="910"/>
      <c r="C89" s="910"/>
      <c r="D89" s="910"/>
      <c r="E89" s="910"/>
    </row>
    <row r="90" spans="1:7" ht="19.5" x14ac:dyDescent="0.2">
      <c r="A90" s="294" t="str">
        <f t="shared" si="0"/>
        <v/>
      </c>
      <c r="B90" s="910"/>
      <c r="C90" s="910"/>
      <c r="D90" s="910"/>
      <c r="E90" s="910"/>
    </row>
  </sheetData>
  <sheetProtection algorithmName="SHA-512" hashValue="WDeR/60mbprUEb/JIx+zAhM2kX3TZNdhZmZigMO8RCYiK5yUVFfilivOYzDfbT7JpJCAUIYy9hZ61mrlpglQ0w==" saltValue="RwsbcrJa86a7V1cfw69NgA==" spinCount="100000" sheet="1" objects="1" scenarios="1"/>
  <mergeCells count="38">
    <mergeCell ref="C7:E7"/>
    <mergeCell ref="A1:D1"/>
    <mergeCell ref="A2:D2"/>
    <mergeCell ref="A3:B3"/>
    <mergeCell ref="D5:E5"/>
    <mergeCell ref="C6:E6"/>
    <mergeCell ref="A44:B44"/>
    <mergeCell ref="C9:E9"/>
    <mergeCell ref="C10:E10"/>
    <mergeCell ref="A12:B12"/>
    <mergeCell ref="C13:E13"/>
    <mergeCell ref="A16:B16"/>
    <mergeCell ref="A23:B23"/>
    <mergeCell ref="C26:F27"/>
    <mergeCell ref="A29:B29"/>
    <mergeCell ref="C35:F36"/>
    <mergeCell ref="A38:B38"/>
    <mergeCell ref="A39:B39"/>
    <mergeCell ref="A71:C71"/>
    <mergeCell ref="A55:B55"/>
    <mergeCell ref="H56:I56"/>
    <mergeCell ref="J56:L56"/>
    <mergeCell ref="D57:F57"/>
    <mergeCell ref="A59:B59"/>
    <mergeCell ref="H60:M60"/>
    <mergeCell ref="A64:B64"/>
    <mergeCell ref="H65:J65"/>
    <mergeCell ref="K65:L65"/>
    <mergeCell ref="D66:F66"/>
    <mergeCell ref="H69:M69"/>
    <mergeCell ref="C86:D86"/>
    <mergeCell ref="B88:E90"/>
    <mergeCell ref="A80:B80"/>
    <mergeCell ref="C81:D81"/>
    <mergeCell ref="C82:D82"/>
    <mergeCell ref="C83:D83"/>
    <mergeCell ref="C84:D84"/>
    <mergeCell ref="C85:D85"/>
  </mergeCells>
  <dataValidations count="10">
    <dataValidation type="list" allowBlank="1" showInputMessage="1" showErrorMessage="1" errorTitle="Mehrbedarf" error="Bitte aus der Dropdown-Liste auswählen!" promptTitle="beantragter Mehrbedarf" prompt="Bitte nur aus der Dropdown-Liste auswählen!" sqref="K65:L65">
      <formula1>$G$64:$G$66</formula1>
    </dataValidation>
    <dataValidation type="list" allowBlank="1" showInputMessage="1" showErrorMessage="1" errorTitle="Leitungsstunden" error="Bitte aus der Dropdown-Liste auswählen!" promptTitle="beantragte Leitungsstunden" prompt="Bitte nur aus der Dropdown-Liste auswählen!" sqref="J56:L56">
      <formula1>$G$55:$G$58</formula1>
    </dataValidation>
    <dataValidation type="list" allowBlank="1" showInputMessage="1" showErrorMessage="1" sqref="C82:D86">
      <formula1>Anlage</formula1>
    </dataValidation>
    <dataValidation type="decimal" showInputMessage="1" showErrorMessage="1" errorTitle="Wochenarbeitszeit" error="Bitte in Stunden angeben!! (z.B. 40,0 oder 38,5)" promptTitle="HINWEIS" prompt="Hier ist NICHT die durchschnittliche Arbeitszeit der Mitarbeiter gemeint!" sqref="C14">
      <formula1>38</formula1>
      <formula2>40</formula2>
    </dataValidation>
    <dataValidation type="whole" allowBlank="1" showInputMessage="1" showErrorMessage="1" errorTitle="Betriebsmonate" error="Die Anzahl der Betriebsmonate beträgt mind. 1 Monat und max. 12 Monate!" promptTitle="Betriebsmonate" prompt="Hier bitte die Anzahl der Betriebsmonate im Kalenderjahr angeben!" sqref="C24">
      <formula1>1</formula1>
      <formula2>12</formula2>
    </dataValidation>
    <dataValidation type="date" allowBlank="1" showInputMessage="1" showErrorMessage="1" errorTitle="Beginn bzw. Ende des Betriebes" error="BItte nur bei unterjährigem Beginn bzw. Ende angeben!" promptTitle="Beginn bzw. Ende des Betriebes" prompt="Bei unterjährigem Beginn oder Ende des Betriebes bitte das Anfangs- bzw. das Enddatum angeben!" sqref="C25">
      <formula1>44562</formula1>
      <formula2>44926</formula2>
    </dataValidation>
    <dataValidation type="list" allowBlank="1" showInputMessage="1" showErrorMessage="1" errorTitle="beantragte Leitungsstunden" error="Bitte nur Ja oder Nein angeben!" sqref="N56">
      <formula1>$G$52:$G$54</formula1>
    </dataValidation>
    <dataValidation type="list" allowBlank="1" showInputMessage="1" showErrorMessage="1" errorTitle="genehmigte Leitungsstunden" error="Bitte nur Ja oder Nein angeben!" sqref="N60">
      <formula1>$G$52:$G$54</formula1>
    </dataValidation>
    <dataValidation type="list" allowBlank="1" showInputMessage="1" showErrorMessage="1" errorTitle="beantragter Mehrbedarf" error="Bitte nur Ja oder Nein angeben!" sqref="N65">
      <formula1>$G$52:$G$54</formula1>
    </dataValidation>
    <dataValidation type="list" allowBlank="1" showInputMessage="1" showErrorMessage="1" errorTitle="genehmigter Mehrbedarf" error="Bitte nur Ja oder Nein angeben!" sqref="N69">
      <formula1>$G$52:$G$54</formula1>
    </dataValidation>
  </dataValidations>
  <printOptions horizontalCentered="1"/>
  <pageMargins left="0.39370078740157483" right="0.39370078740157483" top="1.1811023622047245" bottom="0.78740157480314965" header="0.19685039370078741" footer="0.19685039370078741"/>
  <pageSetup paperSize="9" scale="94" fitToWidth="2" fitToHeight="0" pageOrder="overThenDown" orientation="portrait" r:id="rId1"/>
  <headerFooter>
    <oddHeader xml:space="preserve">&amp;L&amp;"Arial,Fett"&amp;22Salzlandkreis&amp;11
&amp;12Der Landrat&amp;C&amp;"Arial,Fett"
&amp;12Grundlagen&amp;R&amp;G
</oddHeader>
    <oddFooter>&amp;L&amp;"Arial,Standard"&amp;8Ausfertigung vom &amp;D &amp;T SLK-14-20-871&amp;R&amp;"Arial,Standard"&amp;8&amp;P von &amp;N</oddFooter>
  </headerFooter>
  <rowBreaks count="2" manualBreakCount="2">
    <brk id="37" max="16383" man="1"/>
    <brk id="79" max="16383"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181"/>
  <sheetViews>
    <sheetView showGridLines="0" view="pageLayout" zoomScaleNormal="100" workbookViewId="0">
      <selection activeCell="C1" sqref="C1:I1"/>
    </sheetView>
  </sheetViews>
  <sheetFormatPr baseColWidth="10" defaultColWidth="11.42578125" defaultRowHeight="12.75" x14ac:dyDescent="0.25"/>
  <cols>
    <col min="1" max="1" width="5.42578125" style="323" customWidth="1"/>
    <col min="2" max="2" width="7.140625" style="320" customWidth="1"/>
    <col min="3" max="3" width="6.85546875" style="321" customWidth="1"/>
    <col min="4" max="4" width="12" style="320" hidden="1" customWidth="1"/>
    <col min="5" max="5" width="6.7109375" style="319" customWidth="1"/>
    <col min="6" max="7" width="11.140625" style="319" customWidth="1"/>
    <col min="8" max="8" width="11.140625" style="156" customWidth="1"/>
    <col min="9" max="9" width="15.42578125" style="156" customWidth="1"/>
    <col min="10" max="16384" width="11.42578125" style="156"/>
  </cols>
  <sheetData>
    <row r="1" spans="1:9" ht="15" customHeight="1" x14ac:dyDescent="0.25">
      <c r="A1" s="1108" t="s">
        <v>357</v>
      </c>
      <c r="B1" s="1109"/>
      <c r="C1" s="1110">
        <f>IF(Grundlagen!$C$4="","",Grundlagen!$C$4)</f>
        <v>2022</v>
      </c>
      <c r="D1" s="1110"/>
      <c r="E1" s="1110"/>
      <c r="F1" s="1110"/>
      <c r="G1" s="1110"/>
      <c r="H1" s="1110"/>
      <c r="I1" s="1110"/>
    </row>
    <row r="2" spans="1:9" ht="15" customHeight="1" x14ac:dyDescent="0.25">
      <c r="A2" s="1108" t="s">
        <v>18</v>
      </c>
      <c r="B2" s="1109"/>
      <c r="C2" s="1111" t="str">
        <f>IF(Grundlagen!$C$6="","",Grundlagen!$C$6)</f>
        <v/>
      </c>
      <c r="D2" s="1111"/>
      <c r="E2" s="1111"/>
      <c r="F2" s="1111"/>
      <c r="G2" s="1111"/>
      <c r="H2" s="1111"/>
      <c r="I2" s="1111"/>
    </row>
    <row r="3" spans="1:9" ht="15" customHeight="1" x14ac:dyDescent="0.25">
      <c r="A3" s="1108" t="s">
        <v>17</v>
      </c>
      <c r="B3" s="1109"/>
      <c r="C3" s="1111" t="str">
        <f>IF(Grundlagen!$C$9="","",Grundlagen!$C$9)</f>
        <v/>
      </c>
      <c r="D3" s="1111"/>
      <c r="E3" s="1111"/>
      <c r="F3" s="1111"/>
      <c r="G3" s="1111"/>
      <c r="H3" s="1111"/>
      <c r="I3" s="1111"/>
    </row>
    <row r="4" spans="1:9" ht="12.75" customHeight="1" x14ac:dyDescent="0.25">
      <c r="A4" s="297"/>
      <c r="B4" s="202"/>
      <c r="C4" s="298"/>
      <c r="D4" s="299"/>
      <c r="E4" s="299"/>
      <c r="F4" s="299"/>
      <c r="G4" s="299"/>
    </row>
    <row r="5" spans="1:9" ht="12.75" customHeight="1" x14ac:dyDescent="0.25">
      <c r="A5" s="957" t="s">
        <v>358</v>
      </c>
      <c r="B5" s="1105" t="s">
        <v>359</v>
      </c>
      <c r="C5" s="957" t="s">
        <v>360</v>
      </c>
      <c r="D5" s="299"/>
      <c r="E5" s="1104" t="s">
        <v>361</v>
      </c>
      <c r="F5" s="1105" t="s">
        <v>362</v>
      </c>
      <c r="G5" s="1124"/>
      <c r="H5" s="1105" t="s">
        <v>363</v>
      </c>
      <c r="I5" s="1124"/>
    </row>
    <row r="6" spans="1:9" ht="12.75" customHeight="1" x14ac:dyDescent="0.25">
      <c r="A6" s="949"/>
      <c r="B6" s="1106"/>
      <c r="C6" s="949"/>
      <c r="D6" s="299"/>
      <c r="E6" s="1104"/>
      <c r="F6" s="1106"/>
      <c r="G6" s="1125"/>
      <c r="H6" s="1106"/>
      <c r="I6" s="1125"/>
    </row>
    <row r="7" spans="1:9" ht="12.75" customHeight="1" x14ac:dyDescent="0.25">
      <c r="A7" s="949"/>
      <c r="B7" s="1106"/>
      <c r="C7" s="949"/>
      <c r="D7" s="299"/>
      <c r="E7" s="1104"/>
      <c r="F7" s="1106"/>
      <c r="G7" s="1125"/>
      <c r="H7" s="1106"/>
      <c r="I7" s="1125"/>
    </row>
    <row r="8" spans="1:9" ht="12.75" customHeight="1" x14ac:dyDescent="0.25">
      <c r="A8" s="950"/>
      <c r="B8" s="1107"/>
      <c r="C8" s="300" t="s">
        <v>364</v>
      </c>
      <c r="D8" s="299"/>
      <c r="E8" s="1104"/>
      <c r="F8" s="1107"/>
      <c r="G8" s="1126"/>
      <c r="H8" s="1107"/>
      <c r="I8" s="1126"/>
    </row>
    <row r="9" spans="1:9" ht="12.75" customHeight="1" x14ac:dyDescent="0.25">
      <c r="A9" s="297"/>
      <c r="B9" s="202"/>
      <c r="C9" s="298"/>
      <c r="D9" s="299"/>
      <c r="E9" s="299"/>
      <c r="F9" s="299"/>
      <c r="G9" s="299"/>
    </row>
    <row r="10" spans="1:9" x14ac:dyDescent="0.25">
      <c r="A10" s="270" t="s">
        <v>365</v>
      </c>
      <c r="B10" s="301"/>
      <c r="C10" s="301"/>
      <c r="D10" s="301"/>
      <c r="E10" s="301"/>
      <c r="F10" s="301"/>
      <c r="G10" s="301"/>
    </row>
    <row r="11" spans="1:9" x14ac:dyDescent="0.25">
      <c r="A11" s="1101"/>
      <c r="B11" s="1102"/>
      <c r="C11" s="1102"/>
      <c r="D11" s="1102"/>
      <c r="E11" s="1102"/>
      <c r="F11" s="1102"/>
      <c r="G11" s="1102"/>
      <c r="H11" s="1102"/>
      <c r="I11" s="1103"/>
    </row>
    <row r="12" spans="1:9" ht="27.75" customHeight="1" x14ac:dyDescent="0.25">
      <c r="A12" s="302" t="s">
        <v>366</v>
      </c>
      <c r="B12" s="303" t="s">
        <v>367</v>
      </c>
      <c r="C12" s="302" t="s">
        <v>368</v>
      </c>
      <c r="D12" s="304" t="s">
        <v>369</v>
      </c>
      <c r="E12" s="305" t="str">
        <f>IF(Platzkosten!$R$20=0,"",(IF(H17="","",Platzkosten!$R$20)))</f>
        <v/>
      </c>
      <c r="F12" s="1114" t="str">
        <f>IF(E12="","",H20)</f>
        <v/>
      </c>
      <c r="G12" s="1115"/>
      <c r="H12" s="1114" t="str">
        <f>IF(F12="","",F12*H19*E12)</f>
        <v/>
      </c>
      <c r="I12" s="1115"/>
    </row>
    <row r="13" spans="1:9" ht="27.75" customHeight="1" x14ac:dyDescent="0.25">
      <c r="A13" s="302" t="s">
        <v>366</v>
      </c>
      <c r="B13" s="303" t="s">
        <v>370</v>
      </c>
      <c r="C13" s="302" t="s">
        <v>368</v>
      </c>
      <c r="D13" s="304" t="s">
        <v>369</v>
      </c>
      <c r="E13" s="305" t="str">
        <f>IF(Platzkosten!$R$37=0,"",(IF(H17="","",Platzkosten!$R$37)))</f>
        <v/>
      </c>
      <c r="F13" s="1114" t="str">
        <f>IF(E13="","",H20)</f>
        <v/>
      </c>
      <c r="G13" s="1115"/>
      <c r="H13" s="1114" t="str">
        <f>IF(F13="","",F13*H19*E13)</f>
        <v/>
      </c>
      <c r="I13" s="1115"/>
    </row>
    <row r="14" spans="1:9" ht="27.75" customHeight="1" x14ac:dyDescent="0.25">
      <c r="A14" s="302" t="s">
        <v>371</v>
      </c>
      <c r="B14" s="303" t="s">
        <v>372</v>
      </c>
      <c r="C14" s="302" t="s">
        <v>371</v>
      </c>
      <c r="D14" s="304" t="s">
        <v>373</v>
      </c>
      <c r="E14" s="305" t="str">
        <f>IF(Platzkosten!$R$56=0,"",(IF(H17="","",Platzkosten!$R$56)))</f>
        <v/>
      </c>
      <c r="F14" s="1114" t="str">
        <f>IF(E14="","",H20)</f>
        <v/>
      </c>
      <c r="G14" s="1115"/>
      <c r="H14" s="1114" t="str">
        <f>IF(F14="","",F14*H19*E14)</f>
        <v/>
      </c>
      <c r="I14" s="1115"/>
    </row>
    <row r="15" spans="1:9" ht="27.75" customHeight="1" x14ac:dyDescent="0.25">
      <c r="A15" s="306"/>
      <c r="B15" s="307"/>
      <c r="C15" s="308"/>
      <c r="D15" s="309"/>
      <c r="E15" s="305" t="str">
        <f>IF(SUM(E12:E14)=0,"",SUM(E12:E14))</f>
        <v/>
      </c>
      <c r="F15" s="310"/>
      <c r="G15" s="156"/>
      <c r="H15" s="1114" t="str">
        <f>IF(SUM(H12:H14)=0,"",SUM(H12:H14))</f>
        <v/>
      </c>
      <c r="I15" s="1115"/>
    </row>
    <row r="16" spans="1:9" ht="12" customHeight="1" x14ac:dyDescent="0.25">
      <c r="A16" s="311"/>
      <c r="B16" s="312"/>
      <c r="C16" s="311"/>
      <c r="D16" s="312"/>
      <c r="E16" s="312"/>
      <c r="F16" s="156"/>
      <c r="G16" s="156"/>
    </row>
    <row r="17" spans="1:9" ht="12" customHeight="1" x14ac:dyDescent="0.25">
      <c r="A17" s="156"/>
      <c r="B17" s="156"/>
      <c r="C17" s="311"/>
      <c r="D17" s="313"/>
      <c r="E17" s="156"/>
      <c r="F17" s="1116" t="s">
        <v>374</v>
      </c>
      <c r="G17" s="1117"/>
      <c r="H17" s="1095" t="str">
        <f>IF('INTERN Personal- und Sachkosten'!B49=0,"",('INTERN Personal- und Sachkosten'!B49))</f>
        <v/>
      </c>
      <c r="I17" s="1097"/>
    </row>
    <row r="18" spans="1:9" ht="12" customHeight="1" x14ac:dyDescent="0.25">
      <c r="A18" s="156"/>
      <c r="B18" s="156"/>
      <c r="C18" s="311"/>
      <c r="D18" s="313"/>
      <c r="E18" s="156"/>
      <c r="F18" s="1116" t="s">
        <v>375</v>
      </c>
      <c r="G18" s="1117"/>
      <c r="H18" s="1118" t="str">
        <f>IF(H17="","",E15)</f>
        <v/>
      </c>
      <c r="I18" s="1119"/>
    </row>
    <row r="19" spans="1:9" ht="12" customHeight="1" x14ac:dyDescent="0.25">
      <c r="A19" s="156"/>
      <c r="B19" s="156"/>
      <c r="C19" s="311"/>
      <c r="D19" s="313"/>
      <c r="E19" s="156"/>
      <c r="F19" s="1116" t="s">
        <v>376</v>
      </c>
      <c r="G19" s="1117"/>
      <c r="H19" s="1120" t="str">
        <f>IF(H18="","",12)</f>
        <v/>
      </c>
      <c r="I19" s="1121"/>
    </row>
    <row r="20" spans="1:9" ht="12" customHeight="1" x14ac:dyDescent="0.25">
      <c r="A20" s="156"/>
      <c r="B20" s="156"/>
      <c r="C20" s="311"/>
      <c r="D20" s="313"/>
      <c r="E20" s="156"/>
      <c r="F20" s="1116" t="s">
        <v>377</v>
      </c>
      <c r="G20" s="1117"/>
      <c r="H20" s="1114" t="str">
        <f>IF(H17="","",H17/H18/H19)</f>
        <v/>
      </c>
      <c r="I20" s="1115"/>
    </row>
    <row r="21" spans="1:9" ht="12.75" customHeight="1" x14ac:dyDescent="0.25">
      <c r="A21" s="311"/>
      <c r="B21" s="312"/>
      <c r="C21" s="311"/>
      <c r="D21" s="313"/>
      <c r="E21" s="314"/>
      <c r="F21" s="314"/>
      <c r="G21" s="315"/>
    </row>
    <row r="22" spans="1:9" x14ac:dyDescent="0.25">
      <c r="A22" s="270" t="s">
        <v>378</v>
      </c>
      <c r="B22" s="301"/>
      <c r="C22" s="301"/>
      <c r="D22" s="301"/>
      <c r="E22" s="301"/>
      <c r="F22" s="301"/>
      <c r="G22" s="301"/>
    </row>
    <row r="23" spans="1:9" x14ac:dyDescent="0.25">
      <c r="A23" s="1101"/>
      <c r="B23" s="1102"/>
      <c r="C23" s="1102"/>
      <c r="D23" s="1102"/>
      <c r="E23" s="1102"/>
      <c r="F23" s="1102"/>
      <c r="G23" s="1102"/>
      <c r="H23" s="1102"/>
      <c r="I23" s="1103"/>
    </row>
    <row r="24" spans="1:9" ht="27.75" customHeight="1" x14ac:dyDescent="0.25">
      <c r="A24" s="316" t="s">
        <v>366</v>
      </c>
      <c r="B24" s="303" t="s">
        <v>367</v>
      </c>
      <c r="C24" s="316" t="s">
        <v>368</v>
      </c>
      <c r="D24" s="317" t="s">
        <v>369</v>
      </c>
      <c r="E24" s="318" t="str">
        <f>IF(Platzkosten!$R$20=0,"",(IF(H29="","",Platzkosten!$R$20)))</f>
        <v/>
      </c>
      <c r="F24" s="1114" t="str">
        <f>IF(E24="","",H32)</f>
        <v/>
      </c>
      <c r="G24" s="1115"/>
      <c r="H24" s="1114" t="str">
        <f>IF(F24="","",F24*H31*E24)</f>
        <v/>
      </c>
      <c r="I24" s="1115"/>
    </row>
    <row r="25" spans="1:9" ht="27.75" customHeight="1" x14ac:dyDescent="0.25">
      <c r="A25" s="302" t="s">
        <v>366</v>
      </c>
      <c r="B25" s="303" t="s">
        <v>370</v>
      </c>
      <c r="C25" s="302" t="s">
        <v>368</v>
      </c>
      <c r="D25" s="304" t="s">
        <v>369</v>
      </c>
      <c r="E25" s="305" t="str">
        <f>IF(Platzkosten!$R$37=0,"",(IF(H29="","",Platzkosten!$R$37)))</f>
        <v/>
      </c>
      <c r="F25" s="1114" t="str">
        <f>IF(E25="","",H32)</f>
        <v/>
      </c>
      <c r="G25" s="1115"/>
      <c r="H25" s="1114" t="str">
        <f>IF(F25="","",F25*H31*E25)</f>
        <v/>
      </c>
      <c r="I25" s="1115"/>
    </row>
    <row r="26" spans="1:9" ht="27.75" customHeight="1" x14ac:dyDescent="0.25">
      <c r="A26" s="302" t="s">
        <v>371</v>
      </c>
      <c r="B26" s="303" t="s">
        <v>372</v>
      </c>
      <c r="C26" s="302" t="s">
        <v>371</v>
      </c>
      <c r="D26" s="304" t="s">
        <v>373</v>
      </c>
      <c r="E26" s="305" t="str">
        <f>IF(Platzkosten!$R$56=0,"",(IF(H29="","",Platzkosten!$R$56)))</f>
        <v/>
      </c>
      <c r="F26" s="1114" t="str">
        <f>IF(E26="","",H32)</f>
        <v/>
      </c>
      <c r="G26" s="1115"/>
      <c r="H26" s="1114" t="str">
        <f>IF(F26="","",F26*H31*E26)</f>
        <v/>
      </c>
      <c r="I26" s="1115"/>
    </row>
    <row r="27" spans="1:9" ht="27.75" customHeight="1" x14ac:dyDescent="0.25">
      <c r="A27" s="308"/>
      <c r="B27" s="307"/>
      <c r="C27" s="308"/>
      <c r="D27" s="309"/>
      <c r="E27" s="305" t="str">
        <f>IF(SUM(E24:E26)=0,"",SUM(E24:E26))</f>
        <v/>
      </c>
      <c r="F27" s="310"/>
      <c r="G27" s="156"/>
      <c r="H27" s="1114" t="str">
        <f>IF(SUM(H24:H26)=0,"",SUM(H24:H26))</f>
        <v/>
      </c>
      <c r="I27" s="1115"/>
    </row>
    <row r="28" spans="1:9" ht="12" customHeight="1" x14ac:dyDescent="0.25">
      <c r="A28" s="311"/>
      <c r="B28" s="312"/>
      <c r="C28" s="311"/>
      <c r="D28" s="312"/>
      <c r="E28" s="312"/>
      <c r="F28" s="156"/>
      <c r="G28" s="156"/>
    </row>
    <row r="29" spans="1:9" ht="12" customHeight="1" x14ac:dyDescent="0.25">
      <c r="A29" s="156"/>
      <c r="B29" s="156"/>
      <c r="C29" s="311"/>
      <c r="D29" s="313"/>
      <c r="E29" s="156"/>
      <c r="F29" s="1116" t="s">
        <v>374</v>
      </c>
      <c r="G29" s="1117"/>
      <c r="H29" s="1095" t="str">
        <f>IF('INTERN Personal- und Sachkosten'!B51=0,"",('INTERN Personal- und Sachkosten'!B51))</f>
        <v/>
      </c>
      <c r="I29" s="1097"/>
    </row>
    <row r="30" spans="1:9" ht="12" customHeight="1" x14ac:dyDescent="0.25">
      <c r="A30" s="156"/>
      <c r="B30" s="156"/>
      <c r="C30" s="311"/>
      <c r="D30" s="313"/>
      <c r="E30" s="156"/>
      <c r="F30" s="1116" t="s">
        <v>375</v>
      </c>
      <c r="G30" s="1117"/>
      <c r="H30" s="1118" t="str">
        <f>IF(H29="","",E27)</f>
        <v/>
      </c>
      <c r="I30" s="1119"/>
    </row>
    <row r="31" spans="1:9" ht="12" customHeight="1" x14ac:dyDescent="0.25">
      <c r="A31" s="156"/>
      <c r="B31" s="156"/>
      <c r="C31" s="311"/>
      <c r="D31" s="313"/>
      <c r="E31" s="156"/>
      <c r="F31" s="1116" t="s">
        <v>376</v>
      </c>
      <c r="G31" s="1117"/>
      <c r="H31" s="1120" t="str">
        <f>IF(H30="","",12)</f>
        <v/>
      </c>
      <c r="I31" s="1121"/>
    </row>
    <row r="32" spans="1:9" ht="12" customHeight="1" x14ac:dyDescent="0.25">
      <c r="A32" s="156"/>
      <c r="B32" s="156"/>
      <c r="C32" s="311"/>
      <c r="D32" s="313"/>
      <c r="E32" s="156"/>
      <c r="F32" s="1116" t="s">
        <v>377</v>
      </c>
      <c r="G32" s="1117"/>
      <c r="H32" s="1114" t="str">
        <f>IF(H29="","",H29/H30/H31)</f>
        <v/>
      </c>
      <c r="I32" s="1115"/>
    </row>
    <row r="33" spans="1:9" ht="12.75" customHeight="1" x14ac:dyDescent="0.25">
      <c r="A33" s="311"/>
      <c r="B33" s="312"/>
      <c r="C33" s="311"/>
      <c r="D33" s="313"/>
      <c r="E33" s="314"/>
      <c r="F33" s="314"/>
      <c r="G33" s="315"/>
    </row>
    <row r="34" spans="1:9" x14ac:dyDescent="0.25">
      <c r="A34" s="270" t="s">
        <v>379</v>
      </c>
      <c r="B34" s="301"/>
      <c r="C34" s="301"/>
      <c r="D34" s="301"/>
      <c r="E34" s="301"/>
      <c r="F34" s="301"/>
      <c r="G34" s="301"/>
    </row>
    <row r="35" spans="1:9" x14ac:dyDescent="0.25">
      <c r="A35" s="1101"/>
      <c r="B35" s="1102"/>
      <c r="C35" s="1102"/>
      <c r="D35" s="1102"/>
      <c r="E35" s="1102"/>
      <c r="F35" s="1102"/>
      <c r="G35" s="1102"/>
      <c r="H35" s="1102"/>
      <c r="I35" s="1103"/>
    </row>
    <row r="36" spans="1:9" ht="27.75" customHeight="1" x14ac:dyDescent="0.25">
      <c r="A36" s="316" t="s">
        <v>366</v>
      </c>
      <c r="B36" s="303" t="s">
        <v>367</v>
      </c>
      <c r="C36" s="316" t="s">
        <v>368</v>
      </c>
      <c r="D36" s="317" t="s">
        <v>369</v>
      </c>
      <c r="E36" s="318" t="str">
        <f>IF(Platzkosten!$R$20=0,"",(IF(H41="","",Platzkosten!$R$20)))</f>
        <v/>
      </c>
      <c r="F36" s="1114" t="str">
        <f>IF(E36="","",H44)</f>
        <v/>
      </c>
      <c r="G36" s="1115"/>
      <c r="H36" s="1114" t="str">
        <f>IF(F36="","",F36*H43*E36)</f>
        <v/>
      </c>
      <c r="I36" s="1115"/>
    </row>
    <row r="37" spans="1:9" ht="27.75" customHeight="1" x14ac:dyDescent="0.25">
      <c r="A37" s="302" t="s">
        <v>366</v>
      </c>
      <c r="B37" s="303" t="s">
        <v>370</v>
      </c>
      <c r="C37" s="302" t="s">
        <v>368</v>
      </c>
      <c r="D37" s="304" t="s">
        <v>369</v>
      </c>
      <c r="E37" s="305" t="str">
        <f>IF(Platzkosten!$R$37=0,"",(IF(H41="","",Platzkosten!$R$37)))</f>
        <v/>
      </c>
      <c r="F37" s="1114" t="str">
        <f>IF(E37="","",H44)</f>
        <v/>
      </c>
      <c r="G37" s="1115"/>
      <c r="H37" s="1114" t="str">
        <f>IF(F37="","",F37*H43*E37)</f>
        <v/>
      </c>
      <c r="I37" s="1115"/>
    </row>
    <row r="38" spans="1:9" ht="27.75" customHeight="1" x14ac:dyDescent="0.25">
      <c r="A38" s="302" t="s">
        <v>371</v>
      </c>
      <c r="B38" s="303" t="s">
        <v>372</v>
      </c>
      <c r="C38" s="302" t="s">
        <v>371</v>
      </c>
      <c r="D38" s="304" t="s">
        <v>373</v>
      </c>
      <c r="E38" s="305" t="str">
        <f>IF(Platzkosten!$R$56=0,"",(IF(H41="","",Platzkosten!$R$56)))</f>
        <v/>
      </c>
      <c r="F38" s="1114" t="str">
        <f>IF(E38="","",H44)</f>
        <v/>
      </c>
      <c r="G38" s="1115"/>
      <c r="H38" s="1114" t="str">
        <f>IF(F38="","",F38*H43*E38)</f>
        <v/>
      </c>
      <c r="I38" s="1115"/>
    </row>
    <row r="39" spans="1:9" ht="27.75" customHeight="1" x14ac:dyDescent="0.25">
      <c r="A39" s="308"/>
      <c r="B39" s="307"/>
      <c r="C39" s="308"/>
      <c r="D39" s="309"/>
      <c r="E39" s="305" t="str">
        <f>IF(SUM(E36:E38)=0,"",SUM(E36:E38))</f>
        <v/>
      </c>
      <c r="F39" s="310"/>
      <c r="H39" s="1114" t="str">
        <f>IF(SUM(H36:H38)=0,"",SUM(H36:H38))</f>
        <v/>
      </c>
      <c r="I39" s="1115"/>
    </row>
    <row r="40" spans="1:9" ht="12" customHeight="1" x14ac:dyDescent="0.25">
      <c r="A40" s="311"/>
      <c r="B40" s="312"/>
      <c r="C40" s="311"/>
      <c r="D40" s="312"/>
      <c r="E40" s="312"/>
      <c r="F40" s="156"/>
    </row>
    <row r="41" spans="1:9" ht="12" customHeight="1" x14ac:dyDescent="0.25">
      <c r="A41" s="311"/>
      <c r="D41" s="313"/>
      <c r="F41" s="1116" t="s">
        <v>374</v>
      </c>
      <c r="G41" s="1117"/>
      <c r="H41" s="1095" t="str">
        <f>IF('INTERN Personal- und Sachkosten'!B53=0,"",('INTERN Personal- und Sachkosten'!B53))</f>
        <v/>
      </c>
      <c r="I41" s="1097"/>
    </row>
    <row r="42" spans="1:9" ht="12" customHeight="1" x14ac:dyDescent="0.25">
      <c r="A42" s="311"/>
      <c r="D42" s="313"/>
      <c r="F42" s="1116" t="s">
        <v>375</v>
      </c>
      <c r="G42" s="1117"/>
      <c r="H42" s="1118" t="str">
        <f>IF(H41="","",E39)</f>
        <v/>
      </c>
      <c r="I42" s="1119"/>
    </row>
    <row r="43" spans="1:9" ht="12" customHeight="1" x14ac:dyDescent="0.25">
      <c r="A43" s="311"/>
      <c r="D43" s="313"/>
      <c r="F43" s="1116" t="s">
        <v>376</v>
      </c>
      <c r="G43" s="1117"/>
      <c r="H43" s="1120" t="str">
        <f>IF(H42="","",12)</f>
        <v/>
      </c>
      <c r="I43" s="1121"/>
    </row>
    <row r="44" spans="1:9" ht="12" customHeight="1" x14ac:dyDescent="0.25">
      <c r="A44" s="311"/>
      <c r="D44" s="313"/>
      <c r="F44" s="1116" t="s">
        <v>377</v>
      </c>
      <c r="G44" s="1117"/>
      <c r="H44" s="1114" t="str">
        <f>IF(H41="","",H41/H42/H43)</f>
        <v/>
      </c>
      <c r="I44" s="1115"/>
    </row>
    <row r="45" spans="1:9" x14ac:dyDescent="0.25">
      <c r="A45" s="311"/>
      <c r="D45" s="313"/>
      <c r="F45" s="314"/>
      <c r="G45" s="314"/>
    </row>
    <row r="46" spans="1:9" x14ac:dyDescent="0.25">
      <c r="A46" s="270" t="s">
        <v>356</v>
      </c>
      <c r="B46" s="301"/>
      <c r="C46" s="301"/>
      <c r="D46" s="301"/>
      <c r="E46" s="301"/>
      <c r="F46" s="301"/>
      <c r="G46" s="301"/>
    </row>
    <row r="47" spans="1:9" x14ac:dyDescent="0.25">
      <c r="A47" s="1101"/>
      <c r="B47" s="1102"/>
      <c r="C47" s="1102"/>
      <c r="D47" s="1102"/>
      <c r="E47" s="1102"/>
      <c r="F47" s="1102"/>
      <c r="G47" s="1102"/>
      <c r="H47" s="1102"/>
      <c r="I47" s="1103"/>
    </row>
    <row r="48" spans="1:9" ht="27.75" customHeight="1" x14ac:dyDescent="0.25">
      <c r="A48" s="316" t="s">
        <v>366</v>
      </c>
      <c r="B48" s="322" t="s">
        <v>367</v>
      </c>
      <c r="C48" s="316" t="s">
        <v>368</v>
      </c>
      <c r="D48" s="317" t="s">
        <v>369</v>
      </c>
      <c r="E48" s="318" t="str">
        <f>IF(Platzkosten!$R$20=0,"",(IF(H53="","",Platzkosten!$R$20)))</f>
        <v/>
      </c>
      <c r="F48" s="1114" t="str">
        <f>IF(E48="","",H56)</f>
        <v/>
      </c>
      <c r="G48" s="1115"/>
      <c r="H48" s="1114" t="str">
        <f>IF(F48="","",F48*H55*E48)</f>
        <v/>
      </c>
      <c r="I48" s="1115"/>
    </row>
    <row r="49" spans="1:9" ht="27.75" customHeight="1" x14ac:dyDescent="0.25">
      <c r="A49" s="302" t="s">
        <v>366</v>
      </c>
      <c r="B49" s="303" t="s">
        <v>370</v>
      </c>
      <c r="C49" s="302" t="s">
        <v>368</v>
      </c>
      <c r="D49" s="304" t="s">
        <v>369</v>
      </c>
      <c r="E49" s="305" t="str">
        <f>IF(Platzkosten!$R$37=0,"",(IF(H53="","",Platzkosten!$R$37)))</f>
        <v/>
      </c>
      <c r="F49" s="1114" t="str">
        <f>IF(E49="","",H56)</f>
        <v/>
      </c>
      <c r="G49" s="1115"/>
      <c r="H49" s="1114" t="str">
        <f>IF(F49="","",F49*H55*E49)</f>
        <v/>
      </c>
      <c r="I49" s="1115"/>
    </row>
    <row r="50" spans="1:9" ht="27.75" customHeight="1" x14ac:dyDescent="0.25">
      <c r="A50" s="302" t="s">
        <v>371</v>
      </c>
      <c r="B50" s="303" t="s">
        <v>372</v>
      </c>
      <c r="C50" s="302" t="s">
        <v>371</v>
      </c>
      <c r="D50" s="304" t="s">
        <v>373</v>
      </c>
      <c r="E50" s="305" t="str">
        <f>IF(Platzkosten!$R$56=0,"",(IF(H53="","",Platzkosten!$R$56)))</f>
        <v/>
      </c>
      <c r="F50" s="1114" t="str">
        <f>IF(E50="","",H56)</f>
        <v/>
      </c>
      <c r="G50" s="1115"/>
      <c r="H50" s="1114" t="str">
        <f>IF(F50="","",F50*H55*E50)</f>
        <v/>
      </c>
      <c r="I50" s="1115"/>
    </row>
    <row r="51" spans="1:9" ht="27.75" customHeight="1" x14ac:dyDescent="0.25">
      <c r="A51" s="306"/>
      <c r="B51" s="307"/>
      <c r="C51" s="308"/>
      <c r="D51" s="309"/>
      <c r="E51" s="305" t="str">
        <f>IF(SUM(E48:E50)=0,"",SUM(E48:E50))</f>
        <v/>
      </c>
      <c r="F51" s="310"/>
      <c r="H51" s="1114" t="str">
        <f>IF(SUM(H48:H50)=0,"",SUM(H48:H50))</f>
        <v/>
      </c>
      <c r="I51" s="1115"/>
    </row>
    <row r="52" spans="1:9" ht="12" customHeight="1" x14ac:dyDescent="0.25">
      <c r="A52" s="311"/>
      <c r="B52" s="312"/>
      <c r="C52" s="311"/>
      <c r="D52" s="312"/>
      <c r="E52" s="312"/>
      <c r="F52" s="156"/>
    </row>
    <row r="53" spans="1:9" ht="12" customHeight="1" x14ac:dyDescent="0.25">
      <c r="C53" s="311"/>
      <c r="D53" s="313"/>
      <c r="F53" s="1116" t="s">
        <v>374</v>
      </c>
      <c r="G53" s="1117"/>
      <c r="H53" s="1095" t="str">
        <f>IF('INTERN Personal- und Sachkosten'!B55=0,"",('INTERN Personal- und Sachkosten'!B55))</f>
        <v/>
      </c>
      <c r="I53" s="1097"/>
    </row>
    <row r="54" spans="1:9" ht="12" customHeight="1" x14ac:dyDescent="0.25">
      <c r="C54" s="311"/>
      <c r="D54" s="313"/>
      <c r="F54" s="1116" t="s">
        <v>375</v>
      </c>
      <c r="G54" s="1117"/>
      <c r="H54" s="1118" t="str">
        <f>IF(E51="","",E51)</f>
        <v/>
      </c>
      <c r="I54" s="1119"/>
    </row>
    <row r="55" spans="1:9" ht="12" customHeight="1" x14ac:dyDescent="0.25">
      <c r="C55" s="311"/>
      <c r="D55" s="313"/>
      <c r="F55" s="1116" t="s">
        <v>376</v>
      </c>
      <c r="G55" s="1117"/>
      <c r="H55" s="1120" t="str">
        <f>IF(H54="","",12)</f>
        <v/>
      </c>
      <c r="I55" s="1121"/>
    </row>
    <row r="56" spans="1:9" ht="12" customHeight="1" x14ac:dyDescent="0.25">
      <c r="C56" s="311"/>
      <c r="D56" s="313"/>
      <c r="F56" s="1116" t="s">
        <v>377</v>
      </c>
      <c r="G56" s="1117"/>
      <c r="H56" s="1114" t="str">
        <f>IF(H53="","",H53/H54/H55)</f>
        <v/>
      </c>
      <c r="I56" s="1115"/>
    </row>
    <row r="57" spans="1:9" x14ac:dyDescent="0.25">
      <c r="H57" s="319"/>
    </row>
    <row r="58" spans="1:9" x14ac:dyDescent="0.25">
      <c r="H58" s="319"/>
    </row>
    <row r="59" spans="1:9" ht="27.75" customHeight="1" x14ac:dyDescent="0.25">
      <c r="A59" s="324"/>
      <c r="B59" s="324"/>
      <c r="C59" s="324"/>
      <c r="D59" s="324"/>
      <c r="E59" s="324"/>
      <c r="G59" s="325" t="s">
        <v>367</v>
      </c>
      <c r="H59" s="1114">
        <f>IF(H12="",0,H12)+IF(H24="",0,H24)+IF(H36="",0,H36)+IF(H48="",0,H48)</f>
        <v>0</v>
      </c>
      <c r="I59" s="1115"/>
    </row>
    <row r="60" spans="1:9" ht="27.75" customHeight="1" x14ac:dyDescent="0.25">
      <c r="A60" s="324"/>
      <c r="B60" s="324"/>
      <c r="C60" s="324"/>
      <c r="D60" s="324"/>
      <c r="E60" s="324"/>
      <c r="G60" s="325" t="s">
        <v>370</v>
      </c>
      <c r="H60" s="1114">
        <f>IF(H13="",0,H13)+IF(H25="",0,H25)+IF(H37="",0,H37)+IF(H49="",0,H49)</f>
        <v>0</v>
      </c>
      <c r="I60" s="1115"/>
    </row>
    <row r="61" spans="1:9" ht="27.75" customHeight="1" thickBot="1" x14ac:dyDescent="0.3">
      <c r="A61" s="324"/>
      <c r="B61" s="324"/>
      <c r="C61" s="324"/>
      <c r="D61" s="324"/>
      <c r="E61" s="324"/>
      <c r="G61" s="325" t="s">
        <v>372</v>
      </c>
      <c r="H61" s="1122">
        <f>IF(H14="",0,H14)+IF(H26="",0,H26)+IF(H38="",0,H38)+IF(H50="",0,H50)</f>
        <v>0</v>
      </c>
      <c r="I61" s="1123"/>
    </row>
    <row r="62" spans="1:9" ht="27.75" customHeight="1" thickBot="1" x14ac:dyDescent="0.3">
      <c r="A62" s="324"/>
      <c r="B62" s="324"/>
      <c r="C62" s="324"/>
      <c r="D62" s="324"/>
      <c r="E62" s="324"/>
      <c r="F62" s="324"/>
      <c r="H62" s="1112">
        <f>SUM(H59:H61)</f>
        <v>0</v>
      </c>
      <c r="I62" s="1113"/>
    </row>
    <row r="181" spans="1:7" x14ac:dyDescent="0.25">
      <c r="A181" s="156"/>
      <c r="B181" s="156"/>
      <c r="C181" s="156"/>
      <c r="D181" s="156"/>
      <c r="E181" s="156"/>
      <c r="F181" s="156"/>
      <c r="G181" s="156"/>
    </row>
  </sheetData>
  <mergeCells count="80">
    <mergeCell ref="H5:I8"/>
    <mergeCell ref="A1:B1"/>
    <mergeCell ref="C1:I1"/>
    <mergeCell ref="A2:B2"/>
    <mergeCell ref="C2:I2"/>
    <mergeCell ref="A3:B3"/>
    <mergeCell ref="C3:I3"/>
    <mergeCell ref="A5:A8"/>
    <mergeCell ref="B5:B8"/>
    <mergeCell ref="C5:C7"/>
    <mergeCell ref="E5:E8"/>
    <mergeCell ref="F5:G8"/>
    <mergeCell ref="F19:G19"/>
    <mergeCell ref="H19:I19"/>
    <mergeCell ref="A11:I11"/>
    <mergeCell ref="F12:G12"/>
    <mergeCell ref="H12:I12"/>
    <mergeCell ref="F13:G13"/>
    <mergeCell ref="H13:I13"/>
    <mergeCell ref="F14:G14"/>
    <mergeCell ref="H14:I14"/>
    <mergeCell ref="H15:I15"/>
    <mergeCell ref="F17:G17"/>
    <mergeCell ref="H17:I17"/>
    <mergeCell ref="F18:G18"/>
    <mergeCell ref="H18:I18"/>
    <mergeCell ref="F30:G30"/>
    <mergeCell ref="H30:I30"/>
    <mergeCell ref="F20:G20"/>
    <mergeCell ref="H20:I20"/>
    <mergeCell ref="A23:I23"/>
    <mergeCell ref="F24:G24"/>
    <mergeCell ref="H24:I24"/>
    <mergeCell ref="F25:G25"/>
    <mergeCell ref="H25:I25"/>
    <mergeCell ref="F26:G26"/>
    <mergeCell ref="H26:I26"/>
    <mergeCell ref="H27:I27"/>
    <mergeCell ref="F29:G29"/>
    <mergeCell ref="H29:I29"/>
    <mergeCell ref="F41:G41"/>
    <mergeCell ref="H41:I41"/>
    <mergeCell ref="F31:G31"/>
    <mergeCell ref="H31:I31"/>
    <mergeCell ref="F32:G32"/>
    <mergeCell ref="H32:I32"/>
    <mergeCell ref="A35:I35"/>
    <mergeCell ref="F36:G36"/>
    <mergeCell ref="H36:I36"/>
    <mergeCell ref="F37:G37"/>
    <mergeCell ref="H37:I37"/>
    <mergeCell ref="F38:G38"/>
    <mergeCell ref="H38:I38"/>
    <mergeCell ref="H39:I39"/>
    <mergeCell ref="F50:G50"/>
    <mergeCell ref="H50:I50"/>
    <mergeCell ref="F42:G42"/>
    <mergeCell ref="H42:I42"/>
    <mergeCell ref="F43:G43"/>
    <mergeCell ref="H43:I43"/>
    <mergeCell ref="F44:G44"/>
    <mergeCell ref="H44:I44"/>
    <mergeCell ref="A47:I47"/>
    <mergeCell ref="F48:G48"/>
    <mergeCell ref="H48:I48"/>
    <mergeCell ref="F49:G49"/>
    <mergeCell ref="H49:I49"/>
    <mergeCell ref="H62:I62"/>
    <mergeCell ref="H51:I51"/>
    <mergeCell ref="F53:G53"/>
    <mergeCell ref="H53:I53"/>
    <mergeCell ref="F54:G54"/>
    <mergeCell ref="H54:I54"/>
    <mergeCell ref="F55:G55"/>
    <mergeCell ref="H55:I55"/>
    <mergeCell ref="F56:G56"/>
    <mergeCell ref="H56:I56"/>
    <mergeCell ref="H59:I59"/>
    <mergeCell ref="H60:I60"/>
    <mergeCell ref="H61:I61"/>
  </mergeCells>
  <printOptions horizontalCentered="1"/>
  <pageMargins left="0.78740157480314965" right="0.78740157480314965" top="0.98425196850393704" bottom="0.59055118110236227" header="0.19685039370078741" footer="0.19685039370078741"/>
  <pageSetup paperSize="9" fitToHeight="0" orientation="portrait" r:id="rId1"/>
  <headerFooter>
    <oddHeader xml:space="preserve">&amp;L&amp;"Arial,Fett"&amp;22Salzlandkreis&amp;11
&amp;12Der Landrat&amp;C&amp;"Arial,Fett"
Ermittlung der Platzkosten&amp;R&amp;G
</oddHeader>
    <oddFooter>&amp;L&amp;"Arial,Standard"&amp;8Ausfertigung vom &amp;D &amp;T&amp;R&amp;"Arial,Standard"&amp;8&amp;P von &amp;N</oddFooter>
  </headerFooter>
  <rowBreaks count="1" manualBreakCount="1">
    <brk id="45"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3" tint="0.39997558519241921"/>
  </sheetPr>
  <dimension ref="A1:P13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ustomWidth="1"/>
    <col min="13" max="13" width="10.28515625" style="1" customWidth="1"/>
    <col min="14" max="14" width="11.140625" style="1" customWidth="1"/>
    <col min="15" max="15" width="11.5703125" style="1" customWidth="1"/>
    <col min="16" max="16" width="10.7109375" style="1" customWidth="1"/>
    <col min="17" max="16384" width="11.42578125" style="1"/>
  </cols>
  <sheetData>
    <row r="1" spans="1:16" s="12" customFormat="1" ht="13.5" customHeight="1" x14ac:dyDescent="0.2">
      <c r="A1" s="1178" t="s">
        <v>18</v>
      </c>
      <c r="B1" s="1178"/>
      <c r="C1" s="1178"/>
      <c r="D1" s="1179" t="str">
        <f>IF(Grundlagen!$C$6="","",Grundlagen!$C$6)</f>
        <v/>
      </c>
      <c r="E1" s="1179"/>
      <c r="F1" s="1179"/>
      <c r="G1" s="1179"/>
      <c r="H1" s="1179"/>
      <c r="I1" s="1179"/>
      <c r="J1" s="1179"/>
      <c r="K1" s="1179"/>
      <c r="L1" s="1179"/>
      <c r="M1" s="1179"/>
      <c r="N1" s="1179"/>
    </row>
    <row r="2" spans="1:16" s="12" customFormat="1" ht="15" customHeight="1" x14ac:dyDescent="0.2">
      <c r="A2" s="1178" t="s">
        <v>17</v>
      </c>
      <c r="B2" s="1178"/>
      <c r="C2" s="1178" t="s">
        <v>15</v>
      </c>
      <c r="D2" s="1179" t="str">
        <f>IF(Grundlagen!$C$9="","",Grundlagen!$C$9)</f>
        <v/>
      </c>
      <c r="E2" s="1179"/>
      <c r="F2" s="1179"/>
      <c r="G2" s="1179"/>
      <c r="H2" s="1179"/>
      <c r="I2" s="1179"/>
      <c r="J2" s="1179"/>
      <c r="K2" s="1179"/>
      <c r="L2" s="1179"/>
      <c r="M2" s="1179"/>
      <c r="N2" s="1179"/>
    </row>
    <row r="3" spans="1:16" s="12" customFormat="1" ht="15" customHeight="1" x14ac:dyDescent="0.2">
      <c r="A3" s="1178" t="s">
        <v>16</v>
      </c>
      <c r="B3" s="1178"/>
      <c r="C3" s="1178" t="s">
        <v>15</v>
      </c>
      <c r="D3" s="1179" t="str">
        <f>IF(Grundlagen!$C$13="","",Grundlagen!$C$13)</f>
        <v/>
      </c>
      <c r="E3" s="1179"/>
      <c r="F3" s="1179"/>
      <c r="G3" s="1179"/>
      <c r="H3" s="1179"/>
      <c r="I3" s="1179"/>
      <c r="J3" s="1179"/>
      <c r="K3" s="1178" t="s">
        <v>103</v>
      </c>
      <c r="L3" s="1178"/>
      <c r="M3" s="1178"/>
      <c r="N3" s="41" t="str">
        <f>IF(Grundlagen!$C$14="","",Grundlagen!$C$14)</f>
        <v/>
      </c>
    </row>
    <row r="4" spans="1:16" s="13" customFormat="1" ht="11.25" x14ac:dyDescent="0.2">
      <c r="A4" s="1182"/>
      <c r="B4" s="1182"/>
      <c r="C4" s="1182"/>
      <c r="D4" s="1183"/>
      <c r="E4" s="1183"/>
      <c r="F4" s="1183"/>
      <c r="G4" s="1183"/>
      <c r="H4" s="1183"/>
      <c r="I4" s="1183"/>
      <c r="J4" s="1183"/>
      <c r="K4" s="11"/>
      <c r="L4" s="11"/>
      <c r="M4" s="11"/>
      <c r="N4" s="11"/>
      <c r="O4" s="11"/>
      <c r="P4" s="11"/>
    </row>
    <row r="5" spans="1:16" s="15" customFormat="1" ht="13.5" customHeight="1" x14ac:dyDescent="0.2">
      <c r="A5" s="1177" t="s">
        <v>20</v>
      </c>
      <c r="B5" s="1177"/>
      <c r="C5" s="1177"/>
      <c r="D5" s="1177"/>
      <c r="E5" s="1177"/>
      <c r="F5" s="1177"/>
      <c r="G5" s="1177"/>
      <c r="H5" s="1177"/>
      <c r="I5" s="1177"/>
      <c r="J5" s="1177"/>
      <c r="K5" s="9"/>
      <c r="L5" s="9"/>
      <c r="M5" s="9"/>
      <c r="N5" s="59" t="s">
        <v>154</v>
      </c>
      <c r="O5" s="905">
        <f>Grundlagen!$C$4</f>
        <v>2022</v>
      </c>
      <c r="P5" s="59" t="s">
        <v>154</v>
      </c>
    </row>
    <row r="6" spans="1:16" s="10" customFormat="1" ht="13.5" customHeight="1" x14ac:dyDescent="0.25">
      <c r="B6" s="32"/>
      <c r="C6" s="32"/>
      <c r="D6" s="5" t="s">
        <v>21</v>
      </c>
      <c r="E6" s="5"/>
      <c r="F6" s="31"/>
      <c r="G6" s="31"/>
      <c r="H6" s="31"/>
      <c r="I6" s="26"/>
      <c r="J6" s="1174" t="s">
        <v>14</v>
      </c>
      <c r="K6" s="1174"/>
      <c r="L6" s="180"/>
      <c r="N6" s="84">
        <f>IF(L8=0,0,L8)</f>
        <v>0</v>
      </c>
      <c r="O6" s="58" t="s">
        <v>270</v>
      </c>
      <c r="P6" s="85">
        <f>IF(N11="","",N11)</f>
        <v>0</v>
      </c>
    </row>
    <row r="7" spans="1:16" s="7" customFormat="1" ht="13.5" customHeight="1" x14ac:dyDescent="0.25">
      <c r="A7" s="1180" t="s">
        <v>71</v>
      </c>
      <c r="B7" s="1180"/>
      <c r="C7" s="1180"/>
      <c r="D7" s="1184"/>
      <c r="E7" s="1184"/>
      <c r="F7" s="1184"/>
      <c r="G7" s="1184"/>
      <c r="H7" s="1184"/>
      <c r="I7" s="1184"/>
      <c r="J7" s="1174" t="s">
        <v>104</v>
      </c>
      <c r="K7" s="1174"/>
      <c r="L7" s="105"/>
      <c r="N7" s="85">
        <f>IF(N6="","",N6)</f>
        <v>0</v>
      </c>
      <c r="O7" s="58" t="s">
        <v>271</v>
      </c>
      <c r="P7" s="85">
        <f>IF(P6="","",P6)</f>
        <v>0</v>
      </c>
    </row>
    <row r="8" spans="1:16" ht="13.5" customHeight="1" x14ac:dyDescent="0.2">
      <c r="A8" s="1180" t="s">
        <v>13</v>
      </c>
      <c r="B8" s="1180"/>
      <c r="C8" s="1180"/>
      <c r="D8" s="1181"/>
      <c r="E8" s="1181"/>
      <c r="F8" s="1181"/>
      <c r="G8" s="1181"/>
      <c r="H8" s="1181"/>
      <c r="I8" s="1181"/>
      <c r="J8" s="1174" t="s">
        <v>105</v>
      </c>
      <c r="K8" s="1174"/>
      <c r="L8" s="169">
        <f>IF((Grundlagen!$C$58)&lt;=L7-L9,Grundlagen!$C$58,IF((Grundlagen!$C$58)&gt;=(L7-L9),(L7-L9),IF(IF(SUM(L52+L96)=0,Grundlagen!$C$58,Grundlagen!$C$58)-(SUM(L52+L96))&lt;0,0,IF(SUM(L52+L96)=0,Grundlagen!$C$58,Grundlagen!$C$58)-(SUM(L52+L96)))))</f>
        <v>0</v>
      </c>
      <c r="M8" s="171"/>
      <c r="N8" s="85">
        <f>IF(N7="","",N7)</f>
        <v>0</v>
      </c>
      <c r="O8" s="58" t="s">
        <v>272</v>
      </c>
      <c r="P8" s="85">
        <f t="shared" ref="P8:P11" si="0">IF(P7="","",P7)</f>
        <v>0</v>
      </c>
    </row>
    <row r="9" spans="1:16" ht="13.5" customHeight="1" x14ac:dyDescent="0.2">
      <c r="A9" s="1180" t="s">
        <v>12</v>
      </c>
      <c r="B9" s="1180"/>
      <c r="C9" s="1180"/>
      <c r="D9" s="1181"/>
      <c r="E9" s="1181"/>
      <c r="F9" s="1181"/>
      <c r="G9" s="1181"/>
      <c r="H9" s="1181"/>
      <c r="I9" s="1181"/>
      <c r="J9" s="1174" t="s">
        <v>763</v>
      </c>
      <c r="K9" s="1174"/>
      <c r="L9" s="170"/>
      <c r="N9" s="85">
        <f>IF(N8="","",N8)</f>
        <v>0</v>
      </c>
      <c r="O9" s="58" t="s">
        <v>273</v>
      </c>
      <c r="P9" s="85">
        <f t="shared" si="0"/>
        <v>0</v>
      </c>
    </row>
    <row r="10" spans="1:16" ht="13.5" customHeight="1" x14ac:dyDescent="0.2">
      <c r="A10" s="1180" t="s">
        <v>19</v>
      </c>
      <c r="B10" s="1180"/>
      <c r="C10" s="1180"/>
      <c r="D10" s="1181"/>
      <c r="E10" s="1181"/>
      <c r="F10" s="1181"/>
      <c r="G10" s="1181"/>
      <c r="H10" s="1181"/>
      <c r="I10" s="1181"/>
      <c r="J10" s="1174" t="s">
        <v>97</v>
      </c>
      <c r="K10" s="1174"/>
      <c r="L10" s="17" t="str">
        <f>IF(IF((COUNTIF(B26:B37,"&gt;0"))=0,0,(COUNTIF(B26:B37,"&gt;0")))&gt;Grundlagen!$C$24,Grundlagen!$C$24,IF((COUNTIF(B26:B37,"&gt;0"))=0,"",(COUNTIF(B26:B37,"&gt;0"))))</f>
        <v/>
      </c>
      <c r="M10" s="92"/>
      <c r="N10" s="85">
        <f t="shared" ref="N10:N11" si="1">IF(N9="","",N9)</f>
        <v>0</v>
      </c>
      <c r="O10" s="58" t="s">
        <v>274</v>
      </c>
      <c r="P10" s="85">
        <f t="shared" si="0"/>
        <v>0</v>
      </c>
    </row>
    <row r="11" spans="1:16" ht="13.5" customHeight="1" x14ac:dyDescent="0.2">
      <c r="B11" s="8"/>
      <c r="C11" s="104" t="s">
        <v>162</v>
      </c>
      <c r="D11" s="1175"/>
      <c r="E11" s="1175"/>
      <c r="F11" s="1176" t="s">
        <v>106</v>
      </c>
      <c r="G11" s="1176"/>
      <c r="H11" s="1175"/>
      <c r="I11" s="1175"/>
      <c r="L11" s="147" t="str">
        <f>IF((SUM(F14:F17))=0,"",IF(P12&gt;L7,L7,IF(L7="","",IF(L10="","",P12))))</f>
        <v/>
      </c>
      <c r="N11" s="85">
        <f t="shared" si="1"/>
        <v>0</v>
      </c>
      <c r="O11" s="58" t="s">
        <v>275</v>
      </c>
      <c r="P11" s="85">
        <f t="shared" si="0"/>
        <v>0</v>
      </c>
    </row>
    <row r="12" spans="1:16" ht="13.5" customHeight="1" x14ac:dyDescent="0.2">
      <c r="I12" s="6"/>
      <c r="O12" s="174" t="s">
        <v>251</v>
      </c>
      <c r="P12" s="175">
        <f>IF(L10="",0,((IF(SUMIF(B26,"&gt;0"),N6,0))+(IF(SUMIF(B27,"&gt;0"),N7,0))+(IF(SUMIF(B28,"&gt;0"),N8,0))+(IF(SUMIF(B29,"&gt;0"),N9,0))+(IF(SUMIF(B30,"&gt;0"),N10,0))+(IF(SUMIF(B31,"&gt;0"),N11,0))+(IF(SUMIF(B32,"&gt;0"),P6,0))+(IF(SUMIF(B33,"&gt;0"),P7,0))+(IF(SUMIF(B34,"&gt;0"),P8,0))+(IF(SUMIF(B35,"&gt;0"),P9,0))+(IF(SUMIF(B36,"&gt;0"),P10,0))+(IF(SUMIF(B37,"&gt;0"),P11,0)))/Grundlagen!$C$24)</f>
        <v>0</v>
      </c>
    </row>
    <row r="13" spans="1:16" s="52" customFormat="1" ht="13.5" customHeight="1" x14ac:dyDescent="0.2">
      <c r="A13" s="61" t="s">
        <v>148</v>
      </c>
      <c r="B13" s="1168" t="s">
        <v>149</v>
      </c>
      <c r="C13" s="1168"/>
      <c r="D13" s="62" t="s">
        <v>150</v>
      </c>
      <c r="E13" s="63" t="s">
        <v>151</v>
      </c>
      <c r="F13" s="64" t="str">
        <f>CONCATENATE("Entg. ",N3," h/Wo")</f>
        <v>Entg.  h/Wo</v>
      </c>
      <c r="G13" s="65" t="s">
        <v>152</v>
      </c>
      <c r="H13" s="65" t="s">
        <v>153</v>
      </c>
      <c r="K13" s="1169" t="str">
        <f>CONCATENATE("Zuschläge / Zulagen für ",N3,"h/Wo")</f>
        <v>Zuschläge / Zulagen für h/Wo</v>
      </c>
      <c r="L13" s="1169"/>
      <c r="M13" s="66" t="str">
        <f>IF(A14="","",A14)</f>
        <v>Jan 2022</v>
      </c>
      <c r="N13" s="66" t="str">
        <f>IF(A15="","",A15)</f>
        <v/>
      </c>
      <c r="O13" s="66" t="str">
        <f>IF(A16="","",A16)</f>
        <v/>
      </c>
      <c r="P13" s="66" t="str">
        <f>IF(A17="","",A17)</f>
        <v/>
      </c>
    </row>
    <row r="14" spans="1:16" s="52" customFormat="1" ht="13.5" customHeight="1" x14ac:dyDescent="0.25">
      <c r="A14" s="54" t="str">
        <f>A26</f>
        <v>Jan 2022</v>
      </c>
      <c r="B14" s="1170" t="str">
        <f>IF(D3="","",D3)</f>
        <v/>
      </c>
      <c r="C14" s="1171"/>
      <c r="D14" s="181"/>
      <c r="E14" s="181"/>
      <c r="F14" s="87"/>
      <c r="G14" s="56">
        <f>IF(N3="",0,F14/N3/4.348)</f>
        <v>0</v>
      </c>
      <c r="H14" s="53">
        <f>IF(G14=0,0,M19)</f>
        <v>0</v>
      </c>
      <c r="K14" s="1146"/>
      <c r="L14" s="1146"/>
      <c r="M14" s="172"/>
      <c r="N14" s="172"/>
      <c r="O14" s="172"/>
      <c r="P14" s="172"/>
    </row>
    <row r="15" spans="1:16" s="52" customFormat="1" ht="13.5" customHeight="1" x14ac:dyDescent="0.25">
      <c r="A15" s="55"/>
      <c r="B15" s="1172" t="str">
        <f>IF(A15="","",B14)</f>
        <v/>
      </c>
      <c r="C15" s="1173"/>
      <c r="D15" s="181"/>
      <c r="E15" s="181"/>
      <c r="F15" s="87"/>
      <c r="G15" s="56">
        <f>IF(N3="",0,F15/N3/4.348)</f>
        <v>0</v>
      </c>
      <c r="H15" s="53">
        <f>IF(G15=0,0,N19)</f>
        <v>0</v>
      </c>
      <c r="K15" s="1146"/>
      <c r="L15" s="1146"/>
      <c r="M15" s="172"/>
      <c r="N15" s="172"/>
      <c r="O15" s="172"/>
      <c r="P15" s="172"/>
    </row>
    <row r="16" spans="1:16" s="52" customFormat="1" ht="13.5" customHeight="1" x14ac:dyDescent="0.25">
      <c r="A16" s="55"/>
      <c r="B16" s="1172" t="str">
        <f>IF(A16="","",B15)</f>
        <v/>
      </c>
      <c r="C16" s="1173"/>
      <c r="D16" s="181"/>
      <c r="E16" s="181"/>
      <c r="F16" s="88"/>
      <c r="G16" s="56">
        <f>IF(N3="",0,F16/N3/4.348)</f>
        <v>0</v>
      </c>
      <c r="H16" s="53">
        <f>IF(G16=0,0,O19)</f>
        <v>0</v>
      </c>
      <c r="K16" s="1146"/>
      <c r="L16" s="1146"/>
      <c r="M16" s="172"/>
      <c r="N16" s="172"/>
      <c r="O16" s="172"/>
      <c r="P16" s="172"/>
    </row>
    <row r="17" spans="1:16" s="52" customFormat="1" ht="13.5" customHeight="1" x14ac:dyDescent="0.25">
      <c r="A17" s="55"/>
      <c r="B17" s="1172" t="str">
        <f>IF(A17="","",B16)</f>
        <v/>
      </c>
      <c r="C17" s="1173"/>
      <c r="D17" s="181"/>
      <c r="E17" s="181"/>
      <c r="F17" s="87"/>
      <c r="G17" s="56">
        <f>IF(N3="",0,F17/N3/4.348)</f>
        <v>0</v>
      </c>
      <c r="H17" s="53">
        <f>IF(G17=0,0,P19)</f>
        <v>0</v>
      </c>
      <c r="K17" s="1146"/>
      <c r="L17" s="1146"/>
      <c r="M17" s="172"/>
      <c r="N17" s="172"/>
      <c r="O17" s="172"/>
      <c r="P17" s="172"/>
    </row>
    <row r="18" spans="1:16" s="52" customFormat="1" ht="13.5" customHeight="1" x14ac:dyDescent="0.25">
      <c r="B18" s="1167" t="s">
        <v>157</v>
      </c>
      <c r="C18" s="1167"/>
      <c r="E18" s="1167" t="s">
        <v>156</v>
      </c>
      <c r="F18" s="1167"/>
      <c r="J18" s="69"/>
      <c r="K18" s="1146"/>
      <c r="L18" s="1146"/>
      <c r="M18" s="172"/>
      <c r="N18" s="172"/>
      <c r="O18" s="172"/>
      <c r="P18" s="172"/>
    </row>
    <row r="19" spans="1:16" s="52" customFormat="1" ht="13.5" customHeight="1" x14ac:dyDescent="0.25">
      <c r="A19" s="70" t="s">
        <v>167</v>
      </c>
      <c r="B19" s="67"/>
      <c r="C19" s="89"/>
      <c r="D19" s="70" t="s">
        <v>167</v>
      </c>
      <c r="E19" s="67"/>
      <c r="F19" s="89"/>
      <c r="J19" s="68"/>
      <c r="M19" s="173">
        <f>SUM(M14:M18)</f>
        <v>0</v>
      </c>
      <c r="N19" s="173">
        <f t="shared" ref="N19:P19" si="2">SUM(N14:N18)</f>
        <v>0</v>
      </c>
      <c r="O19" s="173">
        <f t="shared" si="2"/>
        <v>0</v>
      </c>
      <c r="P19" s="173">
        <f t="shared" si="2"/>
        <v>0</v>
      </c>
    </row>
    <row r="20" spans="1:16" s="52" customFormat="1" ht="13.5" customHeight="1" x14ac:dyDescent="0.2">
      <c r="A20" s="60" t="s">
        <v>155</v>
      </c>
    </row>
    <row r="21" spans="1:16" ht="14.25" customHeight="1" x14ac:dyDescent="0.2">
      <c r="A21" s="1147"/>
      <c r="B21" s="1149" t="s">
        <v>9</v>
      </c>
      <c r="C21" s="1150"/>
      <c r="D21" s="1150"/>
      <c r="E21" s="1150"/>
      <c r="F21" s="1150"/>
      <c r="G21" s="1151"/>
      <c r="H21" s="1152" t="s">
        <v>119</v>
      </c>
      <c r="I21" s="1153"/>
      <c r="J21" s="1153"/>
      <c r="K21" s="1153"/>
      <c r="L21" s="1153"/>
      <c r="M21" s="1153"/>
      <c r="N21" s="1153"/>
      <c r="O21" s="33"/>
      <c r="P21" s="1154" t="s">
        <v>0</v>
      </c>
    </row>
    <row r="22" spans="1:16" ht="14.25" customHeight="1" x14ac:dyDescent="0.2">
      <c r="A22" s="1148"/>
      <c r="B22" s="1157" t="s">
        <v>117</v>
      </c>
      <c r="C22" s="103" t="s">
        <v>115</v>
      </c>
      <c r="D22" s="1159" t="s">
        <v>277</v>
      </c>
      <c r="E22" s="1161" t="s">
        <v>147</v>
      </c>
      <c r="F22" s="30" t="s">
        <v>7</v>
      </c>
      <c r="G22" s="1162" t="s">
        <v>6</v>
      </c>
      <c r="H22" s="1161" t="s">
        <v>129</v>
      </c>
      <c r="I22" s="1161" t="s">
        <v>5</v>
      </c>
      <c r="J22" s="1161" t="s">
        <v>4</v>
      </c>
      <c r="K22" s="1161" t="s">
        <v>3</v>
      </c>
      <c r="L22" s="1161" t="s">
        <v>121</v>
      </c>
      <c r="M22" s="1161" t="s">
        <v>122</v>
      </c>
      <c r="N22" s="1161" t="s">
        <v>123</v>
      </c>
      <c r="O22" s="1160" t="s">
        <v>114</v>
      </c>
      <c r="P22" s="1155"/>
    </row>
    <row r="23" spans="1:16" ht="14.25" customHeight="1" x14ac:dyDescent="0.2">
      <c r="A23" s="1148"/>
      <c r="B23" s="1157"/>
      <c r="C23" s="21" t="str">
        <f>IF(C19="","",C19)</f>
        <v/>
      </c>
      <c r="D23" s="1160"/>
      <c r="E23" s="1161"/>
      <c r="F23" s="1165" t="str">
        <f>IF(H14=0,"","siehe Zuschläge / Zulagen")</f>
        <v/>
      </c>
      <c r="G23" s="1162"/>
      <c r="H23" s="1164" t="s">
        <v>127</v>
      </c>
      <c r="I23" s="1164"/>
      <c r="J23" s="1164"/>
      <c r="K23" s="1164"/>
      <c r="L23" s="1164"/>
      <c r="M23" s="1164"/>
      <c r="N23" s="1164"/>
      <c r="O23" s="1160"/>
      <c r="P23" s="1155"/>
    </row>
    <row r="24" spans="1:16" x14ac:dyDescent="0.2">
      <c r="A24" s="1148"/>
      <c r="B24" s="1157"/>
      <c r="C24" s="102" t="s">
        <v>70</v>
      </c>
      <c r="D24" s="1160"/>
      <c r="E24" s="1161"/>
      <c r="F24" s="1165"/>
      <c r="G24" s="1162"/>
      <c r="H24" s="43" t="s">
        <v>128</v>
      </c>
      <c r="I24" s="43" t="s">
        <v>255</v>
      </c>
      <c r="J24" s="43" t="s">
        <v>256</v>
      </c>
      <c r="K24" s="43" t="s">
        <v>257</v>
      </c>
      <c r="L24" s="43"/>
      <c r="M24" s="43"/>
      <c r="N24" s="43" t="s">
        <v>254</v>
      </c>
      <c r="O24" s="1160"/>
      <c r="P24" s="1155"/>
    </row>
    <row r="25" spans="1:16" x14ac:dyDescent="0.2">
      <c r="A25" s="1148"/>
      <c r="B25" s="1158"/>
      <c r="C25" s="21" t="str">
        <f>IF(F19="","",F19)</f>
        <v/>
      </c>
      <c r="D25" s="51"/>
      <c r="E25" s="51"/>
      <c r="F25" s="1166"/>
      <c r="G25" s="1163"/>
      <c r="H25" s="93"/>
      <c r="I25" s="187"/>
      <c r="J25" s="187"/>
      <c r="K25" s="42"/>
      <c r="L25" s="21"/>
      <c r="M25" s="21"/>
      <c r="N25" s="25"/>
      <c r="O25" s="25"/>
      <c r="P25" s="1156"/>
    </row>
    <row r="26" spans="1:16" x14ac:dyDescent="0.2">
      <c r="A26" s="100" t="str">
        <f>CONCATENATE("Jan ",O5)</f>
        <v>Jan 2022</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76">
        <f>ROUND(IF((SUM(B26:F26))&gt;L41,L41*H25,SUM(B26:F26)*H25),2)</f>
        <v>0</v>
      </c>
      <c r="I26" s="76">
        <f>ROUND(IF((SUM(B26:F26))&gt;L42,L42*I25,SUM(B26:F26)*I25),2)</f>
        <v>0</v>
      </c>
      <c r="J26" s="76">
        <f>ROUND(IF((SUM(B26:F26))&gt;L42,L42*J25,SUM(B26:F26)*J25),2)</f>
        <v>0</v>
      </c>
      <c r="K26" s="76">
        <f>ROUND(IF((SUM(B26:F26))&gt;L41,L41*K25,SUM(B26:F26)*K25),2)</f>
        <v>0</v>
      </c>
      <c r="L26" s="76">
        <f>ROUND(IF((SUM(B26:F26))&gt;L42,L42*L25,(SUM(B26:F26)-C26)*L25),2)</f>
        <v>0</v>
      </c>
      <c r="M26" s="76">
        <f>ROUND(IF((SUM(B26:F26))&gt;L42,L42*M25,(SUM(B26:F26)-C26)*M25),2)</f>
        <v>0</v>
      </c>
      <c r="N26" s="76">
        <f>ROUND(IF((SUM(B26:F26))&gt;L42,L42*N25,SUM(B26:F26)*N25),2)</f>
        <v>0</v>
      </c>
      <c r="O26" s="23">
        <f>ROUND(SUM(B26+C26+F26)*O25,2)</f>
        <v>0</v>
      </c>
      <c r="P26" s="27">
        <f>SUM(G26:O26)</f>
        <v>0</v>
      </c>
    </row>
    <row r="27" spans="1:16" x14ac:dyDescent="0.2">
      <c r="A27" s="100" t="str">
        <f>CONCATENATE("Feb ",O5)</f>
        <v>Feb 2022</v>
      </c>
      <c r="B27" s="24">
        <f>ROUND(IF(N7=0,0,IFERROR(((LOOKUP(2,1/(A14:A17=A27),G14:G17))*N7*4.348),B26/N7*N7)),2)</f>
        <v>0</v>
      </c>
      <c r="C27" s="23">
        <f>ROUND(IFERROR(((LOOKUP(2,1/(B19=A27),((SUM(B32:B34)+SUM(F32:F34))/3)*C19))),0)+IFERROR(((LOOKUP(2,1/(E19=A27),(B38+F38)*F19))),0),2)</f>
        <v>0</v>
      </c>
      <c r="D27" s="23">
        <f>ROUND(IF(B27=0,0,D25/L7*N7),2)</f>
        <v>0</v>
      </c>
      <c r="E27" s="23">
        <f>ROUND(IF(B27=0,0,E25/N3*N7),2)</f>
        <v>0</v>
      </c>
      <c r="F27" s="24">
        <f>ROUND(IF(N7=0,0,IFERROR(((LOOKUP(2,1/(A14:A17=A27),H14:H17))/N3*N7),F26/N7*N7)),2)</f>
        <v>0</v>
      </c>
      <c r="G27" s="27">
        <f t="shared" ref="G27:G37" si="3">SUM(B27+C27+E27+F27)</f>
        <v>0</v>
      </c>
      <c r="H27" s="76">
        <f>ROUND(IF(SUM(B26:F26)&lt;(L41*1),IF((SUM(B26:F27))&gt;(L41*2),(((L41*2)-(SUM(B26:F27)-C26))*H25)+((SUM(B27:F27)-C26)*H25),SUM(B27:F27)*H25),IF(SUM(B26:F27)&gt;(L41*2),L41*H25,SUM(B27:F27)*H25)),2)</f>
        <v>0</v>
      </c>
      <c r="I27" s="76">
        <f>ROUND(IF(SUM(B26:F26)&lt;(L42*1),IF((SUM(B26:F27))&gt;(L42*2),(((L42*2)-(SUM(B26:F27)-C26))*I25)+((SUM(B27:F27)-C26)*I25),SUM(B27:F27)*I25),IF(SUM(B26:F27)&gt;(L42*2),L42*I25,SUM(B27:F27)*I25)),2)</f>
        <v>0</v>
      </c>
      <c r="J27" s="76">
        <f>ROUND(IF(SUM(B26:F26)&lt;(L42*1),IF((SUM(B26:F27))&gt;(L42*2),(((L42*2)-(SUM(B26:F27)-C26))*J25)+((SUM(B27:F27)-C26)*J25),SUM(B27:F27)*J25),IF(SUM(B26:F27)&gt;(L42*2),L42*J25,SUM(B27:F27)*J25)),2)</f>
        <v>0</v>
      </c>
      <c r="K27" s="76">
        <f>ROUND(IF(SUM(B26:F26)&lt;(L41*1),IF((SUM(B26:F27))&gt;(L41*2),(((L41*2)-(SUM(B26:F27)-C26))*K25)+((SUM(B27:F27)-C26)*K25),SUM(B27:F27)*K25),IF(SUM(B26:F27)&gt;(L41*2),L41*K25,SUM(B27:F27)*K25)),2)</f>
        <v>0</v>
      </c>
      <c r="L27" s="76">
        <f>ROUND(IF(SUM(B26:F26)&lt;(L42*1),IF((SUM(B26:F27))&gt;(L42*2),(((L42*2)-(SUM(B26:F27)-C27))*L25)+((SUM(B27:F27)-C27)*L25),(SUM(B27:F27)-C27)*L25),IF(SUM(B26:F27)&gt;(L42*2),L42*L25,SUM(B27:F27)*L25)),2)</f>
        <v>0</v>
      </c>
      <c r="M27" s="76">
        <f>ROUND(IF(SUM(B26:F26)&lt;(L42*1),IF((SUM(B26:F27))&gt;(L42*2),(((L42*2)-(SUM(B26:F27)-C27))*M25)+((SUM(B27:F27)-C27)*M25),(SUM(B27:F27)-C27)*M25),IF(SUM(B26:F27)&gt;(L42*2),L42*M25,SUM(B27:F27)*M25)),2)</f>
        <v>0</v>
      </c>
      <c r="N27" s="76">
        <f>ROUND(IF(SUM(B26:F26)&lt;(L42*1),IF((SUM(B26:F27))&gt;(L42*2),(((L42*2)-(SUM(B26:F27)-C26))*N25)+((SUM(B27:F27)-C26)*N25),SUM(B27:F27)*N25),IF(SUM(B26:F27)&gt;(L42*2),L42*N25,SUM(B27:F27)*N25)),2)</f>
        <v>0</v>
      </c>
      <c r="O27" s="23">
        <f>ROUND(SUM(B27+C27+F27)*O25,2)</f>
        <v>0</v>
      </c>
      <c r="P27" s="27">
        <f>SUM(G27:O27)</f>
        <v>0</v>
      </c>
    </row>
    <row r="28" spans="1:16" x14ac:dyDescent="0.2">
      <c r="A28" s="100" t="str">
        <f>CONCATENATE("Mrz ",O5)</f>
        <v>Mrz 2022</v>
      </c>
      <c r="B28" s="24">
        <f>ROUND(IF(N8=0,0,IFERROR(((LOOKUP(2,1/(A14:A17=A28),G14:G17))*N8*4.348),B27/N8*N8)),2)</f>
        <v>0</v>
      </c>
      <c r="C28" s="23">
        <f>ROUND(IFERROR(((LOOKUP(2,1/(B19=A28),((SUM(B32:B34)+SUM(F32:F34))/3)*C19))),0)+IFERROR(((LOOKUP(2,1/(E19=A28),(B38+F38)*F19))),0),2)</f>
        <v>0</v>
      </c>
      <c r="D28" s="23">
        <f>ROUND(IF(B28=0,0,D25/L7*N8),2)</f>
        <v>0</v>
      </c>
      <c r="E28" s="23">
        <f>ROUND(IF(B28=0,0,E25/N3*N8),2)</f>
        <v>0</v>
      </c>
      <c r="F28" s="24">
        <f>ROUND(IF(N8=0,0,IFERROR(((LOOKUP(2,1/(A14:A17=A28),H14:H17))/N3*N8),F27/N8*N8)),2)</f>
        <v>0</v>
      </c>
      <c r="G28" s="27">
        <f t="shared" si="3"/>
        <v>0</v>
      </c>
      <c r="H28" s="76">
        <f>ROUND(IF(SUM(B26:F27)&lt;(L41*2),IF((SUM(B26:F28))&gt;(L41*3),(((L41*3)-(SUM(B26:F28)-C27))*H25)+((SUM(B28:F28)-C27)*H25),SUM(B28:F28)*H25),IF(SUM(B26:F28)&gt;(L41*3),L41*H25,SUM(B28:F28)*H25)),2)</f>
        <v>0</v>
      </c>
      <c r="I28" s="76">
        <f>ROUND(IF(SUM(B26:F27)&lt;(L42*2),IF((SUM(B26:F28))&gt;(L42*3),(((L42*3)-(SUM(B26:F28)-C27))*I25)+((SUM(B28:F28)-C27)*I25),SUM(B28:F28)*I25),IF(SUM(B26:F28)&gt;(L42*3),L42*I25,SUM(B28:F28)*I25)),2)</f>
        <v>0</v>
      </c>
      <c r="J28" s="76">
        <f>ROUND(IF(SUM(B26:F27)&lt;(L42*2),IF((SUM(B26:F28))&gt;(L42*3),(((L42*3)-(SUM(B26:F28)-C27))*J25)+((SUM(B28:F28)-C27)*J25),SUM(B28:F28)*J25),IF(SUM(B26:F28)&gt;(L42*3),L42*J25,SUM(B28:F28)*J25)),2)</f>
        <v>0</v>
      </c>
      <c r="K28" s="76">
        <f>ROUND(IF(SUM(B26:F27)&lt;(L41*2),IF((SUM(B26:F28))&gt;(L41*3),(((L41*3)-(SUM(B26:F28)-C27))*K25)+((SUM(B28:F28)-C27)*K25),SUM(B28:F28)*K25),IF(SUM(B26:F28)&gt;(L41*3),L41*K25,SUM(B28:F28)*K25)),2)</f>
        <v>0</v>
      </c>
      <c r="L28" s="76">
        <f>ROUND(IF(SUM(B26:F27)&lt;(L42*2),IF((SUM(B26:F28))&gt;(L42*3),(((L42*3)-(SUM(B26:F28)-C28))*L25)+((SUM(B28:F28)-C28)*L25),(SUM(B28:F28)-C28)*L25),IF(SUM(B26:F28)&gt;(L42*3),L42*L25,SUM(B28:F28)*L25)),2)</f>
        <v>0</v>
      </c>
      <c r="M28" s="76">
        <f>ROUND(IF(SUM(B26:F27)&lt;(L42*2),IF((SUM(B26:F28))&gt;(L42*3),(((L42*3)-(SUM(B26:F28)-C28))*M25)+((SUM(B28:F28)-C28)*M25),(SUM(B28:F28)-C28)*M25),IF(SUM(B26:F28)&gt;(L42*3),L42*M25,SUM(B28:F28)*M25)),2)</f>
        <v>0</v>
      </c>
      <c r="N28" s="76">
        <f>ROUND(IF(SUM(B26:F27)&lt;(L42*2),IF((SUM(B26:F28))&gt;(L42*3),(((L42*3)-(SUM(B26:F28)-C27))*N25)+((SUM(B28:F28)-C27)*N25),SUM(B28:F28)*N25),IF(SUM(B26:F28)&gt;(L42*3),L42*N25,SUM(B28:F28)*N25)),2)</f>
        <v>0</v>
      </c>
      <c r="O28" s="23">
        <f>ROUND(SUM(B28+C28+F28)*O25,2)</f>
        <v>0</v>
      </c>
      <c r="P28" s="27">
        <f t="shared" ref="P28:P37" si="4">SUM(G28:O28)</f>
        <v>0</v>
      </c>
    </row>
    <row r="29" spans="1:16" x14ac:dyDescent="0.2">
      <c r="A29" s="100" t="str">
        <f>CONCATENATE("Apr ",O5)</f>
        <v>Apr 2022</v>
      </c>
      <c r="B29" s="24">
        <f>ROUND(IF(N9=0,0,IFERROR(((LOOKUP(2,1/(A14:A17=A29),G14:G17))*N9*4.348),B28/N9*N9)),2)</f>
        <v>0</v>
      </c>
      <c r="C29" s="23">
        <f>ROUND(IFERROR(((LOOKUP(2,1/(B19=A29),((SUM(B32:B34)+SUM(F32:F34))/3)*C19))),0)+IFERROR(((LOOKUP(2,1/(E19=A29),(B38+F38)*F19))),0),2)</f>
        <v>0</v>
      </c>
      <c r="D29" s="23">
        <f>ROUND(IF(B29=0,0,D25/L7*N9),2)</f>
        <v>0</v>
      </c>
      <c r="E29" s="23">
        <f>ROUND(IF(B29=0,0,E25/N3*N9),2)</f>
        <v>0</v>
      </c>
      <c r="F29" s="24">
        <f>ROUND(IF(N9=0,0,IFERROR(((LOOKUP(2,1/(A14:A17=A29),H14:H17))/N3*N9),F28/N9*N9)),2)</f>
        <v>0</v>
      </c>
      <c r="G29" s="27">
        <f t="shared" si="3"/>
        <v>0</v>
      </c>
      <c r="H29" s="76">
        <f>ROUND(IF(SUM(B26:F28)&lt;(L41*3),IF((SUM(B26:F29))&gt;(L41*4),(((L41*4)-(SUM(B26:F29)-C28))*H25)+((SUM(B29:F29)-C28)*H25),SUM(B29:F29)*H25),IF(SUM(B26:F29)&gt;(L41*4),L41*H25,SUM(B29:F29)*H25)),2)</f>
        <v>0</v>
      </c>
      <c r="I29" s="76">
        <f>ROUND(IF(SUM(B26:F28)&lt;(L42*3),IF((SUM(B26:F29))&gt;(L42*4),(((L42*4)-(SUM(B26:F29)-C28))*I25)+((SUM(B29:F29)-C28)*I25),SUM(B29:F29)*I25),IF(SUM(B26:F29)&gt;(L42*4),L42*I25,SUM(B29:F29)*I25)),2)</f>
        <v>0</v>
      </c>
      <c r="J29" s="76">
        <f>ROUND(IF(SUM(B26:F28)&lt;(L42*3),IF((SUM(B26:F29))&gt;(L42*4),(((L42*4)-(SUM(B26:F29)-C28))*J25)+((SUM(B29:F29)-C28)*J25),SUM(B29:F29)*J25),IF(SUM(B26:F29)&gt;(L42*4),L42*J25,SUM(B29:F29)*J25)),2)</f>
        <v>0</v>
      </c>
      <c r="K29" s="76">
        <f>ROUND(IF(SUM(B26:F28)&lt;(L41*3),IF((SUM(B26:F29))&gt;(L41*4),(((L41*4)-(SUM(B26:F29)-C28))*K25)+((SUM(B29:F29)-C28)*K25),SUM(B29:F29)*K25),IF(SUM(B26:F29)&gt;(L41*4),L41*K25,SUM(B29:F29)*K25)),2)</f>
        <v>0</v>
      </c>
      <c r="L29" s="76">
        <f>ROUND(IF(SUM(B26:F28)&lt;(L42*3),IF((SUM(B26:F29))&gt;(L42*4),(((L42*4)-(SUM(B26:F29)-C29))*L25)+((SUM(B29:F29)-C29)*L25),(SUM(B29:F29)-C29)*L25),IF(SUM(B26:F29)&gt;(L42*4),L42*L25,SUM(B29:F29)*L25)),2)</f>
        <v>0</v>
      </c>
      <c r="M29" s="76">
        <f>ROUND(IF(SUM(B26:F28)&lt;(L42*3),IF((SUM(B26:F29))&gt;(L42*4),(((L42*4)-(SUM(B26:F29)-C29))*M25)+((SUM(B29:F29)-C29)*M25),(SUM(B29:F29)-C29)*M25),IF(SUM(B26:F29)&gt;(L42*4),L42*M25,SUM(B29:F29)*M25)),2)</f>
        <v>0</v>
      </c>
      <c r="N29" s="76">
        <f>ROUND(IF(SUM(B26:F28)&lt;(L42*3),IF((SUM(B26:F29))&gt;(L42*4),(((L42*4)-(SUM(B26:F29)-C28))*N25)+((SUM(B29:F29)-C28)*N25),SUM(B29:F29)*N25),IF(SUM(B26:F29)&gt;(L42*4),L42*N25,SUM(B29:F29)*N25)),2)</f>
        <v>0</v>
      </c>
      <c r="O29" s="23">
        <f>ROUND(SUM(B29+C29+F29)*O25,2)</f>
        <v>0</v>
      </c>
      <c r="P29" s="27">
        <f t="shared" si="4"/>
        <v>0</v>
      </c>
    </row>
    <row r="30" spans="1:16" x14ac:dyDescent="0.2">
      <c r="A30" s="100" t="str">
        <f>CONCATENATE("Mai ",O5)</f>
        <v>Mai 2022</v>
      </c>
      <c r="B30" s="24">
        <f>ROUND(IF(N10=0,0,IFERROR(((LOOKUP(2,1/(A14:A17=A30),G14:G17))*N10*4.348),B29/N10*N10)),2)</f>
        <v>0</v>
      </c>
      <c r="C30" s="23">
        <f>ROUND(IFERROR(((LOOKUP(2,1/(B19=A30),((SUM(B32:B34)+SUM(F32:F34))/3)*C19))),0)+IFERROR(((LOOKUP(2,1/(E19=A30),(B38+F38)*F19))),0),2)</f>
        <v>0</v>
      </c>
      <c r="D30" s="23">
        <f>ROUND(IF(B30=0,0,D25/L7*N10),2)</f>
        <v>0</v>
      </c>
      <c r="E30" s="23">
        <f>ROUND(IF(B30=0,0,E25/N3*N10),2)</f>
        <v>0</v>
      </c>
      <c r="F30" s="24">
        <f>ROUND(IF(N10=0,0,IFERROR(((LOOKUP(2,1/(A14:A17=A30),H14:H17))/N3*N10),F29/N10*N10)),2)</f>
        <v>0</v>
      </c>
      <c r="G30" s="27">
        <f t="shared" si="3"/>
        <v>0</v>
      </c>
      <c r="H30" s="76">
        <f>ROUND(IF(SUM(B26:F29)&lt;(L41*4),IF((SUM(B26:F30))&gt;(L41*5),(((L41*5)-(SUM(B26:F30)-C29))*H25)+((SUM(B30:F30)-C29)*H25),SUM(B30:F30)*H25),IF(SUM(B26:F30)&gt;(L41*5),L41*H25,SUM(B30:F30)*H25)),2)</f>
        <v>0</v>
      </c>
      <c r="I30" s="76">
        <f>ROUND(IF(SUM(B26:F29)&lt;(L42*4),IF((SUM(B26:F30))&gt;(L42*5),(((L42*5)-(SUM(B26:F30)-C29))*I25)+((SUM(B30:F30)-C29)*I25),SUM(B30:F30)*I25),IF(SUM(B26:F30)&gt;(L42*5),L42*I25,SUM(B30:F30)*I25)),2)</f>
        <v>0</v>
      </c>
      <c r="J30" s="76">
        <f>ROUND(IF(SUM(B26:F29)&lt;(L42*4),IF((SUM(B26:F30))&gt;(L42*5),(((L42*5)-(SUM(B26:F30)-C29))*J25)+((SUM(B30:F30)-C29)*J25),SUM(B30:F30)*J25),IF(SUM(B26:F30)&gt;(L42*5),L42*J25,SUM(B30:F30)*J25)),2)</f>
        <v>0</v>
      </c>
      <c r="K30" s="76">
        <f>ROUND(IF(SUM(B26:F29)&lt;(L41*4),IF((SUM(B26:F30))&gt;(L41*5),(((L41*5)-(SUM(B26:F30)-C29))*K25)+((SUM(B30:F30)-C29)*K25),SUM(B30:F30)*K25),IF(SUM(B26:F30)&gt;(L41*5),L41*K25,SUM(B30:F30)*K25)),2)</f>
        <v>0</v>
      </c>
      <c r="L30" s="76">
        <f>ROUND(IF(SUM(B26:F29)&lt;(L42*4),IF((SUM(B26:F30))&gt;(L42*5),(((L42*5)-(SUM(B26:F30)-C30))*L25)+((SUM(B30:F30)-C30)*L25),(SUM(B30:F30)-C30)*L25),IF(SUM(B26:F30)&gt;(L42*5),L42*L25,SUM(B30:F30)*L25)),2)</f>
        <v>0</v>
      </c>
      <c r="M30" s="76">
        <f>ROUND(IF(SUM(B26:F29)&lt;(L42*4),IF((SUM(B26:F30))&gt;(L42*5),(((L42*5)-(SUM(B26:F30)-C30))*M25)+((SUM(B30:F30)-C30)*M25),(SUM(B30:F30)-C30)*M25),IF(SUM(B26:F30)&gt;(L42*5),L42*M25,SUM(B30:F30)*M25)),2)</f>
        <v>0</v>
      </c>
      <c r="N30" s="76">
        <f>ROUND(IF(SUM(B26:F29)&lt;(L42*4),IF((SUM(B26:F30))&gt;(L42*5),(((L42*5)-(SUM(B26:F30)-C29))*N25)+((SUM(B30:F30)-C29)*N25),SUM(B30:F30)*N25),IF(SUM(B26:F30)&gt;(L42*5),L42*N25,SUM(B30:F30)*N25)),2)</f>
        <v>0</v>
      </c>
      <c r="O30" s="23">
        <f>ROUND(SUM(B30+C30+F30)*O25,2)</f>
        <v>0</v>
      </c>
      <c r="P30" s="27">
        <f t="shared" si="4"/>
        <v>0</v>
      </c>
    </row>
    <row r="31" spans="1:16" x14ac:dyDescent="0.2">
      <c r="A31" s="100" t="str">
        <f>CONCATENATE("Jun ",O5)</f>
        <v>Jun 2022</v>
      </c>
      <c r="B31" s="24">
        <f>ROUND(IF(N11=0,0,IFERROR(((LOOKUP(2,1/(A14:A17=A31),G14:G17))*N11*4.348),B30/N11*N11)),2)</f>
        <v>0</v>
      </c>
      <c r="C31" s="23">
        <f>ROUND(IFERROR(((LOOKUP(2,1/(B19=A31),((SUM(B32:B34)+SUM(F32:F34))/3)*C19))),0)+IFERROR(((LOOKUP(2,1/(E19=A31),(B38+F38)*F19))),0),2)</f>
        <v>0</v>
      </c>
      <c r="D31" s="23">
        <f>ROUND(IF(B31=0,0,D25/L7*N11),2)</f>
        <v>0</v>
      </c>
      <c r="E31" s="23">
        <f>ROUND(IF(B31=0,0,E25/N3*N11),2)</f>
        <v>0</v>
      </c>
      <c r="F31" s="24">
        <f>ROUND(IF(N11=0,0,IFERROR(((LOOKUP(2,1/(A14:A17=A31),H14:H17))/N3*N11),F30/N11*N11)),2)</f>
        <v>0</v>
      </c>
      <c r="G31" s="27">
        <f t="shared" si="3"/>
        <v>0</v>
      </c>
      <c r="H31" s="76">
        <f>ROUND(IF(SUM(B26:F30)&lt;(L41*5),IF((SUM(B26:F31))&gt;(L41*6),(((L41*6)-(SUM(B26:F31)-C30))*H25)+((SUM(B31:F31)-C30)*H25),SUM(B31:F31)*H25),IF(SUM(B26:F31)&gt;(L41*6),L41*H25,SUM(B31:F31)*H25)),2)</f>
        <v>0</v>
      </c>
      <c r="I31" s="76">
        <f>ROUND(IF(SUM(B26:F30)&lt;(L42*5),IF((SUM(B26:F31))&gt;(L42*6),(((L42*6)-(SUM(B26:F31)-C30))*I25)+((SUM(B31:F31)-C30)*I25),SUM(B31:F31)*I25),IF(SUM(B26:F31)&gt;(L42*6),L42*I25,SUM(B31:F31)*I25)),2)</f>
        <v>0</v>
      </c>
      <c r="J31" s="76">
        <f>ROUND(IF(SUM(B26:F30)&lt;(L42*5),IF((SUM(B26:F31))&gt;(L42*6),(((L42*6)-(SUM(B26:F31)-C30))*J25)+((SUM(B31:F31)-C30)*J25),SUM(B31:F31)*J25),IF(SUM(B26:F31)&gt;(L42*6),L42*J25,SUM(B31:F31)*J25)),2)</f>
        <v>0</v>
      </c>
      <c r="K31" s="76">
        <f>ROUND(IF(SUM(B26:F30)&lt;(L41*5),IF((SUM(B26:F31))&gt;(L41*6),(((L41*6)-(SUM(B26:F31)-C30))*K25)+((SUM(B31:F31)-C30)*K25),SUM(B31:F31)*K25),IF(SUM(B26:F31)&gt;(L41*6),L41*K25,SUM(B31:F31)*K25)),2)</f>
        <v>0</v>
      </c>
      <c r="L31" s="76">
        <f>ROUND(IF(SUM(B26:F30)&lt;(L42*5),IF((SUM(B26:F31))&gt;(L42*6),(((L42*6)-(SUM(B26:F31)-C31))*L25)+((SUM(B31:F31)-C31)*L25),(SUM(B31:F31)-C31)*L25),IF(SUM(B26:F31)&gt;(L42*6),L42*L25,SUM(B31:F31)*L25)),2)</f>
        <v>0</v>
      </c>
      <c r="M31" s="76">
        <f>ROUND(IF(SUM(B26:F30)&lt;(L42*5),IF((SUM(B26:F31))&gt;(L42*6),(((L42*6)-(SUM(B26:F31)-C31))*M25)+((SUM(B31:F31)-C31)*M25),(SUM(B31:F31)-C31)*M25),IF(SUM(B26:F31)&gt;(L42*6),L42*M25,SUM(B31:F31)*M25)),2)</f>
        <v>0</v>
      </c>
      <c r="N31" s="76">
        <f>ROUND(IF(SUM(B26:F30)&lt;(L42*5),IF((SUM(B26:F31))&gt;(L42*6),(((L42*6)-(SUM(B26:F31)-C30))*N25)+((SUM(B31:F31)-C30)*N25),SUM(B31:F31)*N25),IF(SUM(B26:F31)&gt;(L42*6),L42*N25,SUM(B31:F31)*N25)),2)</f>
        <v>0</v>
      </c>
      <c r="O31" s="23">
        <f>ROUND(SUM(B31+C31+F31)*O25,2)</f>
        <v>0</v>
      </c>
      <c r="P31" s="27">
        <f t="shared" si="4"/>
        <v>0</v>
      </c>
    </row>
    <row r="32" spans="1:16" x14ac:dyDescent="0.2">
      <c r="A32" s="100" t="str">
        <f>CONCATENATE("Jul ",O5)</f>
        <v>Jul 2022</v>
      </c>
      <c r="B32" s="24">
        <f>ROUND(IF(P6=0,0,IFERROR(((LOOKUP(2,1/(A14:A17=A32),G14:G17))*P6*4.348),B31/P6*P6)),2)</f>
        <v>0</v>
      </c>
      <c r="C32" s="23">
        <f>ROUND(IFERROR(((LOOKUP(2,1/(B19=A32),((SUM(B32:B34)+SUM(F32:F34))/3)*C19))),0)+IFERROR(((LOOKUP(2,1/(E19=A32),(B38+F38)*F19))),0),2)</f>
        <v>0</v>
      </c>
      <c r="D32" s="23">
        <f>ROUND(IF(B32=0,0,D25/L7*P6),2)</f>
        <v>0</v>
      </c>
      <c r="E32" s="23">
        <f>ROUND(IF(B32=0,0,E25/N3*P6),2)</f>
        <v>0</v>
      </c>
      <c r="F32" s="24">
        <f>ROUND(IF(P6=0,0,IFERROR(((LOOKUP(2,1/(A14:A17=A32),H14:H17))/N3*P6),F31/P6*P6)),2)</f>
        <v>0</v>
      </c>
      <c r="G32" s="27">
        <f t="shared" si="3"/>
        <v>0</v>
      </c>
      <c r="H32" s="76">
        <f>ROUND(IF(SUM(B26:F31)&lt;(L41*6),IF((SUM(B26:F32))&gt;(L41*7),(((L41*7)-(SUM(B26:F32)-C31))*H25)+((SUM(B32:F32)-C31)*H25),SUM(B32:F32)*H25),IF(SUM(B26:F32)&gt;(L41*7),L41*H25,SUM(B32:F32)*H25)),2)</f>
        <v>0</v>
      </c>
      <c r="I32" s="76">
        <f>ROUND(IF(SUM(B26:F31)&lt;(L42*6),IF((SUM(B26:F32))&gt;(L42*7),(((L42*7)-(SUM(B26:F32)-C31))*I25)+((SUM(B32:F32)-C31)*I25),SUM(B32:F32)*I25),IF(SUM(B26:F32)&gt;(L42*7),L42*I25,SUM(B32:F32)*I25)),2)</f>
        <v>0</v>
      </c>
      <c r="J32" s="76">
        <f>ROUND(IF(SUM(B26:F31)&lt;(L42*6),IF((SUM(B26:F32))&gt;(L42*7),(((L42*7)-(SUM(B26:F32)-C31))*J25)+((SUM(B32:F32)-C31)*J25),SUM(B32:F32)*J25),IF(SUM(B26:F32)&gt;(L42*7),L42*J25,SUM(B32:F32)*J25)),2)</f>
        <v>0</v>
      </c>
      <c r="K32" s="76">
        <f>ROUND(IF(SUM(B26:F31)&lt;(L41*6),IF((SUM(B26:F32))&gt;(L41*7),(((L41*7)-(SUM(B26:F32)-C31))*K25)+((SUM(B32:F32)-C31)*K25),SUM(B32:F32)*K25),IF(SUM(B26:F32)&gt;(L41*7),L41*K25,SUM(B32:F32)*K25)),2)</f>
        <v>0</v>
      </c>
      <c r="L32" s="76">
        <f>ROUND(IF(SUM(B26:F31)&lt;(L42*6),IF((SUM(B26:F32))&gt;(L42*7),(((L42*7)-(SUM(B26:F32)-C32))*L25)+((SUM(B32:F32)-C32)*L25),(SUM(B32:F32)-C32)*L25),IF(SUM(B26:F32)&gt;(L42*7),L42*L25,SUM(B32:F32)*L25)),2)</f>
        <v>0</v>
      </c>
      <c r="M32" s="76">
        <f>ROUND(IF(SUM(B26:F31)&lt;(L42*6),IF((SUM(B26:F32))&gt;(L42*7),(((L42*7)-(SUM(B26:F32)-C32))*M25)+((SUM(B32:F32)-C32)*M25),(SUM(B32:F32)-C32)*M25),IF(SUM(B26:F32)&gt;(L42*7),L42*M25,SUM(B32:F32)*M25)),2)</f>
        <v>0</v>
      </c>
      <c r="N32" s="76">
        <f>ROUND(IF(SUM(B26:F31)&lt;(L42*6),IF((SUM(B26:F32))&gt;(L42*7),(((L42*7)-(SUM(B26:F32)-C31))*N25)+((SUM(B32:F32)-C31)*N25),SUM(B32:F32)*N25),IF(SUM(B26:F32)&gt;(L42*7),L42*N25,SUM(B32:F32)*N25)),2)</f>
        <v>0</v>
      </c>
      <c r="O32" s="23">
        <f>ROUND(SUM(B32+C32+F32)*O25,2)</f>
        <v>0</v>
      </c>
      <c r="P32" s="27">
        <f t="shared" si="4"/>
        <v>0</v>
      </c>
    </row>
    <row r="33" spans="1:16" x14ac:dyDescent="0.2">
      <c r="A33" s="100" t="str">
        <f>CONCATENATE("Aug ",O5)</f>
        <v>Aug 2022</v>
      </c>
      <c r="B33" s="24">
        <f>ROUND(IF(P7=0,0,IFERROR(((LOOKUP(2,1/(A14:A17=A33),G14:G17))*P7*4.348),B32/P7*P7)),2)</f>
        <v>0</v>
      </c>
      <c r="C33" s="23">
        <f>ROUND(IFERROR(((LOOKUP(2,1/(B19=A33),((SUM(B32:B34)+SUM(F32:F34))/3)*C19))),0)+IFERROR(((LOOKUP(2,1/(E19=A33),(B38+F38)*F19))),0),2)</f>
        <v>0</v>
      </c>
      <c r="D33" s="23">
        <f>ROUND(IF(B33=0,0,D25/L7*P7),2)</f>
        <v>0</v>
      </c>
      <c r="E33" s="23">
        <f>ROUND(IF(B33=0,0,E25/N3*P7),2)</f>
        <v>0</v>
      </c>
      <c r="F33" s="24">
        <f>ROUND(IF(P7=0,0,IFERROR(((LOOKUP(2,1/(A14:A17=A33),H14:H17))/N3*P7),F32/P7*P7)),2)</f>
        <v>0</v>
      </c>
      <c r="G33" s="27">
        <f t="shared" si="3"/>
        <v>0</v>
      </c>
      <c r="H33" s="76">
        <f>ROUND(IF(SUM(B26:F32)&lt;(L41*7),IF((SUM(B26:F33))&gt;(L41*8),(((L41*8)-(SUM(B26:F33)-C32))*H25)+((SUM(B33:F33)-C32)*H25),SUM(B33:F33)*H25),IF(SUM(B26:F33)&gt;(L41*8),L41*H25,SUM(B33:F33)*H25)),2)</f>
        <v>0</v>
      </c>
      <c r="I33" s="76">
        <f>ROUND(IF(SUM(B26:F32)&lt;(L42*7),IF((SUM(B26:F33))&gt;(L42*8),(((L42*8)-(SUM(B26:F33)-C32))*I25)+((SUM(B33:F33)-C32)*I25),SUM(B33:F33)*I25),IF(SUM(B26:F33)&gt;(L42*8),L42*I25,SUM(B33:F33)*I25)),2)</f>
        <v>0</v>
      </c>
      <c r="J33" s="76">
        <f>ROUND(IF(SUM(B26:F32)&lt;(L42*7),IF((SUM(B26:F33))&gt;(L42*8),(((L42*8)-(SUM(B26:F33)-C32))*J25)+((SUM(B33:F33)-C32)*J25),SUM(B33:F33)*J25),IF(SUM(B26:F33)&gt;(L42*8),L42*J25,SUM(B33:F33)*J25)),2)</f>
        <v>0</v>
      </c>
      <c r="K33" s="76">
        <f>ROUND(IF(SUM(B26:F32)&lt;(L41*7),IF((SUM(B26:F33))&gt;(L41*8),(((L41*8)-(SUM(B26:F33)-C32))*K25)+((SUM(B33:F33)-C32)*K25),SUM(B33:F33)*K25),IF(SUM(B26:F33)&gt;(L41*8),L41*K25,SUM(B33:F33)*K25)),2)</f>
        <v>0</v>
      </c>
      <c r="L33" s="76">
        <f>ROUND(IF(SUM(B26:F32)&lt;(L42*7),IF((SUM(B26:F33))&gt;(L42*8),(((L42*8)-(SUM(B26:F33)-C33))*L25)+((SUM(B33:F33)-C33)*L25),(SUM(B33:F33)-C33)*L25),IF(SUM(B26:F33)&gt;(L42*8),L42*L25,SUM(B33:F33)*L25)),2)</f>
        <v>0</v>
      </c>
      <c r="M33" s="76">
        <f>ROUND(IF(SUM(B26:F32)&lt;(L42*7),IF((SUM(B26:F33))&gt;(L42*8),(((L42*8)-(SUM(B26:F33)-C33))*M25)+((SUM(B33:F33)-C33)*M25),(SUM(B33:F33)-C33)*M25),IF(SUM(B26:F33)&gt;(L42*8),L42*M25,SUM(B33:F33)*M25)),2)</f>
        <v>0</v>
      </c>
      <c r="N33" s="76">
        <f>ROUND(IF(SUM(B26:F32)&lt;(L42*7),IF((SUM(B26:F33))&gt;(L42*8),(((L42*8)-(SUM(B26:F33)-C32))*N25)+((SUM(B33:F33)-C32)*N25),SUM(B33:F33)*N25),IF(SUM(B26:F33)&gt;(L42*8),L42*N25,SUM(B33:F33)*N25)),2)</f>
        <v>0</v>
      </c>
      <c r="O33" s="23">
        <f>ROUND(SUM(B33+C33+F33)*O25,2)</f>
        <v>0</v>
      </c>
      <c r="P33" s="27">
        <f t="shared" si="4"/>
        <v>0</v>
      </c>
    </row>
    <row r="34" spans="1:16" x14ac:dyDescent="0.2">
      <c r="A34" s="100" t="str">
        <f>CONCATENATE("Sep ",O5)</f>
        <v>Sep 2022</v>
      </c>
      <c r="B34" s="24">
        <f>ROUND(IF(P8=0,0,IFERROR(((LOOKUP(2,1/(A14:A17=A34),G14:G17))*P8*4.348),B33/P8*P8)),2)</f>
        <v>0</v>
      </c>
      <c r="C34" s="23">
        <f>ROUND(IFERROR(((LOOKUP(2,1/(B19=A34),((SUM(B32:B34)+SUM(F32:F34))/3)*C19))),0)+IFERROR(((LOOKUP(2,1/(E19=A34),(B38+F38)*F19))),0),2)</f>
        <v>0</v>
      </c>
      <c r="D34" s="23">
        <f>ROUND(IF(B34=0,0,D25/L7*P8),2)</f>
        <v>0</v>
      </c>
      <c r="E34" s="23">
        <f>ROUND(IF(B34=0,0,E25/N3*P8),2)</f>
        <v>0</v>
      </c>
      <c r="F34" s="24">
        <f>ROUND(IF(P8=0,0,IFERROR(((LOOKUP(2,1/(A14:A17=A34),H14:H17))/N3*P8),F33/P8*P8)),2)</f>
        <v>0</v>
      </c>
      <c r="G34" s="27">
        <f t="shared" si="3"/>
        <v>0</v>
      </c>
      <c r="H34" s="76">
        <f>ROUND(IF(SUM(B26:F33)&lt;(L41*8),IF((SUM(B26:F34))&gt;(L41*9),(((L41*9)-(SUM(B26:F34)-C33))*H25)+((SUM(B34:F34)-C33)*H25),SUM(B34:F34)*H25),IF(SUM(B26:F34)&gt;(L41*9),L41*H25,SUM(B34:F34)*H25)),2)</f>
        <v>0</v>
      </c>
      <c r="I34" s="76">
        <f>ROUND(IF(SUM(B26:F33)&lt;(L42*8),IF((SUM(B26:F34))&gt;(L42*9),(((L42*9)-(SUM(B26:F34)-C33))*I25)+((SUM(B34:F34)-C33)*I25),SUM(B34:F34)*I25),IF(SUM(B26:F34)&gt;(L42*9),L42*I25,SUM(B34:F34)*I25)),2)</f>
        <v>0</v>
      </c>
      <c r="J34" s="76">
        <f>ROUND(IF(SUM(B26:F33)&lt;(L42*8),IF((SUM(B26:F34))&gt;(L42*9),(((L42*9)-(SUM(B26:F34)-C33))*J25)+((SUM(B34:F34)-C33)*J25),SUM(B34:F34)*J25),IF(SUM(B26:F34)&gt;(L42*9),L42*J25,SUM(B34:F34)*J25)),2)</f>
        <v>0</v>
      </c>
      <c r="K34" s="76">
        <f>ROUND(IF(SUM(B26:F33)&lt;(L41*8),IF((SUM(B26:F34))&gt;(L41*9),(((L41*9)-(SUM(B26:F34)-C33))*K25)+((SUM(B34:F34)-C33)*K25),SUM(B34:F34)*K25),IF(SUM(B26:F34)&gt;(L41*9),L41*K25,SUM(B34:F34)*K25)),2)</f>
        <v>0</v>
      </c>
      <c r="L34" s="76">
        <f>ROUND(IF(SUM(B26:F33)&lt;(L42*8),IF((SUM(B26:F34))&gt;(L42*9),(((L42*9)-(SUM(B26:F34)-C34))*L25)+((SUM(B34:F34)-C34)*L25),(SUM(B34:F34)-C34)*L25),IF(SUM(B26:F34)&gt;(L42*9),L42*L25,SUM(B34:F34)*L25)),2)</f>
        <v>0</v>
      </c>
      <c r="M34" s="76">
        <f>ROUND(IF(SUM(B26:F33)&lt;(L42*8),IF((SUM(B26:F34))&gt;(L42*9),(((L42*9)-(SUM(B26:F34)-C34))*M25)+((SUM(B34:F34)-C34)*M25),(SUM(B34:F34)-C34)*M25),IF(SUM(B26:F34)&gt;(L42*9),L42*M25,SUM(B34:F34)*M25)),2)</f>
        <v>0</v>
      </c>
      <c r="N34" s="76">
        <f>ROUND(IF(SUM(B26:F33)&lt;(L42*8),IF((SUM(B26:F34))&gt;(L42*9),(((L42*9)-(SUM(B26:F34)-C33))*N25)+((SUM(B34:F34)-C33)*N25),SUM(B34:F34)*N25),IF(SUM(B26:F34)&gt;(L42*9),L42*N25,SUM(B34:F34)*N25)),2)</f>
        <v>0</v>
      </c>
      <c r="O34" s="23">
        <f>ROUND(SUM(B34+C34+F34)*O25,2)</f>
        <v>0</v>
      </c>
      <c r="P34" s="27">
        <f t="shared" si="4"/>
        <v>0</v>
      </c>
    </row>
    <row r="35" spans="1:16" x14ac:dyDescent="0.2">
      <c r="A35" s="100" t="str">
        <f>CONCATENATE("Okt ",O5)</f>
        <v>Okt 2022</v>
      </c>
      <c r="B35" s="24">
        <f>ROUND(IF(P9=0,0,IFERROR(((LOOKUP(2,1/(A14:A17=A35),G14:G17))*P9*4.348),B34/P9*P9)),2)</f>
        <v>0</v>
      </c>
      <c r="C35" s="23">
        <f>ROUND(IFERROR(((LOOKUP(2,1/(B19=A35),((SUM(B32:B34)+SUM(F32:F34))/3)*C19))),0)+IFERROR(((LOOKUP(2,1/(E19=A35),(B38+F38)*F19))),0),2)</f>
        <v>0</v>
      </c>
      <c r="D35" s="23">
        <f>ROUND(IF(B35=0,0,D25/L7*P9),2)</f>
        <v>0</v>
      </c>
      <c r="E35" s="23">
        <f>ROUND(IF(B35=0,0,E25/N3*P9),2)</f>
        <v>0</v>
      </c>
      <c r="F35" s="24">
        <f>ROUND(IF(P9=0,0,IFERROR(((LOOKUP(2,1/(A14:A17=A35),H14:H17))/N3*P9),F34/P9*P9)),2)</f>
        <v>0</v>
      </c>
      <c r="G35" s="27">
        <f t="shared" si="3"/>
        <v>0</v>
      </c>
      <c r="H35" s="76">
        <f>ROUND(IF(SUM(B26:F34)&lt;(L41*9),IF((SUM(B26:F35))&gt;(L41*10),(((L41*10)-(SUM(B26:F35)-C34))*H25)+((SUM(B35:F35)-C34)*H25),SUM(B35:F35)*H25),IF(SUM(B26:F35)&gt;(L41*10),L41*H25,SUM(B35:F35)*H25)),2)</f>
        <v>0</v>
      </c>
      <c r="I35" s="76">
        <f>ROUND(IF(SUM(B26:F34)&lt;(L42*9),IF((SUM(B26:F35))&gt;(L42*10),(((L42*10)-(SUM(B26:F35)-C34))*I25)+((SUM(B35:F35)-C34)*I25),SUM(B35:F35)*I25),IF(SUM(B26:F35)&gt;(L42*10),L42*I25,SUM(B35:F35)*I25)),2)</f>
        <v>0</v>
      </c>
      <c r="J35" s="76">
        <f>ROUND(IF(SUM(B26:F34)&lt;(L42*9),IF((SUM(B26:F35))&gt;(L42*10),(((L42*10)-(SUM(B26:F35)-C34))*J25)+((SUM(B35:F35)-C34)*J25),SUM(B35:F35)*J25),IF(SUM(B26:F35)&gt;(L42*10),L42*J25,SUM(B35:F35)*J25)),2)</f>
        <v>0</v>
      </c>
      <c r="K35" s="76">
        <f>ROUND(IF(SUM(B26:F34)&lt;(L41*9),IF((SUM(B26:F35))&gt;(L41*10),(((L41*10)-(SUM(B26:F35)-C34))*K25)+((SUM(B35:F35)-C34)*K25),SUM(B35:F35)*K25),IF(SUM(B26:F35)&gt;(L41*10),L41*K25,SUM(B35:F35)*K25)),2)</f>
        <v>0</v>
      </c>
      <c r="L35" s="76">
        <f>ROUND(IF(SUM(B26:F34)&lt;(L42*9),IF((SUM(B26:F35))&gt;(L42*10),(((L42*10)-(SUM(B26:F35)-C35))*L25)+((SUM(B35:F35)-C35)*L25),(SUM(B35:F35)-C35)*L25),IF(SUM(B26:F35)&gt;(L42*10),L42*L25,SUM(B35:F35)*L25)),2)</f>
        <v>0</v>
      </c>
      <c r="M35" s="76">
        <f>ROUND(IF(SUM(B26:F34)&lt;(L42*9),IF((SUM(B26:F35))&gt;(L42*10),(((L42*10)-(SUM(B26:F35)-C35))*M25)+((SUM(B35:F35)-C35)*M25),(SUM(B35:F35)-C35)*M25),IF(SUM(B26:F35)&gt;(L42*10),L42*M25,SUM(B35:F35)*M25)),2)</f>
        <v>0</v>
      </c>
      <c r="N35" s="76">
        <f>ROUND(IF(SUM(B26:F34)&lt;(L42*9),IF((SUM(B26:F35))&gt;(L42*10),(((L42*10)-(SUM(B26:F35)-C34))*N25)+((SUM(B35:F35)-C34)*N25),SUM(B35:F35)*N25),IF(SUM(B26:F35)&gt;(L42*10),L42*N25,SUM(B35:F35)*N25)),2)</f>
        <v>0</v>
      </c>
      <c r="O35" s="23">
        <f>ROUND(SUM(B35+C35+F35)*O25,2)</f>
        <v>0</v>
      </c>
      <c r="P35" s="27">
        <f t="shared" si="4"/>
        <v>0</v>
      </c>
    </row>
    <row r="36" spans="1:16" x14ac:dyDescent="0.2">
      <c r="A36" s="100" t="str">
        <f>CONCATENATE("Nov ",O5)</f>
        <v>Nov 2022</v>
      </c>
      <c r="B36" s="24">
        <f>ROUND(IF(P10=0,0,IFERROR(((LOOKUP(2,1/(A14:A17=A36),G14:G17))*P10*4.348),B35/P10*P10)),2)</f>
        <v>0</v>
      </c>
      <c r="C36" s="23">
        <f>ROUND(IFERROR(((LOOKUP(2,1/(B19=A36),((SUM(B32:B34)+SUM(F32:F34))/3)*C19))),0)+IFERROR(((LOOKUP(2,1/(E19=A36),(B38+F38)*F19))),0),2)</f>
        <v>0</v>
      </c>
      <c r="D36" s="23">
        <f>ROUND(IF(B36=0,0,D25/L7*P10),2)</f>
        <v>0</v>
      </c>
      <c r="E36" s="23">
        <f>ROUND(IF(B36=0,0,E25/N3*P10),2)</f>
        <v>0</v>
      </c>
      <c r="F36" s="24">
        <f>ROUND(IF(P10=0,0,IFERROR(((LOOKUP(2,1/(A14:A17=A36),H14:H17))/N3*P10),F35/P10*P10)),2)</f>
        <v>0</v>
      </c>
      <c r="G36" s="27">
        <f t="shared" si="3"/>
        <v>0</v>
      </c>
      <c r="H36" s="76">
        <f>ROUND(IF(SUM(B26:F35)&lt;(L41*10),IF((SUM(B26:F36))&gt;(L41*11),(((L41*11)-(SUM(B26:F36)-C35))*H25)+((SUM(B36:F36)-C35)*H25),SUM(B36:F36)*H25),IF(SUM(B26:F36)&gt;(L41*11),L41*H25,SUM(B36:F36)*H25)),2)</f>
        <v>0</v>
      </c>
      <c r="I36" s="76">
        <f>ROUND(IF(SUM(B26:F35)&lt;(L42*10),IF((SUM(B26:F36))&gt;(L42*11),(((L42*11)-(SUM(B26:F36)-C35))*I25)+((SUM(B36:F36)-C35)*I25),SUM(B36:F36)*I25),IF(SUM(B26:F36)&gt;(L42*11),L42*I25,SUM(B36:F36)*I25)),2)</f>
        <v>0</v>
      </c>
      <c r="J36" s="76">
        <f>ROUND(IF(SUM(B26:F35)&lt;(L42*10),IF((SUM(B26:F36))&gt;(L42*11),(((L42*11)-(SUM(B26:F36)-C35))*J25)+((SUM(B36:F36)-C35)*J25),SUM(B36:F36)*J25),IF(SUM(B26:F36)&gt;(L42*11),L42*J25,SUM(B36:F36)*J25)),2)</f>
        <v>0</v>
      </c>
      <c r="K36" s="76">
        <f>ROUND(IF(SUM(B26:F35)&lt;(L41*10),IF((SUM(B26:F36))&gt;(L41*11),(((L41*11)-(SUM(B26:F36)-C35))*K25)+((SUM(B36:F36)-C35)*K25),SUM(B36:F36)*K25),IF(SUM(B26:F36)&gt;(L41*11),L41*K25,SUM(B36:F36)*K25)),2)</f>
        <v>0</v>
      </c>
      <c r="L36" s="76">
        <f>ROUND(IF(SUM(B26:F35)&lt;(L42*10),IF((SUM(B26:F36))&gt;(L42*11),(((L42*11)-(SUM(B26:F36)-C36))*L25)+((SUM(B36:F36)-C36)*L25),(SUM(B36:F36)-C36)*L25),IF(SUM(B26:F36)&gt;(L42*11),L42*L25,SUM(B36:F36)*L25)),2)</f>
        <v>0</v>
      </c>
      <c r="M36" s="76">
        <f>ROUND(IF(SUM(B26:F35)&lt;(L42*10),IF((SUM(B26:F36))&gt;(L42*11),(((L42*11)-(SUM(B26:F36)-C36))*M25)+((SUM(B36:F36)-C36)*M25),(SUM(B36:F36)-C36)*M25),IF(SUM(B26:F36)&gt;(L42*11),L42*M25,SUM(B36:F36)*M25)),2)</f>
        <v>0</v>
      </c>
      <c r="N36" s="76">
        <f>ROUND(IF(SUM(B26:F35)&lt;(L42*10),IF((SUM(B26:F36))&gt;(L42*11),(((L42*11)-(SUM(B26:F36)-C35))*N25)+((SUM(B36:F36)-C35)*N25),SUM(B36:F36)*N25),IF(SUM(B26:F36)&gt;(L42*11),L42*N25,SUM(B36:F36)*N25)),2)</f>
        <v>0</v>
      </c>
      <c r="O36" s="23">
        <f>ROUND(SUM(B36+C36+F36)*O25,2)</f>
        <v>0</v>
      </c>
      <c r="P36" s="27">
        <f t="shared" si="4"/>
        <v>0</v>
      </c>
    </row>
    <row r="37" spans="1:16" x14ac:dyDescent="0.2">
      <c r="A37" s="100" t="str">
        <f>CONCATENATE("Dez ",O5)</f>
        <v>Dez 2022</v>
      </c>
      <c r="B37" s="24">
        <f>ROUND(IF(P11=0,0,IFERROR(((LOOKUP(2,1/(A14:A17=A37),G14:G17))*P11*4.348),B36/P11*P11)),2)</f>
        <v>0</v>
      </c>
      <c r="C37" s="23">
        <f>ROUND(IFERROR(((LOOKUP(2,1/(B19=A37),((SUM(B32:B34)+SUM(F32:F34))/3)*C19))),0)+IFERROR(((LOOKUP(2,1/(E19=A37),(B38+F38)*F19))),0),2)</f>
        <v>0</v>
      </c>
      <c r="D37" s="23">
        <f>ROUND(IF(B37=0,0,D25/L7*P11),2)</f>
        <v>0</v>
      </c>
      <c r="E37" s="23">
        <f>ROUND(IF(B37=0,0,E25/N3*P11),2)</f>
        <v>0</v>
      </c>
      <c r="F37" s="24">
        <f>ROUND(IF(P11=0,0,IFERROR(((LOOKUP(2,1/(A14:A17=A37),H14:H17))/N3*P11),F36/P11*P11)),2)</f>
        <v>0</v>
      </c>
      <c r="G37" s="27">
        <f t="shared" si="3"/>
        <v>0</v>
      </c>
      <c r="H37" s="76">
        <f>ROUND(IF(SUM(B26:F36)&lt;(L41*11),IF((SUM(B26:F37))&gt;(L41*12),(((L41*12)-(SUM(B26:F37)-C36))*H25)+((SUM(B37:F37)-C36)*H25),SUM(B37:F37)*H25),IF(SUM(B26:F37)&gt;(L41*12),L41*H25,SUM(B37:F37)*H25)),2)</f>
        <v>0</v>
      </c>
      <c r="I37" s="76">
        <f>ROUND(IF(SUM(B26:F36)&lt;(L42*11),IF((SUM(B26:F37))&gt;(L42*12),(((L42*12)-(SUM(B26:F37)-C36))*I25)+((SUM(B37:F37)-C36)*I25),SUM(B37:F37)*I25),IF(SUM(B26:F37)&gt;(L42*12),L42*I25,SUM(B37:F37)*I25)),2)</f>
        <v>0</v>
      </c>
      <c r="J37" s="76">
        <f>ROUND(IF(SUM(B26:F36)&lt;(L42*11),IF((SUM(B26:F37))&gt;(L42*12),(((L42*12)-(SUM(B26:F37)-C36))*J25)+((SUM(B37:F37)-C36)*J25),SUM(B37:F37)*J25),IF(SUM(B26:F37)&gt;(L42*12),L42*J25,SUM(B37:F37)*J25)),2)</f>
        <v>0</v>
      </c>
      <c r="K37" s="76">
        <f>ROUND(IF(SUM(B26:F36)&lt;(L41*11),IF((SUM(B26:F37))&gt;(L41*12),(((L41*12)-(SUM(B26:F37)-C36))*K25)+((SUM(B37:F37)-C36)*K25),SUM(B37:F37)*K25),IF(SUM(B26:F37)&gt;(L41*12),L41*K25,SUM(B37:F37)*K25)),2)</f>
        <v>0</v>
      </c>
      <c r="L37" s="76">
        <f>ROUND(IF(SUM(B26:F36)&lt;(L42*11),IF((SUM(B26:F37))&gt;(L42*12),(((L42*12)-(SUM(B26:F37)-C37))*L25)+((SUM(B37:F37)-C37)*L25),(SUM(B37:F37)-C37)*L25),IF(SUM(B26:F37)&gt;(L42*12),L42*L25,SUM(B37:F37)*L25)),2)</f>
        <v>0</v>
      </c>
      <c r="M37" s="76">
        <f>ROUND(IF(SUM(B26:F36)&lt;(L42*11),IF((SUM(B26:F37))&gt;(L42*12),(((L42*12)-(SUM(B26:F37)-C37))*M25)+((SUM(B37:F37)-C37)*M25),(SUM(B37:F37)-C37)*M25),IF(SUM(B26:F37)&gt;(L42*12),L42*M25,SUM(B37:F37)*M25)),2)</f>
        <v>0</v>
      </c>
      <c r="N37" s="76">
        <f>ROUND(IF(SUM(B26:F36)&lt;(L42*11),IF((SUM(B26:F37))&gt;(L42*12),(((L42*12)-(SUM(B26:F37)-C36))*N25)+((SUM(B37:F37)-C36)*N25),SUM(B37:F37)*N25),IF(SUM(B26:F37)&gt;(L42*12),L42*N25,SUM(B37:F37)*N25)),2)</f>
        <v>0</v>
      </c>
      <c r="O37" s="23">
        <f>ROUND(SUM(B37+C37+F37)*O25,2)</f>
        <v>0</v>
      </c>
      <c r="P37" s="27">
        <f t="shared" si="4"/>
        <v>0</v>
      </c>
    </row>
    <row r="38" spans="1:16" s="14" customFormat="1" ht="15" x14ac:dyDescent="0.25">
      <c r="A38" s="4" t="s">
        <v>2</v>
      </c>
      <c r="B38" s="27">
        <f>SUM(B26:B37)</f>
        <v>0</v>
      </c>
      <c r="C38" s="27">
        <f t="shared" ref="C38:D38" si="5">SUM(C26:C37)</f>
        <v>0</v>
      </c>
      <c r="D38" s="27">
        <f t="shared" si="5"/>
        <v>0</v>
      </c>
      <c r="E38" s="27">
        <f>SUM(E26:E37)</f>
        <v>0</v>
      </c>
      <c r="F38" s="27">
        <f>SUM(F26:F37)</f>
        <v>0</v>
      </c>
      <c r="G38" s="27">
        <f>SUM(G26:G37)</f>
        <v>0</v>
      </c>
      <c r="H38" s="1133">
        <f>SUM(H26:N37)</f>
        <v>0</v>
      </c>
      <c r="I38" s="1134"/>
      <c r="J38" s="1134"/>
      <c r="K38" s="1134"/>
      <c r="L38" s="1134"/>
      <c r="M38" s="1134"/>
      <c r="N38" s="1135"/>
      <c r="O38" s="27">
        <f>SUM(O26:O37)</f>
        <v>0</v>
      </c>
      <c r="P38" s="27">
        <f>SUM(P26:P37)</f>
        <v>0</v>
      </c>
    </row>
    <row r="39" spans="1:16" s="13" customFormat="1" ht="11.25" x14ac:dyDescent="0.2">
      <c r="A39" s="3" t="s">
        <v>1</v>
      </c>
      <c r="B39" s="2"/>
      <c r="C39" s="2"/>
      <c r="D39" s="2"/>
      <c r="E39" s="2"/>
      <c r="F39" s="2"/>
      <c r="G39" s="2"/>
      <c r="H39" s="2"/>
      <c r="I39" s="2"/>
      <c r="J39" s="2"/>
      <c r="K39" s="2"/>
      <c r="L39" s="2"/>
      <c r="M39" s="2"/>
      <c r="N39" s="2"/>
      <c r="O39" s="2"/>
      <c r="P39" s="2"/>
    </row>
    <row r="40" spans="1:16" ht="14.25" customHeight="1" x14ac:dyDescent="0.2">
      <c r="A40" s="1136" t="s">
        <v>133</v>
      </c>
      <c r="B40" s="1137"/>
      <c r="C40" s="1137"/>
      <c r="D40" s="1137" t="s">
        <v>134</v>
      </c>
      <c r="E40" s="1137"/>
      <c r="F40" s="46"/>
      <c r="G40" s="77" t="s">
        <v>135</v>
      </c>
      <c r="H40" s="71"/>
      <c r="I40" s="73"/>
      <c r="J40" s="194" t="s">
        <v>160</v>
      </c>
      <c r="K40" s="199" t="s">
        <v>276</v>
      </c>
      <c r="L40" s="196" t="str">
        <f>CONCATENATE("anteilig ",K40)</f>
        <v>anteilig 2021</v>
      </c>
      <c r="M40" s="1138" t="s">
        <v>140</v>
      </c>
      <c r="N40" s="1138"/>
      <c r="O40" s="1139"/>
      <c r="P40" s="27">
        <f>ROUND(IF(F40&gt;0.1,G38*F40*H40/1000,IF(E44&gt;0.1,(E44*H44/K44)/L7*L8,0)),2)</f>
        <v>0</v>
      </c>
    </row>
    <row r="41" spans="1:16" ht="15" customHeight="1" x14ac:dyDescent="0.2">
      <c r="A41" s="1140" t="s">
        <v>145</v>
      </c>
      <c r="B41" s="1141"/>
      <c r="C41" s="1141"/>
      <c r="D41" s="18"/>
      <c r="E41" s="106" t="s">
        <v>135</v>
      </c>
      <c r="F41" s="49"/>
      <c r="G41" s="48"/>
      <c r="H41" s="47"/>
      <c r="I41" s="48"/>
      <c r="J41" s="195" t="s">
        <v>158</v>
      </c>
      <c r="K41" s="192">
        <v>4837.5</v>
      </c>
      <c r="L41" s="197">
        <f>IF(L7="",K41,K41/L7*L8)</f>
        <v>4837.5</v>
      </c>
      <c r="M41" s="1138" t="s">
        <v>139</v>
      </c>
      <c r="N41" s="1138"/>
      <c r="O41" s="1139"/>
      <c r="P41" s="27">
        <f>ROUND(IF(F41="",0,G38*F41/1000),2)</f>
        <v>0</v>
      </c>
    </row>
    <row r="42" spans="1:16" ht="15.75" customHeight="1" x14ac:dyDescent="0.2">
      <c r="A42" s="1142" t="s">
        <v>141</v>
      </c>
      <c r="B42" s="1143"/>
      <c r="C42" s="1143"/>
      <c r="D42" s="1144" t="s">
        <v>143</v>
      </c>
      <c r="E42" s="1144"/>
      <c r="F42" s="1145"/>
      <c r="G42" s="1145"/>
      <c r="H42" s="72"/>
      <c r="I42" s="18"/>
      <c r="J42" s="195" t="s">
        <v>159</v>
      </c>
      <c r="K42" s="193">
        <v>6700</v>
      </c>
      <c r="L42" s="197">
        <f>IF(L7="",K42,K42/L7*L8)</f>
        <v>6700</v>
      </c>
      <c r="M42" s="1138" t="s">
        <v>141</v>
      </c>
      <c r="N42" s="1138"/>
      <c r="O42" s="1139"/>
      <c r="P42" s="23">
        <f>ROUND(IF(G38=0,0,F42/L7*L8),2)</f>
        <v>0</v>
      </c>
    </row>
    <row r="43" spans="1:16" ht="14.25" customHeight="1" x14ac:dyDescent="0.2">
      <c r="A43" s="18"/>
      <c r="B43" s="18"/>
      <c r="C43" s="18"/>
      <c r="D43" s="18"/>
      <c r="E43" s="18"/>
      <c r="F43" s="18"/>
      <c r="G43" s="18"/>
      <c r="H43" s="18"/>
      <c r="I43" s="18"/>
      <c r="J43" s="18"/>
      <c r="K43" s="74"/>
      <c r="L43" s="82"/>
      <c r="M43" s="1127" t="s">
        <v>146</v>
      </c>
      <c r="N43" s="1127"/>
      <c r="O43" s="1128"/>
      <c r="P43" s="23"/>
    </row>
    <row r="44" spans="1:16" ht="14.25" customHeight="1" x14ac:dyDescent="0.2">
      <c r="A44" s="1129" t="s">
        <v>142</v>
      </c>
      <c r="B44" s="1130"/>
      <c r="C44" s="75" t="s">
        <v>136</v>
      </c>
      <c r="D44" s="75" t="s">
        <v>137</v>
      </c>
      <c r="E44" s="1185"/>
      <c r="F44" s="1185"/>
      <c r="G44" s="83" t="s">
        <v>138</v>
      </c>
      <c r="H44" s="90"/>
      <c r="I44" s="1132" t="s">
        <v>144</v>
      </c>
      <c r="J44" s="1132"/>
      <c r="K44" s="91"/>
      <c r="L44" s="29"/>
      <c r="M44" s="29"/>
      <c r="N44" s="29"/>
      <c r="O44" s="28" t="s">
        <v>0</v>
      </c>
      <c r="P44" s="27">
        <f>P38+SUM(P40:P43)</f>
        <v>0</v>
      </c>
    </row>
    <row r="45" spans="1:16" s="12" customFormat="1" ht="13.5" customHeight="1" x14ac:dyDescent="0.2">
      <c r="A45" s="1178" t="s">
        <v>18</v>
      </c>
      <c r="B45" s="1178"/>
      <c r="C45" s="1178"/>
      <c r="D45" s="1179" t="str">
        <f>IF($D$1="","",$D$1)</f>
        <v/>
      </c>
      <c r="E45" s="1179"/>
      <c r="F45" s="1179"/>
      <c r="G45" s="1179"/>
      <c r="H45" s="1179"/>
      <c r="I45" s="1179"/>
      <c r="J45" s="1179"/>
      <c r="K45" s="1179"/>
      <c r="L45" s="1179"/>
      <c r="M45" s="1179"/>
      <c r="N45" s="1179"/>
    </row>
    <row r="46" spans="1:16" s="12" customFormat="1" ht="15" customHeight="1" x14ac:dyDescent="0.2">
      <c r="A46" s="1178" t="s">
        <v>17</v>
      </c>
      <c r="B46" s="1178"/>
      <c r="C46" s="1178" t="s">
        <v>15</v>
      </c>
      <c r="D46" s="1179" t="str">
        <f>IF($D$2="","",$D$2)</f>
        <v/>
      </c>
      <c r="E46" s="1179"/>
      <c r="F46" s="1179"/>
      <c r="G46" s="1179"/>
      <c r="H46" s="1179"/>
      <c r="I46" s="1179"/>
      <c r="J46" s="1179"/>
      <c r="K46" s="1179"/>
      <c r="L46" s="1179"/>
      <c r="M46" s="1179"/>
      <c r="N46" s="1179"/>
    </row>
    <row r="47" spans="1:16" s="12" customFormat="1" ht="15" customHeight="1" x14ac:dyDescent="0.2">
      <c r="A47" s="1178" t="s">
        <v>16</v>
      </c>
      <c r="B47" s="1178"/>
      <c r="C47" s="1178" t="s">
        <v>15</v>
      </c>
      <c r="D47" s="1179" t="str">
        <f>IF($D$3="","",$D$3)</f>
        <v/>
      </c>
      <c r="E47" s="1179"/>
      <c r="F47" s="1179"/>
      <c r="G47" s="1179"/>
      <c r="H47" s="1179"/>
      <c r="I47" s="1179"/>
      <c r="J47" s="1179"/>
      <c r="K47" s="1178" t="s">
        <v>103</v>
      </c>
      <c r="L47" s="1178"/>
      <c r="M47" s="1178"/>
      <c r="N47" s="41" t="str">
        <f>IF($N$3="","",$N$3)</f>
        <v/>
      </c>
    </row>
    <row r="48" spans="1:16" s="13" customFormat="1" ht="11.25" x14ac:dyDescent="0.2">
      <c r="A48" s="1182"/>
      <c r="B48" s="1182"/>
      <c r="C48" s="1182"/>
      <c r="D48" s="1183"/>
      <c r="E48" s="1183"/>
      <c r="F48" s="1183"/>
      <c r="G48" s="1183"/>
      <c r="H48" s="1183"/>
      <c r="I48" s="1183"/>
      <c r="J48" s="1183"/>
      <c r="K48" s="11"/>
      <c r="L48" s="11"/>
      <c r="M48" s="11"/>
      <c r="N48" s="11"/>
      <c r="O48" s="11"/>
      <c r="P48" s="11"/>
    </row>
    <row r="49" spans="1:16" s="15" customFormat="1" ht="13.5" customHeight="1" x14ac:dyDescent="0.2">
      <c r="A49" s="1177" t="s">
        <v>20</v>
      </c>
      <c r="B49" s="1177"/>
      <c r="C49" s="1177"/>
      <c r="D49" s="1177"/>
      <c r="E49" s="1177"/>
      <c r="F49" s="1177"/>
      <c r="G49" s="1177"/>
      <c r="H49" s="1177"/>
      <c r="I49" s="1177"/>
      <c r="J49" s="1177"/>
      <c r="K49" s="9"/>
      <c r="L49" s="9"/>
      <c r="M49" s="9"/>
      <c r="N49" s="59" t="s">
        <v>154</v>
      </c>
      <c r="O49" s="190">
        <f>$O$5</f>
        <v>2022</v>
      </c>
      <c r="P49" s="59" t="s">
        <v>154</v>
      </c>
    </row>
    <row r="50" spans="1:16" s="10" customFormat="1" ht="13.5" customHeight="1" x14ac:dyDescent="0.25">
      <c r="B50" s="32"/>
      <c r="C50" s="32"/>
      <c r="D50" s="5" t="s">
        <v>161</v>
      </c>
      <c r="E50" s="5"/>
      <c r="F50" s="31"/>
      <c r="G50" s="31"/>
      <c r="H50" s="31"/>
      <c r="I50" s="26"/>
      <c r="J50" s="1174" t="s">
        <v>14</v>
      </c>
      <c r="K50" s="1174"/>
      <c r="L50" s="180"/>
      <c r="N50" s="84">
        <f>IF(L52="","",L52)</f>
        <v>0</v>
      </c>
      <c r="O50" s="58" t="str">
        <f>$O$6</f>
        <v>Jan                Jul</v>
      </c>
      <c r="P50" s="85">
        <f>IF(N55="","",N55)</f>
        <v>0</v>
      </c>
    </row>
    <row r="51" spans="1:16" s="7" customFormat="1" ht="13.5" customHeight="1" x14ac:dyDescent="0.25">
      <c r="A51" s="1180" t="s">
        <v>71</v>
      </c>
      <c r="B51" s="1180"/>
      <c r="C51" s="1180"/>
      <c r="D51" s="1184"/>
      <c r="E51" s="1184"/>
      <c r="F51" s="1184"/>
      <c r="G51" s="1184"/>
      <c r="H51" s="1184"/>
      <c r="I51" s="1184"/>
      <c r="J51" s="1174" t="s">
        <v>104</v>
      </c>
      <c r="K51" s="1174"/>
      <c r="L51" s="105"/>
      <c r="N51" s="85">
        <f>IF(N50="","",N50)</f>
        <v>0</v>
      </c>
      <c r="O51" s="58" t="str">
        <f>$O$7</f>
        <v>Feb              Aug</v>
      </c>
      <c r="P51" s="85">
        <f>IF(P50="","",P50)</f>
        <v>0</v>
      </c>
    </row>
    <row r="52" spans="1:16" ht="13.5" customHeight="1" x14ac:dyDescent="0.2">
      <c r="A52" s="1180" t="s">
        <v>13</v>
      </c>
      <c r="B52" s="1180"/>
      <c r="C52" s="1180"/>
      <c r="D52" s="1181"/>
      <c r="E52" s="1181"/>
      <c r="F52" s="1181"/>
      <c r="G52" s="1181"/>
      <c r="H52" s="1181"/>
      <c r="I52" s="1181"/>
      <c r="J52" s="1174" t="s">
        <v>105</v>
      </c>
      <c r="K52" s="1174"/>
      <c r="L52" s="170">
        <f>IF((Grundlagen!$C$58-L8)&gt;(L51-L53),(L51-L53),(Grundlagen!$C$58-L8))</f>
        <v>0</v>
      </c>
      <c r="M52" s="171"/>
      <c r="N52" s="85">
        <f>IF(N51="","",N51)</f>
        <v>0</v>
      </c>
      <c r="O52" s="58" t="str">
        <f>$O$8</f>
        <v>Mrz              Sep</v>
      </c>
      <c r="P52" s="85">
        <f>IF(P51="","",P51)</f>
        <v>0</v>
      </c>
    </row>
    <row r="53" spans="1:16" ht="13.5" customHeight="1" x14ac:dyDescent="0.2">
      <c r="A53" s="1180" t="s">
        <v>12</v>
      </c>
      <c r="B53" s="1180"/>
      <c r="C53" s="1180"/>
      <c r="D53" s="1181"/>
      <c r="E53" s="1181"/>
      <c r="F53" s="1181"/>
      <c r="G53" s="1181"/>
      <c r="H53" s="1181"/>
      <c r="I53" s="1181"/>
      <c r="J53" s="1174" t="s">
        <v>763</v>
      </c>
      <c r="K53" s="1174"/>
      <c r="L53" s="170"/>
      <c r="N53" s="85">
        <f>IF(N52="","",N52)</f>
        <v>0</v>
      </c>
      <c r="O53" s="58" t="str">
        <f>$O$9</f>
        <v>Apr               Okt</v>
      </c>
      <c r="P53" s="85">
        <f t="shared" ref="P53:P55" si="6">IF(P52="","",P52)</f>
        <v>0</v>
      </c>
    </row>
    <row r="54" spans="1:16" ht="13.5" customHeight="1" x14ac:dyDescent="0.2">
      <c r="A54" s="1180" t="s">
        <v>19</v>
      </c>
      <c r="B54" s="1180"/>
      <c r="C54" s="1180"/>
      <c r="D54" s="1181"/>
      <c r="E54" s="1181"/>
      <c r="F54" s="1181"/>
      <c r="G54" s="1181"/>
      <c r="H54" s="1181"/>
      <c r="I54" s="1181"/>
      <c r="J54" s="1174" t="s">
        <v>97</v>
      </c>
      <c r="K54" s="1174"/>
      <c r="L54" s="17" t="str">
        <f>IF(IF((COUNTIF(B70:B81,"&gt;0"))=0,0,(COUNTIF(B70:B81,"&gt;0")))&gt;Grundlagen!$C$24,Grundlagen!$C$24,IF((COUNTIF(B70:B81,"&gt;0"))=0,"",(COUNTIF(B70:B81,"&gt;0"))))</f>
        <v/>
      </c>
      <c r="M54" s="92"/>
      <c r="N54" s="85">
        <f>IF(N53="","",N53)</f>
        <v>0</v>
      </c>
      <c r="O54" s="58" t="str">
        <f>$O$10</f>
        <v>Mai               Nov</v>
      </c>
      <c r="P54" s="85">
        <f t="shared" si="6"/>
        <v>0</v>
      </c>
    </row>
    <row r="55" spans="1:16" ht="13.5" customHeight="1" x14ac:dyDescent="0.2">
      <c r="B55" s="8"/>
      <c r="C55" s="104" t="s">
        <v>162</v>
      </c>
      <c r="D55" s="1175"/>
      <c r="E55" s="1175"/>
      <c r="F55" s="1176" t="s">
        <v>106</v>
      </c>
      <c r="G55" s="1176"/>
      <c r="H55" s="1175"/>
      <c r="I55" s="1175"/>
      <c r="L55" s="147" t="str">
        <f>IF((SUM(F58:F61))=0,"",IF(P56&gt;L51,L51,IF(L51="","",IF(L54="","",P56))))</f>
        <v/>
      </c>
      <c r="N55" s="85">
        <f>IF(N54="","",N54)</f>
        <v>0</v>
      </c>
      <c r="O55" s="58" t="str">
        <f>$O$11</f>
        <v>Jun               Dez</v>
      </c>
      <c r="P55" s="85">
        <f t="shared" si="6"/>
        <v>0</v>
      </c>
    </row>
    <row r="56" spans="1:16" ht="13.5" customHeight="1" x14ac:dyDescent="0.2">
      <c r="I56" s="6"/>
      <c r="O56" s="174" t="s">
        <v>251</v>
      </c>
      <c r="P56" s="175">
        <f>IF(L54="",0,((IF(SUMIF(B70,"&gt;0"),N50,0))+(IF(SUMIF(B71,"&gt;0"),N51,0))+(IF(SUMIF(B72,"&gt;0"),N52,0))+(IF(SUMIF(B73,"&gt;0"),N53,0))+(IF(SUMIF(B74,"&gt;0"),N54,0))+(IF(SUMIF(B75,"&gt;0"),N55,0))+(IF(SUMIF(B76,"&gt;0"),P50,0))+(IF(SUMIF(B77,"&gt;0"),P51,0))+(IF(SUMIF(B78,"&gt;0"),P52,0))+(IF(SUMIF(B79,"&gt;0"),P53,0))+(IF(SUMIF(B80,"&gt;0"),P54,0))+(IF(SUMIF(B81,"&gt;0"),P55,0)))/Grundlagen!$C$24)</f>
        <v>0</v>
      </c>
    </row>
    <row r="57" spans="1:16" s="52" customFormat="1" ht="13.5" customHeight="1" x14ac:dyDescent="0.2">
      <c r="A57" s="61" t="s">
        <v>148</v>
      </c>
      <c r="B57" s="1168" t="s">
        <v>149</v>
      </c>
      <c r="C57" s="1168"/>
      <c r="D57" s="62" t="s">
        <v>150</v>
      </c>
      <c r="E57" s="63" t="s">
        <v>151</v>
      </c>
      <c r="F57" s="64" t="str">
        <f>CONCATENATE("Entg. ",N43," h/Wo")</f>
        <v>Entg.  h/Wo</v>
      </c>
      <c r="G57" s="65" t="s">
        <v>152</v>
      </c>
      <c r="H57" s="65" t="s">
        <v>153</v>
      </c>
      <c r="K57" s="1169" t="str">
        <f>CONCATENATE("Zuschläge / Zulagen für ",N43,"h/Wo")</f>
        <v>Zuschläge / Zulagen für h/Wo</v>
      </c>
      <c r="L57" s="1169"/>
      <c r="M57" s="66" t="str">
        <f>IF(A58="","",A58)</f>
        <v>Jan 2022</v>
      </c>
      <c r="N57" s="66" t="str">
        <f>IF(A59="","",A59)</f>
        <v/>
      </c>
      <c r="O57" s="66" t="str">
        <f>IF(A60="","",A60)</f>
        <v/>
      </c>
      <c r="P57" s="66" t="str">
        <f>IF(A61="","",A61)</f>
        <v/>
      </c>
    </row>
    <row r="58" spans="1:16" s="52" customFormat="1" ht="13.5" customHeight="1" x14ac:dyDescent="0.25">
      <c r="A58" s="54" t="str">
        <f>A70</f>
        <v>Jan 2022</v>
      </c>
      <c r="B58" s="1170" t="str">
        <f>IF($D$3="","",$D$3)</f>
        <v/>
      </c>
      <c r="C58" s="1171"/>
      <c r="D58" s="181"/>
      <c r="E58" s="181"/>
      <c r="F58" s="87"/>
      <c r="G58" s="56">
        <f>IF(N47="",0,F58/N47/4.348)</f>
        <v>0</v>
      </c>
      <c r="H58" s="53">
        <f>IF(G58=0,0,M63)</f>
        <v>0</v>
      </c>
      <c r="K58" s="1146"/>
      <c r="L58" s="1146"/>
      <c r="M58" s="172"/>
      <c r="N58" s="172"/>
      <c r="O58" s="172"/>
      <c r="P58" s="172"/>
    </row>
    <row r="59" spans="1:16" s="52" customFormat="1" ht="13.5" customHeight="1" x14ac:dyDescent="0.25">
      <c r="A59" s="55"/>
      <c r="B59" s="1172" t="str">
        <f>IF(A59="","",B58)</f>
        <v/>
      </c>
      <c r="C59" s="1173"/>
      <c r="D59" s="181"/>
      <c r="E59" s="181"/>
      <c r="F59" s="87"/>
      <c r="G59" s="56">
        <f>IF(N47="",0,F59/N47/4.348)</f>
        <v>0</v>
      </c>
      <c r="H59" s="53">
        <f>IF(G59=0,0,N63)</f>
        <v>0</v>
      </c>
      <c r="K59" s="1146"/>
      <c r="L59" s="1146"/>
      <c r="M59" s="172"/>
      <c r="N59" s="172"/>
      <c r="O59" s="172"/>
      <c r="P59" s="172"/>
    </row>
    <row r="60" spans="1:16" s="52" customFormat="1" ht="13.5" customHeight="1" x14ac:dyDescent="0.25">
      <c r="A60" s="55"/>
      <c r="B60" s="1172" t="str">
        <f>IF(A60="","",B59)</f>
        <v/>
      </c>
      <c r="C60" s="1173"/>
      <c r="D60" s="181"/>
      <c r="E60" s="181"/>
      <c r="F60" s="88"/>
      <c r="G60" s="56">
        <f>IF(N47="",0,F60/N47/4.348)</f>
        <v>0</v>
      </c>
      <c r="H60" s="53">
        <f>IF(G60=0,0,O63)</f>
        <v>0</v>
      </c>
      <c r="K60" s="1146"/>
      <c r="L60" s="1146"/>
      <c r="M60" s="172"/>
      <c r="N60" s="172"/>
      <c r="O60" s="172"/>
      <c r="P60" s="172"/>
    </row>
    <row r="61" spans="1:16" s="52" customFormat="1" ht="13.5" customHeight="1" x14ac:dyDescent="0.25">
      <c r="A61" s="55"/>
      <c r="B61" s="1172" t="str">
        <f>IF(A61="","",B60)</f>
        <v/>
      </c>
      <c r="C61" s="1173"/>
      <c r="D61" s="181"/>
      <c r="E61" s="181"/>
      <c r="F61" s="87"/>
      <c r="G61" s="56">
        <f>IF(N47="",0,F61/N47/4.348)</f>
        <v>0</v>
      </c>
      <c r="H61" s="53">
        <f>IF(G61=0,0,P63)</f>
        <v>0</v>
      </c>
      <c r="K61" s="1146"/>
      <c r="L61" s="1146"/>
      <c r="M61" s="172"/>
      <c r="N61" s="172"/>
      <c r="O61" s="172"/>
      <c r="P61" s="172"/>
    </row>
    <row r="62" spans="1:16" s="52" customFormat="1" ht="13.5" customHeight="1" x14ac:dyDescent="0.25">
      <c r="B62" s="1167" t="s">
        <v>157</v>
      </c>
      <c r="C62" s="1167"/>
      <c r="E62" s="1167" t="s">
        <v>156</v>
      </c>
      <c r="F62" s="1167"/>
      <c r="J62" s="69"/>
      <c r="K62" s="1146"/>
      <c r="L62" s="1146"/>
      <c r="M62" s="172"/>
      <c r="N62" s="172"/>
      <c r="O62" s="172"/>
      <c r="P62" s="172"/>
    </row>
    <row r="63" spans="1:16" s="52" customFormat="1" ht="13.5" customHeight="1" x14ac:dyDescent="0.25">
      <c r="A63" s="70" t="s">
        <v>167</v>
      </c>
      <c r="B63" s="67"/>
      <c r="C63" s="89" t="str">
        <f>IF(C19="","",C19)</f>
        <v/>
      </c>
      <c r="D63" s="70" t="s">
        <v>167</v>
      </c>
      <c r="E63" s="67"/>
      <c r="F63" s="89" t="str">
        <f>IF(F19="","",F19)</f>
        <v/>
      </c>
      <c r="J63" s="68"/>
      <c r="M63" s="173">
        <f>SUM(M58:M62)</f>
        <v>0</v>
      </c>
      <c r="N63" s="173">
        <f t="shared" ref="N63:P63" si="7">SUM(N58:N62)</f>
        <v>0</v>
      </c>
      <c r="O63" s="173">
        <f t="shared" si="7"/>
        <v>0</v>
      </c>
      <c r="P63" s="173">
        <f t="shared" si="7"/>
        <v>0</v>
      </c>
    </row>
    <row r="64" spans="1:16" s="52" customFormat="1" ht="13.5" customHeight="1" x14ac:dyDescent="0.2">
      <c r="A64" s="60" t="s">
        <v>155</v>
      </c>
    </row>
    <row r="65" spans="1:16" ht="14.25" customHeight="1" x14ac:dyDescent="0.2">
      <c r="A65" s="1147"/>
      <c r="B65" s="1149" t="s">
        <v>9</v>
      </c>
      <c r="C65" s="1150"/>
      <c r="D65" s="1150"/>
      <c r="E65" s="1150"/>
      <c r="F65" s="1150"/>
      <c r="G65" s="1151"/>
      <c r="H65" s="1152" t="s">
        <v>119</v>
      </c>
      <c r="I65" s="1153"/>
      <c r="J65" s="1153"/>
      <c r="K65" s="1153"/>
      <c r="L65" s="1153"/>
      <c r="M65" s="1153"/>
      <c r="N65" s="1153"/>
      <c r="O65" s="33"/>
      <c r="P65" s="1154" t="s">
        <v>0</v>
      </c>
    </row>
    <row r="66" spans="1:16" ht="14.25" customHeight="1" x14ac:dyDescent="0.2">
      <c r="A66" s="1148"/>
      <c r="B66" s="1157" t="s">
        <v>117</v>
      </c>
      <c r="C66" s="103" t="s">
        <v>115</v>
      </c>
      <c r="D66" s="1159" t="s">
        <v>277</v>
      </c>
      <c r="E66" s="1161" t="s">
        <v>147</v>
      </c>
      <c r="F66" s="30" t="s">
        <v>7</v>
      </c>
      <c r="G66" s="1162" t="s">
        <v>6</v>
      </c>
      <c r="H66" s="1161" t="s">
        <v>129</v>
      </c>
      <c r="I66" s="1161" t="s">
        <v>5</v>
      </c>
      <c r="J66" s="1161" t="s">
        <v>4</v>
      </c>
      <c r="K66" s="1161" t="s">
        <v>3</v>
      </c>
      <c r="L66" s="1161" t="s">
        <v>121</v>
      </c>
      <c r="M66" s="1161" t="s">
        <v>122</v>
      </c>
      <c r="N66" s="1161" t="s">
        <v>123</v>
      </c>
      <c r="O66" s="1160" t="s">
        <v>114</v>
      </c>
      <c r="P66" s="1155"/>
    </row>
    <row r="67" spans="1:16" ht="14.25" customHeight="1" x14ac:dyDescent="0.2">
      <c r="A67" s="1148"/>
      <c r="B67" s="1157"/>
      <c r="C67" s="21" t="str">
        <f>IF(C63="","",C63)</f>
        <v/>
      </c>
      <c r="D67" s="1160"/>
      <c r="E67" s="1161"/>
      <c r="F67" s="1165" t="str">
        <f>IF(H58=0,"","siehe Zuschläge / Zulagen")</f>
        <v/>
      </c>
      <c r="G67" s="1162"/>
      <c r="H67" s="1164" t="s">
        <v>127</v>
      </c>
      <c r="I67" s="1164"/>
      <c r="J67" s="1164"/>
      <c r="K67" s="1164"/>
      <c r="L67" s="1164"/>
      <c r="M67" s="1164"/>
      <c r="N67" s="1164"/>
      <c r="O67" s="1160"/>
      <c r="P67" s="1155"/>
    </row>
    <row r="68" spans="1:16" x14ac:dyDescent="0.2">
      <c r="A68" s="1148"/>
      <c r="B68" s="1157"/>
      <c r="C68" s="102" t="s">
        <v>70</v>
      </c>
      <c r="D68" s="1160"/>
      <c r="E68" s="1161"/>
      <c r="F68" s="1165"/>
      <c r="G68" s="1162"/>
      <c r="H68" s="43" t="s">
        <v>128</v>
      </c>
      <c r="I68" s="43" t="s">
        <v>126</v>
      </c>
      <c r="J68" s="43" t="s">
        <v>125</v>
      </c>
      <c r="K68" s="43" t="s">
        <v>124</v>
      </c>
      <c r="L68" s="43"/>
      <c r="M68" s="43"/>
      <c r="N68" s="43" t="s">
        <v>120</v>
      </c>
      <c r="O68" s="1160"/>
      <c r="P68" s="1155"/>
    </row>
    <row r="69" spans="1:16" x14ac:dyDescent="0.2">
      <c r="A69" s="1148"/>
      <c r="B69" s="1158"/>
      <c r="C69" s="21" t="str">
        <f>IF(F63="","",F63)</f>
        <v/>
      </c>
      <c r="D69" s="51"/>
      <c r="E69" s="51"/>
      <c r="F69" s="1166"/>
      <c r="G69" s="1163"/>
      <c r="H69" s="93"/>
      <c r="I69" s="139">
        <f>$I$25</f>
        <v>0</v>
      </c>
      <c r="J69" s="139">
        <f>$J$25</f>
        <v>0</v>
      </c>
      <c r="K69" s="44">
        <f>$K$25</f>
        <v>0</v>
      </c>
      <c r="L69" s="21"/>
      <c r="M69" s="21"/>
      <c r="N69" s="139">
        <f>$N$25</f>
        <v>0</v>
      </c>
      <c r="O69" s="25">
        <f>O25</f>
        <v>0</v>
      </c>
      <c r="P69" s="1156"/>
    </row>
    <row r="70" spans="1:16" x14ac:dyDescent="0.2">
      <c r="A70" s="100" t="str">
        <f>$A$26</f>
        <v>Jan 2022</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76">
        <f>ROUND(IF((SUM(B70:F70))&gt;L85,L85*H69,SUM(B70:F70)*H69),2)</f>
        <v>0</v>
      </c>
      <c r="I70" s="76">
        <f>ROUND(IF((SUM(B70:F70))&gt;L86,L86*I69,SUM(B70:F70)*I69),2)</f>
        <v>0</v>
      </c>
      <c r="J70" s="76">
        <f>ROUND(IF((SUM(B70:F70))&gt;L86,L86*J69,SUM(B70:F70)*J69),2)</f>
        <v>0</v>
      </c>
      <c r="K70" s="76">
        <f>ROUND(IF((SUM(B70:F70))&gt;L85,L85*K69,SUM(B70:F70)*K69),2)</f>
        <v>0</v>
      </c>
      <c r="L70" s="76">
        <f>ROUND(IF((SUM(B70:F70))&gt;L86,L86*L69,(SUM(B70:F70)-C70)*L69),2)</f>
        <v>0</v>
      </c>
      <c r="M70" s="76">
        <f>ROUND(IF((SUM(B70:F70))&gt;L86,L86*M69,(SUM(B70:F70)-C70)*M69),2)</f>
        <v>0</v>
      </c>
      <c r="N70" s="76">
        <f>ROUND(IF((SUM(B70:F70))&gt;L86,L86*N69,SUM(B70:F70)*N69),2)</f>
        <v>0</v>
      </c>
      <c r="O70" s="23">
        <f>ROUND(SUM(B70+C70+F70)*O69,2)</f>
        <v>0</v>
      </c>
      <c r="P70" s="27">
        <f>SUM(G70:O70)</f>
        <v>0</v>
      </c>
    </row>
    <row r="71" spans="1:16" x14ac:dyDescent="0.2">
      <c r="A71" s="100" t="str">
        <f>$A$27</f>
        <v>Feb 2022</v>
      </c>
      <c r="B71" s="24">
        <f>ROUND(IF(N51=0,0,IFERROR(((LOOKUP(2,1/(A58:A61=A71),G58:G61))*N51*4.348),B70/N51*N51)),2)</f>
        <v>0</v>
      </c>
      <c r="C71" s="23">
        <f>ROUND(IFERROR(((LOOKUP(2,1/(B63=A71),((SUM(B76:B78)+SUM(F76:F78))/3)*C63))),0)+IFERROR(((LOOKUP(2,1/(E63=A71),(B82+F82)*F63))),0),2)</f>
        <v>0</v>
      </c>
      <c r="D71" s="23">
        <f>ROUND(IF(B71=0,0,D69/L51*N51),2)</f>
        <v>0</v>
      </c>
      <c r="E71" s="23">
        <f>ROUND(IF(B71=0,0,E69/N47*N51),2)</f>
        <v>0</v>
      </c>
      <c r="F71" s="24">
        <f>ROUND(IF(N51=0,0,IFERROR(((LOOKUP(2,1/(A58:A61=A71),H58:H61))/N47*N51),F70/N51*N51)),2)</f>
        <v>0</v>
      </c>
      <c r="G71" s="27">
        <f t="shared" ref="G71:G81" si="8">SUM(B71+C71+E71+F71)</f>
        <v>0</v>
      </c>
      <c r="H71" s="76">
        <f>ROUND(IF(SUM(B70:F70)&lt;(L85*1),IF((SUM(B70:F71))&gt;(L85*2),(((L85*2)-(SUM(B70:F71)-C70))*H69)+((SUM(B71:F71)-C70)*H69),SUM(B71:F71)*H69),IF(SUM(B70:F71)&gt;(L85*2),L85*H69,SUM(B71:F71)*H69)),2)</f>
        <v>0</v>
      </c>
      <c r="I71" s="76">
        <f>ROUND(IF(SUM(B70:F70)&lt;(L86*1),IF((SUM(B70:F71))&gt;(L86*2),(((L86*2)-(SUM(B70:F71)-C70))*I69)+((SUM(B71:F71)-C70)*I69),SUM(B71:F71)*I69),IF(SUM(B70:F71)&gt;(L86*2),L86*I69,SUM(B71:F71)*I69)),2)</f>
        <v>0</v>
      </c>
      <c r="J71" s="76">
        <f>ROUND(IF(SUM(B70:F70)&lt;(L86*1),IF((SUM(B70:F71))&gt;(L86*2),(((L86*2)-(SUM(B70:F71)-C70))*J69)+((SUM(B71:F71)-C70)*J69),SUM(B71:F71)*J69),IF(SUM(B70:F71)&gt;(L86*2),L86*J69,SUM(B71:F71)*J69)),2)</f>
        <v>0</v>
      </c>
      <c r="K71" s="76">
        <f>ROUND(IF(SUM(B70:F70)&lt;(L85*1),IF((SUM(B70:F71))&gt;(L85*2),(((L85*2)-(SUM(B70:F71)-C70))*K69)+((SUM(B71:F71)-C70)*K69),SUM(B71:F71)*K69),IF(SUM(B70:F71)&gt;(L85*2),L85*K69,SUM(B71:F71)*K69)),2)</f>
        <v>0</v>
      </c>
      <c r="L71" s="76">
        <f>ROUND(IF(SUM(B70:F70)&lt;(L86*1),IF((SUM(B70:F71))&gt;(L86*2),(((L86*2)-(SUM(B70:F71)-C71))*L69)+((SUM(B71:F71)-C71)*L69),(SUM(B71:F71)-C71)*L69),IF(SUM(B70:F71)&gt;(L86*2),L86*L69,SUM(B71:F71)*L69)),2)</f>
        <v>0</v>
      </c>
      <c r="M71" s="76">
        <f>ROUND(IF(SUM(B70:F70)&lt;(L86*1),IF((SUM(B70:F71))&gt;(L86*2),(((L86*2)-(SUM(B70:F71)-C71))*M69)+((SUM(B71:F71)-C71)*M69),(SUM(B71:F71)-C71)*M69),IF(SUM(B70:F71)&gt;(L86*2),L86*M69,SUM(B71:F71)*M69)),2)</f>
        <v>0</v>
      </c>
      <c r="N71" s="76">
        <f>ROUND(IF(SUM(B70:F70)&lt;(L86*1),IF((SUM(B70:F71))&gt;(L86*2),(((L86*2)-(SUM(B70:F71)-C70))*N69)+((SUM(B71:F71)-C70)*N69),SUM(B71:F71)*N69),IF(SUM(B70:F71)&gt;(L86*2),L86*N69,SUM(B71:F71)*N69)),2)</f>
        <v>0</v>
      </c>
      <c r="O71" s="23">
        <f>ROUND(SUM(B71+C71+F71)*O69,2)</f>
        <v>0</v>
      </c>
      <c r="P71" s="27">
        <f>SUM(G71:O71)</f>
        <v>0</v>
      </c>
    </row>
    <row r="72" spans="1:16" x14ac:dyDescent="0.2">
      <c r="A72" s="100" t="str">
        <f>$A$28</f>
        <v>Mrz 2022</v>
      </c>
      <c r="B72" s="24">
        <f>ROUND(IF(N52=0,0,IFERROR(((LOOKUP(2,1/(A58:A61=A72),G58:G61))*N52*4.348),B71/N52*N52)),2)</f>
        <v>0</v>
      </c>
      <c r="C72" s="23">
        <f>ROUND(IFERROR(((LOOKUP(2,1/(B63=A72),((SUM(B76:B78)+SUM(F76:F78))/3)*C63))),0)+IFERROR(((LOOKUP(2,1/(E63=A72),(B82+F82)*F63))),0),2)</f>
        <v>0</v>
      </c>
      <c r="D72" s="23">
        <f>ROUND(IF(B72=0,0,D69/L51*N52),2)</f>
        <v>0</v>
      </c>
      <c r="E72" s="23">
        <f>ROUND(IF(B72=0,0,E69/N47*N52),2)</f>
        <v>0</v>
      </c>
      <c r="F72" s="24">
        <f>ROUND(IF(N52=0,0,IFERROR(((LOOKUP(2,1/(A58:A61=A72),H58:H61))/N47*N52),F71/N52*N52)),2)</f>
        <v>0</v>
      </c>
      <c r="G72" s="27">
        <f t="shared" si="8"/>
        <v>0</v>
      </c>
      <c r="H72" s="76">
        <f>ROUND(IF(SUM(B70:F71)&lt;(L85*2),IF((SUM(B70:F72))&gt;(L85*3),(((L85*3)-(SUM(B70:F72)-C71))*H69)+((SUM(B72:F72)-C71)*H69),SUM(B72:F72)*H69),IF(SUM(B70:F72)&gt;(L85*3),L85*H69,SUM(B72:F72)*H69)),2)</f>
        <v>0</v>
      </c>
      <c r="I72" s="76">
        <f>ROUND(IF(SUM(B70:F71)&lt;(L86*2),IF((SUM(B70:F72))&gt;(L86*3),(((L86*3)-(SUM(B70:F72)-C71))*I69)+((SUM(B72:F72)-C71)*I69),SUM(B72:F72)*I69),IF(SUM(B70:F72)&gt;(L86*3),L86*I69,SUM(B72:F72)*I69)),2)</f>
        <v>0</v>
      </c>
      <c r="J72" s="76">
        <f>ROUND(IF(SUM(B70:F71)&lt;(L86*2),IF((SUM(B70:F72))&gt;(L86*3),(((L86*3)-(SUM(B70:F72)-C71))*J69)+((SUM(B72:F72)-C71)*J69),SUM(B72:F72)*J69),IF(SUM(B70:F72)&gt;(L86*3),L86*J69,SUM(B72:F72)*J69)),2)</f>
        <v>0</v>
      </c>
      <c r="K72" s="76">
        <f>ROUND(IF(SUM(B70:F71)&lt;(L85*2),IF((SUM(B70:F72))&gt;(L85*3),(((L85*3)-(SUM(B70:F72)-C71))*K69)+((SUM(B72:F72)-C71)*K69),SUM(B72:F72)*K69),IF(SUM(B70:F72)&gt;(L85*3),L85*K69,SUM(B72:F72)*K69)),2)</f>
        <v>0</v>
      </c>
      <c r="L72" s="76">
        <f>ROUND(IF(SUM(B70:F71)&lt;(L86*2),IF((SUM(B70:F72))&gt;(L86*3),(((L86*3)-(SUM(B70:F72)-C72))*L69)+((SUM(B72:F72)-C72)*L69),(SUM(B72:F72)-C72)*L69),IF(SUM(B70:F72)&gt;(L86*3),L86*L69,SUM(B72:F72)*L69)),2)</f>
        <v>0</v>
      </c>
      <c r="M72" s="76">
        <f>ROUND(IF(SUM(B70:F71)&lt;(L86*2),IF((SUM(B70:F72))&gt;(L86*3),(((L86*3)-(SUM(B70:F72)-C72))*M69)+((SUM(B72:F72)-C72)*M69),(SUM(B72:F72)-C72)*M69),IF(SUM(B70:F72)&gt;(L86*3),L86*M69,SUM(B72:F72)*M69)),2)</f>
        <v>0</v>
      </c>
      <c r="N72" s="76">
        <f>ROUND(IF(SUM(B70:F71)&lt;(L86*2),IF((SUM(B70:F72))&gt;(L86*3),(((L86*3)-(SUM(B70:F72)-C71))*N69)+((SUM(B72:F72)-C71)*N69),SUM(B72:F72)*N69),IF(SUM(B70:F72)&gt;(L86*3),L86*N69,SUM(B72:F72)*N69)),2)</f>
        <v>0</v>
      </c>
      <c r="O72" s="23">
        <f>ROUND(SUM(B72+C72+F72)*O69,2)</f>
        <v>0</v>
      </c>
      <c r="P72" s="27">
        <f t="shared" ref="P72:P81" si="9">SUM(G72:O72)</f>
        <v>0</v>
      </c>
    </row>
    <row r="73" spans="1:16" x14ac:dyDescent="0.2">
      <c r="A73" s="100" t="str">
        <f>$A$29</f>
        <v>Apr 2022</v>
      </c>
      <c r="B73" s="24">
        <f>ROUND(IF(N53=0,0,IFERROR(((LOOKUP(2,1/(A58:A61=A73),G58:G61))*N53*4.348),B72/N53*N53)),2)</f>
        <v>0</v>
      </c>
      <c r="C73" s="23">
        <f>ROUND(IFERROR(((LOOKUP(2,1/(B63=A73),((SUM(B76:B78)+SUM(F76:F78))/3)*C63))),0)+IFERROR(((LOOKUP(2,1/(E63=A73),(B82+F82)*F63))),0),2)</f>
        <v>0</v>
      </c>
      <c r="D73" s="23">
        <f>ROUND(IF(B73=0,0,D69/L51*N53),2)</f>
        <v>0</v>
      </c>
      <c r="E73" s="23">
        <f>ROUND(IF(B73=0,0,E69/N47*N53),2)</f>
        <v>0</v>
      </c>
      <c r="F73" s="24">
        <f>ROUND(IF(N53=0,0,IFERROR(((LOOKUP(2,1/(A58:A61=A73),H58:H61))/N47*N53),F72/N53*N53)),2)</f>
        <v>0</v>
      </c>
      <c r="G73" s="27">
        <f t="shared" si="8"/>
        <v>0</v>
      </c>
      <c r="H73" s="76">
        <f>ROUND(IF(SUM(B70:F72)&lt;(L85*3),IF((SUM(B70:F73))&gt;(L85*4),(((L85*4)-(SUM(B70:F73)-C72))*H69)+((SUM(B73:F73)-C72)*H69),SUM(B73:F73)*H69),IF(SUM(B70:F73)&gt;(L85*4),L85*H69,SUM(B73:F73)*H69)),2)</f>
        <v>0</v>
      </c>
      <c r="I73" s="76">
        <f>ROUND(IF(SUM(B70:F72)&lt;(L86*3),IF((SUM(B70:F73))&gt;(L86*4),(((L86*4)-(SUM(B70:F73)-C72))*I69)+((SUM(B73:F73)-C72)*I69),SUM(B73:F73)*I69),IF(SUM(B70:F73)&gt;(L86*4),L86*I69,SUM(B73:F73)*I69)),2)</f>
        <v>0</v>
      </c>
      <c r="J73" s="76">
        <f>ROUND(IF(SUM(B70:F72)&lt;(L86*3),IF((SUM(B70:F73))&gt;(L86*4),(((L86*4)-(SUM(B70:F73)-C72))*J69)+((SUM(B73:F73)-C72)*J69),SUM(B73:F73)*J69),IF(SUM(B70:F73)&gt;(L86*4),L86*J69,SUM(B73:F73)*J69)),2)</f>
        <v>0</v>
      </c>
      <c r="K73" s="76">
        <f>ROUND(IF(SUM(B70:F72)&lt;(L85*3),IF((SUM(B70:F73))&gt;(L85*4),(((L85*4)-(SUM(B70:F73)-C72))*K69)+((SUM(B73:F73)-C72)*K69),SUM(B73:F73)*K69),IF(SUM(B70:F73)&gt;(L85*4),L85*K69,SUM(B73:F73)*K69)),2)</f>
        <v>0</v>
      </c>
      <c r="L73" s="76">
        <f>ROUND(IF(SUM(B70:F72)&lt;(L86*3),IF((SUM(B70:F73))&gt;(L86*4),(((L86*4)-(SUM(B70:F73)-C73))*L69)+((SUM(B73:F73)-C73)*L69),(SUM(B73:F73)-C73)*L69),IF(SUM(B70:F73)&gt;(L86*4),L86*L69,SUM(B73:F73)*L69)),2)</f>
        <v>0</v>
      </c>
      <c r="M73" s="76">
        <f>ROUND(IF(SUM(B70:F72)&lt;(L86*3),IF((SUM(B70:F73))&gt;(L86*4),(((L86*4)-(SUM(B70:F73)-C73))*M69)+((SUM(B73:F73)-C73)*M69),(SUM(B73:F73)-C73)*M69),IF(SUM(B70:F73)&gt;(L86*4),L86*M69,SUM(B73:F73)*M69)),2)</f>
        <v>0</v>
      </c>
      <c r="N73" s="76">
        <f>ROUND(IF(SUM(B70:F72)&lt;(L86*3),IF((SUM(B70:F73))&gt;(L86*4),(((L86*4)-(SUM(B70:F73)-C72))*N69)+((SUM(B73:F73)-C72)*N69),SUM(B73:F73)*N69),IF(SUM(B70:F73)&gt;(L86*4),L86*N69,SUM(B73:F73)*N69)),2)</f>
        <v>0</v>
      </c>
      <c r="O73" s="23">
        <f>ROUND(SUM(B73+C73+F73)*O69,2)</f>
        <v>0</v>
      </c>
      <c r="P73" s="27">
        <f t="shared" si="9"/>
        <v>0</v>
      </c>
    </row>
    <row r="74" spans="1:16" x14ac:dyDescent="0.2">
      <c r="A74" s="100" t="str">
        <f>$A$30</f>
        <v>Mai 2022</v>
      </c>
      <c r="B74" s="24">
        <f>ROUND(IF(N54=0,0,IFERROR(((LOOKUP(2,1/(A58:A61=A74),G58:G61))*N54*4.348),B73/N54*N54)),2)</f>
        <v>0</v>
      </c>
      <c r="C74" s="23">
        <f>ROUND(IFERROR(((LOOKUP(2,1/(B63=A74),((SUM(B76:B78)+SUM(F76:F78))/3)*C63))),0)+IFERROR(((LOOKUP(2,1/(E63=A74),(B82+F82)*F63))),0),2)</f>
        <v>0</v>
      </c>
      <c r="D74" s="23">
        <f>ROUND(IF(B74=0,0,D69/L51*N54),2)</f>
        <v>0</v>
      </c>
      <c r="E74" s="23">
        <f>ROUND(IF(B74=0,0,E69/N47*N54),2)</f>
        <v>0</v>
      </c>
      <c r="F74" s="24">
        <f>ROUND(IF(N54=0,0,IFERROR(((LOOKUP(2,1/(A58:A61=A74),H58:H61))/N47*N54),F73/N54*N54)),2)</f>
        <v>0</v>
      </c>
      <c r="G74" s="27">
        <f t="shared" si="8"/>
        <v>0</v>
      </c>
      <c r="H74" s="76">
        <f>ROUND(IF(SUM(B70:F73)&lt;(L85*4),IF((SUM(B70:F74))&gt;(L85*5),(((L85*5)-(SUM(B70:F74)-C73))*H69)+((SUM(B74:F74)-C73)*H69),SUM(B74:F74)*H69),IF(SUM(B70:F74)&gt;(L85*5),L85*H69,SUM(B74:F74)*H69)),2)</f>
        <v>0</v>
      </c>
      <c r="I74" s="76">
        <f>ROUND(IF(SUM(B70:F73)&lt;(L86*4),IF((SUM(B70:F74))&gt;(L86*5),(((L86*5)-(SUM(B70:F74)-C73))*I69)+((SUM(B74:F74)-C73)*I69),SUM(B74:F74)*I69),IF(SUM(B70:F74)&gt;(L86*5),L86*I69,SUM(B74:F74)*I69)),2)</f>
        <v>0</v>
      </c>
      <c r="J74" s="76">
        <f>ROUND(IF(SUM(B70:F73)&lt;(L86*4),IF((SUM(B70:F74))&gt;(L86*5),(((L86*5)-(SUM(B70:F74)-C73))*J69)+((SUM(B74:F74)-C73)*J69),SUM(B74:F74)*J69),IF(SUM(B70:F74)&gt;(L86*5),L86*J69,SUM(B74:F74)*J69)),2)</f>
        <v>0</v>
      </c>
      <c r="K74" s="76">
        <f>ROUND(IF(SUM(B70:F73)&lt;(L85*4),IF((SUM(B70:F74))&gt;(L85*5),(((L85*5)-(SUM(B70:F74)-C73))*K69)+((SUM(B74:F74)-C73)*K69),SUM(B74:F74)*K69),IF(SUM(B70:F74)&gt;(L85*5),L85*K69,SUM(B74:F74)*K69)),2)</f>
        <v>0</v>
      </c>
      <c r="L74" s="76">
        <f>ROUND(IF(SUM(B70:F73)&lt;(L86*4),IF((SUM(B70:F74))&gt;(L86*5),(((L86*5)-(SUM(B70:F74)-C74))*L69)+((SUM(B74:F74)-C74)*L69),(SUM(B74:F74)-C74)*L69),IF(SUM(B70:F74)&gt;(L86*5),L86*L69,SUM(B74:F74)*L69)),2)</f>
        <v>0</v>
      </c>
      <c r="M74" s="76">
        <f>ROUND(IF(SUM(B70:F73)&lt;(L86*4),IF((SUM(B70:F74))&gt;(L86*5),(((L86*5)-(SUM(B70:F74)-C74))*M69)+((SUM(B74:F74)-C74)*M69),(SUM(B74:F74)-C74)*M69),IF(SUM(B70:F74)&gt;(L86*5),L86*M69,SUM(B74:F74)*M69)),2)</f>
        <v>0</v>
      </c>
      <c r="N74" s="76">
        <f>ROUND(IF(SUM(B70:F73)&lt;(L86*4),IF((SUM(B70:F74))&gt;(L86*5),(((L86*5)-(SUM(B70:F74)-C73))*N69)+((SUM(B74:F74)-C73)*N69),SUM(B74:F74)*N69),IF(SUM(B70:F74)&gt;(L86*5),L86*N69,SUM(B74:F74)*N69)),2)</f>
        <v>0</v>
      </c>
      <c r="O74" s="23">
        <f>ROUND(SUM(B74+C74+F74)*O69,2)</f>
        <v>0</v>
      </c>
      <c r="P74" s="27">
        <f t="shared" si="9"/>
        <v>0</v>
      </c>
    </row>
    <row r="75" spans="1:16" x14ac:dyDescent="0.2">
      <c r="A75" s="100" t="str">
        <f>$A$31</f>
        <v>Jun 2022</v>
      </c>
      <c r="B75" s="24">
        <f>ROUND(IF(N55=0,0,IFERROR(((LOOKUP(2,1/(A58:A61=A75),G58:G61))*N55*4.348),B74/N55*N55)),2)</f>
        <v>0</v>
      </c>
      <c r="C75" s="23">
        <f>ROUND(IFERROR(((LOOKUP(2,1/(B63=A75),((SUM(B76:B78)+SUM(F76:F78))/3)*C63))),0)+IFERROR(((LOOKUP(2,1/(E63=A75),(B82+F82)*F63))),0),2)</f>
        <v>0</v>
      </c>
      <c r="D75" s="23">
        <f>ROUND(IF(B75=0,0,D69/L51*N55),2)</f>
        <v>0</v>
      </c>
      <c r="E75" s="23">
        <f>ROUND(IF(B75=0,0,E69/N47*N55),2)</f>
        <v>0</v>
      </c>
      <c r="F75" s="24">
        <f>ROUND(IF(N55=0,0,IFERROR(((LOOKUP(2,1/(A58:A61=A75),H58:H61))/N47*N55),F74/N55*N55)),2)</f>
        <v>0</v>
      </c>
      <c r="G75" s="27">
        <f t="shared" si="8"/>
        <v>0</v>
      </c>
      <c r="H75" s="76">
        <f>ROUND(IF(SUM(B70:F74)&lt;(L85*5),IF((SUM(B70:F75))&gt;(L85*6),(((L85*6)-(SUM(B70:F75)-C74))*H69)+((SUM(B75:F75)-C74)*H69),SUM(B75:F75)*H69),IF(SUM(B70:F75)&gt;(L85*6),L85*H69,SUM(B75:F75)*H69)),2)</f>
        <v>0</v>
      </c>
      <c r="I75" s="76">
        <f>ROUND(IF(SUM(B70:F74)&lt;(L86*5),IF((SUM(B70:F75))&gt;(L86*6),(((L86*6)-(SUM(B70:F75)-C74))*I69)+((SUM(B75:F75)-C74)*I69),SUM(B75:F75)*I69),IF(SUM(B70:F75)&gt;(L86*6),L86*I69,SUM(B75:F75)*I69)),2)</f>
        <v>0</v>
      </c>
      <c r="J75" s="76">
        <f>ROUND(IF(SUM(B70:F74)&lt;(L86*5),IF((SUM(B70:F75))&gt;(L86*6),(((L86*6)-(SUM(B70:F75)-C74))*J69)+((SUM(B75:F75)-C74)*J69),SUM(B75:F75)*J69),IF(SUM(B70:F75)&gt;(L86*6),L86*J69,SUM(B75:F75)*J69)),2)</f>
        <v>0</v>
      </c>
      <c r="K75" s="76">
        <f>ROUND(IF(SUM(B70:F74)&lt;(L85*5),IF((SUM(B70:F75))&gt;(L85*6),(((L85*6)-(SUM(B70:F75)-C74))*K69)+((SUM(B75:F75)-C74)*K69),SUM(B75:F75)*K69),IF(SUM(B70:F75)&gt;(L85*6),L85*K69,SUM(B75:F75)*K69)),2)</f>
        <v>0</v>
      </c>
      <c r="L75" s="76">
        <f>ROUND(IF(SUM(B70:F74)&lt;(L86*5),IF((SUM(B70:F75))&gt;(L86*6),(((L86*6)-(SUM(B70:F75)-C75))*L69)+((SUM(B75:F75)-C75)*L69),(SUM(B75:F75)-C75)*L69),IF(SUM(B70:F75)&gt;(L86*6),L86*L69,SUM(B75:F75)*L69)),2)</f>
        <v>0</v>
      </c>
      <c r="M75" s="76">
        <f>ROUND(IF(SUM(B70:F74)&lt;(L86*5),IF((SUM(B70:F75))&gt;(L86*6),(((L86*6)-(SUM(B70:F75)-C75))*M69)+((SUM(B75:F75)-C75)*M69),(SUM(B75:F75)-C75)*M69),IF(SUM(B70:F75)&gt;(L86*6),L86*M69,SUM(B75:F75)*M69)),2)</f>
        <v>0</v>
      </c>
      <c r="N75" s="76">
        <f>ROUND(IF(SUM(B70:F74)&lt;(L86*5),IF((SUM(B70:F75))&gt;(L86*6),(((L86*6)-(SUM(B70:F75)-C74))*N69)+((SUM(B75:F75)-C74)*N69),SUM(B75:F75)*N69),IF(SUM(B70:F75)&gt;(L86*6),L86*N69,SUM(B75:F75)*N69)),2)</f>
        <v>0</v>
      </c>
      <c r="O75" s="23">
        <f>ROUND(SUM(B75+C75+F75)*O69,2)</f>
        <v>0</v>
      </c>
      <c r="P75" s="27">
        <f t="shared" si="9"/>
        <v>0</v>
      </c>
    </row>
    <row r="76" spans="1:16" x14ac:dyDescent="0.2">
      <c r="A76" s="100" t="str">
        <f>$A$32</f>
        <v>Jul 2022</v>
      </c>
      <c r="B76" s="24">
        <f>ROUND(IF(P50=0,0,IFERROR(((LOOKUP(2,1/(A58:A61=A76),G58:G61))*P50*4.348),B75/P50*P50)),2)</f>
        <v>0</v>
      </c>
      <c r="C76" s="23">
        <f>ROUND(IFERROR(((LOOKUP(2,1/(B63=A76),((SUM(B76:B78)+SUM(F76:F78))/3)*C63))),0)+IFERROR(((LOOKUP(2,1/(E63=A76),(B82+F82)*F63))),0),2)</f>
        <v>0</v>
      </c>
      <c r="D76" s="23">
        <f>ROUND(IF(B76=0,0,D69/L51*P50),2)</f>
        <v>0</v>
      </c>
      <c r="E76" s="23">
        <f>ROUND(IF(B76=0,0,E69/N47*P50),2)</f>
        <v>0</v>
      </c>
      <c r="F76" s="24">
        <f>ROUND(IF(P50=0,0,IFERROR(((LOOKUP(2,1/(A58:A61=A76),H58:H61))/N47*P50),F75/P50*P50)),2)</f>
        <v>0</v>
      </c>
      <c r="G76" s="27">
        <f t="shared" si="8"/>
        <v>0</v>
      </c>
      <c r="H76" s="76">
        <f>ROUND(IF(SUM(B70:F75)&lt;(L85*6),IF((SUM(B70:F76))&gt;(L85*7),(((L85*7)-(SUM(B70:F76)-C75))*H69)+((SUM(B76:F76)-C75)*H69),SUM(B76:F76)*H69),IF(SUM(B70:F76)&gt;(L85*7),L85*H69,SUM(B76:F76)*H69)),2)</f>
        <v>0</v>
      </c>
      <c r="I76" s="76">
        <f>ROUND(IF(SUM(B70:F75)&lt;(L86*6),IF((SUM(B70:F76))&gt;(L86*7),(((L86*7)-(SUM(B70:F76)-C75))*I69)+((SUM(B76:F76)-C75)*I69),SUM(B76:F76)*I69),IF(SUM(B70:F76)&gt;(L86*7),L86*I69,SUM(B76:F76)*I69)),2)</f>
        <v>0</v>
      </c>
      <c r="J76" s="76">
        <f>ROUND(IF(SUM(B70:F75)&lt;(L86*6),IF((SUM(B70:F76))&gt;(L86*7),(((L86*7)-(SUM(B70:F76)-C75))*J69)+((SUM(B76:F76)-C75)*J69),SUM(B76:F76)*J69),IF(SUM(B70:F76)&gt;(L86*7),L86*J69,SUM(B76:F76)*J69)),2)</f>
        <v>0</v>
      </c>
      <c r="K76" s="76">
        <f>ROUND(IF(SUM(B70:F75)&lt;(L85*6),IF((SUM(B70:F76))&gt;(L85*7),(((L85*7)-(SUM(B70:F76)-C75))*K69)+((SUM(B76:F76)-C75)*K69),SUM(B76:F76)*K69),IF(SUM(B70:F76)&gt;(L85*7),L85*K69,SUM(B76:F76)*K69)),2)</f>
        <v>0</v>
      </c>
      <c r="L76" s="76">
        <f>ROUND(IF(SUM(B70:F75)&lt;(L86*6),IF((SUM(B70:F76))&gt;(L86*7),(((L86*7)-(SUM(B70:F76)-C76))*L69)+((SUM(B76:F76)-C76)*L69),(SUM(B76:F76)-C76)*L69),IF(SUM(B70:F76)&gt;(L86*7),L86*L69,SUM(B76:F76)*L69)),2)</f>
        <v>0</v>
      </c>
      <c r="M76" s="76">
        <f>ROUND(IF(SUM(B70:F75)&lt;(L86*6),IF((SUM(B70:F76))&gt;(L86*7),(((L86*7)-(SUM(B70:F76)-C76))*M69)+((SUM(B76:F76)-C76)*M69),(SUM(B76:F76)-C76)*M69),IF(SUM(B70:F76)&gt;(L86*7),L86*M69,SUM(B76:F76)*M69)),2)</f>
        <v>0</v>
      </c>
      <c r="N76" s="76">
        <f>ROUND(IF(SUM(B70:F75)&lt;(L86*6),IF((SUM(B70:F76))&gt;(L86*7),(((L86*7)-(SUM(B70:F76)-C75))*N69)+((SUM(B76:F76)-C75)*N69),SUM(B76:F76)*N69),IF(SUM(B70:F76)&gt;(L86*7),L86*N69,SUM(B76:F76)*N69)),2)</f>
        <v>0</v>
      </c>
      <c r="O76" s="23">
        <f>ROUND(SUM(B76+C76+F76)*O69,2)</f>
        <v>0</v>
      </c>
      <c r="P76" s="27">
        <f t="shared" si="9"/>
        <v>0</v>
      </c>
    </row>
    <row r="77" spans="1:16" x14ac:dyDescent="0.2">
      <c r="A77" s="100" t="str">
        <f>$A$33</f>
        <v>Aug 2022</v>
      </c>
      <c r="B77" s="24">
        <f>ROUND(IF(P51=0,0,IFERROR(((LOOKUP(2,1/(A58:A61=A77),G58:G61))*P51*4.348),B76/P51*P51)),2)</f>
        <v>0</v>
      </c>
      <c r="C77" s="23">
        <f>ROUND(IFERROR(((LOOKUP(2,1/(B63=A77),((SUM(B76:B78)+SUM(F76:F78))/3)*C63))),0)+IFERROR(((LOOKUP(2,1/(E63=A77),(B82+F82)*F63))),0),2)</f>
        <v>0</v>
      </c>
      <c r="D77" s="23">
        <f>ROUND(IF(B77=0,0,D69/L51*P51),2)</f>
        <v>0</v>
      </c>
      <c r="E77" s="23">
        <f>ROUND(IF(B77=0,0,E69/N47*P51),2)</f>
        <v>0</v>
      </c>
      <c r="F77" s="24">
        <f>ROUND(IF(P51=0,0,IFERROR(((LOOKUP(2,1/(A58:A61=A77),H58:H61))/N47*P51),F76/P51*P51)),2)</f>
        <v>0</v>
      </c>
      <c r="G77" s="27">
        <f t="shared" si="8"/>
        <v>0</v>
      </c>
      <c r="H77" s="76">
        <f>ROUND(IF(SUM(B70:F76)&lt;(L85*7),IF((SUM(B70:F77))&gt;(L85*8),(((L85*8)-(SUM(B70:F77)-C76))*H69)+((SUM(B77:F77)-C76)*H69),SUM(B77:F77)*H69),IF(SUM(B70:F77)&gt;(L85*8),L85*H69,SUM(B77:F77)*H69)),2)</f>
        <v>0</v>
      </c>
      <c r="I77" s="76">
        <f>ROUND(IF(SUM(B70:F76)&lt;(L86*7),IF((SUM(B70:F77))&gt;(L86*8),(((L86*8)-(SUM(B70:F77)-C76))*I69)+((SUM(B77:F77)-C76)*I69),SUM(B77:F77)*I69),IF(SUM(B70:F77)&gt;(L86*8),L86*I69,SUM(B77:F77)*I69)),2)</f>
        <v>0</v>
      </c>
      <c r="J77" s="76">
        <f>ROUND(IF(SUM(B70:F76)&lt;(L86*7),IF((SUM(B70:F77))&gt;(L86*8),(((L86*8)-(SUM(B70:F77)-C76))*J69)+((SUM(B77:F77)-C76)*J69),SUM(B77:F77)*J69),IF(SUM(B70:F77)&gt;(L86*8),L86*J69,SUM(B77:F77)*J69)),2)</f>
        <v>0</v>
      </c>
      <c r="K77" s="76">
        <f>ROUND(IF(SUM(B70:F76)&lt;(L85*7),IF((SUM(B70:F77))&gt;(L85*8),(((L85*8)-(SUM(B70:F77)-C76))*K69)+((SUM(B77:F77)-C76)*K69),SUM(B77:F77)*K69),IF(SUM(B70:F77)&gt;(L85*8),L85*K69,SUM(B77:F77)*K69)),2)</f>
        <v>0</v>
      </c>
      <c r="L77" s="76">
        <f>ROUND(IF(SUM(B70:F76)&lt;(L86*7),IF((SUM(B70:F77))&gt;(L86*8),(((L86*8)-(SUM(B70:F77)-C77))*L69)+((SUM(B77:F77)-C77)*L69),(SUM(B77:F77)-C77)*L69),IF(SUM(B70:F77)&gt;(L86*8),L86*L69,SUM(B77:F77)*L69)),2)</f>
        <v>0</v>
      </c>
      <c r="M77" s="76">
        <f>ROUND(IF(SUM(B70:F76)&lt;(L86*7),IF((SUM(B70:F77))&gt;(L86*8),(((L86*8)-(SUM(B70:F77)-C77))*M69)+((SUM(B77:F77)-C77)*M69),(SUM(B77:F77)-C77)*M69),IF(SUM(B70:F77)&gt;(L86*8),L86*M69,SUM(B77:F77)*M69)),2)</f>
        <v>0</v>
      </c>
      <c r="N77" s="76">
        <f>ROUND(IF(SUM(B70:F76)&lt;(L86*7),IF((SUM(B70:F77))&gt;(L86*8),(((L86*8)-(SUM(B70:F77)-C76))*N69)+((SUM(B77:F77)-C76)*N69),SUM(B77:F77)*N69),IF(SUM(B70:F77)&gt;(L86*8),L86*N69,SUM(B77:F77)*N69)),2)</f>
        <v>0</v>
      </c>
      <c r="O77" s="23">
        <f>ROUND(SUM(B77+C77+F77)*O69,2)</f>
        <v>0</v>
      </c>
      <c r="P77" s="27">
        <f t="shared" si="9"/>
        <v>0</v>
      </c>
    </row>
    <row r="78" spans="1:16" x14ac:dyDescent="0.2">
      <c r="A78" s="100" t="str">
        <f>$A$34</f>
        <v>Sep 2022</v>
      </c>
      <c r="B78" s="24">
        <f>ROUND(IF(P52=0,0,IFERROR(((LOOKUP(2,1/(A58:A61=A78),G58:G61))*P52*4.348),B77/P52*P52)),2)</f>
        <v>0</v>
      </c>
      <c r="C78" s="23">
        <f>ROUND(IFERROR(((LOOKUP(2,1/(B63=A78),((SUM(B76:B78)+SUM(F76:F78))/3)*C63))),0)+IFERROR(((LOOKUP(2,1/(E63=A78),(B82+F82)*F63))),0),2)</f>
        <v>0</v>
      </c>
      <c r="D78" s="23">
        <f>ROUND(IF(B78=0,0,D69/L51*P52),2)</f>
        <v>0</v>
      </c>
      <c r="E78" s="23">
        <f>ROUND(IF(B78=0,0,E69/N47*P52),2)</f>
        <v>0</v>
      </c>
      <c r="F78" s="24">
        <f>ROUND(IF(P52=0,0,IFERROR(((LOOKUP(2,1/(A58:A61=A78),H58:H61))/N47*P52),F77/P52*P52)),2)</f>
        <v>0</v>
      </c>
      <c r="G78" s="27">
        <f t="shared" si="8"/>
        <v>0</v>
      </c>
      <c r="H78" s="76">
        <f>ROUND(IF(SUM(B70:F77)&lt;(L85*8),IF((SUM(B70:F78))&gt;(L85*9),(((L85*9)-(SUM(B70:F78)-C77))*H69)+((SUM(B78:F78)-C77)*H69),SUM(B78:F78)*H69),IF(SUM(B70:F78)&gt;(L85*9),L85*H69,SUM(B78:F78)*H69)),2)</f>
        <v>0</v>
      </c>
      <c r="I78" s="76">
        <f>ROUND(IF(SUM(B70:F77)&lt;(L86*8),IF((SUM(B70:F78))&gt;(L86*9),(((L86*9)-(SUM(B70:F78)-C77))*I69)+((SUM(B78:F78)-C77)*I69),SUM(B78:F78)*I69),IF(SUM(B70:F78)&gt;(L86*9),L86*I69,SUM(B78:F78)*I69)),2)</f>
        <v>0</v>
      </c>
      <c r="J78" s="76">
        <f>ROUND(IF(SUM(B70:F77)&lt;(L86*8),IF((SUM(B70:F78))&gt;(L86*9),(((L86*9)-(SUM(B70:F78)-C77))*J69)+((SUM(B78:F78)-C77)*J69),SUM(B78:F78)*J69),IF(SUM(B70:F78)&gt;(L86*9),L86*J69,SUM(B78:F78)*J69)),2)</f>
        <v>0</v>
      </c>
      <c r="K78" s="76">
        <f>ROUND(IF(SUM(B70:F77)&lt;(L85*8),IF((SUM(B70:F78))&gt;(L85*9),(((L85*9)-(SUM(B70:F78)-C77))*K69)+((SUM(B78:F78)-C77)*K69),SUM(B78:F78)*K69),IF(SUM(B70:F78)&gt;(L85*9),L85*K69,SUM(B78:F78)*K69)),2)</f>
        <v>0</v>
      </c>
      <c r="L78" s="76">
        <f>ROUND(IF(SUM(B70:F77)&lt;(L86*8),IF((SUM(B70:F78))&gt;(L86*9),(((L86*9)-(SUM(B70:F78)-C78))*L69)+((SUM(B78:F78)-C78)*L69),(SUM(B78:F78)-C78)*L69),IF(SUM(B70:F78)&gt;(L86*9),L86*L69,SUM(B78:F78)*L69)),2)</f>
        <v>0</v>
      </c>
      <c r="M78" s="76">
        <f>ROUND(IF(SUM(B70:F77)&lt;(L86*8),IF((SUM(B70:F78))&gt;(L86*9),(((L86*9)-(SUM(B70:F78)-C78))*M69)+((SUM(B78:F78)-C78)*M69),(SUM(B78:F78)-C78)*M69),IF(SUM(B70:F78)&gt;(L86*9),L86*M69,SUM(B78:F78)*M69)),2)</f>
        <v>0</v>
      </c>
      <c r="N78" s="76">
        <f>ROUND(IF(SUM(B70:F77)&lt;(L86*8),IF((SUM(B70:F78))&gt;(L86*9),(((L86*9)-(SUM(B70:F78)-C77))*N69)+((SUM(B78:F78)-C77)*N69),SUM(B78:F78)*N69),IF(SUM(B70:F78)&gt;(L86*9),L86*N69,SUM(B78:F78)*N69)),2)</f>
        <v>0</v>
      </c>
      <c r="O78" s="23">
        <f>ROUND(SUM(B78+C78+F78)*O69,2)</f>
        <v>0</v>
      </c>
      <c r="P78" s="27">
        <f t="shared" si="9"/>
        <v>0</v>
      </c>
    </row>
    <row r="79" spans="1:16" x14ac:dyDescent="0.2">
      <c r="A79" s="100" t="str">
        <f>$A$35</f>
        <v>Okt 2022</v>
      </c>
      <c r="B79" s="24">
        <f>ROUND(IF(P53=0,0,IFERROR(((LOOKUP(2,1/(A58:A61=A79),G58:G61))*P53*4.348),B78/P53*P53)),2)</f>
        <v>0</v>
      </c>
      <c r="C79" s="23">
        <f>ROUND(IFERROR(((LOOKUP(2,1/(B63=A79),((SUM(B76:B78)+SUM(F76:F78))/3)*C63))),0)+IFERROR(((LOOKUP(2,1/(E63=A79),(B82+F82)*F63))),0),2)</f>
        <v>0</v>
      </c>
      <c r="D79" s="23">
        <f>ROUND(IF(B79=0,0,D69/L51*P53),2)</f>
        <v>0</v>
      </c>
      <c r="E79" s="23">
        <f>ROUND(IF(B79=0,0,E69/N47*P53),2)</f>
        <v>0</v>
      </c>
      <c r="F79" s="24">
        <f>ROUND(IF(P53=0,0,IFERROR(((LOOKUP(2,1/(A58:A61=A79),H58:H61))/N47*P53),F78/P53*P53)),2)</f>
        <v>0</v>
      </c>
      <c r="G79" s="27">
        <f t="shared" si="8"/>
        <v>0</v>
      </c>
      <c r="H79" s="76">
        <f>ROUND(IF(SUM(B70:F78)&lt;(L85*9),IF((SUM(B70:F79))&gt;(L85*10),(((L85*10)-(SUM(B70:F79)-C78))*H69)+((SUM(B79:F79)-C78)*H69),SUM(B79:F79)*H69),IF(SUM(B70:F79)&gt;(L85*10),L85*H69,SUM(B79:F79)*H69)),2)</f>
        <v>0</v>
      </c>
      <c r="I79" s="76">
        <f>ROUND(IF(SUM(B70:F78)&lt;(L86*9),IF((SUM(B70:F79))&gt;(L86*10),(((L86*10)-(SUM(B70:F79)-C78))*I69)+((SUM(B79:F79)-C78)*I69),SUM(B79:F79)*I69),IF(SUM(B70:F79)&gt;(L86*10),L86*I69,SUM(B79:F79)*I69)),2)</f>
        <v>0</v>
      </c>
      <c r="J79" s="76">
        <f>ROUND(IF(SUM(B70:F78)&lt;(L86*9),IF((SUM(B70:F79))&gt;(L86*10),(((L86*10)-(SUM(B70:F79)-C78))*J69)+((SUM(B79:F79)-C78)*J69),SUM(B79:F79)*J69),IF(SUM(B70:F79)&gt;(L86*10),L86*J69,SUM(B79:F79)*J69)),2)</f>
        <v>0</v>
      </c>
      <c r="K79" s="76">
        <f>ROUND(IF(SUM(B70:F78)&lt;(L85*9),IF((SUM(B70:F79))&gt;(L85*10),(((L85*10)-(SUM(B70:F79)-C78))*K69)+((SUM(B79:F79)-C78)*K69),SUM(B79:F79)*K69),IF(SUM(B70:F79)&gt;(L85*10),L85*K69,SUM(B79:F79)*K69)),2)</f>
        <v>0</v>
      </c>
      <c r="L79" s="76">
        <f>ROUND(IF(SUM(B70:F78)&lt;(L86*9),IF((SUM(B70:F79))&gt;(L86*10),(((L86*10)-(SUM(B70:F79)-C79))*L69)+((SUM(B79:F79)-C79)*L69),(SUM(B79:F79)-C79)*L69),IF(SUM(B70:F79)&gt;(L86*10),L86*L69,SUM(B79:F79)*L69)),2)</f>
        <v>0</v>
      </c>
      <c r="M79" s="76">
        <f>ROUND(IF(SUM(B70:F78)&lt;(L86*9),IF((SUM(B70:F79))&gt;(L86*10),(((L86*10)-(SUM(B70:F79)-C79))*M69)+((SUM(B79:F79)-C79)*M69),(SUM(B79:F79)-C79)*M69),IF(SUM(B70:F79)&gt;(L86*10),L86*M69,SUM(B79:F79)*M69)),2)</f>
        <v>0</v>
      </c>
      <c r="N79" s="76">
        <f>ROUND(IF(SUM(B70:F78)&lt;(L86*9),IF((SUM(B70:F79))&gt;(L86*10),(((L86*10)-(SUM(B70:F79)-C78))*N69)+((SUM(B79:F79)-C78)*N69),SUM(B79:F79)*N69),IF(SUM(B70:F79)&gt;(L86*10),L86*N69,SUM(B79:F79)*N69)),2)</f>
        <v>0</v>
      </c>
      <c r="O79" s="23">
        <f>ROUND(SUM(B79+C79+F79)*O69,2)</f>
        <v>0</v>
      </c>
      <c r="P79" s="27">
        <f t="shared" si="9"/>
        <v>0</v>
      </c>
    </row>
    <row r="80" spans="1:16" x14ac:dyDescent="0.2">
      <c r="A80" s="100" t="str">
        <f>$A$36</f>
        <v>Nov 2022</v>
      </c>
      <c r="B80" s="24">
        <f>ROUND(IF(P54=0,0,IFERROR(((LOOKUP(2,1/(A58:A61=A80),G58:G61))*P54*4.348),B79/P54*P54)),2)</f>
        <v>0</v>
      </c>
      <c r="C80" s="23">
        <f>ROUND(IFERROR(((LOOKUP(2,1/(B63=A80),((SUM(B76:B78)+SUM(F76:F78))/3)*C63))),0)+IFERROR(((LOOKUP(2,1/(E63=A80),(B82+F82)*F63))),0),2)</f>
        <v>0</v>
      </c>
      <c r="D80" s="23">
        <f>ROUND(IF(B80=0,0,D69/L51*P54),2)</f>
        <v>0</v>
      </c>
      <c r="E80" s="23">
        <f>ROUND(IF(B80=0,0,E69/N47*P54),2)</f>
        <v>0</v>
      </c>
      <c r="F80" s="24">
        <f>ROUND(IF(P54=0,0,IFERROR(((LOOKUP(2,1/(A58:A61=A80),H58:H61))/N47*P54),F79/P54*P54)),2)</f>
        <v>0</v>
      </c>
      <c r="G80" s="27">
        <f t="shared" si="8"/>
        <v>0</v>
      </c>
      <c r="H80" s="76">
        <f>ROUND(IF(SUM(B70:F79)&lt;(L85*10),IF((SUM(B70:F80))&gt;(L85*11),(((L85*11)-(SUM(B70:F80)-C79))*H69)+((SUM(B80:F80)-C79)*H69),SUM(B80:F80)*H69),IF(SUM(B70:F80)&gt;(L85*11),L85*H69,SUM(B80:F80)*H69)),2)</f>
        <v>0</v>
      </c>
      <c r="I80" s="76">
        <f>ROUND(IF(SUM(B70:F79)&lt;(L86*10),IF((SUM(B70:F80))&gt;(L86*11),(((L86*11)-(SUM(B70:F80)-C79))*I69)+((SUM(B80:F80)-C79)*I69),SUM(B80:F80)*I69),IF(SUM(B70:F80)&gt;(L86*11),L86*I69,SUM(B80:F80)*I69)),2)</f>
        <v>0</v>
      </c>
      <c r="J80" s="76">
        <f>ROUND(IF(SUM(B70:F79)&lt;(L86*10),IF((SUM(B70:F80))&gt;(L86*11),(((L86*11)-(SUM(B70:F80)-C79))*J69)+((SUM(B80:F80)-C79)*J69),SUM(B80:F80)*J69),IF(SUM(B70:F80)&gt;(L86*11),L86*J69,SUM(B80:F80)*J69)),2)</f>
        <v>0</v>
      </c>
      <c r="K80" s="76">
        <f>ROUND(IF(SUM(B70:F79)&lt;(L85*10),IF((SUM(B70:F80))&gt;(L85*11),(((L85*11)-(SUM(B70:F80)-C79))*K69)+((SUM(B80:F80)-C79)*K69),SUM(B80:F80)*K69),IF(SUM(B70:F80)&gt;(L85*11),L85*K69,SUM(B80:F80)*K69)),2)</f>
        <v>0</v>
      </c>
      <c r="L80" s="76">
        <f>ROUND(IF(SUM(B70:F79)&lt;(L86*10),IF((SUM(B70:F80))&gt;(L86*11),(((L86*11)-(SUM(B70:F80)-C80))*L69)+((SUM(B80:F80)-C80)*L69),(SUM(B80:F80)-C80)*L69),IF(SUM(B70:F80)&gt;(L86*11),L86*L69,SUM(B80:F80)*L69)),2)</f>
        <v>0</v>
      </c>
      <c r="M80" s="76">
        <f>ROUND(IF(SUM(B70:F79)&lt;(L86*10),IF((SUM(B70:F80))&gt;(L86*11),(((L86*11)-(SUM(B70:F80)-C80))*M69)+((SUM(B80:F80)-C80)*M69),(SUM(B80:F80)-C80)*M69),IF(SUM(B70:F80)&gt;(L86*11),L86*M69,SUM(B80:F80)*M69)),2)</f>
        <v>0</v>
      </c>
      <c r="N80" s="76">
        <f>ROUND(IF(SUM(B70:F79)&lt;(L86*10),IF((SUM(B70:F80))&gt;(L86*11),(((L86*11)-(SUM(B70:F80)-C79))*N69)+((SUM(B80:F80)-C79)*N69),SUM(B80:F80)*N69),IF(SUM(B70:F80)&gt;(L86*11),L86*N69,SUM(B80:F80)*N69)),2)</f>
        <v>0</v>
      </c>
      <c r="O80" s="23">
        <f>ROUND(SUM(B80+C80+F80)*O69,2)</f>
        <v>0</v>
      </c>
      <c r="P80" s="27">
        <f t="shared" si="9"/>
        <v>0</v>
      </c>
    </row>
    <row r="81" spans="1:16" x14ac:dyDescent="0.2">
      <c r="A81" s="100" t="str">
        <f>$A$37</f>
        <v>Dez 2022</v>
      </c>
      <c r="B81" s="24">
        <f>ROUND(IF(P55=0,0,IFERROR(((LOOKUP(2,1/(A58:A61=A81),G58:G61))*P55*4.348),B80/P55*P55)),2)</f>
        <v>0</v>
      </c>
      <c r="C81" s="23">
        <f>ROUND(IFERROR(((LOOKUP(2,1/(B63=A81),((SUM(B76:B78)+SUM(F76:F78))/3)*C63))),0)+IFERROR(((LOOKUP(2,1/(E63=A81),(B82+F82)*F63))),0),2)</f>
        <v>0</v>
      </c>
      <c r="D81" s="23">
        <f>ROUND(IF(B81=0,0,D69/L51*P55),2)</f>
        <v>0</v>
      </c>
      <c r="E81" s="23">
        <f>ROUND(IF(B81=0,0,E69/N47*P55),2)</f>
        <v>0</v>
      </c>
      <c r="F81" s="24">
        <f>ROUND(IF(P55=0,0,IFERROR(((LOOKUP(2,1/(A58:A61=A81),H58:H61))/N47*P55),F80/P55*P55)),2)</f>
        <v>0</v>
      </c>
      <c r="G81" s="27">
        <f t="shared" si="8"/>
        <v>0</v>
      </c>
      <c r="H81" s="76">
        <f>ROUND(IF(SUM(B70:F80)&lt;(L85*11),IF((SUM(B70:F81))&gt;(L85*12),(((L85*12)-(SUM(B70:F81)-C80))*H69)+((SUM(B81:F81)-C80)*H69),SUM(B81:F81)*H69),IF(SUM(B70:F81)&gt;(L85*12),L85*H69,SUM(B81:F81)*H69)),2)</f>
        <v>0</v>
      </c>
      <c r="I81" s="76">
        <f>ROUND(IF(SUM(B70:F80)&lt;(L86*11),IF((SUM(B70:F81))&gt;(L86*12),(((L86*12)-(SUM(B70:F81)-C80))*I69)+((SUM(B81:F81)-C80)*I69),SUM(B81:F81)*I69),IF(SUM(B70:F81)&gt;(L86*12),L86*I69,SUM(B81:F81)*I69)),2)</f>
        <v>0</v>
      </c>
      <c r="J81" s="76">
        <f>ROUND(IF(SUM(B70:F80)&lt;(L86*11),IF((SUM(B70:F81))&gt;(L86*12),(((L86*12)-(SUM(B70:F81)-C80))*J69)+((SUM(B81:F81)-C80)*J69),SUM(B81:F81)*J69),IF(SUM(B70:F81)&gt;(L86*12),L86*J69,SUM(B81:F81)*J69)),2)</f>
        <v>0</v>
      </c>
      <c r="K81" s="76">
        <f>ROUND(IF(SUM(B70:F80)&lt;(L85*11),IF((SUM(B70:F81))&gt;(L85*12),(((L85*12)-(SUM(B70:F81)-C80))*K69)+((SUM(B81:F81)-C80)*K69),SUM(B81:F81)*K69),IF(SUM(B70:F81)&gt;(L85*12),L85*K69,SUM(B81:F81)*K69)),2)</f>
        <v>0</v>
      </c>
      <c r="L81" s="76">
        <f>ROUND(IF(SUM(B70:F80)&lt;(L86*11),IF((SUM(B70:F81))&gt;(L86*12),(((L86*12)-(SUM(B70:F81)-C81))*L69)+((SUM(B81:F81)-C81)*L69),(SUM(B81:F81)-C81)*L69),IF(SUM(B70:F81)&gt;(L86*12),L86*L69,SUM(B81:F81)*L69)),2)</f>
        <v>0</v>
      </c>
      <c r="M81" s="76">
        <f>ROUND(IF(SUM(B70:F80)&lt;(L86*11),IF((SUM(B70:F81))&gt;(L86*12),(((L86*12)-(SUM(B70:F81)-C81))*M69)+((SUM(B81:F81)-C81)*M69),(SUM(B81:F81)-C81)*M69),IF(SUM(B70:F81)&gt;(L86*12),L86*M69,SUM(B81:F81)*M69)),2)</f>
        <v>0</v>
      </c>
      <c r="N81" s="76">
        <f>ROUND(IF(SUM(B70:F80)&lt;(L86*11),IF((SUM(B70:F81))&gt;(L86*12),(((L86*12)-(SUM(B70:F81)-C80))*N69)+((SUM(B81:F81)-C80)*N69),SUM(B81:F81)*N69),IF(SUM(B70:F81)&gt;(L86*12),L86*N69,SUM(B81:F81)*N69)),2)</f>
        <v>0</v>
      </c>
      <c r="O81" s="23">
        <f>ROUND(SUM(B81+C81+F81)*O69,2)</f>
        <v>0</v>
      </c>
      <c r="P81" s="27">
        <f t="shared" si="9"/>
        <v>0</v>
      </c>
    </row>
    <row r="82" spans="1:16" s="14" customFormat="1" ht="15" x14ac:dyDescent="0.25">
      <c r="A82" s="4" t="s">
        <v>2</v>
      </c>
      <c r="B82" s="27">
        <f>SUM(B70:B81)</f>
        <v>0</v>
      </c>
      <c r="C82" s="27">
        <f t="shared" ref="C82:D82" si="10">SUM(C70:C81)</f>
        <v>0</v>
      </c>
      <c r="D82" s="27">
        <f t="shared" si="10"/>
        <v>0</v>
      </c>
      <c r="E82" s="27">
        <f>SUM(E70:E81)</f>
        <v>0</v>
      </c>
      <c r="F82" s="27">
        <f>SUM(F70:F81)</f>
        <v>0</v>
      </c>
      <c r="G82" s="27">
        <f>SUM(G70:G81)</f>
        <v>0</v>
      </c>
      <c r="H82" s="1133">
        <f>SUM(H70:N81)</f>
        <v>0</v>
      </c>
      <c r="I82" s="1134"/>
      <c r="J82" s="1134"/>
      <c r="K82" s="1134"/>
      <c r="L82" s="1134"/>
      <c r="M82" s="1134"/>
      <c r="N82" s="1135"/>
      <c r="O82" s="27">
        <f>SUM(O70:O81)</f>
        <v>0</v>
      </c>
      <c r="P82" s="27">
        <f>SUM(P70:P81)</f>
        <v>0</v>
      </c>
    </row>
    <row r="83" spans="1:16" s="13" customFormat="1" ht="11.25" x14ac:dyDescent="0.2">
      <c r="A83" s="3" t="s">
        <v>1</v>
      </c>
      <c r="B83" s="2"/>
      <c r="C83" s="2"/>
      <c r="D83" s="2"/>
      <c r="E83" s="2"/>
      <c r="F83" s="2"/>
      <c r="G83" s="2"/>
      <c r="H83" s="2"/>
      <c r="I83" s="2"/>
      <c r="J83" s="2"/>
      <c r="K83" s="2"/>
      <c r="L83" s="2"/>
      <c r="M83" s="2"/>
      <c r="N83" s="2"/>
      <c r="O83" s="2"/>
      <c r="P83" s="2"/>
    </row>
    <row r="84" spans="1:16" ht="14.25" customHeight="1" x14ac:dyDescent="0.2">
      <c r="A84" s="1136" t="s">
        <v>133</v>
      </c>
      <c r="B84" s="1137"/>
      <c r="C84" s="1137"/>
      <c r="D84" s="1137" t="s">
        <v>134</v>
      </c>
      <c r="E84" s="1137"/>
      <c r="F84" s="94" t="str">
        <f>IF(IF(G82=0,"",$F$40)=0,"",IF(G82=0,"",$F$40))</f>
        <v/>
      </c>
      <c r="G84" s="77" t="s">
        <v>135</v>
      </c>
      <c r="H84" s="96" t="str">
        <f>IF(IF(G82=0,"",$H$40)=0,"",IF(G82=0,"",$H$40))</f>
        <v/>
      </c>
      <c r="I84" s="73"/>
      <c r="J84" s="194" t="s">
        <v>160</v>
      </c>
      <c r="K84" s="194" t="str">
        <f>$K$40</f>
        <v>2021</v>
      </c>
      <c r="L84" s="194" t="str">
        <f>$L$40</f>
        <v>anteilig 2021</v>
      </c>
      <c r="M84" s="1138" t="s">
        <v>140</v>
      </c>
      <c r="N84" s="1138"/>
      <c r="O84" s="1139"/>
      <c r="P84" s="27">
        <f>ROUND(IF(F84="",IF(E88="",0,(E88*H88/K88)/L51*L52),G82*F84*H84/1000),2)</f>
        <v>0</v>
      </c>
    </row>
    <row r="85" spans="1:16" ht="15" customHeight="1" x14ac:dyDescent="0.2">
      <c r="A85" s="1140" t="s">
        <v>145</v>
      </c>
      <c r="B85" s="1141"/>
      <c r="C85" s="1141"/>
      <c r="D85" s="18"/>
      <c r="E85" s="106" t="s">
        <v>135</v>
      </c>
      <c r="F85" s="95" t="str">
        <f>IF(IF(G82=0,"",$F$41)=0,"",IF(G82=0,"",$F$41))</f>
        <v/>
      </c>
      <c r="G85" s="48"/>
      <c r="H85" s="47"/>
      <c r="I85" s="48"/>
      <c r="J85" s="195" t="s">
        <v>158</v>
      </c>
      <c r="K85" s="198">
        <f>$K$41</f>
        <v>4837.5</v>
      </c>
      <c r="L85" s="197">
        <f>IF(L51="",K85,K85/L51*L52)</f>
        <v>4837.5</v>
      </c>
      <c r="M85" s="1138" t="s">
        <v>139</v>
      </c>
      <c r="N85" s="1138"/>
      <c r="O85" s="1139"/>
      <c r="P85" s="27">
        <f>ROUND(IF(F85="",0,G82*F85/1000),2)</f>
        <v>0</v>
      </c>
    </row>
    <row r="86" spans="1:16" ht="15.75" customHeight="1" x14ac:dyDescent="0.2">
      <c r="A86" s="1142" t="s">
        <v>141</v>
      </c>
      <c r="B86" s="1143"/>
      <c r="C86" s="1143"/>
      <c r="D86" s="1144" t="s">
        <v>143</v>
      </c>
      <c r="E86" s="1144"/>
      <c r="F86" s="1145" t="str">
        <f>IF(IF(G82=0,"",$F$42)=0,"",IF(G82=0,"",$F$42))</f>
        <v/>
      </c>
      <c r="G86" s="1145"/>
      <c r="H86" s="72"/>
      <c r="I86" s="18"/>
      <c r="J86" s="195" t="s">
        <v>159</v>
      </c>
      <c r="K86" s="197">
        <f>$K$42</f>
        <v>6700</v>
      </c>
      <c r="L86" s="197">
        <f>IF(L51="",K86,K86/L51*L52)</f>
        <v>6700</v>
      </c>
      <c r="M86" s="1138" t="s">
        <v>141</v>
      </c>
      <c r="N86" s="1138"/>
      <c r="O86" s="1139"/>
      <c r="P86" s="23">
        <f>ROUND(IF(F86="",0,IF(G82=0,0,F86/L51*L52)),2)</f>
        <v>0</v>
      </c>
    </row>
    <row r="87" spans="1:16" ht="14.25" customHeight="1" x14ac:dyDescent="0.2">
      <c r="A87" s="18"/>
      <c r="B87" s="18"/>
      <c r="C87" s="18"/>
      <c r="D87" s="18"/>
      <c r="E87" s="18"/>
      <c r="F87" s="18"/>
      <c r="G87" s="18"/>
      <c r="H87" s="18"/>
      <c r="I87" s="18"/>
      <c r="J87" s="18"/>
      <c r="K87" s="74"/>
      <c r="L87" s="82"/>
      <c r="M87" s="1127" t="s">
        <v>146</v>
      </c>
      <c r="N87" s="1127"/>
      <c r="O87" s="1128"/>
      <c r="P87" s="23">
        <f>ROUND(IF(G82=0,0,$P$43),2)</f>
        <v>0</v>
      </c>
    </row>
    <row r="88" spans="1:16" ht="14.25" customHeight="1" x14ac:dyDescent="0.2">
      <c r="A88" s="1129" t="s">
        <v>142</v>
      </c>
      <c r="B88" s="1130"/>
      <c r="C88" s="75" t="s">
        <v>136</v>
      </c>
      <c r="D88" s="75" t="s">
        <v>137</v>
      </c>
      <c r="E88" s="1131" t="str">
        <f>IF(IF(G82=0,"",$E$44)=0,"",IF(G82=0,"",$E$44))</f>
        <v/>
      </c>
      <c r="F88" s="1131"/>
      <c r="G88" s="83" t="s">
        <v>138</v>
      </c>
      <c r="H88" s="97" t="str">
        <f>IF(IF(G82=0,"",$H$44)=0,"",IF(G82=0,"",$H$44))</f>
        <v/>
      </c>
      <c r="I88" s="1132" t="s">
        <v>144</v>
      </c>
      <c r="J88" s="1132"/>
      <c r="K88" s="98" t="str">
        <f>IF(IF(G82=0,"",$K$44)=0,"",IF(G82=0,"",$K$44))</f>
        <v/>
      </c>
      <c r="L88" s="29"/>
      <c r="M88" s="29"/>
      <c r="N88" s="29"/>
      <c r="O88" s="28" t="s">
        <v>0</v>
      </c>
      <c r="P88" s="27">
        <f>P82+SUM(P84:P87)</f>
        <v>0</v>
      </c>
    </row>
    <row r="89" spans="1:16" ht="14.25" customHeight="1" x14ac:dyDescent="0.2">
      <c r="A89" s="1178" t="s">
        <v>18</v>
      </c>
      <c r="B89" s="1178"/>
      <c r="C89" s="1178"/>
      <c r="D89" s="1179" t="str">
        <f>IF($D$1="","",$D$1)</f>
        <v/>
      </c>
      <c r="E89" s="1179"/>
      <c r="F89" s="1179"/>
      <c r="G89" s="1179"/>
      <c r="H89" s="1179"/>
      <c r="I89" s="1179"/>
      <c r="J89" s="1179"/>
      <c r="K89" s="1179"/>
      <c r="L89" s="1179"/>
      <c r="M89" s="1179"/>
      <c r="N89" s="1179"/>
      <c r="O89" s="12"/>
      <c r="P89" s="12"/>
    </row>
    <row r="90" spans="1:16" ht="14.25" customHeight="1" x14ac:dyDescent="0.2">
      <c r="A90" s="1178" t="s">
        <v>17</v>
      </c>
      <c r="B90" s="1178"/>
      <c r="C90" s="1178" t="s">
        <v>15</v>
      </c>
      <c r="D90" s="1179" t="str">
        <f>IF($D$2="","",$D$2)</f>
        <v/>
      </c>
      <c r="E90" s="1179"/>
      <c r="F90" s="1179"/>
      <c r="G90" s="1179"/>
      <c r="H90" s="1179"/>
      <c r="I90" s="1179"/>
      <c r="J90" s="1179"/>
      <c r="K90" s="1179"/>
      <c r="L90" s="1179"/>
      <c r="M90" s="1179"/>
      <c r="N90" s="1179"/>
      <c r="O90" s="12"/>
      <c r="P90" s="12"/>
    </row>
    <row r="91" spans="1:16" ht="14.25" customHeight="1" x14ac:dyDescent="0.2">
      <c r="A91" s="1178" t="s">
        <v>16</v>
      </c>
      <c r="B91" s="1178"/>
      <c r="C91" s="1178" t="s">
        <v>15</v>
      </c>
      <c r="D91" s="1179" t="str">
        <f>IF($D$3="","",$D$3)</f>
        <v/>
      </c>
      <c r="E91" s="1179"/>
      <c r="F91" s="1179"/>
      <c r="G91" s="1179"/>
      <c r="H91" s="1179"/>
      <c r="I91" s="1179"/>
      <c r="J91" s="1179"/>
      <c r="K91" s="1178" t="s">
        <v>103</v>
      </c>
      <c r="L91" s="1178"/>
      <c r="M91" s="1178"/>
      <c r="N91" s="41" t="str">
        <f>IF($N$3="","",$N$3)</f>
        <v/>
      </c>
      <c r="O91" s="12"/>
      <c r="P91" s="12"/>
    </row>
    <row r="92" spans="1:16" s="13" customFormat="1" ht="11.25" x14ac:dyDescent="0.2">
      <c r="A92" s="1182"/>
      <c r="B92" s="1182"/>
      <c r="C92" s="1182"/>
      <c r="D92" s="1183"/>
      <c r="E92" s="1183"/>
      <c r="F92" s="1183"/>
      <c r="G92" s="1183"/>
      <c r="H92" s="1183"/>
      <c r="I92" s="1183"/>
      <c r="J92" s="1183"/>
      <c r="K92" s="11"/>
      <c r="L92" s="11"/>
      <c r="M92" s="11"/>
      <c r="N92" s="11"/>
      <c r="O92" s="11"/>
      <c r="P92" s="11"/>
    </row>
    <row r="93" spans="1:16" s="15" customFormat="1" ht="13.5" customHeight="1" x14ac:dyDescent="0.2">
      <c r="A93" s="1177" t="s">
        <v>20</v>
      </c>
      <c r="B93" s="1177"/>
      <c r="C93" s="1177"/>
      <c r="D93" s="1177"/>
      <c r="E93" s="1177"/>
      <c r="F93" s="1177"/>
      <c r="G93" s="1177"/>
      <c r="H93" s="1177"/>
      <c r="I93" s="1177"/>
      <c r="J93" s="1177"/>
      <c r="K93" s="9"/>
      <c r="L93" s="9"/>
      <c r="M93" s="9"/>
      <c r="N93" s="59" t="s">
        <v>154</v>
      </c>
      <c r="O93" s="190">
        <f>$O$5</f>
        <v>2022</v>
      </c>
      <c r="P93" s="59" t="s">
        <v>154</v>
      </c>
    </row>
    <row r="94" spans="1:16" s="10" customFormat="1" ht="13.5" customHeight="1" x14ac:dyDescent="0.25">
      <c r="B94" s="32"/>
      <c r="C94" s="32"/>
      <c r="D94" s="5" t="s">
        <v>163</v>
      </c>
      <c r="E94" s="31"/>
      <c r="F94" s="31"/>
      <c r="G94" s="31"/>
      <c r="H94" s="31"/>
      <c r="I94" s="26"/>
      <c r="J94" s="1174" t="s">
        <v>14</v>
      </c>
      <c r="K94" s="1174"/>
      <c r="L94" s="180"/>
      <c r="N94" s="84">
        <f>IF(L96="","",L96)</f>
        <v>0</v>
      </c>
      <c r="O94" s="58" t="str">
        <f>$O$6</f>
        <v>Jan                Jul</v>
      </c>
      <c r="P94" s="85">
        <f>IF(N99="","",N99)</f>
        <v>0</v>
      </c>
    </row>
    <row r="95" spans="1:16" s="7" customFormat="1" ht="13.5" customHeight="1" x14ac:dyDescent="0.25">
      <c r="A95" s="1180" t="s">
        <v>71</v>
      </c>
      <c r="B95" s="1180"/>
      <c r="C95" s="1180"/>
      <c r="D95" s="1184"/>
      <c r="E95" s="1184"/>
      <c r="F95" s="1184"/>
      <c r="G95" s="1184"/>
      <c r="H95" s="1184"/>
      <c r="I95" s="1184"/>
      <c r="J95" s="1174" t="s">
        <v>104</v>
      </c>
      <c r="K95" s="1174"/>
      <c r="L95" s="105"/>
      <c r="N95" s="85">
        <f>IF(N94="","",N94)</f>
        <v>0</v>
      </c>
      <c r="O95" s="58" t="str">
        <f>$O$7</f>
        <v>Feb              Aug</v>
      </c>
      <c r="P95" s="85">
        <f>IF(P94="","",P94)</f>
        <v>0</v>
      </c>
    </row>
    <row r="96" spans="1:16" ht="13.5" customHeight="1" x14ac:dyDescent="0.2">
      <c r="A96" s="1180" t="s">
        <v>13</v>
      </c>
      <c r="B96" s="1180"/>
      <c r="C96" s="1180"/>
      <c r="D96" s="1181"/>
      <c r="E96" s="1181"/>
      <c r="F96" s="1181"/>
      <c r="G96" s="1181"/>
      <c r="H96" s="1181"/>
      <c r="I96" s="1181"/>
      <c r="J96" s="1174" t="s">
        <v>105</v>
      </c>
      <c r="K96" s="1174"/>
      <c r="L96" s="170">
        <v>0</v>
      </c>
      <c r="M96" s="171"/>
      <c r="N96" s="85">
        <f>IF(N95="","",N95)</f>
        <v>0</v>
      </c>
      <c r="O96" s="58" t="str">
        <f>$O$8</f>
        <v>Mrz              Sep</v>
      </c>
      <c r="P96" s="85">
        <f>IF(P95="","",P95)</f>
        <v>0</v>
      </c>
    </row>
    <row r="97" spans="1:16" ht="13.5" customHeight="1" x14ac:dyDescent="0.2">
      <c r="A97" s="1180" t="s">
        <v>12</v>
      </c>
      <c r="B97" s="1180"/>
      <c r="C97" s="1180"/>
      <c r="D97" s="1181"/>
      <c r="E97" s="1181"/>
      <c r="F97" s="1181"/>
      <c r="G97" s="1181"/>
      <c r="H97" s="1181"/>
      <c r="I97" s="1181"/>
      <c r="J97" s="1174" t="s">
        <v>763</v>
      </c>
      <c r="K97" s="1174"/>
      <c r="L97" s="170"/>
      <c r="N97" s="85">
        <f>IF(N96="","",N96)</f>
        <v>0</v>
      </c>
      <c r="O97" s="58" t="str">
        <f>$O$9</f>
        <v>Apr               Okt</v>
      </c>
      <c r="P97" s="85">
        <f t="shared" ref="P97:P99" si="11">IF(P96="","",P96)</f>
        <v>0</v>
      </c>
    </row>
    <row r="98" spans="1:16" ht="13.5" customHeight="1" x14ac:dyDescent="0.2">
      <c r="A98" s="1180" t="s">
        <v>19</v>
      </c>
      <c r="B98" s="1180"/>
      <c r="C98" s="1180"/>
      <c r="D98" s="1181"/>
      <c r="E98" s="1181"/>
      <c r="F98" s="1181"/>
      <c r="G98" s="1181"/>
      <c r="H98" s="1181"/>
      <c r="I98" s="1181"/>
      <c r="J98" s="1174" t="s">
        <v>97</v>
      </c>
      <c r="K98" s="1174"/>
      <c r="L98" s="17" t="str">
        <f>IF(IF((COUNTIF(B114:B125,"&gt;0"))=0,0,(COUNTIF(B114:B125,"&gt;0")))&gt;Grundlagen!$C$24,Grundlagen!$C$24,IF((COUNTIF(B114:B125,"&gt;0"))=0,"",(COUNTIF(B114:B125,"&gt;0"))))</f>
        <v/>
      </c>
      <c r="M98" s="92"/>
      <c r="N98" s="85">
        <f>IF(N97="","",N97)</f>
        <v>0</v>
      </c>
      <c r="O98" s="58" t="str">
        <f>$O$10</f>
        <v>Mai               Nov</v>
      </c>
      <c r="P98" s="85">
        <f t="shared" si="11"/>
        <v>0</v>
      </c>
    </row>
    <row r="99" spans="1:16" ht="13.5" customHeight="1" x14ac:dyDescent="0.2">
      <c r="B99" s="8"/>
      <c r="C99" s="104" t="s">
        <v>162</v>
      </c>
      <c r="D99" s="1175"/>
      <c r="E99" s="1175"/>
      <c r="F99" s="1176" t="s">
        <v>106</v>
      </c>
      <c r="G99" s="1176"/>
      <c r="H99" s="1175"/>
      <c r="I99" s="1175"/>
      <c r="L99" s="147" t="str">
        <f>IF((SUM(F102:F105))=0,"",IF(P100&gt;L95,L95,IF(L95="","",IF(L98="","",P100))))</f>
        <v/>
      </c>
      <c r="N99" s="85">
        <f>IF(N98="","",N98)</f>
        <v>0</v>
      </c>
      <c r="O99" s="58" t="str">
        <f>$O$11</f>
        <v>Jun               Dez</v>
      </c>
      <c r="P99" s="85">
        <f t="shared" si="11"/>
        <v>0</v>
      </c>
    </row>
    <row r="100" spans="1:16" ht="13.5" customHeight="1" x14ac:dyDescent="0.2">
      <c r="I100" s="6"/>
      <c r="O100" s="174" t="s">
        <v>251</v>
      </c>
      <c r="P100" s="175">
        <f>IF(L98="",0,((IF(SUMIF(B114,"&gt;0"),N94,0))+(IF(SUMIF(B115,"&gt;0"),N95,0))+(IF(SUMIF(B116,"&gt;0"),N96,0))+(IF(SUMIF(B117,"&gt;0"),N97,0))+(IF(SUMIF(B118,"&gt;0"),N98,0))+(IF(SUMIF(B119,"&gt;0"),N99,0))+(IF(SUMIF(B120,"&gt;0"),P94,0))+(IF(SUMIF(B121,"&gt;0"),P95,0))+(IF(SUMIF(B122,"&gt;0"),P96,0))+(IF(SUMIF(B123,"&gt;0"),P97,0))+(IF(SUMIF(B124,"&gt;0"),P98,0))+(IF(SUMIF(B125,"&gt;0"),P99,0)))/Grundlagen!$C$24)</f>
        <v>0</v>
      </c>
    </row>
    <row r="101" spans="1:16" s="52" customFormat="1" ht="13.5" customHeight="1" x14ac:dyDescent="0.2">
      <c r="A101" s="61" t="s">
        <v>148</v>
      </c>
      <c r="B101" s="1168" t="s">
        <v>149</v>
      </c>
      <c r="C101" s="1168"/>
      <c r="D101" s="62" t="s">
        <v>150</v>
      </c>
      <c r="E101" s="63" t="s">
        <v>151</v>
      </c>
      <c r="F101" s="64" t="str">
        <f>CONCATENATE("Entg. ",N87," h/Wo")</f>
        <v>Entg.  h/Wo</v>
      </c>
      <c r="G101" s="65" t="s">
        <v>152</v>
      </c>
      <c r="H101" s="65" t="s">
        <v>153</v>
      </c>
      <c r="K101" s="1169" t="str">
        <f>CONCATENATE("Zuschläge / Zulagen für ",N87,"h/Wo")</f>
        <v>Zuschläge / Zulagen für h/Wo</v>
      </c>
      <c r="L101" s="1169"/>
      <c r="M101" s="66" t="str">
        <f>IF(A102="","",A102)</f>
        <v>Jan 2022</v>
      </c>
      <c r="N101" s="66" t="str">
        <f>IF(A103="","",A103)</f>
        <v/>
      </c>
      <c r="O101" s="66" t="str">
        <f>IF(A104="","",A104)</f>
        <v/>
      </c>
      <c r="P101" s="66" t="str">
        <f>IF(A105="","",A105)</f>
        <v/>
      </c>
    </row>
    <row r="102" spans="1:16" s="52" customFormat="1" ht="13.5" customHeight="1" x14ac:dyDescent="0.25">
      <c r="A102" s="54" t="str">
        <f>A114</f>
        <v>Jan 2022</v>
      </c>
      <c r="B102" s="1170" t="str">
        <f>IF($D$3="","",$D$3)</f>
        <v/>
      </c>
      <c r="C102" s="1171"/>
      <c r="D102" s="181"/>
      <c r="E102" s="181"/>
      <c r="F102" s="87"/>
      <c r="G102" s="56">
        <f>IF(N91="",0,F102/N91/4.348)</f>
        <v>0</v>
      </c>
      <c r="H102" s="53">
        <f>IF(G102=0,0,M107)</f>
        <v>0</v>
      </c>
      <c r="K102" s="1146"/>
      <c r="L102" s="1146"/>
      <c r="M102" s="172"/>
      <c r="N102" s="172"/>
      <c r="O102" s="172"/>
      <c r="P102" s="172"/>
    </row>
    <row r="103" spans="1:16" s="52" customFormat="1" ht="13.5" customHeight="1" x14ac:dyDescent="0.25">
      <c r="A103" s="55"/>
      <c r="B103" s="1172" t="str">
        <f>IF(A103="","",B102)</f>
        <v/>
      </c>
      <c r="C103" s="1173"/>
      <c r="D103" s="181"/>
      <c r="E103" s="181"/>
      <c r="F103" s="87"/>
      <c r="G103" s="56">
        <f>IF(N91="",0,F103/N91/4.348)</f>
        <v>0</v>
      </c>
      <c r="H103" s="53">
        <f>IF(G103=0,0,N107)</f>
        <v>0</v>
      </c>
      <c r="K103" s="1146"/>
      <c r="L103" s="1146"/>
      <c r="M103" s="172"/>
      <c r="N103" s="172"/>
      <c r="O103" s="172"/>
      <c r="P103" s="172"/>
    </row>
    <row r="104" spans="1:16" s="52" customFormat="1" ht="13.5" customHeight="1" x14ac:dyDescent="0.25">
      <c r="A104" s="55"/>
      <c r="B104" s="1172" t="str">
        <f>IF(A104="","",B103)</f>
        <v/>
      </c>
      <c r="C104" s="1173"/>
      <c r="D104" s="181"/>
      <c r="E104" s="181"/>
      <c r="F104" s="88"/>
      <c r="G104" s="56">
        <f>IF(N91="",0,F104/N91/4.348)</f>
        <v>0</v>
      </c>
      <c r="H104" s="53">
        <f>IF(G104=0,0,O107)</f>
        <v>0</v>
      </c>
      <c r="K104" s="1146"/>
      <c r="L104" s="1146"/>
      <c r="M104" s="172"/>
      <c r="N104" s="172"/>
      <c r="O104" s="172"/>
      <c r="P104" s="172"/>
    </row>
    <row r="105" spans="1:16" s="52" customFormat="1" ht="13.5" customHeight="1" x14ac:dyDescent="0.25">
      <c r="A105" s="55"/>
      <c r="B105" s="1172" t="str">
        <f>IF(A105="","",B104)</f>
        <v/>
      </c>
      <c r="C105" s="1173"/>
      <c r="D105" s="181"/>
      <c r="E105" s="181"/>
      <c r="F105" s="87"/>
      <c r="G105" s="56">
        <f>IF(N91="",0,F105/N91/4.348)</f>
        <v>0</v>
      </c>
      <c r="H105" s="53">
        <f>IF(G105=0,0,P107)</f>
        <v>0</v>
      </c>
      <c r="K105" s="1146"/>
      <c r="L105" s="1146"/>
      <c r="M105" s="172"/>
      <c r="N105" s="172"/>
      <c r="O105" s="172"/>
      <c r="P105" s="172"/>
    </row>
    <row r="106" spans="1:16" s="52" customFormat="1" ht="13.5" customHeight="1" x14ac:dyDescent="0.25">
      <c r="B106" s="1167" t="s">
        <v>157</v>
      </c>
      <c r="C106" s="1167"/>
      <c r="E106" s="1167" t="s">
        <v>156</v>
      </c>
      <c r="F106" s="1167"/>
      <c r="J106" s="69"/>
      <c r="K106" s="1146"/>
      <c r="L106" s="1146"/>
      <c r="M106" s="172"/>
      <c r="N106" s="172"/>
      <c r="O106" s="172"/>
      <c r="P106" s="172"/>
    </row>
    <row r="107" spans="1:16" s="52" customFormat="1" ht="13.5" customHeight="1" x14ac:dyDescent="0.25">
      <c r="A107" s="70" t="s">
        <v>167</v>
      </c>
      <c r="B107" s="67"/>
      <c r="C107" s="89" t="str">
        <f>IF(C63="","",C63)</f>
        <v/>
      </c>
      <c r="D107" s="70" t="s">
        <v>167</v>
      </c>
      <c r="E107" s="67"/>
      <c r="F107" s="89" t="str">
        <f>IF(F63="","",F63)</f>
        <v/>
      </c>
      <c r="J107" s="68"/>
      <c r="M107" s="173">
        <f>SUM(M102:M106)</f>
        <v>0</v>
      </c>
      <c r="N107" s="173">
        <f t="shared" ref="N107:P107" si="12">SUM(N102:N106)</f>
        <v>0</v>
      </c>
      <c r="O107" s="173">
        <f t="shared" si="12"/>
        <v>0</v>
      </c>
      <c r="P107" s="173">
        <f t="shared" si="12"/>
        <v>0</v>
      </c>
    </row>
    <row r="108" spans="1:16" s="52" customFormat="1" ht="13.5" customHeight="1" x14ac:dyDescent="0.2">
      <c r="A108" s="60" t="s">
        <v>155</v>
      </c>
    </row>
    <row r="109" spans="1:16" ht="14.25" customHeight="1" x14ac:dyDescent="0.2">
      <c r="A109" s="1147"/>
      <c r="B109" s="1149" t="s">
        <v>9</v>
      </c>
      <c r="C109" s="1150"/>
      <c r="D109" s="1150"/>
      <c r="E109" s="1150"/>
      <c r="F109" s="1150"/>
      <c r="G109" s="1151"/>
      <c r="H109" s="1152" t="s">
        <v>119</v>
      </c>
      <c r="I109" s="1153"/>
      <c r="J109" s="1153"/>
      <c r="K109" s="1153"/>
      <c r="L109" s="1153"/>
      <c r="M109" s="1153"/>
      <c r="N109" s="1153"/>
      <c r="O109" s="33"/>
      <c r="P109" s="1154" t="s">
        <v>0</v>
      </c>
    </row>
    <row r="110" spans="1:16" ht="14.25" customHeight="1" x14ac:dyDescent="0.2">
      <c r="A110" s="1148"/>
      <c r="B110" s="1157" t="s">
        <v>117</v>
      </c>
      <c r="C110" s="103" t="s">
        <v>115</v>
      </c>
      <c r="D110" s="1159" t="s">
        <v>277</v>
      </c>
      <c r="E110" s="1161" t="s">
        <v>147</v>
      </c>
      <c r="F110" s="30" t="s">
        <v>7</v>
      </c>
      <c r="G110" s="1162" t="s">
        <v>6</v>
      </c>
      <c r="H110" s="1161" t="s">
        <v>129</v>
      </c>
      <c r="I110" s="1161" t="s">
        <v>5</v>
      </c>
      <c r="J110" s="1161" t="s">
        <v>4</v>
      </c>
      <c r="K110" s="1161" t="s">
        <v>3</v>
      </c>
      <c r="L110" s="1161" t="s">
        <v>121</v>
      </c>
      <c r="M110" s="1161" t="s">
        <v>122</v>
      </c>
      <c r="N110" s="1161" t="s">
        <v>123</v>
      </c>
      <c r="O110" s="1160" t="s">
        <v>114</v>
      </c>
      <c r="P110" s="1155"/>
    </row>
    <row r="111" spans="1:16" ht="14.25" customHeight="1" x14ac:dyDescent="0.2">
      <c r="A111" s="1148"/>
      <c r="B111" s="1157"/>
      <c r="C111" s="21" t="str">
        <f>IF(C107="","",C107)</f>
        <v/>
      </c>
      <c r="D111" s="1160"/>
      <c r="E111" s="1161"/>
      <c r="F111" s="1165" t="str">
        <f>IF(H102=0,"","siehe Zuschläge / Zulagen")</f>
        <v/>
      </c>
      <c r="G111" s="1162"/>
      <c r="H111" s="1164" t="s">
        <v>127</v>
      </c>
      <c r="I111" s="1164"/>
      <c r="J111" s="1164"/>
      <c r="K111" s="1164"/>
      <c r="L111" s="1164"/>
      <c r="M111" s="1164"/>
      <c r="N111" s="1164"/>
      <c r="O111" s="1160"/>
      <c r="P111" s="1155"/>
    </row>
    <row r="112" spans="1:16" x14ac:dyDescent="0.2">
      <c r="A112" s="1148"/>
      <c r="B112" s="1157"/>
      <c r="C112" s="102" t="s">
        <v>70</v>
      </c>
      <c r="D112" s="1160"/>
      <c r="E112" s="1161"/>
      <c r="F112" s="1165"/>
      <c r="G112" s="1162"/>
      <c r="H112" s="43" t="s">
        <v>128</v>
      </c>
      <c r="I112" s="43" t="s">
        <v>126</v>
      </c>
      <c r="J112" s="43" t="s">
        <v>125</v>
      </c>
      <c r="K112" s="43" t="s">
        <v>124</v>
      </c>
      <c r="L112" s="43"/>
      <c r="M112" s="43"/>
      <c r="N112" s="43" t="s">
        <v>120</v>
      </c>
      <c r="O112" s="1160"/>
      <c r="P112" s="1155"/>
    </row>
    <row r="113" spans="1:16" x14ac:dyDescent="0.2">
      <c r="A113" s="1148"/>
      <c r="B113" s="1158"/>
      <c r="C113" s="21" t="str">
        <f>IF(F107="","",F107)</f>
        <v/>
      </c>
      <c r="D113" s="51"/>
      <c r="E113" s="51"/>
      <c r="F113" s="1166"/>
      <c r="G113" s="1163"/>
      <c r="H113" s="93"/>
      <c r="I113" s="139">
        <f>$I$25</f>
        <v>0</v>
      </c>
      <c r="J113" s="139">
        <f>$J$25</f>
        <v>0</v>
      </c>
      <c r="K113" s="44">
        <f>$K$25</f>
        <v>0</v>
      </c>
      <c r="L113" s="21"/>
      <c r="M113" s="21"/>
      <c r="N113" s="139">
        <f>$N$25</f>
        <v>0</v>
      </c>
      <c r="O113" s="25">
        <f>O69</f>
        <v>0</v>
      </c>
      <c r="P113" s="1156"/>
    </row>
    <row r="114" spans="1:16" x14ac:dyDescent="0.2">
      <c r="A114" s="100" t="str">
        <f>$A$26</f>
        <v>Jan 2022</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76">
        <f>ROUND(IF((SUM(B114:F114))&gt;L129,L129*H113,SUM(B114:F114)*H113),2)</f>
        <v>0</v>
      </c>
      <c r="I114" s="76">
        <f>ROUND(IF((SUM(B114:F114))&gt;L130,L130*I113,SUM(B114:F114)*I113),2)</f>
        <v>0</v>
      </c>
      <c r="J114" s="76">
        <f>ROUND(IF((SUM(B114:F114))&gt;L130,L130*J113,SUM(B114:F114)*J113),2)</f>
        <v>0</v>
      </c>
      <c r="K114" s="76">
        <f>ROUND(IF((SUM(B114:F114))&gt;L129,L129*K113,SUM(B114:F114)*K113),2)</f>
        <v>0</v>
      </c>
      <c r="L114" s="76">
        <f>ROUND(IF((SUM(B114:F114))&gt;L130,L130*L113,(SUM(B114:F114)-C114)*L113),2)</f>
        <v>0</v>
      </c>
      <c r="M114" s="76">
        <f>ROUND(IF((SUM(B114:F114))&gt;L130,L130*M113,(SUM(B114:F114)-C114)*M113),2)</f>
        <v>0</v>
      </c>
      <c r="N114" s="76">
        <f>ROUND(IF((SUM(B114:F114))&gt;L130,L130*N113,SUM(B114:F114)*N113),2)</f>
        <v>0</v>
      </c>
      <c r="O114" s="23">
        <f>ROUND(SUM(B114+C114+F114)*O113,2)</f>
        <v>0</v>
      </c>
      <c r="P114" s="27">
        <f>SUM(G114:O114)</f>
        <v>0</v>
      </c>
    </row>
    <row r="115" spans="1:16" x14ac:dyDescent="0.2">
      <c r="A115" s="100" t="str">
        <f>$A$27</f>
        <v>Feb 2022</v>
      </c>
      <c r="B115" s="24">
        <f>ROUND(IF(N95=0,0,IFERROR(((LOOKUP(2,1/(A102:A105=A115),G102:G105))*N95*4.348),B114/N95*N95)),2)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ROUND(IF(N95=0,0,IFERROR(((LOOKUP(2,1/(A102:A105=A115),H102:H105))/N91*N95),F114/N95*N95)),2)</f>
        <v>0</v>
      </c>
      <c r="G115" s="27">
        <f t="shared" ref="G115:G125" si="13">SUM(B115+C115+E115+F115)</f>
        <v>0</v>
      </c>
      <c r="H115" s="76">
        <f>ROUND(IF(SUM(B114:F114)&lt;(L129*1),IF((SUM(B114:F115))&gt;(L129*2),(((L129*2)-(SUM(B114:F115)-C114))*H113)+((SUM(B115:F115)-C114)*H113),SUM(B115:F115)*H113),IF(SUM(B114:F115)&gt;(L129*2),L129*H113,SUM(B115:F115)*H113)),2)</f>
        <v>0</v>
      </c>
      <c r="I115" s="76">
        <f>ROUND(IF(SUM(B114:F114)&lt;(L130*1),IF((SUM(B114:F115))&gt;(L130*2),(((L130*2)-(SUM(B114:F115)-C114))*I113)+((SUM(B115:F115)-C114)*I113),SUM(B115:F115)*I113),IF(SUM(B114:F115)&gt;(L130*2),L130*I113,SUM(B115:F115)*I113)),2)</f>
        <v>0</v>
      </c>
      <c r="J115" s="76">
        <f>ROUND(IF(SUM(B114:F114)&lt;(L130*1),IF((SUM(B114:F115))&gt;(L130*2),(((L130*2)-(SUM(B114:F115)-C114))*J113)+((SUM(B115:F115)-C114)*J113),SUM(B115:F115)*J113),IF(SUM(B114:F115)&gt;(L130*2),L130*J113,SUM(B115:F115)*J113)),2)</f>
        <v>0</v>
      </c>
      <c r="K115" s="76">
        <f>ROUND(IF(SUM(B114:F114)&lt;(L129*1),IF((SUM(B114:F115))&gt;(L129*2),(((L129*2)-(SUM(B114:F115)-C114))*K113)+((SUM(B115:F115)-C114)*K113),SUM(B115:F115)*K113),IF(SUM(B114:F115)&gt;(L129*2),L129*K113,SUM(B115:F115)*K113)),2)</f>
        <v>0</v>
      </c>
      <c r="L115" s="76">
        <f>ROUND(IF(SUM(B114:F114)&lt;(L130*1),IF((SUM(B114:F115))&gt;(L130*2),(((L130*2)-(SUM(B114:F115)-C115))*L113)+((SUM(B115:F115)-C115)*L113),(SUM(B115:F115)-C115)*L113),IF(SUM(B114:F115)&gt;(L130*2),L130*L113,SUM(B115:F115)*L113)),2)</f>
        <v>0</v>
      </c>
      <c r="M115" s="76">
        <f>ROUND(IF(SUM(B114:F114)&lt;(L130*1),IF((SUM(B114:F115))&gt;(L130*2),(((L130*2)-(SUM(B114:F115)-C115))*M113)+((SUM(B115:F115)-C115)*M113),(SUM(B115:F115)-C115)*M113),IF(SUM(B114:F115)&gt;(L130*2),L130*M113,SUM(B115:F115)*M113)),2)</f>
        <v>0</v>
      </c>
      <c r="N115" s="76">
        <f>ROUND(IF(SUM(B114:F114)&lt;(L130*1),IF((SUM(B114:F115))&gt;(L130*2),(((L130*2)-(SUM(B114:F115)-C114))*N113)+((SUM(B115:F115)-C114)*N113),SUM(B115:F115)*N113),IF(SUM(B114:F115)&gt;(L130*2),L130*N113,SUM(B115:F115)*N113)),2)</f>
        <v>0</v>
      </c>
      <c r="O115" s="23">
        <f>ROUND(SUM(B115+C115+F115)*O113,2)</f>
        <v>0</v>
      </c>
      <c r="P115" s="27">
        <f>SUM(G115:O115)</f>
        <v>0</v>
      </c>
    </row>
    <row r="116" spans="1:16" x14ac:dyDescent="0.2">
      <c r="A116" s="100" t="str">
        <f>$A$28</f>
        <v>Mrz 2022</v>
      </c>
      <c r="B116" s="24">
        <f>ROUND(IF(N96=0,0,IFERROR(((LOOKUP(2,1/(A102:A105=A116),G102:G105))*N96*4.348),B115/N96*N96)),2)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ROUND(IF(N96=0,0,IFERROR(((LOOKUP(2,1/(A102:A105=A116),H102:H105))/N91*N96),F115/N96*N96)),2)</f>
        <v>0</v>
      </c>
      <c r="G116" s="27">
        <f t="shared" si="13"/>
        <v>0</v>
      </c>
      <c r="H116" s="76">
        <f>ROUND(IF(SUM(B114:F115)&lt;(L129*2),IF((SUM(B114:F116))&gt;(L129*3),(((L129*3)-(SUM(B114:F116)-C115))*H113)+((SUM(B116:F116)-C115)*H113),SUM(B116:F116)*H113),IF(SUM(B114:F116)&gt;(L129*3),L129*H113,SUM(B116:F116)*H113)),2)</f>
        <v>0</v>
      </c>
      <c r="I116" s="76">
        <f>ROUND(IF(SUM(B114:F115)&lt;(L130*2),IF((SUM(B114:F116))&gt;(L130*3),(((L130*3)-(SUM(B114:F116)-C115))*I113)+((SUM(B116:F116)-C115)*I113),SUM(B116:F116)*I113),IF(SUM(B114:F116)&gt;(L130*3),L130*I113,SUM(B116:F116)*I113)),2)</f>
        <v>0</v>
      </c>
      <c r="J116" s="76">
        <f>ROUND(IF(SUM(B114:F115)&lt;(L130*2),IF((SUM(B114:F116))&gt;(L130*3),(((L130*3)-(SUM(B114:F116)-C115))*J113)+((SUM(B116:F116)-C115)*J113),SUM(B116:F116)*J113),IF(SUM(B114:F116)&gt;(L130*3),L130*J113,SUM(B116:F116)*J113)),2)</f>
        <v>0</v>
      </c>
      <c r="K116" s="76">
        <f>ROUND(IF(SUM(B114:F115)&lt;(L129*2),IF((SUM(B114:F116))&gt;(L129*3),(((L129*3)-(SUM(B114:F116)-C115))*K113)+((SUM(B116:F116)-C115)*K113),SUM(B116:F116)*K113),IF(SUM(B114:F116)&gt;(L129*3),L129*K113,SUM(B116:F116)*K113)),2)</f>
        <v>0</v>
      </c>
      <c r="L116" s="76">
        <f>ROUND(IF(SUM(B114:F115)&lt;(L130*2),IF((SUM(B114:F116))&gt;(L130*3),(((L130*3)-(SUM(B114:F116)-C116))*L113)+((SUM(B116:F116)-C116)*L113),(SUM(B116:F116)-C116)*L113),IF(SUM(B114:F116)&gt;(L130*3),L130*L113,SUM(B116:F116)*L113)),2)</f>
        <v>0</v>
      </c>
      <c r="M116" s="76">
        <f>ROUND(IF(SUM(B114:F115)&lt;(L130*2),IF((SUM(B114:F116))&gt;(L130*3),(((L130*3)-(SUM(B114:F116)-C116))*M113)+((SUM(B116:F116)-C116)*M113),(SUM(B116:F116)-C116)*M113),IF(SUM(B114:F116)&gt;(L130*3),L130*M113,SUM(B116:F116)*M113)),2)</f>
        <v>0</v>
      </c>
      <c r="N116" s="76">
        <f>ROUND(IF(SUM(B114:F115)&lt;(L130*2),IF((SUM(B114:F116))&gt;(L130*3),(((L130*3)-(SUM(B114:F116)-C115))*N113)+((SUM(B116:F116)-C115)*N113),SUM(B116:F116)*N113),IF(SUM(B114:F116)&gt;(L130*3),L130*N113,SUM(B116:F116)*N113)),2)</f>
        <v>0</v>
      </c>
      <c r="O116" s="23">
        <f>ROUND(SUM(B116+C116+F116)*O113,2)</f>
        <v>0</v>
      </c>
      <c r="P116" s="27">
        <f t="shared" ref="P116:P125" si="14">SUM(G116:O116)</f>
        <v>0</v>
      </c>
    </row>
    <row r="117" spans="1:16" x14ac:dyDescent="0.2">
      <c r="A117" s="100" t="str">
        <f>$A$29</f>
        <v>Apr 2022</v>
      </c>
      <c r="B117" s="24">
        <f>ROUND(IF(N97=0,0,IFERROR(((LOOKUP(2,1/(A102:A105=A117),G102:G105))*N97*4.348),B116/N97*N97)),2)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ROUND(IF(N97=0,0,IFERROR(((LOOKUP(2,1/(A102:A105=A117),H102:H105))/N91*N97),F116/N97*N97)),2)</f>
        <v>0</v>
      </c>
      <c r="G117" s="27">
        <f t="shared" si="13"/>
        <v>0</v>
      </c>
      <c r="H117" s="76">
        <f>ROUND(IF(SUM(B114:F116)&lt;(L129*3),IF((SUM(B114:F117))&gt;(L129*4),(((L129*4)-(SUM(B114:F117)-C116))*H113)+((SUM(B117:F117)-C116)*H113),SUM(B117:F117)*H113),IF(SUM(B114:F117)&gt;(L129*4),L129*H113,SUM(B117:F117)*H113)),2)</f>
        <v>0</v>
      </c>
      <c r="I117" s="76">
        <f>ROUND(IF(SUM(B114:F116)&lt;(L130*3),IF((SUM(B114:F117))&gt;(L130*4),(((L130*4)-(SUM(B114:F117)-C116))*I113)+((SUM(B117:F117)-C116)*I113),SUM(B117:F117)*I113),IF(SUM(B114:F117)&gt;(L130*4),L130*I113,SUM(B117:F117)*I113)),2)</f>
        <v>0</v>
      </c>
      <c r="J117" s="76">
        <f>ROUND(IF(SUM(B114:F116)&lt;(L130*3),IF((SUM(B114:F117))&gt;(L130*4),(((L130*4)-(SUM(B114:F117)-C116))*J113)+((SUM(B117:F117)-C116)*J113),SUM(B117:F117)*J113),IF(SUM(B114:F117)&gt;(L130*4),L130*J113,SUM(B117:F117)*J113)),2)</f>
        <v>0</v>
      </c>
      <c r="K117" s="76">
        <f>ROUND(IF(SUM(B114:F116)&lt;(L129*3),IF((SUM(B114:F117))&gt;(L129*4),(((L129*4)-(SUM(B114:F117)-C116))*K113)+((SUM(B117:F117)-C116)*K113),SUM(B117:F117)*K113),IF(SUM(B114:F117)&gt;(L129*4),L129*K113,SUM(B117:F117)*K113)),2)</f>
        <v>0</v>
      </c>
      <c r="L117" s="76">
        <f>ROUND(IF(SUM(B114:F116)&lt;(L130*3),IF((SUM(B114:F117))&gt;(L130*4),(((L130*4)-(SUM(B114:F117)-C117))*L113)+((SUM(B117:F117)-C117)*L113),(SUM(B117:F117)-C117)*L113),IF(SUM(B114:F117)&gt;(L130*4),L130*L113,SUM(B117:F117)*L113)),2)</f>
        <v>0</v>
      </c>
      <c r="M117" s="76">
        <f>ROUND(IF(SUM(B114:F116)&lt;(L130*3),IF((SUM(B114:F117))&gt;(L130*4),(((L130*4)-(SUM(B114:F117)-C117))*M113)+((SUM(B117:F117)-C117)*M113),(SUM(B117:F117)-C117)*M113),IF(SUM(B114:F117)&gt;(L130*4),L130*M113,SUM(B117:F117)*M113)),2)</f>
        <v>0</v>
      </c>
      <c r="N117" s="76">
        <f>ROUND(IF(SUM(B114:F116)&lt;(L130*3),IF((SUM(B114:F117))&gt;(L130*4),(((L130*4)-(SUM(B114:F117)-C116))*N113)+((SUM(B117:F117)-C116)*N113),SUM(B117:F117)*N113),IF(SUM(B114:F117)&gt;(L130*4),L130*N113,SUM(B117:F117)*N113)),2)</f>
        <v>0</v>
      </c>
      <c r="O117" s="23">
        <f>ROUND(SUM(B117+C117+F117)*O113,2)</f>
        <v>0</v>
      </c>
      <c r="P117" s="27">
        <f t="shared" si="14"/>
        <v>0</v>
      </c>
    </row>
    <row r="118" spans="1:16" x14ac:dyDescent="0.2">
      <c r="A118" s="100" t="str">
        <f>$A$30</f>
        <v>Mai 2022</v>
      </c>
      <c r="B118" s="24">
        <f>ROUND(IF(N98=0,0,IFERROR(((LOOKUP(2,1/(A102:A105=A118),G102:G105))*N98*4.348),B117/N98*N98)),2)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ROUND(IF(N98=0,0,IFERROR(((LOOKUP(2,1/(A102:A105=A118),H102:H105))/N91*N98),F117/N98*N98)),2)</f>
        <v>0</v>
      </c>
      <c r="G118" s="27">
        <f t="shared" si="13"/>
        <v>0</v>
      </c>
      <c r="H118" s="76">
        <f>ROUND(IF(SUM(B114:F117)&lt;(L129*4),IF((SUM(B114:F118))&gt;(L129*5),(((L129*5)-(SUM(B114:F118)-C117))*H113)+((SUM(B118:F118)-C117)*H113),SUM(B118:F118)*H113),IF(SUM(B114:F118)&gt;(L129*5),L129*H113,SUM(B118:F118)*H113)),2)</f>
        <v>0</v>
      </c>
      <c r="I118" s="76">
        <f>ROUND(IF(SUM(B114:F117)&lt;(L130*4),IF((SUM(B114:F118))&gt;(L130*5),(((L130*5)-(SUM(B114:F118)-C117))*I113)+((SUM(B118:F118)-C117)*I113),SUM(B118:F118)*I113),IF(SUM(B114:F118)&gt;(L130*5),L130*I113,SUM(B118:F118)*I113)),2)</f>
        <v>0</v>
      </c>
      <c r="J118" s="76">
        <f>ROUND(IF(SUM(B114:F117)&lt;(L130*4),IF((SUM(B114:F118))&gt;(L130*5),(((L130*5)-(SUM(B114:F118)-C117))*J113)+((SUM(B118:F118)-C117)*J113),SUM(B118:F118)*J113),IF(SUM(B114:F118)&gt;(L130*5),L130*J113,SUM(B118:F118)*J113)),2)</f>
        <v>0</v>
      </c>
      <c r="K118" s="76">
        <f>ROUND(IF(SUM(B114:F117)&lt;(L129*4),IF((SUM(B114:F118))&gt;(L129*5),(((L129*5)-(SUM(B114:F118)-C117))*K113)+((SUM(B118:F118)-C117)*K113),SUM(B118:F118)*K113),IF(SUM(B114:F118)&gt;(L129*5),L129*K113,SUM(B118:F118)*K113)),2)</f>
        <v>0</v>
      </c>
      <c r="L118" s="76">
        <f>ROUND(IF(SUM(B114:F117)&lt;(L130*4),IF((SUM(B114:F118))&gt;(L130*5),(((L130*5)-(SUM(B114:F118)-C118))*L113)+((SUM(B118:F118)-C118)*L113),(SUM(B118:F118)-C118)*L113),IF(SUM(B114:F118)&gt;(L130*5),L130*L113,SUM(B118:F118)*L113)),2)</f>
        <v>0</v>
      </c>
      <c r="M118" s="76">
        <f>ROUND(IF(SUM(B114:F117)&lt;(L130*4),IF((SUM(B114:F118))&gt;(L130*5),(((L130*5)-(SUM(B114:F118)-C118))*M113)+((SUM(B118:F118)-C118)*M113),(SUM(B118:F118)-C118)*M113),IF(SUM(B114:F118)&gt;(L130*5),L130*M113,SUM(B118:F118)*M113)),2)</f>
        <v>0</v>
      </c>
      <c r="N118" s="76">
        <f>ROUND(IF(SUM(B114:F117)&lt;(L130*4),IF((SUM(B114:F118))&gt;(L130*5),(((L130*5)-(SUM(B114:F118)-C117))*N113)+((SUM(B118:F118)-C117)*N113),SUM(B118:F118)*N113),IF(SUM(B114:F118)&gt;(L130*5),L130*N113,SUM(B118:F118)*N113)),2)</f>
        <v>0</v>
      </c>
      <c r="O118" s="23">
        <f>ROUND(SUM(B118+C118+F118)*O113,2)</f>
        <v>0</v>
      </c>
      <c r="P118" s="27">
        <f t="shared" si="14"/>
        <v>0</v>
      </c>
    </row>
    <row r="119" spans="1:16" x14ac:dyDescent="0.2">
      <c r="A119" s="100" t="str">
        <f>$A$31</f>
        <v>Jun 2022</v>
      </c>
      <c r="B119" s="24">
        <f>ROUND(IF(N99=0,0,IFERROR(((LOOKUP(2,1/(A102:A105=A119),G102:G105))*N99*4.348),B118/N99*N99)),2)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ROUND(IF(N99=0,0,IFERROR(((LOOKUP(2,1/(A102:A105=A119),H102:H105))/N91*N99),F118/N99*N99)),2)</f>
        <v>0</v>
      </c>
      <c r="G119" s="27">
        <f t="shared" si="13"/>
        <v>0</v>
      </c>
      <c r="H119" s="76">
        <f>ROUND(IF(SUM(B114:F118)&lt;(L129*5),IF((SUM(B114:F119))&gt;(L129*6),(((L129*6)-(SUM(B114:F119)-C118))*H113)+((SUM(B119:F119)-C118)*H113),SUM(B119:F119)*H113),IF(SUM(B114:F119)&gt;(L129*6),L129*H113,SUM(B119:F119)*H113)),2)</f>
        <v>0</v>
      </c>
      <c r="I119" s="76">
        <f>ROUND(IF(SUM(B114:F118)&lt;(L130*5),IF((SUM(B114:F119))&gt;(L130*6),(((L130*6)-(SUM(B114:F119)-C118))*I113)+((SUM(B119:F119)-C118)*I113),SUM(B119:F119)*I113),IF(SUM(B114:F119)&gt;(L130*6),L130*I113,SUM(B119:F119)*I113)),2)</f>
        <v>0</v>
      </c>
      <c r="J119" s="76">
        <f>ROUND(IF(SUM(B114:F118)&lt;(L130*5),IF((SUM(B114:F119))&gt;(L130*6),(((L130*6)-(SUM(B114:F119)-C118))*J113)+((SUM(B119:F119)-C118)*J113),SUM(B119:F119)*J113),IF(SUM(B114:F119)&gt;(L130*6),L130*J113,SUM(B119:F119)*J113)),2)</f>
        <v>0</v>
      </c>
      <c r="K119" s="76">
        <f>ROUND(IF(SUM(B114:F118)&lt;(L129*5),IF((SUM(B114:F119))&gt;(L129*6),(((L129*6)-(SUM(B114:F119)-C118))*K113)+((SUM(B119:F119)-C118)*K113),SUM(B119:F119)*K113),IF(SUM(B114:F119)&gt;(L129*6),L129*K113,SUM(B119:F119)*K113)),2)</f>
        <v>0</v>
      </c>
      <c r="L119" s="76">
        <f>ROUND(IF(SUM(B114:F118)&lt;(L130*5),IF((SUM(B114:F119))&gt;(L130*6),(((L130*6)-(SUM(B114:F119)-C119))*L113)+((SUM(B119:F119)-C119)*L113),(SUM(B119:F119)-C119)*L113),IF(SUM(B114:F119)&gt;(L130*6),L130*L113,SUM(B119:F119)*L113)),2)</f>
        <v>0</v>
      </c>
      <c r="M119" s="76">
        <f>ROUND(IF(SUM(B114:F118)&lt;(L130*5),IF((SUM(B114:F119))&gt;(L130*6),(((L130*6)-(SUM(B114:F119)-C119))*M113)+((SUM(B119:F119)-C119)*M113),(SUM(B119:F119)-C119)*M113),IF(SUM(B114:F119)&gt;(L130*6),L130*M113,SUM(B119:F119)*M113)),2)</f>
        <v>0</v>
      </c>
      <c r="N119" s="76">
        <f>ROUND(IF(SUM(B114:F118)&lt;(L130*5),IF((SUM(B114:F119))&gt;(L130*6),(((L130*6)-(SUM(B114:F119)-C118))*N113)+((SUM(B119:F119)-C118)*N113),SUM(B119:F119)*N113),IF(SUM(B114:F119)&gt;(L130*6),L130*N113,SUM(B119:F119)*N113)),2)</f>
        <v>0</v>
      </c>
      <c r="O119" s="23">
        <f>ROUND(SUM(B119+C119+F119)*O113,2)</f>
        <v>0</v>
      </c>
      <c r="P119" s="27">
        <f t="shared" si="14"/>
        <v>0</v>
      </c>
    </row>
    <row r="120" spans="1:16" x14ac:dyDescent="0.2">
      <c r="A120" s="100" t="str">
        <f>$A$32</f>
        <v>Jul 2022</v>
      </c>
      <c r="B120" s="24">
        <f>ROUND(IF(P94=0,0,IFERROR(((LOOKUP(2,1/(A102:A105=A120),G102:G105))*P94*4.348),B119/P94*P94)),2)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ROUND(IF(P94=0,0,IFERROR(((LOOKUP(2,1/(A102:A105=A120),H102:H105))/N91*P94),F119/P94*P94)),2)</f>
        <v>0</v>
      </c>
      <c r="G120" s="27">
        <f t="shared" si="13"/>
        <v>0</v>
      </c>
      <c r="H120" s="76">
        <f>ROUND(IF(SUM(B114:F119)&lt;(L129*6),IF((SUM(B114:F120))&gt;(L129*7),(((L129*7)-(SUM(B114:F120)-C119))*H113)+((SUM(B120:F120)-C119)*H113),SUM(B120:F120)*H113),IF(SUM(B114:F120)&gt;(L129*7),L129*H113,SUM(B120:F120)*H113)),2)</f>
        <v>0</v>
      </c>
      <c r="I120" s="76">
        <f>ROUND(IF(SUM(B114:F119)&lt;(L130*6),IF((SUM(B114:F120))&gt;(L130*7),(((L130*7)-(SUM(B114:F120)-C119))*I113)+((SUM(B120:F120)-C119)*I113),SUM(B120:F120)*I113),IF(SUM(B114:F120)&gt;(L130*7),L130*I113,SUM(B120:F120)*I113)),2)</f>
        <v>0</v>
      </c>
      <c r="J120" s="76">
        <f>ROUND(IF(SUM(B114:F119)&lt;(L130*6),IF((SUM(B114:F120))&gt;(L130*7),(((L130*7)-(SUM(B114:F120)-C119))*J113)+((SUM(B120:F120)-C119)*J113),SUM(B120:F120)*J113),IF(SUM(B114:F120)&gt;(L130*7),L130*J113,SUM(B120:F120)*J113)),2)</f>
        <v>0</v>
      </c>
      <c r="K120" s="76">
        <f>ROUND(IF(SUM(B114:F119)&lt;(L129*6),IF((SUM(B114:F120))&gt;(L129*7),(((L129*7)-(SUM(B114:F120)-C119))*K113)+((SUM(B120:F120)-C119)*K113),SUM(B120:F120)*K113),IF(SUM(B114:F120)&gt;(L129*7),L129*K113,SUM(B120:F120)*K113)),2)</f>
        <v>0</v>
      </c>
      <c r="L120" s="76">
        <f>ROUND(IF(SUM(B114:F119)&lt;(L130*6),IF((SUM(B114:F120))&gt;(L130*7),(((L130*7)-(SUM(B114:F120)-C120))*L113)+((SUM(B120:F120)-C120)*L113),(SUM(B120:F120)-C120)*L113),IF(SUM(B114:F120)&gt;(L130*7),L130*L113,SUM(B120:F120)*L113)),2)</f>
        <v>0</v>
      </c>
      <c r="M120" s="76">
        <f>ROUND(IF(SUM(B114:F119)&lt;(L130*6),IF((SUM(B114:F120))&gt;(L130*7),(((L130*7)-(SUM(B114:F120)-C120))*M113)+((SUM(B120:F120)-C120)*M113),(SUM(B120:F120)-C120)*M113),IF(SUM(B114:F120)&gt;(L130*7),L130*M113,SUM(B120:F120)*M113)),2)</f>
        <v>0</v>
      </c>
      <c r="N120" s="76">
        <f>ROUND(IF(SUM(B114:F119)&lt;(L130*6),IF((SUM(B114:F120))&gt;(L130*7),(((L130*7)-(SUM(B114:F120)-C119))*N113)+((SUM(B120:F120)-C119)*N113),SUM(B120:F120)*N113),IF(SUM(B114:F120)&gt;(L130*7),L130*N113,SUM(B120:F120)*N113)),2)</f>
        <v>0</v>
      </c>
      <c r="O120" s="23">
        <f>ROUND(SUM(B120+C120+F120)*O113,2)</f>
        <v>0</v>
      </c>
      <c r="P120" s="27">
        <f t="shared" si="14"/>
        <v>0</v>
      </c>
    </row>
    <row r="121" spans="1:16" x14ac:dyDescent="0.2">
      <c r="A121" s="100" t="str">
        <f>$A$33</f>
        <v>Aug 2022</v>
      </c>
      <c r="B121" s="24">
        <f>ROUND(IF(P95=0,0,IFERROR(((LOOKUP(2,1/(A102:A105=A121),G102:G105))*P95*4.348),B120/P95*P95)),2)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ROUND(IF(P95=0,0,IFERROR(((LOOKUP(2,1/(A102:A105=A121),H102:H105))/N91*P95),F120/P95*P95)),2)</f>
        <v>0</v>
      </c>
      <c r="G121" s="27">
        <f t="shared" si="13"/>
        <v>0</v>
      </c>
      <c r="H121" s="76">
        <f>ROUND(IF(SUM(B114:F120)&lt;(L129*7),IF((SUM(B114:F121))&gt;(L129*8),(((L129*8)-(SUM(B114:F121)-C120))*H113)+((SUM(B121:F121)-C120)*H113),SUM(B121:F121)*H113),IF(SUM(B114:F121)&gt;(L129*8),L129*H113,SUM(B121:F121)*H113)),2)</f>
        <v>0</v>
      </c>
      <c r="I121" s="76">
        <f>ROUND(IF(SUM(B114:F120)&lt;(L130*7),IF((SUM(B114:F121))&gt;(L130*8),(((L130*8)-(SUM(B114:F121)-C120))*I113)+((SUM(B121:F121)-C120)*I113),SUM(B121:F121)*I113),IF(SUM(B114:F121)&gt;(L130*8),L130*I113,SUM(B121:F121)*I113)),2)</f>
        <v>0</v>
      </c>
      <c r="J121" s="76">
        <f>ROUND(IF(SUM(B114:F120)&lt;(L130*7),IF((SUM(B114:F121))&gt;(L130*8),(((L130*8)-(SUM(B114:F121)-C120))*J113)+((SUM(B121:F121)-C120)*J113),SUM(B121:F121)*J113),IF(SUM(B114:F121)&gt;(L130*8),L130*J113,SUM(B121:F121)*J113)),2)</f>
        <v>0</v>
      </c>
      <c r="K121" s="76">
        <f>ROUND(IF(SUM(B114:F120)&lt;(L129*7),IF((SUM(B114:F121))&gt;(L129*8),(((L129*8)-(SUM(B114:F121)-C120))*K113)+((SUM(B121:F121)-C120)*K113),SUM(B121:F121)*K113),IF(SUM(B114:F121)&gt;(L129*8),L129*K113,SUM(B121:F121)*K113)),2)</f>
        <v>0</v>
      </c>
      <c r="L121" s="76">
        <f>ROUND(IF(SUM(B114:F120)&lt;(L130*7),IF((SUM(B114:F121))&gt;(L130*8),(((L130*8)-(SUM(B114:F121)-C121))*L113)+((SUM(B121:F121)-C121)*L113),(SUM(B121:F121)-C121)*L113),IF(SUM(B114:F121)&gt;(L130*8),L130*L113,SUM(B121:F121)*L113)),2)</f>
        <v>0</v>
      </c>
      <c r="M121" s="76">
        <f>ROUND(IF(SUM(B114:F120)&lt;(L130*7),IF((SUM(B114:F121))&gt;(L130*8),(((L130*8)-(SUM(B114:F121)-C121))*M113)+((SUM(B121:F121)-C121)*M113),(SUM(B121:F121)-C121)*M113),IF(SUM(B114:F121)&gt;(L130*8),L130*M113,SUM(B121:F121)*M113)),2)</f>
        <v>0</v>
      </c>
      <c r="N121" s="76">
        <f>ROUND(IF(SUM(B114:F120)&lt;(L130*7),IF((SUM(B114:F121))&gt;(L130*8),(((L130*8)-(SUM(B114:F121)-C120))*N113)+((SUM(B121:F121)-C120)*N113),SUM(B121:F121)*N113),IF(SUM(B114:F121)&gt;(L130*8),L130*N113,SUM(B121:F121)*N113)),2)</f>
        <v>0</v>
      </c>
      <c r="O121" s="23">
        <f>ROUND(SUM(B121+C121+F121)*O113,2)</f>
        <v>0</v>
      </c>
      <c r="P121" s="27">
        <f t="shared" si="14"/>
        <v>0</v>
      </c>
    </row>
    <row r="122" spans="1:16" x14ac:dyDescent="0.2">
      <c r="A122" s="100" t="str">
        <f>$A$34</f>
        <v>Sep 2022</v>
      </c>
      <c r="B122" s="24">
        <f>ROUND(IF(P96=0,0,IFERROR(((LOOKUP(2,1/(A102:A105=A122),G102:G105))*P96*4.348),B121/P96*P96)),2)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ROUND(IF(P96=0,0,IFERROR(((LOOKUP(2,1/(A102:A105=A122),H102:H105))/N91*P96),F121/P96*P96)),2)</f>
        <v>0</v>
      </c>
      <c r="G122" s="27">
        <f t="shared" si="13"/>
        <v>0</v>
      </c>
      <c r="H122" s="76">
        <f>ROUND(IF(SUM(B114:F121)&lt;(L129*8),IF((SUM(B114:F122))&gt;(L129*9),(((L129*9)-(SUM(B114:F122)-C121))*H113)+((SUM(B122:F122)-C121)*H113),SUM(B122:F122)*H113),IF(SUM(B114:F122)&gt;(L129*9),L129*H113,SUM(B122:F122)*H113)),2)</f>
        <v>0</v>
      </c>
      <c r="I122" s="76">
        <f>ROUND(IF(SUM(B114:F121)&lt;(L130*8),IF((SUM(B114:F122))&gt;(L130*9),(((L130*9)-(SUM(B114:F122)-C121))*I113)+((SUM(B122:F122)-C121)*I113),SUM(B122:F122)*I113),IF(SUM(B114:F122)&gt;(L130*9),L130*I113,SUM(B122:F122)*I113)),2)</f>
        <v>0</v>
      </c>
      <c r="J122" s="76">
        <f>ROUND(IF(SUM(B114:F121)&lt;(L130*8),IF((SUM(B114:F122))&gt;(L130*9),(((L130*9)-(SUM(B114:F122)-C121))*J113)+((SUM(B122:F122)-C121)*J113),SUM(B122:F122)*J113),IF(SUM(B114:F122)&gt;(L130*9),L130*J113,SUM(B122:F122)*J113)),2)</f>
        <v>0</v>
      </c>
      <c r="K122" s="76">
        <f>ROUND(IF(SUM(B114:F121)&lt;(L129*8),IF((SUM(B114:F122))&gt;(L129*9),(((L129*9)-(SUM(B114:F122)-C121))*K113)+((SUM(B122:F122)-C121)*K113),SUM(B122:F122)*K113),IF(SUM(B114:F122)&gt;(L129*9),L129*K113,SUM(B122:F122)*K113)),2)</f>
        <v>0</v>
      </c>
      <c r="L122" s="76">
        <f>ROUND(IF(SUM(B114:F121)&lt;(L130*8),IF((SUM(B114:F122))&gt;(L130*9),(((L130*9)-(SUM(B114:F122)-C122))*L113)+((SUM(B122:F122)-C122)*L113),(SUM(B122:F122)-C122)*L113),IF(SUM(B114:F122)&gt;(L130*9),L130*L113,SUM(B122:F122)*L113)),2)</f>
        <v>0</v>
      </c>
      <c r="M122" s="76">
        <f>ROUND(IF(SUM(B114:F121)&lt;(L130*8),IF((SUM(B114:F122))&gt;(L130*9),(((L130*9)-(SUM(B114:F122)-C122))*M113)+((SUM(B122:F122)-C122)*M113),(SUM(B122:F122)-C122)*M113),IF(SUM(B114:F122)&gt;(L130*9),L130*M113,SUM(B122:F122)*M113)),2)</f>
        <v>0</v>
      </c>
      <c r="N122" s="76">
        <f>ROUND(IF(SUM(B114:F121)&lt;(L130*8),IF((SUM(B114:F122))&gt;(L130*9),(((L130*9)-(SUM(B114:F122)-C121))*N113)+((SUM(B122:F122)-C121)*N113),SUM(B122:F122)*N113),IF(SUM(B114:F122)&gt;(L130*9),L130*N113,SUM(B122:F122)*N113)),2)</f>
        <v>0</v>
      </c>
      <c r="O122" s="23">
        <f>ROUND(SUM(B122+C122+F122)*O113,2)</f>
        <v>0</v>
      </c>
      <c r="P122" s="27">
        <f t="shared" si="14"/>
        <v>0</v>
      </c>
    </row>
    <row r="123" spans="1:16" x14ac:dyDescent="0.2">
      <c r="A123" s="100" t="str">
        <f>$A$35</f>
        <v>Okt 2022</v>
      </c>
      <c r="B123" s="24">
        <f>ROUND(IF(P97=0,0,IFERROR(((LOOKUP(2,1/(A102:A105=A123),G102:G105))*P97*4.348),B122/P97*P97)),2)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ROUND(IF(P97=0,0,IFERROR(((LOOKUP(2,1/(A102:A105=A123),H102:H105))/N91*P97),F122/P97*P97)),2)</f>
        <v>0</v>
      </c>
      <c r="G123" s="27">
        <f t="shared" si="13"/>
        <v>0</v>
      </c>
      <c r="H123" s="76">
        <f>ROUND(IF(SUM(B114:F122)&lt;(L129*9),IF((SUM(B114:F123))&gt;(L129*10),(((L129*10)-(SUM(B114:F123)-C122))*H113)+((SUM(B123:F123)-C122)*H113),SUM(B123:F123)*H113),IF(SUM(B114:F123)&gt;(L129*10),L129*H113,SUM(B123:F123)*H113)),2)</f>
        <v>0</v>
      </c>
      <c r="I123" s="76">
        <f>ROUND(IF(SUM(B114:F122)&lt;(L130*9),IF((SUM(B114:F123))&gt;(L130*10),(((L130*10)-(SUM(B114:F123)-C122))*I113)+((SUM(B123:F123)-C122)*I113),SUM(B123:F123)*I113),IF(SUM(B114:F123)&gt;(L130*10),L130*I113,SUM(B123:F123)*I113)),2)</f>
        <v>0</v>
      </c>
      <c r="J123" s="76">
        <f>ROUND(IF(SUM(B114:F122)&lt;(L130*9),IF((SUM(B114:F123))&gt;(L130*10),(((L130*10)-(SUM(B114:F123)-C122))*J113)+((SUM(B123:F123)-C122)*J113),SUM(B123:F123)*J113),IF(SUM(B114:F123)&gt;(L130*10),L130*J113,SUM(B123:F123)*J113)),2)</f>
        <v>0</v>
      </c>
      <c r="K123" s="76">
        <f>ROUND(IF(SUM(B114:F122)&lt;(L129*9),IF((SUM(B114:F123))&gt;(L129*10),(((L129*10)-(SUM(B114:F123)-C122))*K113)+((SUM(B123:F123)-C122)*K113),SUM(B123:F123)*K113),IF(SUM(B114:F123)&gt;(L129*10),L129*K113,SUM(B123:F123)*K113)),2)</f>
        <v>0</v>
      </c>
      <c r="L123" s="76">
        <f>ROUND(IF(SUM(B114:F122)&lt;(L130*9),IF((SUM(B114:F123))&gt;(L130*10),(((L130*10)-(SUM(B114:F123)-C123))*L113)+((SUM(B123:F123)-C123)*L113),(SUM(B123:F123)-C123)*L113),IF(SUM(B114:F123)&gt;(L130*10),L130*L113,SUM(B123:F123)*L113)),2)</f>
        <v>0</v>
      </c>
      <c r="M123" s="76">
        <f>ROUND(IF(SUM(B114:F122)&lt;(L130*9),IF((SUM(B114:F123))&gt;(L130*10),(((L130*10)-(SUM(B114:F123)-C123))*M113)+((SUM(B123:F123)-C123)*M113),(SUM(B123:F123)-C123)*M113),IF(SUM(B114:F123)&gt;(L130*10),L130*M113,SUM(B123:F123)*M113)),2)</f>
        <v>0</v>
      </c>
      <c r="N123" s="76">
        <f>ROUND(IF(SUM(B114:F122)&lt;(L130*9),IF((SUM(B114:F123))&gt;(L130*10),(((L130*10)-(SUM(B114:F123)-C122))*N113)+((SUM(B123:F123)-C122)*N113),SUM(B123:F123)*N113),IF(SUM(B114:F123)&gt;(L130*10),L130*N113,SUM(B123:F123)*N113)),2)</f>
        <v>0</v>
      </c>
      <c r="O123" s="23">
        <f>ROUND(SUM(B123+C123+F123)*O113,2)</f>
        <v>0</v>
      </c>
      <c r="P123" s="27">
        <f t="shared" si="14"/>
        <v>0</v>
      </c>
    </row>
    <row r="124" spans="1:16" x14ac:dyDescent="0.2">
      <c r="A124" s="100" t="str">
        <f>$A$36</f>
        <v>Nov 2022</v>
      </c>
      <c r="B124" s="24">
        <f>ROUND(IF(P98=0,0,IFERROR(((LOOKUP(2,1/(A102:A105=A124),G102:G105))*P98*4.348),B123/P98*P98)),2)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ROUND(IF(P98=0,0,IFERROR(((LOOKUP(2,1/(A102:A105=A124),H102:H105))/N91*P98),F123/P98*P98)),2)</f>
        <v>0</v>
      </c>
      <c r="G124" s="27">
        <f t="shared" si="13"/>
        <v>0</v>
      </c>
      <c r="H124" s="76">
        <f>ROUND(IF(SUM(B114:F123)&lt;(L129*10),IF((SUM(B114:F124))&gt;(L129*11),(((L129*11)-(SUM(B114:F124)-C123))*H113)+((SUM(B124:F124)-C123)*H113),SUM(B124:F124)*H113),IF(SUM(B114:F124)&gt;(L129*11),L129*H113,SUM(B124:F124)*H113)),2)</f>
        <v>0</v>
      </c>
      <c r="I124" s="76">
        <f>ROUND(IF(SUM(B114:F123)&lt;(L130*10),IF((SUM(B114:F124))&gt;(L130*11),(((L130*11)-(SUM(B114:F124)-C123))*I113)+((SUM(B124:F124)-C123)*I113),SUM(B124:F124)*I113),IF(SUM(B114:F124)&gt;(L130*11),L130*I113,SUM(B124:F124)*I113)),2)</f>
        <v>0</v>
      </c>
      <c r="J124" s="76">
        <f>ROUND(IF(SUM(B114:F123)&lt;(L130*10),IF((SUM(B114:F124))&gt;(L130*11),(((L130*11)-(SUM(B114:F124)-C123))*J113)+((SUM(B124:F124)-C123)*J113),SUM(B124:F124)*J113),IF(SUM(B114:F124)&gt;(L130*11),L130*J113,SUM(B124:F124)*J113)),2)</f>
        <v>0</v>
      </c>
      <c r="K124" s="76">
        <f>ROUND(IF(SUM(B114:F123)&lt;(L129*10),IF((SUM(B114:F124))&gt;(L129*11),(((L129*11)-(SUM(B114:F124)-C123))*K113)+((SUM(B124:F124)-C123)*K113),SUM(B124:F124)*K113),IF(SUM(B114:F124)&gt;(L129*11),L129*K113,SUM(B124:F124)*K113)),2)</f>
        <v>0</v>
      </c>
      <c r="L124" s="76">
        <f>ROUND(IF(SUM(B114:F123)&lt;(L130*10),IF((SUM(B114:F124))&gt;(L130*11),(((L130*11)-(SUM(B114:F124)-C124))*L113)+((SUM(B124:F124)-C124)*L113),(SUM(B124:F124)-C124)*L113),IF(SUM(B114:F124)&gt;(L130*11),L130*L113,SUM(B124:F124)*L113)),2)</f>
        <v>0</v>
      </c>
      <c r="M124" s="76">
        <f>ROUND(IF(SUM(B114:F123)&lt;(L130*10),IF((SUM(B114:F124))&gt;(L130*11),(((L130*11)-(SUM(B114:F124)-C124))*M113)+((SUM(B124:F124)-C124)*M113),(SUM(B124:F124)-C124)*M113),IF(SUM(B114:F124)&gt;(L130*11),L130*M113,SUM(B124:F124)*M113)),2)</f>
        <v>0</v>
      </c>
      <c r="N124" s="76">
        <f>ROUND(IF(SUM(B114:F123)&lt;(L130*10),IF((SUM(B114:F124))&gt;(L130*11),(((L130*11)-(SUM(B114:F124)-C123))*N113)+((SUM(B124:F124)-C123)*N113),SUM(B124:F124)*N113),IF(SUM(B114:F124)&gt;(L130*11),L130*N113,SUM(B124:F124)*N113)),2)</f>
        <v>0</v>
      </c>
      <c r="O124" s="23">
        <f>ROUND(SUM(B124+C124+F124)*O113,2)</f>
        <v>0</v>
      </c>
      <c r="P124" s="27">
        <f t="shared" si="14"/>
        <v>0</v>
      </c>
    </row>
    <row r="125" spans="1:16" x14ac:dyDescent="0.2">
      <c r="A125" s="100" t="str">
        <f>$A$37</f>
        <v>Dez 2022</v>
      </c>
      <c r="B125" s="24">
        <f>ROUND(IF(P99=0,0,IFERROR(((LOOKUP(2,1/(A102:A105=A125),G102:G105))*P99*4.348),B124/P99*P99)),2)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ROUND(IF(P99=0,0,IFERROR(((LOOKUP(2,1/(A102:A105=A125),H102:H105))/N91*P99),F124/P99*P99)),2)</f>
        <v>0</v>
      </c>
      <c r="G125" s="27">
        <f t="shared" si="13"/>
        <v>0</v>
      </c>
      <c r="H125" s="76">
        <f>ROUND(IF(SUM(B114:F124)&lt;(L129*11),IF((SUM(B114:F125))&gt;(L129*12),(((L129*12)-(SUM(B114:F125)-C124))*H113)+((SUM(B125:F125)-C124)*H113),SUM(B125:F125)*H113),IF(SUM(B114:F125)&gt;(L129*12),L129*H113,SUM(B125:F125)*H113)),2)</f>
        <v>0</v>
      </c>
      <c r="I125" s="76">
        <f>ROUND(IF(SUM(B114:F124)&lt;(L130*11),IF((SUM(B114:F125))&gt;(L130*12),(((L130*12)-(SUM(B114:F125)-C124))*I113)+((SUM(B125:F125)-C124)*I113),SUM(B125:F125)*I113),IF(SUM(B114:F125)&gt;(L130*12),L130*I113,SUM(B125:F125)*I113)),2)</f>
        <v>0</v>
      </c>
      <c r="J125" s="76">
        <f>ROUND(IF(SUM(B114:F124)&lt;(L130*11),IF((SUM(B114:F125))&gt;(L130*12),(((L130*12)-(SUM(B114:F125)-C124))*J113)+((SUM(B125:F125)-C124)*J113),SUM(B125:F125)*J113),IF(SUM(B114:F125)&gt;(L130*12),L130*J113,SUM(B125:F125)*J113)),2)</f>
        <v>0</v>
      </c>
      <c r="K125" s="76">
        <f>ROUND(IF(SUM(B114:F124)&lt;(L129*11),IF((SUM(B114:F125))&gt;(L129*12),(((L129*12)-(SUM(B114:F125)-C124))*K113)+((SUM(B125:F125)-C124)*K113),SUM(B125:F125)*K113),IF(SUM(B114:F125)&gt;(L129*12),L129*K113,SUM(B125:F125)*K113)),2)</f>
        <v>0</v>
      </c>
      <c r="L125" s="76">
        <f>ROUND(IF(SUM(B114:F124)&lt;(L130*11),IF((SUM(B114:F125))&gt;(L130*12),(((L130*12)-(SUM(B114:F125)-C125))*L113)+((SUM(B125:F125)-C125)*L113),(SUM(B125:F125)-C125)*L113),IF(SUM(B114:F125)&gt;(L130*12),L130*L113,SUM(B125:F125)*L113)),2)</f>
        <v>0</v>
      </c>
      <c r="M125" s="76">
        <f>ROUND(IF(SUM(B114:F124)&lt;(L130*11),IF((SUM(B114:F125))&gt;(L130*12),(((L130*12)-(SUM(B114:F125)-C125))*M113)+((SUM(B125:F125)-C125)*M113),(SUM(B125:F125)-C125)*M113),IF(SUM(B114:F125)&gt;(L130*12),L130*M113,SUM(B125:F125)*M113)),2)</f>
        <v>0</v>
      </c>
      <c r="N125" s="76">
        <f>ROUND(IF(SUM(B114:F124)&lt;(L130*11),IF((SUM(B114:F125))&gt;(L130*12),(((L130*12)-(SUM(B114:F125)-C124))*N113)+((SUM(B125:F125)-C124)*N113),SUM(B125:F125)*N113),IF(SUM(B114:F125)&gt;(L130*12),L130*N113,SUM(B125:F125)*N113)),2)</f>
        <v>0</v>
      </c>
      <c r="O125" s="23">
        <f>ROUND(SUM(B125+C125+F125)*O113,2)</f>
        <v>0</v>
      </c>
      <c r="P125" s="27">
        <f t="shared" si="14"/>
        <v>0</v>
      </c>
    </row>
    <row r="126" spans="1:16" s="14" customFormat="1" ht="15" x14ac:dyDescent="0.25">
      <c r="A126" s="4" t="s">
        <v>2</v>
      </c>
      <c r="B126" s="27">
        <f>SUM(B114:B125)</f>
        <v>0</v>
      </c>
      <c r="C126" s="27">
        <f t="shared" ref="C126:D126" si="15">SUM(C114:C125)</f>
        <v>0</v>
      </c>
      <c r="D126" s="27">
        <f t="shared" si="15"/>
        <v>0</v>
      </c>
      <c r="E126" s="27">
        <f>SUM(E114:E125)</f>
        <v>0</v>
      </c>
      <c r="F126" s="27">
        <f>SUM(F114:F125)</f>
        <v>0</v>
      </c>
      <c r="G126" s="27">
        <f>SUM(G114:G125)</f>
        <v>0</v>
      </c>
      <c r="H126" s="1133">
        <f>SUM(H114:N125)</f>
        <v>0</v>
      </c>
      <c r="I126" s="1134"/>
      <c r="J126" s="1134"/>
      <c r="K126" s="1134"/>
      <c r="L126" s="1134"/>
      <c r="M126" s="1134"/>
      <c r="N126" s="1135"/>
      <c r="O126" s="27">
        <f>SUM(O114:O125)</f>
        <v>0</v>
      </c>
      <c r="P126" s="27">
        <f>SUM(P114:P125)</f>
        <v>0</v>
      </c>
    </row>
    <row r="127" spans="1:16" s="13" customFormat="1" ht="11.25" x14ac:dyDescent="0.2">
      <c r="A127" s="3" t="s">
        <v>1</v>
      </c>
      <c r="B127" s="2"/>
      <c r="C127" s="2"/>
      <c r="D127" s="2"/>
      <c r="E127" s="2"/>
      <c r="F127" s="2"/>
      <c r="G127" s="2"/>
      <c r="H127" s="2"/>
      <c r="I127" s="2"/>
      <c r="J127" s="2"/>
      <c r="K127" s="2"/>
      <c r="L127" s="2"/>
      <c r="M127" s="2"/>
      <c r="N127" s="2"/>
      <c r="O127" s="2"/>
      <c r="P127" s="2"/>
    </row>
    <row r="128" spans="1:16" ht="14.25" customHeight="1" x14ac:dyDescent="0.2">
      <c r="A128" s="1136" t="s">
        <v>133</v>
      </c>
      <c r="B128" s="1137"/>
      <c r="C128" s="1137"/>
      <c r="D128" s="1137" t="s">
        <v>134</v>
      </c>
      <c r="E128" s="1137"/>
      <c r="F128" s="94" t="str">
        <f>IF(IF(G126=0,"",$F$40)=0,"",IF(G126=0,"",$F$40))</f>
        <v/>
      </c>
      <c r="G128" s="77" t="s">
        <v>135</v>
      </c>
      <c r="H128" s="96" t="str">
        <f>IF(IF(G126=0,"",$H$40)=0,"",IF(G126=0,"",$H$40))</f>
        <v/>
      </c>
      <c r="I128" s="73"/>
      <c r="J128" s="194" t="s">
        <v>160</v>
      </c>
      <c r="K128" s="194" t="str">
        <f>$K$40</f>
        <v>2021</v>
      </c>
      <c r="L128" s="194" t="str">
        <f>$L$40</f>
        <v>anteilig 2021</v>
      </c>
      <c r="M128" s="1138" t="s">
        <v>140</v>
      </c>
      <c r="N128" s="1138"/>
      <c r="O128" s="1139"/>
      <c r="P128" s="27">
        <f>ROUND(IF(F128="",IF(E132="",0,(E132*H132/K132)/L95*L96),G126*F128*H128/1000),2)</f>
        <v>0</v>
      </c>
    </row>
    <row r="129" spans="1:16" ht="15" customHeight="1" x14ac:dyDescent="0.2">
      <c r="A129" s="1140" t="s">
        <v>145</v>
      </c>
      <c r="B129" s="1141"/>
      <c r="C129" s="1141"/>
      <c r="D129" s="18"/>
      <c r="E129" s="106" t="s">
        <v>135</v>
      </c>
      <c r="F129" s="95" t="str">
        <f>IF(IF(G126=0,"",$F$41)=0,"",IF(G126=0,"",$F$41))</f>
        <v/>
      </c>
      <c r="G129" s="48"/>
      <c r="H129" s="47"/>
      <c r="I129" s="48"/>
      <c r="J129" s="195" t="s">
        <v>158</v>
      </c>
      <c r="K129" s="198">
        <f>$K$41</f>
        <v>4837.5</v>
      </c>
      <c r="L129" s="197">
        <f>IF(L95="",K129,K129/L95*L96)</f>
        <v>4837.5</v>
      </c>
      <c r="M129" s="1138" t="s">
        <v>139</v>
      </c>
      <c r="N129" s="1138"/>
      <c r="O129" s="1139"/>
      <c r="P129" s="27">
        <f>ROUND(IF(F129="",0,G126*F129/1000),2)</f>
        <v>0</v>
      </c>
    </row>
    <row r="130" spans="1:16" ht="15.75" customHeight="1" x14ac:dyDescent="0.2">
      <c r="A130" s="1142" t="s">
        <v>141</v>
      </c>
      <c r="B130" s="1143"/>
      <c r="C130" s="1143"/>
      <c r="D130" s="1144" t="s">
        <v>143</v>
      </c>
      <c r="E130" s="1144"/>
      <c r="F130" s="1145" t="str">
        <f>IF(IF(G126=0,"",$F$42)=0,"",IF(G126=0,"",$F$42))</f>
        <v/>
      </c>
      <c r="G130" s="1145"/>
      <c r="H130" s="72"/>
      <c r="I130" s="18"/>
      <c r="J130" s="195" t="s">
        <v>159</v>
      </c>
      <c r="K130" s="197">
        <f>$K$42</f>
        <v>6700</v>
      </c>
      <c r="L130" s="197">
        <f>IF(L95="",K130,K130/L95*L96)</f>
        <v>6700</v>
      </c>
      <c r="M130" s="1138" t="s">
        <v>141</v>
      </c>
      <c r="N130" s="1138"/>
      <c r="O130" s="1139"/>
      <c r="P130" s="23">
        <f>ROUND(IF(F130="",0,IF(G126=0,0,F130/L95*L96)),2)</f>
        <v>0</v>
      </c>
    </row>
    <row r="131" spans="1:16" ht="14.25" customHeight="1" x14ac:dyDescent="0.2">
      <c r="A131" s="18"/>
      <c r="B131" s="18"/>
      <c r="C131" s="18"/>
      <c r="D131" s="18"/>
      <c r="E131" s="18"/>
      <c r="F131" s="18"/>
      <c r="G131" s="18"/>
      <c r="H131" s="18"/>
      <c r="I131" s="18"/>
      <c r="J131" s="18"/>
      <c r="K131" s="74"/>
      <c r="L131" s="82"/>
      <c r="M131" s="1127" t="s">
        <v>146</v>
      </c>
      <c r="N131" s="1127"/>
      <c r="O131" s="1128"/>
      <c r="P131" s="23">
        <f>ROUND(IF(G126=0,0,$P$43),2)</f>
        <v>0</v>
      </c>
    </row>
    <row r="132" spans="1:16" ht="14.25" customHeight="1" x14ac:dyDescent="0.2">
      <c r="A132" s="1129" t="s">
        <v>142</v>
      </c>
      <c r="B132" s="1130"/>
      <c r="C132" s="75" t="s">
        <v>136</v>
      </c>
      <c r="D132" s="75" t="s">
        <v>137</v>
      </c>
      <c r="E132" s="1131" t="str">
        <f>IF(IF(G126=0,"",$E$44)=0,"",IF(G126=0,"",$E$44))</f>
        <v/>
      </c>
      <c r="F132" s="1131"/>
      <c r="G132" s="83" t="s">
        <v>138</v>
      </c>
      <c r="H132" s="97" t="str">
        <f>IF(IF(G126=0,"",$H$44)=0,"",IF(G126=0,"",$H$44))</f>
        <v/>
      </c>
      <c r="I132" s="1132" t="s">
        <v>144</v>
      </c>
      <c r="J132" s="1132"/>
      <c r="K132" s="98" t="str">
        <f>IF(IF(G126=0,"",$K$44)=0,"",IF(G126=0,"",$K$44))</f>
        <v/>
      </c>
      <c r="L132" s="29"/>
      <c r="M132" s="29"/>
      <c r="N132" s="29"/>
      <c r="O132" s="28" t="s">
        <v>0</v>
      </c>
      <c r="P132" s="27">
        <f>P126+SUM(P128:P131)</f>
        <v>0</v>
      </c>
    </row>
  </sheetData>
  <sheetProtection algorithmName="SHA-512" hashValue="1HMmVCSOdadpWJ/Bk/iY4tZ4KLbbDaCgkLKY++KKaevsoPOYHatTBrYbZS5/mzXlOwFriJVYFTZpmGMnf0PXBA==" saltValue="gumGGPapOyfYtGvrsWEZOw==" spinCount="100000" sheet="1" objects="1" scenarios="1"/>
  <mergeCells count="210">
    <mergeCell ref="D40:E40"/>
    <mergeCell ref="M40:O40"/>
    <mergeCell ref="A21:A25"/>
    <mergeCell ref="H38:N38"/>
    <mergeCell ref="B22:B25"/>
    <mergeCell ref="G22:G25"/>
    <mergeCell ref="N22:N23"/>
    <mergeCell ref="M22:M23"/>
    <mergeCell ref="L22:L23"/>
    <mergeCell ref="K22:K23"/>
    <mergeCell ref="J22:J23"/>
    <mergeCell ref="I22:I23"/>
    <mergeCell ref="H22:H23"/>
    <mergeCell ref="A40:C40"/>
    <mergeCell ref="J52:K52"/>
    <mergeCell ref="J53:K53"/>
    <mergeCell ref="J96:K96"/>
    <mergeCell ref="J97:K97"/>
    <mergeCell ref="A51:C51"/>
    <mergeCell ref="D51:I51"/>
    <mergeCell ref="A45:C45"/>
    <mergeCell ref="A47:C47"/>
    <mergeCell ref="F42:G42"/>
    <mergeCell ref="A42:C42"/>
    <mergeCell ref="D92:J92"/>
    <mergeCell ref="A95:C95"/>
    <mergeCell ref="D95:I95"/>
    <mergeCell ref="A89:C89"/>
    <mergeCell ref="A93:J93"/>
    <mergeCell ref="J94:K94"/>
    <mergeCell ref="J95:K95"/>
    <mergeCell ref="I88:J88"/>
    <mergeCell ref="A85:C85"/>
    <mergeCell ref="H82:N82"/>
    <mergeCell ref="A65:A69"/>
    <mergeCell ref="H66:H67"/>
    <mergeCell ref="M85:O85"/>
    <mergeCell ref="A86:C86"/>
    <mergeCell ref="A41:C41"/>
    <mergeCell ref="O22:O24"/>
    <mergeCell ref="D84:E84"/>
    <mergeCell ref="M84:O84"/>
    <mergeCell ref="M41:O41"/>
    <mergeCell ref="M42:O42"/>
    <mergeCell ref="D45:N45"/>
    <mergeCell ref="A46:C46"/>
    <mergeCell ref="D46:N46"/>
    <mergeCell ref="E44:F44"/>
    <mergeCell ref="M43:O43"/>
    <mergeCell ref="D66:D68"/>
    <mergeCell ref="E66:E68"/>
    <mergeCell ref="G66:G69"/>
    <mergeCell ref="B61:C61"/>
    <mergeCell ref="K61:L61"/>
    <mergeCell ref="B62:C62"/>
    <mergeCell ref="K62:L62"/>
    <mergeCell ref="A44:B44"/>
    <mergeCell ref="D42:E42"/>
    <mergeCell ref="I44:J44"/>
    <mergeCell ref="D55:E55"/>
    <mergeCell ref="A48:C48"/>
    <mergeCell ref="D48:J48"/>
    <mergeCell ref="P21:P25"/>
    <mergeCell ref="H21:N21"/>
    <mergeCell ref="D91:J91"/>
    <mergeCell ref="K91:M91"/>
    <mergeCell ref="B21:G21"/>
    <mergeCell ref="A53:C53"/>
    <mergeCell ref="P65:P69"/>
    <mergeCell ref="B60:C60"/>
    <mergeCell ref="K60:L60"/>
    <mergeCell ref="E62:F62"/>
    <mergeCell ref="I66:I67"/>
    <mergeCell ref="J66:J67"/>
    <mergeCell ref="K66:K67"/>
    <mergeCell ref="L66:L67"/>
    <mergeCell ref="M66:M67"/>
    <mergeCell ref="N66:N67"/>
    <mergeCell ref="B66:B69"/>
    <mergeCell ref="J50:K50"/>
    <mergeCell ref="J51:K51"/>
    <mergeCell ref="J54:K54"/>
    <mergeCell ref="F55:G55"/>
    <mergeCell ref="H55:I55"/>
    <mergeCell ref="A88:B88"/>
    <mergeCell ref="E88:F88"/>
    <mergeCell ref="A98:C98"/>
    <mergeCell ref="D98:I98"/>
    <mergeCell ref="A96:C96"/>
    <mergeCell ref="D96:I96"/>
    <mergeCell ref="D89:N89"/>
    <mergeCell ref="A90:C90"/>
    <mergeCell ref="D90:N90"/>
    <mergeCell ref="A91:C91"/>
    <mergeCell ref="D47:J47"/>
    <mergeCell ref="K47:M47"/>
    <mergeCell ref="D53:I53"/>
    <mergeCell ref="A52:C52"/>
    <mergeCell ref="D52:I52"/>
    <mergeCell ref="A54:C54"/>
    <mergeCell ref="D54:I54"/>
    <mergeCell ref="A97:C97"/>
    <mergeCell ref="D97:I97"/>
    <mergeCell ref="A92:C92"/>
    <mergeCell ref="B57:C57"/>
    <mergeCell ref="K57:L57"/>
    <mergeCell ref="B58:C58"/>
    <mergeCell ref="K58:L58"/>
    <mergeCell ref="B59:C59"/>
    <mergeCell ref="K59:L59"/>
    <mergeCell ref="A1:C1"/>
    <mergeCell ref="D1:N1"/>
    <mergeCell ref="A2:C2"/>
    <mergeCell ref="D2:N2"/>
    <mergeCell ref="A3:C3"/>
    <mergeCell ref="A10:C10"/>
    <mergeCell ref="D10:I10"/>
    <mergeCell ref="A4:C4"/>
    <mergeCell ref="D4:J4"/>
    <mergeCell ref="A7:C7"/>
    <mergeCell ref="D7:I7"/>
    <mergeCell ref="J6:K6"/>
    <mergeCell ref="A8:C8"/>
    <mergeCell ref="D8:I8"/>
    <mergeCell ref="A9:C9"/>
    <mergeCell ref="D9:I9"/>
    <mergeCell ref="K3:M3"/>
    <mergeCell ref="D3:J3"/>
    <mergeCell ref="A5:J5"/>
    <mergeCell ref="J7:K7"/>
    <mergeCell ref="J10:K10"/>
    <mergeCell ref="J8:K8"/>
    <mergeCell ref="J9:K9"/>
    <mergeCell ref="J98:K98"/>
    <mergeCell ref="D99:E99"/>
    <mergeCell ref="F99:G99"/>
    <mergeCell ref="H99:I99"/>
    <mergeCell ref="B13:C13"/>
    <mergeCell ref="H11:I11"/>
    <mergeCell ref="K17:L17"/>
    <mergeCell ref="K18:L18"/>
    <mergeCell ref="B18:C18"/>
    <mergeCell ref="E18:F18"/>
    <mergeCell ref="B16:C16"/>
    <mergeCell ref="B17:C17"/>
    <mergeCell ref="F23:F25"/>
    <mergeCell ref="F11:G11"/>
    <mergeCell ref="D22:D24"/>
    <mergeCell ref="E22:E24"/>
    <mergeCell ref="D11:E11"/>
    <mergeCell ref="B14:C14"/>
    <mergeCell ref="B15:C15"/>
    <mergeCell ref="K13:L13"/>
    <mergeCell ref="K14:L14"/>
    <mergeCell ref="K15:L15"/>
    <mergeCell ref="K16:L16"/>
    <mergeCell ref="A49:J49"/>
    <mergeCell ref="D86:E86"/>
    <mergeCell ref="F86:G86"/>
    <mergeCell ref="M86:O86"/>
    <mergeCell ref="M87:O87"/>
    <mergeCell ref="A84:C84"/>
    <mergeCell ref="O66:O68"/>
    <mergeCell ref="F67:F69"/>
    <mergeCell ref="B65:G65"/>
    <mergeCell ref="H65:N65"/>
    <mergeCell ref="B101:C101"/>
    <mergeCell ref="K101:L101"/>
    <mergeCell ref="B102:C102"/>
    <mergeCell ref="K102:L102"/>
    <mergeCell ref="B103:C103"/>
    <mergeCell ref="K103:L103"/>
    <mergeCell ref="B104:C104"/>
    <mergeCell ref="K104:L104"/>
    <mergeCell ref="B105:C105"/>
    <mergeCell ref="K105:L105"/>
    <mergeCell ref="K106:L106"/>
    <mergeCell ref="A109:A113"/>
    <mergeCell ref="B109:G109"/>
    <mergeCell ref="H109:N109"/>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B106:C106"/>
    <mergeCell ref="E106:F106"/>
    <mergeCell ref="M131:O131"/>
    <mergeCell ref="A132:B132"/>
    <mergeCell ref="E132:F132"/>
    <mergeCell ref="I132:J132"/>
    <mergeCell ref="H126:N126"/>
    <mergeCell ref="A128:C128"/>
    <mergeCell ref="D128:E128"/>
    <mergeCell ref="M128:O128"/>
    <mergeCell ref="A129:C129"/>
    <mergeCell ref="M129:O129"/>
    <mergeCell ref="A130:C130"/>
    <mergeCell ref="D130:E130"/>
    <mergeCell ref="F130:G130"/>
    <mergeCell ref="M130:O130"/>
  </mergeCells>
  <dataValidations count="2">
    <dataValidation type="list" allowBlank="1" showInputMessage="1" showErrorMessage="1" sqref="E107 B19 E19 B107 B63 E63 A59:A61 A103:A105 A16:A17">
      <formula1>$A$26:$A$37</formula1>
    </dataValidation>
    <dataValidation type="list" allowBlank="1" showInputMessage="1" showErrorMessage="1" sqref="A15">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Leitungstätigkeit&amp;R&amp;G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rowBreaks count="1" manualBreakCount="1">
    <brk id="44"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3" tint="0.39997558519241921"/>
  </sheetPr>
  <dimension ref="A1:P1540"/>
  <sheetViews>
    <sheetView showGridLines="0" view="pageLayout" zoomScaleNormal="100" workbookViewId="0">
      <selection activeCell="D7" sqref="D7:I7"/>
    </sheetView>
  </sheetViews>
  <sheetFormatPr baseColWidth="10" defaultRowHeight="14.25" x14ac:dyDescent="0.2"/>
  <cols>
    <col min="1" max="1" width="9.42578125" style="16" customWidth="1"/>
    <col min="2" max="2" width="12.7109375" style="16" customWidth="1"/>
    <col min="3" max="3" width="11.42578125" style="16"/>
    <col min="4" max="4" width="10.5703125" style="16" customWidth="1"/>
    <col min="5" max="5" width="11.140625" style="16" customWidth="1"/>
    <col min="6" max="6" width="11.42578125" style="16" customWidth="1"/>
    <col min="7" max="7" width="10.140625" style="16" customWidth="1"/>
    <col min="8" max="8" width="11.5703125" style="16" customWidth="1"/>
    <col min="9" max="12" width="11.42578125" style="16"/>
    <col min="13" max="13" width="10.28515625" style="16" customWidth="1"/>
    <col min="14" max="14" width="11.140625" style="16" customWidth="1"/>
    <col min="15" max="15" width="11.5703125" style="16" customWidth="1"/>
    <col min="16" max="16" width="10.85546875" style="16" customWidth="1"/>
    <col min="17" max="16384" width="11.42578125" style="16"/>
  </cols>
  <sheetData>
    <row r="1" spans="1:16" s="12" customFormat="1" ht="13.5" customHeight="1" x14ac:dyDescent="0.2">
      <c r="A1" s="1178" t="s">
        <v>18</v>
      </c>
      <c r="B1" s="1178"/>
      <c r="C1" s="1178"/>
      <c r="D1" s="1179" t="str">
        <f>IF('päd.Personal - Leitung'!D1="","",'päd.Personal - Leitung'!D1)</f>
        <v/>
      </c>
      <c r="E1" s="1179"/>
      <c r="F1" s="1179"/>
      <c r="G1" s="1179"/>
      <c r="H1" s="1179"/>
      <c r="I1" s="1179"/>
      <c r="J1" s="1179"/>
      <c r="K1" s="1179"/>
      <c r="L1" s="1179"/>
      <c r="M1" s="1179"/>
      <c r="N1" s="1179"/>
    </row>
    <row r="2" spans="1:16" s="12" customFormat="1" ht="15" customHeight="1" x14ac:dyDescent="0.2">
      <c r="A2" s="1178" t="s">
        <v>17</v>
      </c>
      <c r="B2" s="1178"/>
      <c r="C2" s="1178" t="s">
        <v>15</v>
      </c>
      <c r="D2" s="1179" t="str">
        <f>IF('päd.Personal - Leitung'!D2="","",'päd.Personal - Leitung'!D2)</f>
        <v/>
      </c>
      <c r="E2" s="1179"/>
      <c r="F2" s="1179"/>
      <c r="G2" s="1179"/>
      <c r="H2" s="1179"/>
      <c r="I2" s="1179"/>
      <c r="J2" s="1179"/>
      <c r="K2" s="1179"/>
      <c r="L2" s="1179"/>
      <c r="M2" s="1179"/>
      <c r="N2" s="1179"/>
    </row>
    <row r="3" spans="1:16" s="12" customFormat="1" ht="15" customHeight="1" x14ac:dyDescent="0.2">
      <c r="A3" s="1178" t="s">
        <v>16</v>
      </c>
      <c r="B3" s="1178"/>
      <c r="C3" s="1178" t="s">
        <v>15</v>
      </c>
      <c r="D3" s="1179" t="str">
        <f>IF('päd.Personal - Leitung'!D3="","",'päd.Personal - Leitung'!D3)</f>
        <v/>
      </c>
      <c r="E3" s="1179"/>
      <c r="F3" s="1179"/>
      <c r="G3" s="1179"/>
      <c r="H3" s="1179"/>
      <c r="I3" s="1179"/>
      <c r="J3" s="1179"/>
      <c r="K3" s="1178" t="s">
        <v>103</v>
      </c>
      <c r="L3" s="1178"/>
      <c r="M3" s="1178"/>
      <c r="N3" s="41" t="str">
        <f>IF('päd.Personal - Leitung'!N3="","",'päd.Personal - Leitung'!N3)</f>
        <v/>
      </c>
    </row>
    <row r="4" spans="1:16" s="13" customFormat="1" ht="11.25" x14ac:dyDescent="0.2">
      <c r="A4" s="1182"/>
      <c r="B4" s="1182"/>
      <c r="C4" s="1182"/>
      <c r="D4" s="1183"/>
      <c r="E4" s="1183"/>
      <c r="F4" s="1183"/>
      <c r="G4" s="1183"/>
      <c r="H4" s="1183"/>
      <c r="I4" s="1183"/>
      <c r="J4" s="1183"/>
      <c r="K4" s="11"/>
      <c r="L4" s="11"/>
      <c r="M4" s="11"/>
      <c r="N4" s="11"/>
      <c r="O4" s="11"/>
      <c r="P4" s="11"/>
    </row>
    <row r="5" spans="1:16" s="15" customFormat="1" ht="13.5" customHeight="1" x14ac:dyDescent="0.2">
      <c r="A5" s="1177" t="s">
        <v>166</v>
      </c>
      <c r="B5" s="1177"/>
      <c r="C5" s="1177"/>
      <c r="D5" s="1177"/>
      <c r="E5" s="1177"/>
      <c r="F5" s="1177"/>
      <c r="G5" s="1177"/>
      <c r="H5" s="1177"/>
      <c r="I5" s="1177"/>
      <c r="J5" s="1177"/>
      <c r="K5" s="9"/>
      <c r="L5" s="9"/>
      <c r="M5" s="9"/>
      <c r="N5" s="59" t="s">
        <v>154</v>
      </c>
      <c r="O5" s="191">
        <f>'päd.Personal - Leitung'!$O$5</f>
        <v>2022</v>
      </c>
      <c r="P5" s="59" t="s">
        <v>154</v>
      </c>
    </row>
    <row r="6" spans="1:16" s="10" customFormat="1" ht="13.5" customHeight="1" x14ac:dyDescent="0.25">
      <c r="B6" s="32"/>
      <c r="C6" s="32"/>
      <c r="D6" s="5" t="s">
        <v>39</v>
      </c>
      <c r="E6" s="31"/>
      <c r="F6" s="31"/>
      <c r="G6" s="31"/>
      <c r="H6" s="31"/>
      <c r="I6" s="26"/>
      <c r="J6" s="1174" t="s">
        <v>14</v>
      </c>
      <c r="K6" s="1174"/>
      <c r="L6" s="182" t="str">
        <f>IF('päd.Personal - Leitung'!L6="","",'päd.Personal - Leitung'!L6)</f>
        <v/>
      </c>
      <c r="N6" s="84">
        <f>IF(L8="","",L8)</f>
        <v>0</v>
      </c>
      <c r="O6" s="58" t="str">
        <f>'päd.Personal - Leitung'!$O$6</f>
        <v>Jan                Jul</v>
      </c>
      <c r="P6" s="85">
        <f>IF(N11="","",N11)</f>
        <v>0</v>
      </c>
    </row>
    <row r="7" spans="1:16" s="7" customFormat="1" ht="13.5" customHeight="1" x14ac:dyDescent="0.25">
      <c r="A7" s="1180" t="s">
        <v>71</v>
      </c>
      <c r="B7" s="1180"/>
      <c r="C7" s="1180"/>
      <c r="D7" s="1187" t="str">
        <f>IF('päd.Personal - Leitung'!D7="","",'päd.Personal - Leitung'!D7)</f>
        <v/>
      </c>
      <c r="E7" s="1187"/>
      <c r="F7" s="1187"/>
      <c r="G7" s="1187"/>
      <c r="H7" s="1187"/>
      <c r="I7" s="1187"/>
      <c r="J7" s="1174" t="s">
        <v>104</v>
      </c>
      <c r="K7" s="1174"/>
      <c r="L7" s="125" t="str">
        <f>IF('päd.Personal - Leitung'!L7="","",'päd.Personal - Leitung'!L7)</f>
        <v/>
      </c>
      <c r="N7" s="85">
        <f>IF(N6="","",N6)</f>
        <v>0</v>
      </c>
      <c r="O7" s="58" t="str">
        <f>'päd.Personal - Leitung'!$O$7</f>
        <v>Feb              Aug</v>
      </c>
      <c r="P7" s="85">
        <f>IF(P6="","",P6)</f>
        <v>0</v>
      </c>
    </row>
    <row r="8" spans="1:16" s="1" customFormat="1" ht="13.5" customHeight="1" x14ac:dyDescent="0.2">
      <c r="A8" s="1180" t="s">
        <v>13</v>
      </c>
      <c r="B8" s="1180"/>
      <c r="C8" s="1180"/>
      <c r="D8" s="1187" t="str">
        <f>IF('päd.Personal - Leitung'!D8="","",'päd.Personal - Leitung'!D8)</f>
        <v/>
      </c>
      <c r="E8" s="1187"/>
      <c r="F8" s="1187"/>
      <c r="G8" s="1187"/>
      <c r="H8" s="1187"/>
      <c r="I8" s="1187"/>
      <c r="J8" s="1174" t="s">
        <v>164</v>
      </c>
      <c r="K8" s="1174"/>
      <c r="L8" s="147">
        <f>IF((L9+L10)&gt;L7,0,'päd.Personal - Leitung'!L9-L9-L10)</f>
        <v>0</v>
      </c>
      <c r="N8" s="85">
        <f>IF(N7="","",N7)</f>
        <v>0</v>
      </c>
      <c r="O8" s="58" t="str">
        <f>'päd.Personal - Leitung'!$O$8</f>
        <v>Mrz              Sep</v>
      </c>
      <c r="P8" s="85">
        <f>IF(P7="","",P7)</f>
        <v>0</v>
      </c>
    </row>
    <row r="9" spans="1:16" s="1" customFormat="1" ht="13.5" customHeight="1" x14ac:dyDescent="0.2">
      <c r="A9" s="1180" t="s">
        <v>12</v>
      </c>
      <c r="B9" s="1180"/>
      <c r="C9" s="1180"/>
      <c r="D9" s="1187" t="str">
        <f>IF('päd.Personal - Leitung'!D9="","",'päd.Personal - Leitung'!D9)</f>
        <v/>
      </c>
      <c r="E9" s="1187"/>
      <c r="F9" s="1187"/>
      <c r="G9" s="1187"/>
      <c r="H9" s="1187"/>
      <c r="I9" s="1187"/>
      <c r="J9" s="1174" t="s">
        <v>165</v>
      </c>
      <c r="K9" s="1174"/>
      <c r="L9" s="123"/>
      <c r="N9" s="85">
        <f>IF(N8="","",N8)</f>
        <v>0</v>
      </c>
      <c r="O9" s="58" t="str">
        <f>'päd.Personal - Leitung'!$O$9</f>
        <v>Apr               Okt</v>
      </c>
      <c r="P9" s="85">
        <f t="shared" ref="P9:P11" si="0">IF(P8="","",P8)</f>
        <v>0</v>
      </c>
    </row>
    <row r="10" spans="1:16" s="1" customFormat="1" ht="13.5" customHeight="1" x14ac:dyDescent="0.2">
      <c r="A10" s="1180" t="s">
        <v>19</v>
      </c>
      <c r="B10" s="1180"/>
      <c r="C10" s="1180"/>
      <c r="D10" s="1187" t="str">
        <f>IF('päd.Personal - Leitung'!D10="","",'päd.Personal - Leitung'!D10)</f>
        <v/>
      </c>
      <c r="E10" s="1187"/>
      <c r="F10" s="1187"/>
      <c r="G10" s="1187"/>
      <c r="H10" s="1187"/>
      <c r="I10" s="1187"/>
      <c r="J10" s="1174" t="s">
        <v>252</v>
      </c>
      <c r="K10" s="1174"/>
      <c r="L10" s="145"/>
      <c r="M10" s="92"/>
      <c r="N10" s="85">
        <f>IF(N9="","",N9)</f>
        <v>0</v>
      </c>
      <c r="O10" s="58" t="str">
        <f>'päd.Personal - Leitung'!$O$10</f>
        <v>Mai               Nov</v>
      </c>
      <c r="P10" s="85">
        <f t="shared" si="0"/>
        <v>0</v>
      </c>
    </row>
    <row r="11" spans="1:16" s="1" customFormat="1" ht="13.5" customHeight="1" x14ac:dyDescent="0.2">
      <c r="B11" s="8"/>
      <c r="C11" s="121" t="s">
        <v>162</v>
      </c>
      <c r="D11" s="1188" t="str">
        <f>IF('päd.Personal - Leitung'!D11="","",'päd.Personal - Leitung'!D11)</f>
        <v/>
      </c>
      <c r="E11" s="1188"/>
      <c r="F11" s="1176" t="s">
        <v>106</v>
      </c>
      <c r="G11" s="1176"/>
      <c r="H11" s="1189" t="str">
        <f>IF('päd.Personal - Leitung'!H11="","",'päd.Personal - Leitung'!H11)</f>
        <v/>
      </c>
      <c r="I11" s="1189"/>
      <c r="J11" s="1174" t="s">
        <v>97</v>
      </c>
      <c r="K11" s="1174"/>
      <c r="L11" s="17" t="str">
        <f>IF(IF((COUNTIF(B26:B37,"&gt;0"))=0,0,(COUNTIF(B26:B37,"&gt;0")))&gt;Grundlagen!$C$24,Grundlagen!$C$24,IF((COUNTIF(B26:B37,"&gt;0"))=0,"",(COUNTIF(B26:B37,"&gt;0"))))</f>
        <v/>
      </c>
      <c r="N11" s="85">
        <f>IF(N10="","",N10)</f>
        <v>0</v>
      </c>
      <c r="O11" s="58" t="str">
        <f>'päd.Personal - Leitung'!$O$11</f>
        <v>Jun               Dez</v>
      </c>
      <c r="P11" s="85">
        <f t="shared" si="0"/>
        <v>0</v>
      </c>
    </row>
    <row r="12" spans="1:16" s="1" customFormat="1" ht="13.5" customHeight="1" x14ac:dyDescent="0.2">
      <c r="I12" s="6"/>
      <c r="L12" s="147" t="str">
        <f>IF((SUM(F14:F17))=0,"",IF(P12&gt;L8,L8,IF(L8="","",IF(L11="","",P12))))</f>
        <v/>
      </c>
      <c r="O12" s="174" t="s">
        <v>251</v>
      </c>
      <c r="P12" s="175">
        <f>IF(L11="",0,((IF(SUMIF(B26,"&gt;0"),N6,0))+(IF(SUMIF(B27,"&gt;0"),N7,0))+(IF(SUMIF(B28,"&gt;0"),N8,0))+(IF(SUMIF(B29,"&gt;0"),N9,0))+(IF(SUMIF(B30,"&gt;0"),N10,0))+(IF(SUMIF(B31,"&gt;0"),N11,0))+(IF(SUMIF(B32,"&gt;0"),P6,0))+(IF(SUMIF(B33,"&gt;0"),P7,0))+(IF(SUMIF(B34,"&gt;0"),P8,0))+(IF(SUMIF(B35,"&gt;0"),P9,0))+(IF(SUMIF(B36,"&gt;0"),P10,0))+(IF(SUMIF(B37,"&gt;0"),P11,0)))/Grundlagen!$C$24)</f>
        <v>0</v>
      </c>
    </row>
    <row r="13" spans="1:16" s="52" customFormat="1" ht="13.5" customHeight="1" x14ac:dyDescent="0.2">
      <c r="A13" s="61" t="s">
        <v>148</v>
      </c>
      <c r="B13" s="1168" t="s">
        <v>149</v>
      </c>
      <c r="C13" s="1168"/>
      <c r="D13" s="62" t="s">
        <v>150</v>
      </c>
      <c r="E13" s="63" t="s">
        <v>151</v>
      </c>
      <c r="F13" s="64" t="str">
        <f>CONCATENATE("Entg. ",N3," h/Wo")</f>
        <v>Entg.  h/Wo</v>
      </c>
      <c r="G13" s="65" t="s">
        <v>152</v>
      </c>
      <c r="H13" s="65" t="s">
        <v>153</v>
      </c>
      <c r="K13" s="1169" t="str">
        <f>CONCATENATE("Zuschläge / Zulagen für ",N3,"h/Wo")</f>
        <v>Zuschläge / Zulagen für h/Wo</v>
      </c>
      <c r="L13" s="1169"/>
      <c r="M13" s="66" t="str">
        <f>IF(A14="","",A14)</f>
        <v>Jan 2022</v>
      </c>
      <c r="N13" s="66" t="str">
        <f>IF(A15="","",A15)</f>
        <v/>
      </c>
      <c r="O13" s="66" t="str">
        <f>IF(A16="","",A16)</f>
        <v/>
      </c>
      <c r="P13" s="66" t="str">
        <f>IF(A17="","",A17)</f>
        <v/>
      </c>
    </row>
    <row r="14" spans="1:16" s="52" customFormat="1" ht="13.5" customHeight="1" x14ac:dyDescent="0.25">
      <c r="A14" s="54" t="str">
        <f>'päd.Personal - Leitung'!A14</f>
        <v>Jan 2022</v>
      </c>
      <c r="B14" s="1170" t="str">
        <f>IF($D$3="","",$D$3)</f>
        <v/>
      </c>
      <c r="C14" s="1171"/>
      <c r="D14" s="183" t="str">
        <f>IF('päd.Personal - Leitung'!D14="","",'päd.Personal - Leitung'!D14)</f>
        <v/>
      </c>
      <c r="E14" s="183" t="str">
        <f>IF('päd.Personal - Leitung'!E14="","",'päd.Personal - Leitung'!E14)</f>
        <v/>
      </c>
      <c r="F14" s="137">
        <f>IF('päd.Personal - Leitung'!F14="",0,'päd.Personal - Leitung'!F14)</f>
        <v>0</v>
      </c>
      <c r="G14" s="56">
        <f>IF(N3="",0,F14/N3/4.348)</f>
        <v>0</v>
      </c>
      <c r="H14" s="201">
        <f>IF(M19="",0,M19)</f>
        <v>0</v>
      </c>
      <c r="K14" s="1190" t="str">
        <f>IF('päd.Personal - Leitung'!K14="","",'päd.Personal - Leitung'!K14)</f>
        <v/>
      </c>
      <c r="L14" s="1190"/>
      <c r="M14" s="173" t="str">
        <f>IF('päd.Personal - Leitung'!M14="","",'päd.Personal - Leitung'!M14)</f>
        <v/>
      </c>
      <c r="N14" s="173" t="str">
        <f>IF('päd.Personal - Leitung'!N14="","",'päd.Personal - Leitung'!N14)</f>
        <v/>
      </c>
      <c r="O14" s="173" t="str">
        <f>IF('päd.Personal - Leitung'!O14="","",'päd.Personal - Leitung'!O14)</f>
        <v/>
      </c>
      <c r="P14" s="173" t="str">
        <f>IF('päd.Personal - Leitung'!P14="","",'päd.Personal - Leitung'!P14)</f>
        <v/>
      </c>
    </row>
    <row r="15" spans="1:16" s="52" customFormat="1" ht="13.5" customHeight="1" x14ac:dyDescent="0.25">
      <c r="A15" s="54" t="str">
        <f>IF('päd.Personal - Leitung'!A15="","",'päd.Personal - Leitung'!A15)</f>
        <v/>
      </c>
      <c r="B15" s="1170" t="str">
        <f>IF(A15="","",B14)</f>
        <v/>
      </c>
      <c r="C15" s="1171"/>
      <c r="D15" s="183" t="str">
        <f>IF('päd.Personal - Leitung'!D15="","",'päd.Personal - Leitung'!D15)</f>
        <v/>
      </c>
      <c r="E15" s="183" t="str">
        <f>IF('päd.Personal - Leitung'!E15="","",'päd.Personal - Leitung'!E15)</f>
        <v/>
      </c>
      <c r="F15" s="137">
        <f>IF('päd.Personal - Leitung'!F15="",0,'päd.Personal - Leitung'!F15)</f>
        <v>0</v>
      </c>
      <c r="G15" s="56">
        <f>IF(N3="",0,F15/N3/4.348)</f>
        <v>0</v>
      </c>
      <c r="H15" s="201">
        <f>IF(N19="",0,N19)</f>
        <v>0</v>
      </c>
      <c r="K15" s="1190" t="str">
        <f>IF('päd.Personal - Leitung'!K15="","",'päd.Personal - Leitung'!K15)</f>
        <v/>
      </c>
      <c r="L15" s="1190"/>
      <c r="M15" s="173" t="str">
        <f>IF('päd.Personal - Leitung'!M15="","",'päd.Personal - Leitung'!M15)</f>
        <v/>
      </c>
      <c r="N15" s="173" t="str">
        <f>IF('päd.Personal - Leitung'!N15="","",'päd.Personal - Leitung'!N15)</f>
        <v/>
      </c>
      <c r="O15" s="173" t="str">
        <f>IF('päd.Personal - Leitung'!O15="","",'päd.Personal - Leitung'!O15)</f>
        <v/>
      </c>
      <c r="P15" s="173" t="str">
        <f>IF('päd.Personal - Leitung'!P15="","",'päd.Personal - Leitung'!P15)</f>
        <v/>
      </c>
    </row>
    <row r="16" spans="1:16" s="52" customFormat="1" ht="13.5" customHeight="1" x14ac:dyDescent="0.25">
      <c r="A16" s="54" t="str">
        <f>IF('päd.Personal - Leitung'!A16="","",'päd.Personal - Leitung'!A16)</f>
        <v/>
      </c>
      <c r="B16" s="1170" t="str">
        <f>IF(A16="","",B15)</f>
        <v/>
      </c>
      <c r="C16" s="1171"/>
      <c r="D16" s="183" t="str">
        <f>IF('päd.Personal - Leitung'!D16="","",'päd.Personal - Leitung'!D16)</f>
        <v/>
      </c>
      <c r="E16" s="183" t="str">
        <f>IF('päd.Personal - Leitung'!E16="","",'päd.Personal - Leitung'!E16)</f>
        <v/>
      </c>
      <c r="F16" s="137">
        <f>IF('päd.Personal - Leitung'!F16="",0,'päd.Personal - Leitung'!F16)</f>
        <v>0</v>
      </c>
      <c r="G16" s="56">
        <f>IF(N3="",0,F16/N3/4.348)</f>
        <v>0</v>
      </c>
      <c r="H16" s="201">
        <f>IF(O19="",0,O19)</f>
        <v>0</v>
      </c>
      <c r="K16" s="1190" t="str">
        <f>IF('päd.Personal - Leitung'!K16="","",'päd.Personal - Leitung'!K16)</f>
        <v/>
      </c>
      <c r="L16" s="1190"/>
      <c r="M16" s="173" t="str">
        <f>IF('päd.Personal - Leitung'!M16="","",'päd.Personal - Leitung'!M16)</f>
        <v/>
      </c>
      <c r="N16" s="173" t="str">
        <f>IF('päd.Personal - Leitung'!N16="","",'päd.Personal - Leitung'!N16)</f>
        <v/>
      </c>
      <c r="O16" s="173" t="str">
        <f>IF('päd.Personal - Leitung'!O16="","",'päd.Personal - Leitung'!O16)</f>
        <v/>
      </c>
      <c r="P16" s="173" t="str">
        <f>IF('päd.Personal - Leitung'!P16="","",'päd.Personal - Leitung'!P16)</f>
        <v/>
      </c>
    </row>
    <row r="17" spans="1:16" s="52" customFormat="1" ht="13.5" customHeight="1" x14ac:dyDescent="0.25">
      <c r="A17" s="54" t="str">
        <f>IF('päd.Personal - Leitung'!A17="","",'päd.Personal - Leitung'!A17)</f>
        <v/>
      </c>
      <c r="B17" s="1170" t="str">
        <f>IF(A17="","",B16)</f>
        <v/>
      </c>
      <c r="C17" s="1171"/>
      <c r="D17" s="183" t="str">
        <f>IF('päd.Personal - Leitung'!D17="","",'päd.Personal - Leitung'!D17)</f>
        <v/>
      </c>
      <c r="E17" s="183" t="str">
        <f>IF('päd.Personal - Leitung'!E17="","",'päd.Personal - Leitung'!E17)</f>
        <v/>
      </c>
      <c r="F17" s="137">
        <f>IF('päd.Personal - Leitung'!F17="",0,'päd.Personal - Leitung'!F17)</f>
        <v>0</v>
      </c>
      <c r="G17" s="56">
        <f>IF(N3="",0,F17/N3/4.348)</f>
        <v>0</v>
      </c>
      <c r="H17" s="201">
        <f>IF(P19="",0,P19)</f>
        <v>0</v>
      </c>
      <c r="K17" s="1190" t="str">
        <f>IF('päd.Personal - Leitung'!K17="","",'päd.Personal - Leitung'!K17)</f>
        <v/>
      </c>
      <c r="L17" s="1190"/>
      <c r="M17" s="173" t="str">
        <f>IF('päd.Personal - Leitung'!M17="","",'päd.Personal - Leitung'!M17)</f>
        <v/>
      </c>
      <c r="N17" s="173" t="str">
        <f>IF('päd.Personal - Leitung'!N17="","",'päd.Personal - Leitung'!N17)</f>
        <v/>
      </c>
      <c r="O17" s="173" t="str">
        <f>IF('päd.Personal - Leitung'!O17="","",'päd.Personal - Leitung'!O17)</f>
        <v/>
      </c>
      <c r="P17" s="173" t="str">
        <f>IF('päd.Personal - Leitung'!P17="","",'päd.Personal - Leitung'!P17)</f>
        <v/>
      </c>
    </row>
    <row r="18" spans="1:16" s="52" customFormat="1" ht="13.5" customHeight="1" x14ac:dyDescent="0.25">
      <c r="B18" s="1167" t="s">
        <v>157</v>
      </c>
      <c r="C18" s="1167"/>
      <c r="E18" s="1167" t="s">
        <v>156</v>
      </c>
      <c r="F18" s="1167"/>
      <c r="J18" s="69"/>
      <c r="K18" s="1190" t="str">
        <f>IF('päd.Personal - Leitung'!K18="","",'päd.Personal - Leitung'!K18)</f>
        <v/>
      </c>
      <c r="L18" s="1190"/>
      <c r="M18" s="173" t="str">
        <f>IF('päd.Personal - Leitung'!M18="","",'päd.Personal - Leitung'!M18)</f>
        <v/>
      </c>
      <c r="N18" s="173" t="str">
        <f>IF('päd.Personal - Leitung'!N18="","",'päd.Personal - Leitung'!N18)</f>
        <v/>
      </c>
      <c r="O18" s="173" t="str">
        <f>IF('päd.Personal - Leitung'!O18="","",'päd.Personal - Leitung'!O18)</f>
        <v/>
      </c>
      <c r="P18" s="173" t="str">
        <f>IF('päd.Personal - Leitung'!P18="","",'päd.Personal - Leitung'!P18)</f>
        <v/>
      </c>
    </row>
    <row r="19" spans="1:16" s="52" customFormat="1" ht="13.5" customHeight="1" x14ac:dyDescent="0.25">
      <c r="A19" s="70" t="s">
        <v>167</v>
      </c>
      <c r="B19" s="101" t="str">
        <f>IF('päd.Personal - Leitung'!B19="","",'päd.Personal - Leitung'!B19)</f>
        <v/>
      </c>
      <c r="C19" s="138" t="str">
        <f>IF('päd.Personal - Leitung'!C19="","",'päd.Personal - Leitung'!C19)</f>
        <v/>
      </c>
      <c r="D19" s="70" t="s">
        <v>167</v>
      </c>
      <c r="E19" s="101" t="str">
        <f>IF('päd.Personal - Leitung'!E19="","",'päd.Personal - Leitung'!E19)</f>
        <v/>
      </c>
      <c r="F19" s="138" t="str">
        <f>IF('päd.Personal - Leitung'!F19="","",'päd.Personal - Leitung'!F19)</f>
        <v/>
      </c>
      <c r="J19" s="68"/>
      <c r="M19" s="173">
        <f>SUM(M14:M18)</f>
        <v>0</v>
      </c>
      <c r="N19" s="173">
        <f t="shared" ref="N19:P19" si="1">SUM(N14:N18)</f>
        <v>0</v>
      </c>
      <c r="O19" s="173">
        <f t="shared" si="1"/>
        <v>0</v>
      </c>
      <c r="P19" s="173">
        <f t="shared" si="1"/>
        <v>0</v>
      </c>
    </row>
    <row r="20" spans="1:16" s="52" customFormat="1" ht="13.5" customHeight="1" x14ac:dyDescent="0.2">
      <c r="A20" s="60" t="s">
        <v>155</v>
      </c>
    </row>
    <row r="21" spans="1:16" s="1" customFormat="1" ht="14.25" customHeight="1" x14ac:dyDescent="0.2">
      <c r="A21" s="1147"/>
      <c r="B21" s="1149" t="s">
        <v>9</v>
      </c>
      <c r="C21" s="1150"/>
      <c r="D21" s="1150"/>
      <c r="E21" s="1150"/>
      <c r="F21" s="1150"/>
      <c r="G21" s="1151"/>
      <c r="H21" s="1152" t="s">
        <v>119</v>
      </c>
      <c r="I21" s="1153"/>
      <c r="J21" s="1153"/>
      <c r="K21" s="1153"/>
      <c r="L21" s="1153"/>
      <c r="M21" s="1153"/>
      <c r="N21" s="1153"/>
      <c r="O21" s="33"/>
      <c r="P21" s="1154" t="s">
        <v>0</v>
      </c>
    </row>
    <row r="22" spans="1:16" s="1" customFormat="1" ht="14.25" customHeight="1" x14ac:dyDescent="0.2">
      <c r="A22" s="1148"/>
      <c r="B22" s="1157" t="s">
        <v>117</v>
      </c>
      <c r="C22" s="124" t="s">
        <v>115</v>
      </c>
      <c r="D22" s="1159" t="s">
        <v>277</v>
      </c>
      <c r="E22" s="1161" t="s">
        <v>147</v>
      </c>
      <c r="F22" s="127" t="s">
        <v>7</v>
      </c>
      <c r="G22" s="1162" t="s">
        <v>6</v>
      </c>
      <c r="H22" s="1161" t="s">
        <v>129</v>
      </c>
      <c r="I22" s="1161" t="s">
        <v>5</v>
      </c>
      <c r="J22" s="1161" t="s">
        <v>4</v>
      </c>
      <c r="K22" s="1161" t="s">
        <v>3</v>
      </c>
      <c r="L22" s="1161" t="s">
        <v>121</v>
      </c>
      <c r="M22" s="1161" t="s">
        <v>122</v>
      </c>
      <c r="N22" s="1161" t="s">
        <v>123</v>
      </c>
      <c r="O22" s="1160" t="s">
        <v>114</v>
      </c>
      <c r="P22" s="1155"/>
    </row>
    <row r="23" spans="1:16" s="1" customFormat="1" ht="14.25" customHeight="1" x14ac:dyDescent="0.2">
      <c r="A23" s="1148"/>
      <c r="B23" s="1157"/>
      <c r="C23" s="139" t="str">
        <f>IF(C19="","",C19)</f>
        <v/>
      </c>
      <c r="D23" s="1160"/>
      <c r="E23" s="1161"/>
      <c r="F23" s="1193" t="str">
        <f>IF(H14=0,"","siehe Zuschläge / Zulagen")</f>
        <v/>
      </c>
      <c r="G23" s="1162"/>
      <c r="H23" s="1164" t="s">
        <v>127</v>
      </c>
      <c r="I23" s="1164"/>
      <c r="J23" s="1164"/>
      <c r="K23" s="1164"/>
      <c r="L23" s="1164"/>
      <c r="M23" s="1164"/>
      <c r="N23" s="1164"/>
      <c r="O23" s="1160"/>
      <c r="P23" s="1155"/>
    </row>
    <row r="24" spans="1:16" s="1" customFormat="1" x14ac:dyDescent="0.2">
      <c r="A24" s="1148"/>
      <c r="B24" s="1157"/>
      <c r="C24" s="122" t="s">
        <v>70</v>
      </c>
      <c r="D24" s="1160"/>
      <c r="E24" s="1161"/>
      <c r="F24" s="1193"/>
      <c r="G24" s="1162"/>
      <c r="H24" s="43" t="s">
        <v>128</v>
      </c>
      <c r="I24" s="43" t="s">
        <v>255</v>
      </c>
      <c r="J24" s="43" t="s">
        <v>256</v>
      </c>
      <c r="K24" s="43" t="s">
        <v>257</v>
      </c>
      <c r="L24" s="43"/>
      <c r="M24" s="43"/>
      <c r="N24" s="43" t="s">
        <v>254</v>
      </c>
      <c r="O24" s="1160"/>
      <c r="P24" s="1155"/>
    </row>
    <row r="25" spans="1:16" s="1" customFormat="1" x14ac:dyDescent="0.2">
      <c r="A25" s="1148"/>
      <c r="B25" s="1158"/>
      <c r="C25" s="139" t="str">
        <f>IF(F19="","",F19)</f>
        <v/>
      </c>
      <c r="D25" s="140">
        <f>IF('päd.Personal - Leitung'!D25="",0,'päd.Personal - Leitung'!D25)</f>
        <v>0</v>
      </c>
      <c r="E25" s="140">
        <f>IF('päd.Personal - Leitung'!E25="",0,'päd.Personal - Leitung'!E25)</f>
        <v>0</v>
      </c>
      <c r="F25" s="1194"/>
      <c r="G25" s="1163"/>
      <c r="H25" s="44">
        <f>IF(G38=0,0,'päd.Personal - Leitung'!H25)</f>
        <v>0</v>
      </c>
      <c r="I25" s="139">
        <f>IF(G38=0,0,'päd.Personal - Leitung'!I25)</f>
        <v>0</v>
      </c>
      <c r="J25" s="139">
        <f>IF(G38=0,0,'päd.Personal - Leitung'!J25)</f>
        <v>0</v>
      </c>
      <c r="K25" s="44">
        <f>IF(G38=0,0,'päd.Personal - Leitung'!K25)</f>
        <v>0</v>
      </c>
      <c r="L25" s="139">
        <f>IF(G38=0,0,'päd.Personal - Leitung'!L25)</f>
        <v>0</v>
      </c>
      <c r="M25" s="139">
        <f>IF(G38=0,0,'päd.Personal - Leitung'!M25)</f>
        <v>0</v>
      </c>
      <c r="N25" s="139">
        <f>IF(G38=0,0,'päd.Personal - Leitung'!N25)</f>
        <v>0</v>
      </c>
      <c r="O25" s="139">
        <f>IF(G38=0,0,'päd.Personal - Leitung'!O25)</f>
        <v>0</v>
      </c>
      <c r="P25" s="1156"/>
    </row>
    <row r="26" spans="1:16" s="1" customFormat="1" x14ac:dyDescent="0.2">
      <c r="A26" s="100" t="str">
        <f>'päd.Personal - Leitung'!$A$26</f>
        <v>Jan 2022</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76">
        <f>ROUND(IF((SUM(B26:F26))&gt;L41,L41*H25,SUM(B26:F26)*H25),2)</f>
        <v>0</v>
      </c>
      <c r="I26" s="76">
        <f>ROUND(IF((SUM(B26:F26))&gt;L42,L42*I25,SUM(B26:F26)*I25),2)</f>
        <v>0</v>
      </c>
      <c r="J26" s="76">
        <f>ROUND(IF((SUM(B26:F26))&gt;L42,L42*J25,SUM(B26:F26)*J25),2)</f>
        <v>0</v>
      </c>
      <c r="K26" s="76">
        <f>ROUND(IF((SUM(B26:F26))&gt;L41,L41*K25,SUM(B26:F26)*K25),2)</f>
        <v>0</v>
      </c>
      <c r="L26" s="76">
        <f>ROUND(IF((SUM(B26:F26))&gt;L42,L42*L25,(SUM(B26:F26)-C26)*L25),2)</f>
        <v>0</v>
      </c>
      <c r="M26" s="76">
        <f>ROUND(IF((SUM(B26:F26))&gt;L42,L42*M25,(SUM(B26:F26)-C26)*M25),2)</f>
        <v>0</v>
      </c>
      <c r="N26" s="76">
        <f>ROUND(IF((SUM(B26:F26))&gt;L42,L42*N25,SUM(B26:F26)*N25),2)</f>
        <v>0</v>
      </c>
      <c r="O26" s="23">
        <f>ROUND(SUM(B26+C26+F26)*O25,2)</f>
        <v>0</v>
      </c>
      <c r="P26" s="27">
        <f>SUM(G26:O26)</f>
        <v>0</v>
      </c>
    </row>
    <row r="27" spans="1:16" s="1" customFormat="1" x14ac:dyDescent="0.2">
      <c r="A27" s="100" t="str">
        <f>'päd.Personal - Leitung'!$A$27</f>
        <v>Feb 2022</v>
      </c>
      <c r="B27" s="24">
        <f>ROUND(IF(N7=0,0,IFERROR(((LOOKUP(2,1/(A14:A17=A27),G14:G17))*N7*4.348),B26/N7*N7)),2)</f>
        <v>0</v>
      </c>
      <c r="C27" s="23">
        <f>ROUND(IFERROR(((LOOKUP(2,1/(B19=A27),((SUM(B32:B34)+SUM(F32:F34))/3)*C19))),0)+IFERROR(((LOOKUP(2,1/(E19=A27),(B38+F38)*F19))),0),2)</f>
        <v>0</v>
      </c>
      <c r="D27" s="23">
        <f>ROUND(IF(B27=0,0,D25/L7*N7),2)</f>
        <v>0</v>
      </c>
      <c r="E27" s="23">
        <f>ROUND(IF(B27=0,0,E25/N3*N7),2)</f>
        <v>0</v>
      </c>
      <c r="F27" s="24">
        <f>ROUND(IF(N7=0,0,IFERROR(((LOOKUP(2,1/(A14:A17=A27),H14:H17))/N3*N7),F26/N7*N7)),2)</f>
        <v>0</v>
      </c>
      <c r="G27" s="27">
        <f t="shared" ref="G27:G37" si="2">SUM(B27+C27+E27+F27)</f>
        <v>0</v>
      </c>
      <c r="H27" s="76">
        <f>ROUND(IF(SUM(B26:F26)&lt;(L41*1),IF((SUM(B26:F27))&gt;(L41*2),(((L41*2)-(SUM(B26:F27)-C26))*H25)+((SUM(B27:F27)-C26)*H25),SUM(B27:F27)*H25),IF(SUM(B26:F27)&gt;(L41*2),L41*H25,SUM(B27:F27)*H25)),2)</f>
        <v>0</v>
      </c>
      <c r="I27" s="76">
        <f>ROUND(IF(SUM(B26:F26)&lt;(L42*1),IF((SUM(B26:F27))&gt;(L42*2),(((L42*2)-(SUM(B26:F27)-C26))*I25)+((SUM(B27:F27)-C26)*I25),SUM(B27:F27)*I25),IF(SUM(B26:F27)&gt;(L42*2),L42*I25,SUM(B27:F27)*I25)),2)</f>
        <v>0</v>
      </c>
      <c r="J27" s="76">
        <f>ROUND(IF(SUM(B26:F26)&lt;(L42*1),IF((SUM(B26:F27))&gt;(L42*2),(((L42*2)-(SUM(B26:F27)-C26))*J25)+((SUM(B27:F27)-C26)*J25),SUM(B27:F27)*J25),IF(SUM(B26:F27)&gt;(L42*2),L42*J25,SUM(B27:F27)*J25)),2)</f>
        <v>0</v>
      </c>
      <c r="K27" s="76">
        <f>ROUND(IF(SUM(B26:F26)&lt;(L41*1),IF((SUM(B26:F27))&gt;(L41*2),(((L41*2)-(SUM(B26:F27)-C26))*K25)+((SUM(B27:F27)-C26)*K25),SUM(B27:F27)*K25),IF(SUM(B26:F27)&gt;(L41*2),L41*K25,SUM(B27:F27)*K25)),2)</f>
        <v>0</v>
      </c>
      <c r="L27" s="76">
        <f>ROUND(IF(SUM(B26:F26)&lt;(L42*1),IF((SUM(B26:F27))&gt;(L42*2),(((L42*2)-(SUM(B26:F27)-C27))*L25)+((SUM(B27:F27)-C27)*L25),(SUM(B27:F27)-C27)*L25),IF(SUM(B26:F27)&gt;(L42*2),L42*L25,SUM(B27:F27)*L25)),2)</f>
        <v>0</v>
      </c>
      <c r="M27" s="76">
        <f>ROUND(IF(SUM(B26:F26)&lt;(L42*1),IF((SUM(B26:F27))&gt;(L42*2),(((L42*2)-(SUM(B26:F27)-C27))*M25)+((SUM(B27:F27)-C27)*M25),(SUM(B27:F27)-C27)*M25),IF(SUM(B26:F27)&gt;(L42*2),L42*M25,SUM(B27:F27)*M25)),2)</f>
        <v>0</v>
      </c>
      <c r="N27" s="76">
        <f>ROUND(IF(SUM(B26:F26)&lt;(L42*1),IF((SUM(B26:F27))&gt;(L42*2),(((L42*2)-(SUM(B26:F27)-C26))*N25)+((SUM(B27:F27)-C26)*N25),SUM(B27:F27)*N25),IF(SUM(B26:F27)&gt;(L42*2),L42*N25,SUM(B27:F27)*N25)),2)</f>
        <v>0</v>
      </c>
      <c r="O27" s="23">
        <f>ROUND(SUM(B27+C27+F27)*O25,2)</f>
        <v>0</v>
      </c>
      <c r="P27" s="27">
        <f>SUM(G27:O27)</f>
        <v>0</v>
      </c>
    </row>
    <row r="28" spans="1:16" s="1" customFormat="1" x14ac:dyDescent="0.2">
      <c r="A28" s="100" t="str">
        <f>'päd.Personal - Leitung'!$A$28</f>
        <v>Mrz 2022</v>
      </c>
      <c r="B28" s="24">
        <f>ROUND(IF(N8=0,0,IFERROR(((LOOKUP(2,1/(A14:A17=A28),G14:G17))*N8*4.348),B27/N8*N8)),2)</f>
        <v>0</v>
      </c>
      <c r="C28" s="23">
        <f>ROUND(IFERROR(((LOOKUP(2,1/(B19=A28),((SUM(B32:B34)+SUM(F32:F34))/3)*C19))),0)+IFERROR(((LOOKUP(2,1/(E19=A28),(B38+F38)*F19))),0),2)</f>
        <v>0</v>
      </c>
      <c r="D28" s="23">
        <f>ROUND(IF(B28=0,0,D25/L7*N8),2)</f>
        <v>0</v>
      </c>
      <c r="E28" s="23">
        <f>ROUND(IF(B28=0,0,E25/N3*N8),2)</f>
        <v>0</v>
      </c>
      <c r="F28" s="24">
        <f>ROUND(IF(N8=0,0,IFERROR(((LOOKUP(2,1/(A14:A17=A28),H14:H17))/N3*N8),F27/N8*N8)),2)</f>
        <v>0</v>
      </c>
      <c r="G28" s="27">
        <f t="shared" si="2"/>
        <v>0</v>
      </c>
      <c r="H28" s="76">
        <f>ROUND(IF(SUM(B26:F27)&lt;(L41*2),IF((SUM(B26:F28))&gt;(L41*3),(((L41*3)-(SUM(B26:F28)-C27))*H25)+((SUM(B28:F28)-C27)*H25),SUM(B28:F28)*H25),IF(SUM(B26:F28)&gt;(L41*3),L41*H25,SUM(B28:F28)*H25)),2)</f>
        <v>0</v>
      </c>
      <c r="I28" s="76">
        <f>ROUND(IF(SUM(B26:F27)&lt;(L42*2),IF((SUM(B26:F28))&gt;(L42*3),(((L42*3)-(SUM(B26:F28)-C27))*I25)+((SUM(B28:F28)-C27)*I25),SUM(B28:F28)*I25),IF(SUM(B26:F28)&gt;(L42*3),L42*I25,SUM(B28:F28)*I25)),2)</f>
        <v>0</v>
      </c>
      <c r="J28" s="76">
        <f>ROUND(IF(SUM(B26:F27)&lt;(L42*2),IF((SUM(B26:F28))&gt;(L42*3),(((L42*3)-(SUM(B26:F28)-C27))*J25)+((SUM(B28:F28)-C27)*J25),SUM(B28:F28)*J25),IF(SUM(B26:F28)&gt;(L42*3),L42*J25,SUM(B28:F28)*J25)),2)</f>
        <v>0</v>
      </c>
      <c r="K28" s="76">
        <f>ROUND(IF(SUM(B26:F27)&lt;(L41*2),IF((SUM(B26:F28))&gt;(L41*3),(((L41*3)-(SUM(B26:F28)-C27))*K25)+((SUM(B28:F28)-C27)*K25),SUM(B28:F28)*K25),IF(SUM(B26:F28)&gt;(L41*3),L41*K25,SUM(B28:F28)*K25)),2)</f>
        <v>0</v>
      </c>
      <c r="L28" s="76">
        <f>ROUND(IF(SUM(B26:F27)&lt;(L42*2),IF((SUM(B26:F28))&gt;(L42*3),(((L42*3)-(SUM(B26:F28)-C28))*L25)+((SUM(B28:F28)-C28)*L25),(SUM(B28:F28)-C28)*L25),IF(SUM(B26:F28)&gt;(L42*3),L42*L25,SUM(B28:F28)*L25)),2)</f>
        <v>0</v>
      </c>
      <c r="M28" s="76">
        <f>ROUND(IF(SUM(B26:F27)&lt;(L42*2),IF((SUM(B26:F28))&gt;(L42*3),(((L42*3)-(SUM(B26:F28)-C28))*M25)+((SUM(B28:F28)-C28)*M25),(SUM(B28:F28)-C28)*M25),IF(SUM(B26:F28)&gt;(L42*3),L42*M25,SUM(B28:F28)*M25)),2)</f>
        <v>0</v>
      </c>
      <c r="N28" s="76">
        <f>ROUND(IF(SUM(B26:F27)&lt;(L42*2),IF((SUM(B26:F28))&gt;(L42*3),(((L42*3)-(SUM(B26:F28)-C27))*N25)+((SUM(B28:F28)-C27)*N25),SUM(B28:F28)*N25),IF(SUM(B26:F28)&gt;(L42*3),L42*N25,SUM(B28:F28)*N25)),2)</f>
        <v>0</v>
      </c>
      <c r="O28" s="23">
        <f>ROUND(SUM(B28+C28+F28)*O25,2)</f>
        <v>0</v>
      </c>
      <c r="P28" s="27">
        <f t="shared" ref="P28:P37" si="3">SUM(G28:O28)</f>
        <v>0</v>
      </c>
    </row>
    <row r="29" spans="1:16" s="1" customFormat="1" x14ac:dyDescent="0.2">
      <c r="A29" s="100" t="str">
        <f>'päd.Personal - Leitung'!$A$29</f>
        <v>Apr 2022</v>
      </c>
      <c r="B29" s="24">
        <f>ROUND(IF(N9=0,0,IFERROR(((LOOKUP(2,1/(A14:A17=A29),G14:G17))*N9*4.348),B28/N9*N9)),2)</f>
        <v>0</v>
      </c>
      <c r="C29" s="23">
        <f>ROUND(IFERROR(((LOOKUP(2,1/(B19=A29),((SUM(B32:B34)+SUM(F32:F34))/3)*C19))),0)+IFERROR(((LOOKUP(2,1/(E19=A29),(B38+F38)*F19))),0),2)</f>
        <v>0</v>
      </c>
      <c r="D29" s="23">
        <f>ROUND(IF(B29=0,0,D25/L7*N9),2)</f>
        <v>0</v>
      </c>
      <c r="E29" s="23">
        <f>ROUND(IF(B29=0,0,E25/N3*N9),2)</f>
        <v>0</v>
      </c>
      <c r="F29" s="24">
        <f>ROUND(IF(N9=0,0,IFERROR(((LOOKUP(2,1/(A14:A17=A29),H14:H17))/N3*N9),F28/N9*N9)),2)</f>
        <v>0</v>
      </c>
      <c r="G29" s="27">
        <f t="shared" si="2"/>
        <v>0</v>
      </c>
      <c r="H29" s="76">
        <f>ROUND(IF(SUM(B26:F28)&lt;(L41*3),IF((SUM(B26:F29))&gt;(L41*4),(((L41*4)-(SUM(B26:F29)-C28))*H25)+((SUM(B29:F29)-C28)*H25),SUM(B29:F29)*H25),IF(SUM(B26:F29)&gt;(L41*4),L41*H25,SUM(B29:F29)*H25)),2)</f>
        <v>0</v>
      </c>
      <c r="I29" s="76">
        <f>ROUND(IF(SUM(B26:F28)&lt;(L42*3),IF((SUM(B26:F29))&gt;(L42*4),(((L42*4)-(SUM(B26:F29)-C28))*I25)+((SUM(B29:F29)-C28)*I25),SUM(B29:F29)*I25),IF(SUM(B26:F29)&gt;(L42*4),L42*I25,SUM(B29:F29)*I25)),2)</f>
        <v>0</v>
      </c>
      <c r="J29" s="76">
        <f>ROUND(IF(SUM(B26:F28)&lt;(L42*3),IF((SUM(B26:F29))&gt;(L42*4),(((L42*4)-(SUM(B26:F29)-C28))*J25)+((SUM(B29:F29)-C28)*J25),SUM(B29:F29)*J25),IF(SUM(B26:F29)&gt;(L42*4),L42*J25,SUM(B29:F29)*J25)),2)</f>
        <v>0</v>
      </c>
      <c r="K29" s="76">
        <f>ROUND(IF(SUM(B26:F28)&lt;(L41*3),IF((SUM(B26:F29))&gt;(L41*4),(((L41*4)-(SUM(B26:F29)-C28))*K25)+((SUM(B29:F29)-C28)*K25),SUM(B29:F29)*K25),IF(SUM(B26:F29)&gt;(L41*4),L41*K25,SUM(B29:F29)*K25)),2)</f>
        <v>0</v>
      </c>
      <c r="L29" s="76">
        <f>ROUND(IF(SUM(B26:F28)&lt;(L42*3),IF((SUM(B26:F29))&gt;(L42*4),(((L42*4)-(SUM(B26:F29)-C29))*L25)+((SUM(B29:F29)-C29)*L25),(SUM(B29:F29)-C29)*L25),IF(SUM(B26:F29)&gt;(L42*4),L42*L25,SUM(B29:F29)*L25)),2)</f>
        <v>0</v>
      </c>
      <c r="M29" s="76">
        <f>ROUND(IF(SUM(B26:F28)&lt;(L42*3),IF((SUM(B26:F29))&gt;(L42*4),(((L42*4)-(SUM(B26:F29)-C29))*M25)+((SUM(B29:F29)-C29)*M25),(SUM(B29:F29)-C29)*M25),IF(SUM(B26:F29)&gt;(L42*4),L42*M25,SUM(B29:F29)*M25)),2)</f>
        <v>0</v>
      </c>
      <c r="N29" s="76">
        <f>ROUND(IF(SUM(B26:F28)&lt;(L42*3),IF((SUM(B26:F29))&gt;(L42*4),(((L42*4)-(SUM(B26:F29)-C28))*N25)+((SUM(B29:F29)-C28)*N25),SUM(B29:F29)*N25),IF(SUM(B26:F29)&gt;(L42*4),L42*N25,SUM(B29:F29)*N25)),2)</f>
        <v>0</v>
      </c>
      <c r="O29" s="23">
        <f>ROUND(SUM(B29+C29+F29)*O25,2)</f>
        <v>0</v>
      </c>
      <c r="P29" s="27">
        <f t="shared" si="3"/>
        <v>0</v>
      </c>
    </row>
    <row r="30" spans="1:16" s="1" customFormat="1" x14ac:dyDescent="0.2">
      <c r="A30" s="100" t="str">
        <f>'päd.Personal - Leitung'!$A$30</f>
        <v>Mai 2022</v>
      </c>
      <c r="B30" s="24">
        <f>ROUND(IF(N10=0,0,IFERROR(((LOOKUP(2,1/(A14:A17=A30),G14:G17))*N10*4.348),B29/N10*N10)),2)</f>
        <v>0</v>
      </c>
      <c r="C30" s="23">
        <f>ROUND(IFERROR(((LOOKUP(2,1/(B19=A30),((SUM(B32:B34)+SUM(F32:F34))/3)*C19))),0)+IFERROR(((LOOKUP(2,1/(E19=A30),(B38+F38)*F19))),0),2)</f>
        <v>0</v>
      </c>
      <c r="D30" s="23">
        <f>ROUND(IF(B30=0,0,D25/L7*N10),2)</f>
        <v>0</v>
      </c>
      <c r="E30" s="23">
        <f>ROUND(IF(B30=0,0,E25/N3*N10),2)</f>
        <v>0</v>
      </c>
      <c r="F30" s="24">
        <f>ROUND(IF(N10=0,0,IFERROR(((LOOKUP(2,1/(A14:A17=A30),H14:H17))/N3*N10),F29/N10*N10)),2)</f>
        <v>0</v>
      </c>
      <c r="G30" s="27">
        <f t="shared" si="2"/>
        <v>0</v>
      </c>
      <c r="H30" s="76">
        <f>ROUND(IF(SUM(B26:F29)&lt;(L41*4),IF((SUM(B26:F30))&gt;(L41*5),(((L41*5)-(SUM(B26:F30)-C29))*H25)+((SUM(B30:F30)-C29)*H25),SUM(B30:F30)*H25),IF(SUM(B26:F30)&gt;(L41*5),L41*H25,SUM(B30:F30)*H25)),2)</f>
        <v>0</v>
      </c>
      <c r="I30" s="76">
        <f>ROUND(IF(SUM(B26:F29)&lt;(L42*4),IF((SUM(B26:F30))&gt;(L42*5),(((L42*5)-(SUM(B26:F30)-C29))*I25)+((SUM(B30:F30)-C29)*I25),SUM(B30:F30)*I25),IF(SUM(B26:F30)&gt;(L42*5),L42*I25,SUM(B30:F30)*I25)),2)</f>
        <v>0</v>
      </c>
      <c r="J30" s="76">
        <f>ROUND(IF(SUM(B26:F29)&lt;(L42*4),IF((SUM(B26:F30))&gt;(L42*5),(((L42*5)-(SUM(B26:F30)-C29))*J25)+((SUM(B30:F30)-C29)*J25),SUM(B30:F30)*J25),IF(SUM(B26:F30)&gt;(L42*5),L42*J25,SUM(B30:F30)*J25)),2)</f>
        <v>0</v>
      </c>
      <c r="K30" s="76">
        <f>ROUND(IF(SUM(B26:F29)&lt;(L41*4),IF((SUM(B26:F30))&gt;(L41*5),(((L41*5)-(SUM(B26:F30)-C29))*K25)+((SUM(B30:F30)-C29)*K25),SUM(B30:F30)*K25),IF(SUM(B26:F30)&gt;(L41*5),L41*K25,SUM(B30:F30)*K25)),2)</f>
        <v>0</v>
      </c>
      <c r="L30" s="76">
        <f>ROUND(IF(SUM(B26:F29)&lt;(L42*4),IF((SUM(B26:F30))&gt;(L42*5),(((L42*5)-(SUM(B26:F30)-C30))*L25)+((SUM(B30:F30)-C30)*L25),(SUM(B30:F30)-C30)*L25),IF(SUM(B26:F30)&gt;(L42*5),L42*L25,SUM(B30:F30)*L25)),2)</f>
        <v>0</v>
      </c>
      <c r="M30" s="76">
        <f>ROUND(IF(SUM(B26:F29)&lt;(L42*4),IF((SUM(B26:F30))&gt;(L42*5),(((L42*5)-(SUM(B26:F30)-C30))*M25)+((SUM(B30:F30)-C30)*M25),(SUM(B30:F30)-C30)*M25),IF(SUM(B26:F30)&gt;(L42*5),L42*M25,SUM(B30:F30)*M25)),2)</f>
        <v>0</v>
      </c>
      <c r="N30" s="76">
        <f>ROUND(IF(SUM(B26:F29)&lt;(L42*4),IF((SUM(B26:F30))&gt;(L42*5),(((L42*5)-(SUM(B26:F30)-C29))*N25)+((SUM(B30:F30)-C29)*N25),SUM(B30:F30)*N25),IF(SUM(B26:F30)&gt;(L42*5),L42*N25,SUM(B30:F30)*N25)),2)</f>
        <v>0</v>
      </c>
      <c r="O30" s="23">
        <f>ROUND(SUM(B30+C30+F30)*O25,2)</f>
        <v>0</v>
      </c>
      <c r="P30" s="27">
        <f t="shared" si="3"/>
        <v>0</v>
      </c>
    </row>
    <row r="31" spans="1:16" s="1" customFormat="1" x14ac:dyDescent="0.2">
      <c r="A31" s="100" t="str">
        <f>'päd.Personal - Leitung'!$A$31</f>
        <v>Jun 2022</v>
      </c>
      <c r="B31" s="24">
        <f>ROUND(IF(N11=0,0,IFERROR(((LOOKUP(2,1/(A14:A17=A31),G14:G17))*N11*4.348),B30/N11*N11)),2)</f>
        <v>0</v>
      </c>
      <c r="C31" s="23">
        <f>ROUND(IFERROR(((LOOKUP(2,1/(B19=A31),((SUM(B32:B34)+SUM(F32:F34))/3)*C19))),0)+IFERROR(((LOOKUP(2,1/(E19=A31),(B38+F38)*F19))),0),2)</f>
        <v>0</v>
      </c>
      <c r="D31" s="23">
        <f>ROUND(IF(B31=0,0,D25/L7*N11),2)</f>
        <v>0</v>
      </c>
      <c r="E31" s="23">
        <f>ROUND(IF(B31=0,0,E25/N3*N11),2)</f>
        <v>0</v>
      </c>
      <c r="F31" s="24">
        <f>ROUND(IF(N11=0,0,IFERROR(((LOOKUP(2,1/(A14:A17=A31),H14:H17))/N3*N11),F30/N11*N11)),2)</f>
        <v>0</v>
      </c>
      <c r="G31" s="27">
        <f t="shared" si="2"/>
        <v>0</v>
      </c>
      <c r="H31" s="76">
        <f>ROUND(IF(SUM(B26:F30)&lt;(L41*5),IF((SUM(B26:F31))&gt;(L41*6),(((L41*6)-(SUM(B26:F31)-C30))*H25)+((SUM(B31:F31)-C30)*H25),SUM(B31:F31)*H25),IF(SUM(B26:F31)&gt;(L41*6),L41*H25,SUM(B31:F31)*H25)),2)</f>
        <v>0</v>
      </c>
      <c r="I31" s="76">
        <f>ROUND(IF(SUM(B26:F30)&lt;(L42*5),IF((SUM(B26:F31))&gt;(L42*6),(((L42*6)-(SUM(B26:F31)-C30))*I25)+((SUM(B31:F31)-C30)*I25),SUM(B31:F31)*I25),IF(SUM(B26:F31)&gt;(L42*6),L42*I25,SUM(B31:F31)*I25)),2)</f>
        <v>0</v>
      </c>
      <c r="J31" s="76">
        <f>ROUND(IF(SUM(B26:F30)&lt;(L42*5),IF((SUM(B26:F31))&gt;(L42*6),(((L42*6)-(SUM(B26:F31)-C30))*J25)+((SUM(B31:F31)-C30)*J25),SUM(B31:F31)*J25),IF(SUM(B26:F31)&gt;(L42*6),L42*J25,SUM(B31:F31)*J25)),2)</f>
        <v>0</v>
      </c>
      <c r="K31" s="76">
        <f>ROUND(IF(SUM(B26:F30)&lt;(L41*5),IF((SUM(B26:F31))&gt;(L41*6),(((L41*6)-(SUM(B26:F31)-C30))*K25)+((SUM(B31:F31)-C30)*K25),SUM(B31:F31)*K25),IF(SUM(B26:F31)&gt;(L41*6),L41*K25,SUM(B31:F31)*K25)),2)</f>
        <v>0</v>
      </c>
      <c r="L31" s="76">
        <f>ROUND(IF(SUM(B26:F30)&lt;(L42*5),IF((SUM(B26:F31))&gt;(L42*6),(((L42*6)-(SUM(B26:F31)-C31))*L25)+((SUM(B31:F31)-C31)*L25),(SUM(B31:F31)-C31)*L25),IF(SUM(B26:F31)&gt;(L42*6),L42*L25,SUM(B31:F31)*L25)),2)</f>
        <v>0</v>
      </c>
      <c r="M31" s="76">
        <f>ROUND(IF(SUM(B26:F30)&lt;(L42*5),IF((SUM(B26:F31))&gt;(L42*6),(((L42*6)-(SUM(B26:F31)-C31))*M25)+((SUM(B31:F31)-C31)*M25),(SUM(B31:F31)-C31)*M25),IF(SUM(B26:F31)&gt;(L42*6),L42*M25,SUM(B31:F31)*M25)),2)</f>
        <v>0</v>
      </c>
      <c r="N31" s="76">
        <f>ROUND(IF(SUM(B26:F30)&lt;(L42*5),IF((SUM(B26:F31))&gt;(L42*6),(((L42*6)-(SUM(B26:F31)-C30))*N25)+((SUM(B31:F31)-C30)*N25),SUM(B31:F31)*N25),IF(SUM(B26:F31)&gt;(L42*6),L42*N25,SUM(B31:F31)*N25)),2)</f>
        <v>0</v>
      </c>
      <c r="O31" s="23">
        <f>ROUND(SUM(B31+C31+F31)*O25,2)</f>
        <v>0</v>
      </c>
      <c r="P31" s="27">
        <f t="shared" si="3"/>
        <v>0</v>
      </c>
    </row>
    <row r="32" spans="1:16" s="1" customFormat="1" x14ac:dyDescent="0.2">
      <c r="A32" s="100" t="str">
        <f>'päd.Personal - Leitung'!$A$32</f>
        <v>Jul 2022</v>
      </c>
      <c r="B32" s="24">
        <f>ROUND(IF(P6=0,0,IFERROR(((LOOKUP(2,1/(A14:A17=A32),G14:G17))*P6*4.348),B31/P6*P6)),2)</f>
        <v>0</v>
      </c>
      <c r="C32" s="23">
        <f>ROUND(IFERROR(((LOOKUP(2,1/(B19=A32),((SUM(B32:B34)+SUM(F32:F34))/3)*C19))),0)+IFERROR(((LOOKUP(2,1/(E19=A32),(B38+F38)*F19))),0),2)</f>
        <v>0</v>
      </c>
      <c r="D32" s="23">
        <f>ROUND(IF(B32=0,0,D25/L7*P6),2)</f>
        <v>0</v>
      </c>
      <c r="E32" s="23">
        <f>ROUND(IF(B32=0,0,E25/N3*P6),2)</f>
        <v>0</v>
      </c>
      <c r="F32" s="24">
        <f>ROUND(IF(P6=0,0,IFERROR(((LOOKUP(2,1/(A14:A17=A32),H14:H17))/N3*P6),F31/P6*P6)),2)</f>
        <v>0</v>
      </c>
      <c r="G32" s="27">
        <f t="shared" si="2"/>
        <v>0</v>
      </c>
      <c r="H32" s="76">
        <f>ROUND(IF(SUM(B26:F31)&lt;(L41*6),IF((SUM(B26:F32))&gt;(L41*7),(((L41*7)-(SUM(B26:F32)-C31))*H25)+((SUM(B32:F32)-C31)*H25),SUM(B32:F32)*H25),IF(SUM(B26:F32)&gt;(L41*7),L41*H25,SUM(B32:F32)*H25)),2)</f>
        <v>0</v>
      </c>
      <c r="I32" s="76">
        <f>ROUND(IF(SUM(B26:F31)&lt;(L42*6),IF((SUM(B26:F32))&gt;(L42*7),(((L42*7)-(SUM(B26:F32)-C31))*I25)+((SUM(B32:F32)-C31)*I25),SUM(B32:F32)*I25),IF(SUM(B26:F32)&gt;(L42*7),L42*I25,SUM(B32:F32)*I25)),2)</f>
        <v>0</v>
      </c>
      <c r="J32" s="76">
        <f>ROUND(IF(SUM(B26:F31)&lt;(L42*6),IF((SUM(B26:F32))&gt;(L42*7),(((L42*7)-(SUM(B26:F32)-C31))*J25)+((SUM(B32:F32)-C31)*J25),SUM(B32:F32)*J25),IF(SUM(B26:F32)&gt;(L42*7),L42*J25,SUM(B32:F32)*J25)),2)</f>
        <v>0</v>
      </c>
      <c r="K32" s="76">
        <f>ROUND(IF(SUM(B26:F31)&lt;(L41*6),IF((SUM(B26:F32))&gt;(L41*7),(((L41*7)-(SUM(B26:F32)-C31))*K25)+((SUM(B32:F32)-C31)*K25),SUM(B32:F32)*K25),IF(SUM(B26:F32)&gt;(L41*7),L41*K25,SUM(B32:F32)*K25)),2)</f>
        <v>0</v>
      </c>
      <c r="L32" s="76">
        <f>ROUND(IF(SUM(B26:F31)&lt;(L42*6),IF((SUM(B26:F32))&gt;(L42*7),(((L42*7)-(SUM(B26:F32)-C32))*L25)+((SUM(B32:F32)-C32)*L25),(SUM(B32:F32)-C32)*L25),IF(SUM(B26:F32)&gt;(L42*7),L42*L25,SUM(B32:F32)*L25)),2)</f>
        <v>0</v>
      </c>
      <c r="M32" s="76">
        <f>ROUND(IF(SUM(B26:F31)&lt;(L42*6),IF((SUM(B26:F32))&gt;(L42*7),(((L42*7)-(SUM(B26:F32)-C32))*M25)+((SUM(B32:F32)-C32)*M25),(SUM(B32:F32)-C32)*M25),IF(SUM(B26:F32)&gt;(L42*7),L42*M25,SUM(B32:F32)*M25)),2)</f>
        <v>0</v>
      </c>
      <c r="N32" s="76">
        <f>ROUND(IF(SUM(B26:F31)&lt;(L42*6),IF((SUM(B26:F32))&gt;(L42*7),(((L42*7)-(SUM(B26:F32)-C31))*N25)+((SUM(B32:F32)-C31)*N25),SUM(B32:F32)*N25),IF(SUM(B26:F32)&gt;(L42*7),L42*N25,SUM(B32:F32)*N25)),2)</f>
        <v>0</v>
      </c>
      <c r="O32" s="23">
        <f>ROUND(SUM(B32+C32+F32)*O25,2)</f>
        <v>0</v>
      </c>
      <c r="P32" s="27">
        <f t="shared" si="3"/>
        <v>0</v>
      </c>
    </row>
    <row r="33" spans="1:16" s="1" customFormat="1" x14ac:dyDescent="0.2">
      <c r="A33" s="100" t="str">
        <f>'päd.Personal - Leitung'!$A$33</f>
        <v>Aug 2022</v>
      </c>
      <c r="B33" s="24">
        <f>ROUND(IF(P7=0,0,IFERROR(((LOOKUP(2,1/(A14:A17=A33),G14:G17))*P7*4.348),B32/P7*P7)),2)</f>
        <v>0</v>
      </c>
      <c r="C33" s="23">
        <f>ROUND(IFERROR(((LOOKUP(2,1/(B19=A33),((SUM(B32:B34)+SUM(F32:F34))/3)*C19))),0)+IFERROR(((LOOKUP(2,1/(E19=A33),(B38+F38)*F19))),0),2)</f>
        <v>0</v>
      </c>
      <c r="D33" s="23">
        <f>ROUND(IF(B33=0,0,D25/L7*P7),2)</f>
        <v>0</v>
      </c>
      <c r="E33" s="23">
        <f>ROUND(IF(B33=0,0,E25/N3*P7),2)</f>
        <v>0</v>
      </c>
      <c r="F33" s="24">
        <f>ROUND(IF(P7=0,0,IFERROR(((LOOKUP(2,1/(A14:A17=A33),H14:H17))/N3*P7),F32/P7*P7)),2)</f>
        <v>0</v>
      </c>
      <c r="G33" s="27">
        <f t="shared" si="2"/>
        <v>0</v>
      </c>
      <c r="H33" s="76">
        <f>ROUND(IF(SUM(B26:F32)&lt;(L41*7),IF((SUM(B26:F33))&gt;(L41*8),(((L41*8)-(SUM(B26:F33)-C32))*H25)+((SUM(B33:F33)-C32)*H25),SUM(B33:F33)*H25),IF(SUM(B26:F33)&gt;(L41*8),L41*H25,SUM(B33:F33)*H25)),2)</f>
        <v>0</v>
      </c>
      <c r="I33" s="76">
        <f>ROUND(IF(SUM(B26:F32)&lt;(L42*7),IF((SUM(B26:F33))&gt;(L42*8),(((L42*8)-(SUM(B26:F33)-C32))*I25)+((SUM(B33:F33)-C32)*I25),SUM(B33:F33)*I25),IF(SUM(B26:F33)&gt;(L42*8),L42*I25,SUM(B33:F33)*I25)),2)</f>
        <v>0</v>
      </c>
      <c r="J33" s="76">
        <f>ROUND(IF(SUM(B26:F32)&lt;(L42*7),IF((SUM(B26:F33))&gt;(L42*8),(((L42*8)-(SUM(B26:F33)-C32))*J25)+((SUM(B33:F33)-C32)*J25),SUM(B33:F33)*J25),IF(SUM(B26:F33)&gt;(L42*8),L42*J25,SUM(B33:F33)*J25)),2)</f>
        <v>0</v>
      </c>
      <c r="K33" s="76">
        <f>ROUND(IF(SUM(B26:F32)&lt;(L41*7),IF((SUM(B26:F33))&gt;(L41*8),(((L41*8)-(SUM(B26:F33)-C32))*K25)+((SUM(B33:F33)-C32)*K25),SUM(B33:F33)*K25),IF(SUM(B26:F33)&gt;(L41*8),L41*K25,SUM(B33:F33)*K25)),2)</f>
        <v>0</v>
      </c>
      <c r="L33" s="76">
        <f>ROUND(IF(SUM(B26:F32)&lt;(L42*7),IF((SUM(B26:F33))&gt;(L42*8),(((L42*8)-(SUM(B26:F33)-C33))*L25)+((SUM(B33:F33)-C33)*L25),(SUM(B33:F33)-C33)*L25),IF(SUM(B26:F33)&gt;(L42*8),L42*L25,SUM(B33:F33)*L25)),2)</f>
        <v>0</v>
      </c>
      <c r="M33" s="76">
        <f>ROUND(IF(SUM(B26:F32)&lt;(L42*7),IF((SUM(B26:F33))&gt;(L42*8),(((L42*8)-(SUM(B26:F33)-C33))*M25)+((SUM(B33:F33)-C33)*M25),(SUM(B33:F33)-C33)*M25),IF(SUM(B26:F33)&gt;(L42*8),L42*M25,SUM(B33:F33)*M25)),2)</f>
        <v>0</v>
      </c>
      <c r="N33" s="76">
        <f>ROUND(IF(SUM(B26:F32)&lt;(L42*7),IF((SUM(B26:F33))&gt;(L42*8),(((L42*8)-(SUM(B26:F33)-C32))*N25)+((SUM(B33:F33)-C32)*N25),SUM(B33:F33)*N25),IF(SUM(B26:F33)&gt;(L42*8),L42*N25,SUM(B33:F33)*N25)),2)</f>
        <v>0</v>
      </c>
      <c r="O33" s="23">
        <f>ROUND(SUM(B33+C33+F33)*O25,2)</f>
        <v>0</v>
      </c>
      <c r="P33" s="27">
        <f t="shared" si="3"/>
        <v>0</v>
      </c>
    </row>
    <row r="34" spans="1:16" s="1" customFormat="1" x14ac:dyDescent="0.2">
      <c r="A34" s="100" t="str">
        <f>'päd.Personal - Leitung'!$A$34</f>
        <v>Sep 2022</v>
      </c>
      <c r="B34" s="24">
        <f>ROUND(IF(P8=0,0,IFERROR(((LOOKUP(2,1/(A14:A17=A34),G14:G17))*P8*4.348),B33/P8*P8)),2)</f>
        <v>0</v>
      </c>
      <c r="C34" s="23">
        <f>ROUND(IFERROR(((LOOKUP(2,1/(B19=A34),((SUM(B32:B34)+SUM(F32:F34))/3)*C19))),0)+IFERROR(((LOOKUP(2,1/(E19=A34),(B38+F38)*F19))),0),2)</f>
        <v>0</v>
      </c>
      <c r="D34" s="23">
        <f>ROUND(IF(B34=0,0,D25/L7*P8),2)</f>
        <v>0</v>
      </c>
      <c r="E34" s="23">
        <f>ROUND(IF(B34=0,0,E25/N3*P8),2)</f>
        <v>0</v>
      </c>
      <c r="F34" s="24">
        <f>ROUND(IF(P8=0,0,IFERROR(((LOOKUP(2,1/(A14:A17=A34),H14:H17))/N3*P8),F33/P8*P8)),2)</f>
        <v>0</v>
      </c>
      <c r="G34" s="27">
        <f t="shared" si="2"/>
        <v>0</v>
      </c>
      <c r="H34" s="76">
        <f>ROUND(IF(SUM(B26:F33)&lt;(L41*8),IF((SUM(B26:F34))&gt;(L41*9),(((L41*9)-(SUM(B26:F34)-C33))*H25)+((SUM(B34:F34)-C33)*H25),SUM(B34:F34)*H25),IF(SUM(B26:F34)&gt;(L41*9),L41*H25,SUM(B34:F34)*H25)),2)</f>
        <v>0</v>
      </c>
      <c r="I34" s="76">
        <f>ROUND(IF(SUM(B26:F33)&lt;(L42*8),IF((SUM(B26:F34))&gt;(L42*9),(((L42*9)-(SUM(B26:F34)-C33))*I25)+((SUM(B34:F34)-C33)*I25),SUM(B34:F34)*I25),IF(SUM(B26:F34)&gt;(L42*9),L42*I25,SUM(B34:F34)*I25)),2)</f>
        <v>0</v>
      </c>
      <c r="J34" s="76">
        <f>ROUND(IF(SUM(B26:F33)&lt;(L42*8),IF((SUM(B26:F34))&gt;(L42*9),(((L42*9)-(SUM(B26:F34)-C33))*J25)+((SUM(B34:F34)-C33)*J25),SUM(B34:F34)*J25),IF(SUM(B26:F34)&gt;(L42*9),L42*J25,SUM(B34:F34)*J25)),2)</f>
        <v>0</v>
      </c>
      <c r="K34" s="76">
        <f>ROUND(IF(SUM(B26:F33)&lt;(L41*8),IF((SUM(B26:F34))&gt;(L41*9),(((L41*9)-(SUM(B26:F34)-C33))*K25)+((SUM(B34:F34)-C33)*K25),SUM(B34:F34)*K25),IF(SUM(B26:F34)&gt;(L41*9),L41*K25,SUM(B34:F34)*K25)),2)</f>
        <v>0</v>
      </c>
      <c r="L34" s="76">
        <f>ROUND(IF(SUM(B26:F33)&lt;(L42*8),IF((SUM(B26:F34))&gt;(L42*9),(((L42*9)-(SUM(B26:F34)-C34))*L25)+((SUM(B34:F34)-C34)*L25),(SUM(B34:F34)-C34)*L25),IF(SUM(B26:F34)&gt;(L42*9),L42*L25,SUM(B34:F34)*L25)),2)</f>
        <v>0</v>
      </c>
      <c r="M34" s="76">
        <f>ROUND(IF(SUM(B26:F33)&lt;(L42*8),IF((SUM(B26:F34))&gt;(L42*9),(((L42*9)-(SUM(B26:F34)-C34))*M25)+((SUM(B34:F34)-C34)*M25),(SUM(B34:F34)-C34)*M25),IF(SUM(B26:F34)&gt;(L42*9),L42*M25,SUM(B34:F34)*M25)),2)</f>
        <v>0</v>
      </c>
      <c r="N34" s="76">
        <f>ROUND(IF(SUM(B26:F33)&lt;(L42*8),IF((SUM(B26:F34))&gt;(L42*9),(((L42*9)-(SUM(B26:F34)-C33))*N25)+((SUM(B34:F34)-C33)*N25),SUM(B34:F34)*N25),IF(SUM(B26:F34)&gt;(L42*9),L42*N25,SUM(B34:F34)*N25)),2)</f>
        <v>0</v>
      </c>
      <c r="O34" s="23">
        <f>ROUND(SUM(B34+C34+F34)*O25,2)</f>
        <v>0</v>
      </c>
      <c r="P34" s="27">
        <f t="shared" si="3"/>
        <v>0</v>
      </c>
    </row>
    <row r="35" spans="1:16" s="1" customFormat="1" x14ac:dyDescent="0.2">
      <c r="A35" s="100" t="str">
        <f>'päd.Personal - Leitung'!$A$35</f>
        <v>Okt 2022</v>
      </c>
      <c r="B35" s="24">
        <f>ROUND(IF(P9=0,0,IFERROR(((LOOKUP(2,1/(A14:A17=A35),G14:G17))*P9*4.348),B34/P9*P9)),2)</f>
        <v>0</v>
      </c>
      <c r="C35" s="23">
        <f>ROUND(IFERROR(((LOOKUP(2,1/(B19=A35),((SUM(B32:B34)+SUM(F32:F34))/3)*C19))),0)+IFERROR(((LOOKUP(2,1/(E19=A35),(B38+F38)*F19))),0),2)</f>
        <v>0</v>
      </c>
      <c r="D35" s="23">
        <f>ROUND(IF(B35=0,0,D25/L7*P9),2)</f>
        <v>0</v>
      </c>
      <c r="E35" s="23">
        <f>ROUND(IF(B35=0,0,E25/N3*P9),2)</f>
        <v>0</v>
      </c>
      <c r="F35" s="24">
        <f>ROUND(IF(P9=0,0,IFERROR(((LOOKUP(2,1/(A14:A17=A35),H14:H17))/N3*P9),F34/P9*P9)),2)</f>
        <v>0</v>
      </c>
      <c r="G35" s="27">
        <f t="shared" si="2"/>
        <v>0</v>
      </c>
      <c r="H35" s="76">
        <f>ROUND(IF(SUM(B26:F34)&lt;(L41*9),IF((SUM(B26:F35))&gt;(L41*10),(((L41*10)-(SUM(B26:F35)-C34))*H25)+((SUM(B35:F35)-C34)*H25),SUM(B35:F35)*H25),IF(SUM(B26:F35)&gt;(L41*10),L41*H25,SUM(B35:F35)*H25)),2)</f>
        <v>0</v>
      </c>
      <c r="I35" s="76">
        <f>ROUND(IF(SUM(B26:F34)&lt;(L42*9),IF((SUM(B26:F35))&gt;(L42*10),(((L42*10)-(SUM(B26:F35)-C34))*I25)+((SUM(B35:F35)-C34)*I25),SUM(B35:F35)*I25),IF(SUM(B26:F35)&gt;(L42*10),L42*I25,SUM(B35:F35)*I25)),2)</f>
        <v>0</v>
      </c>
      <c r="J35" s="76">
        <f>ROUND(IF(SUM(B26:F34)&lt;(L42*9),IF((SUM(B26:F35))&gt;(L42*10),(((L42*10)-(SUM(B26:F35)-C34))*J25)+((SUM(B35:F35)-C34)*J25),SUM(B35:F35)*J25),IF(SUM(B26:F35)&gt;(L42*10),L42*J25,SUM(B35:F35)*J25)),2)</f>
        <v>0</v>
      </c>
      <c r="K35" s="76">
        <f>ROUND(IF(SUM(B26:F34)&lt;(L41*9),IF((SUM(B26:F35))&gt;(L41*10),(((L41*10)-(SUM(B26:F35)-C34))*K25)+((SUM(B35:F35)-C34)*K25),SUM(B35:F35)*K25),IF(SUM(B26:F35)&gt;(L41*10),L41*K25,SUM(B35:F35)*K25)),2)</f>
        <v>0</v>
      </c>
      <c r="L35" s="76">
        <f>ROUND(IF(SUM(B26:F34)&lt;(L42*9),IF((SUM(B26:F35))&gt;(L42*10),(((L42*10)-(SUM(B26:F35)-C35))*L25)+((SUM(B35:F35)-C35)*L25),(SUM(B35:F35)-C35)*L25),IF(SUM(B26:F35)&gt;(L42*10),L42*L25,SUM(B35:F35)*L25)),2)</f>
        <v>0</v>
      </c>
      <c r="M35" s="76">
        <f>ROUND(IF(SUM(B26:F34)&lt;(L42*9),IF((SUM(B26:F35))&gt;(L42*10),(((L42*10)-(SUM(B26:F35)-C35))*M25)+((SUM(B35:F35)-C35)*M25),(SUM(B35:F35)-C35)*M25),IF(SUM(B26:F35)&gt;(L42*10),L42*M25,SUM(B35:F35)*M25)),2)</f>
        <v>0</v>
      </c>
      <c r="N35" s="76">
        <f>ROUND(IF(SUM(B26:F34)&lt;(L42*9),IF((SUM(B26:F35))&gt;(L42*10),(((L42*10)-(SUM(B26:F35)-C34))*N25)+((SUM(B35:F35)-C34)*N25),SUM(B35:F35)*N25),IF(SUM(B26:F35)&gt;(L42*10),L42*N25,SUM(B35:F35)*N25)),2)</f>
        <v>0</v>
      </c>
      <c r="O35" s="23">
        <f>ROUND(SUM(B35+C35+F35)*O25,2)</f>
        <v>0</v>
      </c>
      <c r="P35" s="27">
        <f t="shared" si="3"/>
        <v>0</v>
      </c>
    </row>
    <row r="36" spans="1:16" s="1" customFormat="1" x14ac:dyDescent="0.2">
      <c r="A36" s="100" t="str">
        <f>'päd.Personal - Leitung'!$A$36</f>
        <v>Nov 2022</v>
      </c>
      <c r="B36" s="24">
        <f>ROUND(IF(P10=0,0,IFERROR(((LOOKUP(2,1/(A14:A17=A36),G14:G17))*P10*4.348),B35/P10*P10)),2)</f>
        <v>0</v>
      </c>
      <c r="C36" s="23">
        <f>ROUND(IFERROR(((LOOKUP(2,1/(B19=A36),((SUM(B32:B34)+SUM(F32:F34))/3)*C19))),0)+IFERROR(((LOOKUP(2,1/(E19=A36),(B38+F38)*F19))),0),2)</f>
        <v>0</v>
      </c>
      <c r="D36" s="23">
        <f>ROUND(IF(B36=0,0,D25/L7*P10),2)</f>
        <v>0</v>
      </c>
      <c r="E36" s="23">
        <f>ROUND(IF(B36=0,0,E25/N3*P10),2)</f>
        <v>0</v>
      </c>
      <c r="F36" s="24">
        <f>ROUND(IF(P10=0,0,IFERROR(((LOOKUP(2,1/(A14:A17=A36),H14:H17))/N3*P10),F35/P10*P10)),2)</f>
        <v>0</v>
      </c>
      <c r="G36" s="27">
        <f t="shared" si="2"/>
        <v>0</v>
      </c>
      <c r="H36" s="76">
        <f>ROUND(IF(SUM(B26:F35)&lt;(L41*10),IF((SUM(B26:F36))&gt;(L41*11),(((L41*11)-(SUM(B26:F36)-C35))*H25)+((SUM(B36:F36)-C35)*H25),SUM(B36:F36)*H25),IF(SUM(B26:F36)&gt;(L41*11),L41*H25,SUM(B36:F36)*H25)),2)</f>
        <v>0</v>
      </c>
      <c r="I36" s="76">
        <f>ROUND(IF(SUM(B26:F35)&lt;(L42*10),IF((SUM(B26:F36))&gt;(L42*11),(((L42*11)-(SUM(B26:F36)-C35))*I25)+((SUM(B36:F36)-C35)*I25),SUM(B36:F36)*I25),IF(SUM(B26:F36)&gt;(L42*11),L42*I25,SUM(B36:F36)*I25)),2)</f>
        <v>0</v>
      </c>
      <c r="J36" s="76">
        <f>ROUND(IF(SUM(B26:F35)&lt;(L42*10),IF((SUM(B26:F36))&gt;(L42*11),(((L42*11)-(SUM(B26:F36)-C35))*J25)+((SUM(B36:F36)-C35)*J25),SUM(B36:F36)*J25),IF(SUM(B26:F36)&gt;(L42*11),L42*J25,SUM(B36:F36)*J25)),2)</f>
        <v>0</v>
      </c>
      <c r="K36" s="76">
        <f>ROUND(IF(SUM(B26:F35)&lt;(L41*10),IF((SUM(B26:F36))&gt;(L41*11),(((L41*11)-(SUM(B26:F36)-C35))*K25)+((SUM(B36:F36)-C35)*K25),SUM(B36:F36)*K25),IF(SUM(B26:F36)&gt;(L41*11),L41*K25,SUM(B36:F36)*K25)),2)</f>
        <v>0</v>
      </c>
      <c r="L36" s="76">
        <f>ROUND(IF(SUM(B26:F35)&lt;(L42*10),IF((SUM(B26:F36))&gt;(L42*11),(((L42*11)-(SUM(B26:F36)-C36))*L25)+((SUM(B36:F36)-C36)*L25),(SUM(B36:F36)-C36)*L25),IF(SUM(B26:F36)&gt;(L42*11),L42*L25,SUM(B36:F36)*L25)),2)</f>
        <v>0</v>
      </c>
      <c r="M36" s="76">
        <f>ROUND(IF(SUM(B26:F35)&lt;(L42*10),IF((SUM(B26:F36))&gt;(L42*11),(((L42*11)-(SUM(B26:F36)-C36))*M25)+((SUM(B36:F36)-C36)*M25),(SUM(B36:F36)-C36)*M25),IF(SUM(B26:F36)&gt;(L42*11),L42*M25,SUM(B36:F36)*M25)),2)</f>
        <v>0</v>
      </c>
      <c r="N36" s="76">
        <f>ROUND(IF(SUM(B26:F35)&lt;(L42*10),IF((SUM(B26:F36))&gt;(L42*11),(((L42*11)-(SUM(B26:F36)-C35))*N25)+((SUM(B36:F36)-C35)*N25),SUM(B36:F36)*N25),IF(SUM(B26:F36)&gt;(L42*11),L42*N25,SUM(B36:F36)*N25)),2)</f>
        <v>0</v>
      </c>
      <c r="O36" s="23">
        <f>ROUND(SUM(B36+C36+F36)*O25,2)</f>
        <v>0</v>
      </c>
      <c r="P36" s="27">
        <f t="shared" si="3"/>
        <v>0</v>
      </c>
    </row>
    <row r="37" spans="1:16" s="1" customFormat="1" x14ac:dyDescent="0.2">
      <c r="A37" s="100" t="str">
        <f>'päd.Personal - Leitung'!$A$37</f>
        <v>Dez 2022</v>
      </c>
      <c r="B37" s="24">
        <f>ROUND(IF(P11=0,0,IFERROR(((LOOKUP(2,1/(A14:A17=A37),G14:G17))*P11*4.348),B36/P11*P11)),2)</f>
        <v>0</v>
      </c>
      <c r="C37" s="23">
        <f>ROUND(IFERROR(((LOOKUP(2,1/(B19=A37),((SUM(B32:B34)+SUM(F32:F34))/3)*C19))),0)+IFERROR(((LOOKUP(2,1/(E19=A37),(B38+F38)*F19))),0),2)</f>
        <v>0</v>
      </c>
      <c r="D37" s="23">
        <f>ROUND(IF(B37=0,0,D25/L7*P11),2)</f>
        <v>0</v>
      </c>
      <c r="E37" s="23">
        <f>ROUND(IF(B37=0,0,E25/N3*P11),2)</f>
        <v>0</v>
      </c>
      <c r="F37" s="24">
        <f>ROUND(IF(P11=0,0,IFERROR(((LOOKUP(2,1/(A14:A17=A37),H14:H17))/N3*P11),F36/P11*P11)),2)</f>
        <v>0</v>
      </c>
      <c r="G37" s="27">
        <f t="shared" si="2"/>
        <v>0</v>
      </c>
      <c r="H37" s="76">
        <f>ROUND(IF(SUM(B26:F36)&lt;(L41*11),IF((SUM(B26:F37))&gt;(L41*12),(((L41*12)-(SUM(B26:F37)-C36))*H25)+((SUM(B37:F37)-C36)*H25),SUM(B37:F37)*H25),IF(SUM(B26:F37)&gt;(L41*12),L41*H25,SUM(B37:F37)*H25)),2)</f>
        <v>0</v>
      </c>
      <c r="I37" s="76">
        <f>ROUND(IF(SUM(B26:F36)&lt;(L42*11),IF((SUM(B26:F37))&gt;(L42*12),(((L42*12)-(SUM(B26:F37)-C36))*I25)+((SUM(B37:F37)-C36)*I25),SUM(B37:F37)*I25),IF(SUM(B26:F37)&gt;(L42*12),L42*I25,SUM(B37:F37)*I25)),2)</f>
        <v>0</v>
      </c>
      <c r="J37" s="76">
        <f>ROUND(IF(SUM(B26:F36)&lt;(L42*11),IF((SUM(B26:F37))&gt;(L42*12),(((L42*12)-(SUM(B26:F37)-C36))*J25)+((SUM(B37:F37)-C36)*J25),SUM(B37:F37)*J25),IF(SUM(B26:F37)&gt;(L42*12),L42*J25,SUM(B37:F37)*J25)),2)</f>
        <v>0</v>
      </c>
      <c r="K37" s="76">
        <f>ROUND(IF(SUM(B26:F36)&lt;(L41*11),IF((SUM(B26:F37))&gt;(L41*12),(((L41*12)-(SUM(B26:F37)-C36))*K25)+((SUM(B37:F37)-C36)*K25),SUM(B37:F37)*K25),IF(SUM(B26:F37)&gt;(L41*12),L41*K25,SUM(B37:F37)*K25)),2)</f>
        <v>0</v>
      </c>
      <c r="L37" s="76">
        <f>ROUND(IF(SUM(B26:F36)&lt;(L42*11),IF((SUM(B26:F37))&gt;(L42*12),(((L42*12)-(SUM(B26:F37)-C37))*L25)+((SUM(B37:F37)-C37)*L25),(SUM(B37:F37)-C37)*L25),IF(SUM(B26:F37)&gt;(L42*12),L42*L25,SUM(B37:F37)*L25)),2)</f>
        <v>0</v>
      </c>
      <c r="M37" s="76">
        <f>ROUND(IF(SUM(B26:F36)&lt;(L42*11),IF((SUM(B26:F37))&gt;(L42*12),(((L42*12)-(SUM(B26:F37)-C37))*M25)+((SUM(B37:F37)-C37)*M25),(SUM(B37:F37)-C37)*M25),IF(SUM(B26:F37)&gt;(L42*12),L42*M25,SUM(B37:F37)*M25)),2)</f>
        <v>0</v>
      </c>
      <c r="N37" s="76">
        <f>ROUND(IF(SUM(B26:F36)&lt;(L42*11),IF((SUM(B26:F37))&gt;(L42*12),(((L42*12)-(SUM(B26:F37)-C36))*N25)+((SUM(B37:F37)-C36)*N25),SUM(B37:F37)*N25),IF(SUM(B26:F37)&gt;(L42*12),L42*N25,SUM(B37:F37)*N25)),2)</f>
        <v>0</v>
      </c>
      <c r="O37" s="23">
        <f>ROUND(SUM(B37+C37+F37)*O25,2)</f>
        <v>0</v>
      </c>
      <c r="P37" s="27">
        <f t="shared" si="3"/>
        <v>0</v>
      </c>
    </row>
    <row r="38" spans="1:16" s="14" customFormat="1" ht="15" x14ac:dyDescent="0.25">
      <c r="A38" s="4" t="s">
        <v>2</v>
      </c>
      <c r="B38" s="27">
        <f>SUM(B26:B37)</f>
        <v>0</v>
      </c>
      <c r="C38" s="27">
        <f t="shared" ref="C38:D38" si="4">SUM(C26:C37)</f>
        <v>0</v>
      </c>
      <c r="D38" s="27">
        <f t="shared" si="4"/>
        <v>0</v>
      </c>
      <c r="E38" s="27">
        <f>SUM(E26:E37)</f>
        <v>0</v>
      </c>
      <c r="F38" s="27">
        <f>SUM(F26:F37)</f>
        <v>0</v>
      </c>
      <c r="G38" s="27">
        <f>SUM(G26:G37)</f>
        <v>0</v>
      </c>
      <c r="H38" s="1133">
        <f>SUM(H26:N37)</f>
        <v>0</v>
      </c>
      <c r="I38" s="1134"/>
      <c r="J38" s="1134"/>
      <c r="K38" s="1134"/>
      <c r="L38" s="1134"/>
      <c r="M38" s="1134"/>
      <c r="N38" s="1135"/>
      <c r="O38" s="27">
        <f>SUM(O26:O37)</f>
        <v>0</v>
      </c>
      <c r="P38" s="27">
        <f>SUM(P26:P37)</f>
        <v>0</v>
      </c>
    </row>
    <row r="39" spans="1:16" s="13" customFormat="1" ht="11.25" x14ac:dyDescent="0.2">
      <c r="A39" s="3" t="s">
        <v>1</v>
      </c>
      <c r="B39" s="2"/>
      <c r="C39" s="2"/>
      <c r="D39" s="2"/>
      <c r="E39" s="2"/>
      <c r="F39" s="2"/>
      <c r="G39" s="2"/>
      <c r="H39" s="2"/>
      <c r="I39" s="2"/>
      <c r="J39" s="2"/>
      <c r="K39" s="2"/>
      <c r="L39" s="2"/>
      <c r="M39" s="2"/>
      <c r="N39" s="2"/>
      <c r="O39" s="2"/>
      <c r="P39" s="2"/>
    </row>
    <row r="40" spans="1:16" s="1" customFormat="1" ht="14.25" customHeight="1" x14ac:dyDescent="0.2">
      <c r="A40" s="1136" t="s">
        <v>133</v>
      </c>
      <c r="B40" s="1137"/>
      <c r="C40" s="1137"/>
      <c r="D40" s="1137" t="s">
        <v>134</v>
      </c>
      <c r="E40" s="1137"/>
      <c r="F40" s="94" t="str">
        <f>IF(IF(G38=0,"",'päd.Personal - Leitung'!$F$40)=0,"",IF(G38=0,"",'päd.Personal - Leitung'!$F$40))</f>
        <v/>
      </c>
      <c r="G40" s="77" t="s">
        <v>135</v>
      </c>
      <c r="H40" s="96" t="str">
        <f>IF(IF(G38=0,"",'päd.Personal - Leitung'!$H$40)=0,"",IF(G38=0,"",'päd.Personal - Leitung'!$H$40))</f>
        <v/>
      </c>
      <c r="I40" s="73"/>
      <c r="J40" s="194" t="s">
        <v>160</v>
      </c>
      <c r="K40" s="194" t="str">
        <f>'päd.Personal - Leitung'!$K$40</f>
        <v>2021</v>
      </c>
      <c r="L40" s="194" t="str">
        <f>'päd.Personal - Leitung'!L40</f>
        <v>anteilig 2021</v>
      </c>
      <c r="M40" s="1138" t="s">
        <v>140</v>
      </c>
      <c r="N40" s="1138"/>
      <c r="O40" s="1139"/>
      <c r="P40" s="27">
        <f>ROUND(IF(F40="",IF(E44="",0,(E44*H44/K44)/L7*L8),G38*F40*H40/1000),2)</f>
        <v>0</v>
      </c>
    </row>
    <row r="41" spans="1:16" s="1" customFormat="1" ht="15" customHeight="1" x14ac:dyDescent="0.2">
      <c r="A41" s="1140" t="s">
        <v>145</v>
      </c>
      <c r="B41" s="1141"/>
      <c r="C41" s="1141"/>
      <c r="D41" s="18"/>
      <c r="E41" s="107" t="s">
        <v>135</v>
      </c>
      <c r="F41" s="95" t="str">
        <f>IF(IF(G38=0,"",'päd.Personal - Leitung'!$F$41)=0,"",IF(G38=0,"",'päd.Personal - Leitung'!$F$41))</f>
        <v/>
      </c>
      <c r="G41" s="48"/>
      <c r="H41" s="47"/>
      <c r="I41" s="48"/>
      <c r="J41" s="195" t="s">
        <v>158</v>
      </c>
      <c r="K41" s="198">
        <f>'päd.Personal - Leitung'!$K$41</f>
        <v>4837.5</v>
      </c>
      <c r="L41" s="197">
        <f>IF(L7="",K41,K41/L7*L8)</f>
        <v>4837.5</v>
      </c>
      <c r="M41" s="1138" t="s">
        <v>139</v>
      </c>
      <c r="N41" s="1138"/>
      <c r="O41" s="1139"/>
      <c r="P41" s="27">
        <f>ROUND(IF(F41="",0,G38*F41/1000),2)</f>
        <v>0</v>
      </c>
    </row>
    <row r="42" spans="1:16" s="1" customFormat="1" ht="15.75" customHeight="1" x14ac:dyDescent="0.2">
      <c r="A42" s="1142" t="s">
        <v>141</v>
      </c>
      <c r="B42" s="1143"/>
      <c r="C42" s="1143"/>
      <c r="D42" s="1144" t="s">
        <v>143</v>
      </c>
      <c r="E42" s="1144"/>
      <c r="F42" s="1145" t="str">
        <f>IF(IF(G38=0,"",'päd.Personal - Leitung'!$F$42)=0,"",IF(G38=0,"",'päd.Personal - Leitung'!$F$42))</f>
        <v/>
      </c>
      <c r="G42" s="1145"/>
      <c r="H42" s="72"/>
      <c r="I42" s="18"/>
      <c r="J42" s="195" t="s">
        <v>159</v>
      </c>
      <c r="K42" s="197">
        <f>'päd.Personal - Leitung'!$K$42</f>
        <v>6700</v>
      </c>
      <c r="L42" s="197">
        <f>IF(L7="",K42,K42/L7*L8)</f>
        <v>6700</v>
      </c>
      <c r="M42" s="1138" t="s">
        <v>141</v>
      </c>
      <c r="N42" s="1138"/>
      <c r="O42" s="1139"/>
      <c r="P42" s="23">
        <f>ROUND(IF(F42="",0,IF(G38=0,0,F42/L7*L8)),2)</f>
        <v>0</v>
      </c>
    </row>
    <row r="43" spans="1:16" s="1" customFormat="1" ht="14.25" customHeight="1" x14ac:dyDescent="0.2">
      <c r="A43" s="18"/>
      <c r="B43" s="18"/>
      <c r="C43" s="18"/>
      <c r="D43" s="18"/>
      <c r="E43" s="18"/>
      <c r="F43" s="18"/>
      <c r="G43" s="18"/>
      <c r="H43" s="18"/>
      <c r="I43" s="18"/>
      <c r="J43" s="18"/>
      <c r="K43" s="74"/>
      <c r="L43" s="82"/>
      <c r="M43" s="1127" t="s">
        <v>146</v>
      </c>
      <c r="N43" s="1127"/>
      <c r="O43" s="1128"/>
      <c r="P43" s="23">
        <f>ROUND(IF(G38=0,0,'päd.Personal - Leitung'!$P$43),2)</f>
        <v>0</v>
      </c>
    </row>
    <row r="44" spans="1:16" s="1" customFormat="1" ht="14.25" customHeight="1" x14ac:dyDescent="0.2">
      <c r="A44" s="1129" t="s">
        <v>142</v>
      </c>
      <c r="B44" s="1130"/>
      <c r="C44" s="126" t="s">
        <v>136</v>
      </c>
      <c r="D44" s="126" t="s">
        <v>137</v>
      </c>
      <c r="E44" s="1131" t="str">
        <f>IF(IF(G38=0,"",'päd.Personal - Leitung'!$E$44)=0,"",IF(G38=0,"",'päd.Personal - Leitung'!$E$44))</f>
        <v/>
      </c>
      <c r="F44" s="1131"/>
      <c r="G44" s="83" t="s">
        <v>138</v>
      </c>
      <c r="H44" s="97" t="str">
        <f>IF(IF(G38=0,"",'päd.Personal - Leitung'!$H$44)=0,"",IF(G38=0,"",'päd.Personal - Leitung'!$H$44))</f>
        <v/>
      </c>
      <c r="I44" s="1132" t="s">
        <v>144</v>
      </c>
      <c r="J44" s="1132"/>
      <c r="K44" s="98" t="str">
        <f>IF(IF(G38=0,"",'päd.Personal - Leitung'!$K$44)=0,"",IF(G38=0,"",'päd.Personal - Leitung'!$K$44))</f>
        <v/>
      </c>
      <c r="L44" s="29"/>
      <c r="M44" s="29"/>
      <c r="N44" s="29"/>
      <c r="O44" s="28" t="s">
        <v>0</v>
      </c>
      <c r="P44" s="27">
        <f>P38+SUM(P40:P43)</f>
        <v>0</v>
      </c>
    </row>
    <row r="45" spans="1:16" s="12" customFormat="1" ht="13.5" customHeight="1" x14ac:dyDescent="0.2">
      <c r="A45" s="1178" t="s">
        <v>18</v>
      </c>
      <c r="B45" s="1178"/>
      <c r="C45" s="1178"/>
      <c r="D45" s="1179" t="str">
        <f>IF($D$1="","",$D$1)</f>
        <v/>
      </c>
      <c r="E45" s="1179"/>
      <c r="F45" s="1179"/>
      <c r="G45" s="1179"/>
      <c r="H45" s="1179"/>
      <c r="I45" s="1179"/>
      <c r="J45" s="1179"/>
      <c r="K45" s="1179"/>
      <c r="L45" s="1179"/>
      <c r="M45" s="1179"/>
      <c r="N45" s="1179"/>
    </row>
    <row r="46" spans="1:16" s="12" customFormat="1" ht="15" customHeight="1" x14ac:dyDescent="0.2">
      <c r="A46" s="1178" t="s">
        <v>17</v>
      </c>
      <c r="B46" s="1178"/>
      <c r="C46" s="1178" t="s">
        <v>15</v>
      </c>
      <c r="D46" s="1179" t="str">
        <f>IF($D$2="","",$D$2)</f>
        <v/>
      </c>
      <c r="E46" s="1179"/>
      <c r="F46" s="1179"/>
      <c r="G46" s="1179"/>
      <c r="H46" s="1179"/>
      <c r="I46" s="1179"/>
      <c r="J46" s="1179"/>
      <c r="K46" s="1179"/>
      <c r="L46" s="1179"/>
      <c r="M46" s="1179"/>
      <c r="N46" s="1179"/>
    </row>
    <row r="47" spans="1:16" s="12" customFormat="1" ht="15" customHeight="1" x14ac:dyDescent="0.2">
      <c r="A47" s="1178" t="s">
        <v>16</v>
      </c>
      <c r="B47" s="1178"/>
      <c r="C47" s="1178" t="s">
        <v>15</v>
      </c>
      <c r="D47" s="1179" t="str">
        <f>IF($D$3="","",$D$3)</f>
        <v/>
      </c>
      <c r="E47" s="1179"/>
      <c r="F47" s="1179"/>
      <c r="G47" s="1179"/>
      <c r="H47" s="1179"/>
      <c r="I47" s="1179"/>
      <c r="J47" s="1179"/>
      <c r="K47" s="1178" t="s">
        <v>103</v>
      </c>
      <c r="L47" s="1178"/>
      <c r="M47" s="1178"/>
      <c r="N47" s="41" t="str">
        <f>IF($N$3="","",$N$3)</f>
        <v/>
      </c>
    </row>
    <row r="48" spans="1:16" s="13" customFormat="1" ht="11.25" x14ac:dyDescent="0.2">
      <c r="A48" s="1182"/>
      <c r="B48" s="1182"/>
      <c r="C48" s="1182"/>
      <c r="D48" s="1183"/>
      <c r="E48" s="1183"/>
      <c r="F48" s="1183"/>
      <c r="G48" s="1183"/>
      <c r="H48" s="1183"/>
      <c r="I48" s="1183"/>
      <c r="J48" s="1183"/>
      <c r="K48" s="11"/>
      <c r="L48" s="11"/>
      <c r="M48" s="11"/>
      <c r="N48" s="11"/>
      <c r="O48" s="11"/>
      <c r="P48" s="11"/>
    </row>
    <row r="49" spans="1:16" s="15" customFormat="1" ht="13.5" customHeight="1" x14ac:dyDescent="0.2">
      <c r="A49" s="1177" t="s">
        <v>166</v>
      </c>
      <c r="B49" s="1177"/>
      <c r="C49" s="1177"/>
      <c r="D49" s="1177"/>
      <c r="E49" s="1177"/>
      <c r="F49" s="1177"/>
      <c r="G49" s="1177"/>
      <c r="H49" s="1177"/>
      <c r="I49" s="1177"/>
      <c r="J49" s="1177"/>
      <c r="K49" s="9"/>
      <c r="L49" s="9"/>
      <c r="M49" s="9"/>
      <c r="N49" s="59" t="s">
        <v>154</v>
      </c>
      <c r="O49" s="191">
        <f>$O$5</f>
        <v>2022</v>
      </c>
      <c r="P49" s="59" t="s">
        <v>154</v>
      </c>
    </row>
    <row r="50" spans="1:16" s="10" customFormat="1" ht="13.5" customHeight="1" x14ac:dyDescent="0.25">
      <c r="B50" s="32"/>
      <c r="C50" s="32"/>
      <c r="D50" s="5" t="s">
        <v>40</v>
      </c>
      <c r="E50" s="31"/>
      <c r="F50" s="31"/>
      <c r="G50" s="31"/>
      <c r="H50" s="31"/>
      <c r="I50" s="26"/>
      <c r="J50" s="1174" t="s">
        <v>14</v>
      </c>
      <c r="K50" s="1174"/>
      <c r="L50" s="180" t="str">
        <f>IF('päd.Personal - Leitung'!L50="","",'päd.Personal - Leitung'!L50)</f>
        <v/>
      </c>
      <c r="N50" s="84">
        <f>IF(L52="","",L52)</f>
        <v>0</v>
      </c>
      <c r="O50" s="58" t="str">
        <f>$O$6</f>
        <v>Jan                Jul</v>
      </c>
      <c r="P50" s="85">
        <f>IF(N55="","",N55)</f>
        <v>0</v>
      </c>
    </row>
    <row r="51" spans="1:16" s="7" customFormat="1" ht="13.5" customHeight="1" x14ac:dyDescent="0.25">
      <c r="A51" s="1180" t="s">
        <v>71</v>
      </c>
      <c r="B51" s="1180"/>
      <c r="C51" s="1180"/>
      <c r="D51" s="1181" t="str">
        <f>IF('päd.Personal - Leitung'!D51="","",'päd.Personal - Leitung'!D51)</f>
        <v/>
      </c>
      <c r="E51" s="1181"/>
      <c r="F51" s="1181"/>
      <c r="G51" s="1181"/>
      <c r="H51" s="1181"/>
      <c r="I51" s="1181"/>
      <c r="J51" s="1174" t="s">
        <v>104</v>
      </c>
      <c r="K51" s="1174"/>
      <c r="L51" s="123" t="str">
        <f>IF('päd.Personal - Leitung'!L51="","",'päd.Personal - Leitung'!L51)</f>
        <v/>
      </c>
      <c r="N51" s="85">
        <f>IF(N50="","",N50)</f>
        <v>0</v>
      </c>
      <c r="O51" s="58" t="str">
        <f>$O$7</f>
        <v>Feb              Aug</v>
      </c>
      <c r="P51" s="85">
        <f>IF(P50="","",P50)</f>
        <v>0</v>
      </c>
    </row>
    <row r="52" spans="1:16" s="1" customFormat="1" ht="13.5" customHeight="1" x14ac:dyDescent="0.2">
      <c r="A52" s="1180" t="s">
        <v>13</v>
      </c>
      <c r="B52" s="1180"/>
      <c r="C52" s="1180"/>
      <c r="D52" s="1181" t="str">
        <f>IF('päd.Personal - Leitung'!D52="","",'päd.Personal - Leitung'!D52)</f>
        <v/>
      </c>
      <c r="E52" s="1181"/>
      <c r="F52" s="1181"/>
      <c r="G52" s="1181"/>
      <c r="H52" s="1181"/>
      <c r="I52" s="1181"/>
      <c r="J52" s="1174" t="s">
        <v>164</v>
      </c>
      <c r="K52" s="1174"/>
      <c r="L52" s="123">
        <f>IF('päd.Personal - Leitung'!D51="",IF(L51="",0,IF((L53+L54)&gt;L51,0,L51-L53-L54)),IF(L51="",0,'päd.Personal - Leitung'!L53-'päd.Personal - Erzieher'!L53-L54))</f>
        <v>0</v>
      </c>
      <c r="N52" s="85">
        <f>IF(N51="","",N51)</f>
        <v>0</v>
      </c>
      <c r="O52" s="58" t="str">
        <f>$O$8</f>
        <v>Mrz              Sep</v>
      </c>
      <c r="P52" s="85">
        <f>IF(P51="","",P51)</f>
        <v>0</v>
      </c>
    </row>
    <row r="53" spans="1:16" s="1" customFormat="1" ht="13.5" customHeight="1" x14ac:dyDescent="0.2">
      <c r="A53" s="1180" t="s">
        <v>12</v>
      </c>
      <c r="B53" s="1180"/>
      <c r="C53" s="1180"/>
      <c r="D53" s="1181" t="str">
        <f>IF('päd.Personal - Leitung'!D53="","",'päd.Personal - Leitung'!D53)</f>
        <v/>
      </c>
      <c r="E53" s="1181"/>
      <c r="F53" s="1181"/>
      <c r="G53" s="1181"/>
      <c r="H53" s="1181"/>
      <c r="I53" s="1181"/>
      <c r="J53" s="1174" t="s">
        <v>165</v>
      </c>
      <c r="K53" s="1174"/>
      <c r="L53" s="123"/>
      <c r="N53" s="85">
        <f>IF(N52="","",N52)</f>
        <v>0</v>
      </c>
      <c r="O53" s="58" t="str">
        <f>$O$9</f>
        <v>Apr               Okt</v>
      </c>
      <c r="P53" s="85">
        <f t="shared" ref="P53:P55" si="5">IF(P52="","",P52)</f>
        <v>0</v>
      </c>
    </row>
    <row r="54" spans="1:16" s="1" customFormat="1" ht="13.5" customHeight="1" x14ac:dyDescent="0.2">
      <c r="A54" s="1180" t="s">
        <v>19</v>
      </c>
      <c r="B54" s="1180"/>
      <c r="C54" s="1180"/>
      <c r="D54" s="1181" t="str">
        <f>IF('päd.Personal - Leitung'!D54="","",'päd.Personal - Leitung'!D54)</f>
        <v/>
      </c>
      <c r="E54" s="1181"/>
      <c r="F54" s="1181"/>
      <c r="G54" s="1181"/>
      <c r="H54" s="1181"/>
      <c r="I54" s="1181"/>
      <c r="J54" s="1174" t="s">
        <v>252</v>
      </c>
      <c r="K54" s="1174"/>
      <c r="L54" s="145"/>
      <c r="M54" s="92"/>
      <c r="N54" s="85">
        <f>IF(N53="","",N53)</f>
        <v>0</v>
      </c>
      <c r="O54" s="58" t="str">
        <f>$O$10</f>
        <v>Mai               Nov</v>
      </c>
      <c r="P54" s="85">
        <f t="shared" si="5"/>
        <v>0</v>
      </c>
    </row>
    <row r="55" spans="1:16" s="1" customFormat="1" ht="13.5" customHeight="1" x14ac:dyDescent="0.2">
      <c r="B55" s="8"/>
      <c r="C55" s="121" t="s">
        <v>162</v>
      </c>
      <c r="D55" s="1175" t="str">
        <f>IF('päd.Personal - Leitung'!D55="","",'päd.Personal - Leitung'!D55)</f>
        <v/>
      </c>
      <c r="E55" s="1175"/>
      <c r="F55" s="1176" t="s">
        <v>106</v>
      </c>
      <c r="G55" s="1176"/>
      <c r="H55" s="1186" t="str">
        <f>IF('päd.Personal - Leitung'!H55="","",'päd.Personal - Leitung'!H55)</f>
        <v/>
      </c>
      <c r="I55" s="1186"/>
      <c r="J55" s="1174" t="s">
        <v>97</v>
      </c>
      <c r="K55" s="1174"/>
      <c r="L55" s="17" t="str">
        <f>IF(IF((COUNTIF(B70:B81,"&gt;0"))=0,0,(COUNTIF(B70:B81,"&gt;0")))&gt;Grundlagen!$C$24,Grundlagen!$C$24,IF((COUNTIF(B70:B81,"&gt;0"))=0,"",(COUNTIF(B70:B81,"&gt;0"))))</f>
        <v/>
      </c>
      <c r="N55" s="85">
        <f>IF(N54="","",N54)</f>
        <v>0</v>
      </c>
      <c r="O55" s="58" t="str">
        <f>'päd.Personal - Leitung'!$O$11</f>
        <v>Jun               Dez</v>
      </c>
      <c r="P55" s="85">
        <f t="shared" si="5"/>
        <v>0</v>
      </c>
    </row>
    <row r="56" spans="1:16" s="1" customFormat="1" ht="13.5" customHeight="1" x14ac:dyDescent="0.2">
      <c r="I56" s="6"/>
      <c r="L56" s="147" t="str">
        <f>IF((SUM(F58:F61))=0,"",IF(P56&gt;L52,L52,IF(L52="","",IF(L55="","",P56))))</f>
        <v/>
      </c>
      <c r="O56" s="174" t="s">
        <v>251</v>
      </c>
      <c r="P56" s="175">
        <f>IF(L55="",0,((IF(SUMIF(B70,"&gt;0"),N50,0))+(IF(SUMIF(B71,"&gt;0"),N51,0))+(IF(SUMIF(B72,"&gt;0"),N52,0))+(IF(SUMIF(B73,"&gt;0"),N53,0))+(IF(SUMIF(B74,"&gt;0"),N54,0))+(IF(SUMIF(B75,"&gt;0"),N55,0))+(IF(SUMIF(B76,"&gt;0"),P50,0))+(IF(SUMIF(B77,"&gt;0"),P51,0))+(IF(SUMIF(B78,"&gt;0"),P52,0))+(IF(SUMIF(B79,"&gt;0"),P53,0))+(IF(SUMIF(B80,"&gt;0"),P54,0))+(IF(SUMIF(B81,"&gt;0"),P55,0)))/Grundlagen!$C$24)</f>
        <v>0</v>
      </c>
    </row>
    <row r="57" spans="1:16" s="52" customFormat="1" ht="13.5" customHeight="1" x14ac:dyDescent="0.2">
      <c r="A57" s="61" t="s">
        <v>148</v>
      </c>
      <c r="B57" s="1168" t="s">
        <v>149</v>
      </c>
      <c r="C57" s="1168"/>
      <c r="D57" s="62" t="s">
        <v>150</v>
      </c>
      <c r="E57" s="63" t="s">
        <v>151</v>
      </c>
      <c r="F57" s="64" t="str">
        <f>CONCATENATE("Entg. ",N47," h/Wo")</f>
        <v>Entg.  h/Wo</v>
      </c>
      <c r="G57" s="65" t="s">
        <v>152</v>
      </c>
      <c r="H57" s="65" t="s">
        <v>153</v>
      </c>
      <c r="K57" s="1169" t="str">
        <f>CONCATENATE("Zuschläge / Zulagen für ",N47,"h/Wo")</f>
        <v>Zuschläge / Zulagen für h/Wo</v>
      </c>
      <c r="L57" s="1169"/>
      <c r="M57" s="66" t="str">
        <f>IF(A58="","",A58)</f>
        <v>Jan 2022</v>
      </c>
      <c r="N57" s="66" t="str">
        <f>IF(A59="","",A59)</f>
        <v/>
      </c>
      <c r="O57" s="66" t="str">
        <f>IF(A60="","",A60)</f>
        <v/>
      </c>
      <c r="P57" s="66" t="str">
        <f>IF(A61="","",A61)</f>
        <v/>
      </c>
    </row>
    <row r="58" spans="1:16" s="52" customFormat="1" ht="13.5" customHeight="1" x14ac:dyDescent="0.25">
      <c r="A58" s="54" t="str">
        <f>'päd.Personal - Leitung'!A58</f>
        <v>Jan 2022</v>
      </c>
      <c r="B58" s="1170" t="str">
        <f>IF($D$3="","",$D$3)</f>
        <v/>
      </c>
      <c r="C58" s="1171"/>
      <c r="D58" s="181" t="str">
        <f>IF('päd.Personal - Leitung'!D58="","",'päd.Personal - Leitung'!D58)</f>
        <v/>
      </c>
      <c r="E58" s="181" t="str">
        <f>IF('päd.Personal - Leitung'!E58="","",'päd.Personal - Leitung'!E58)</f>
        <v/>
      </c>
      <c r="F58" s="87">
        <f>IF('päd.Personal - Leitung'!F58="",0,'päd.Personal - Leitung'!F58)</f>
        <v>0</v>
      </c>
      <c r="G58" s="56">
        <f>IF(N47="",0,F58/N47/4.348)</f>
        <v>0</v>
      </c>
      <c r="H58" s="53">
        <f>IF(M63="",0,M63)</f>
        <v>0</v>
      </c>
      <c r="K58" s="1146" t="str">
        <f>IF('päd.Personal - Leitung'!K58="","",'päd.Personal - Leitung'!K58)</f>
        <v/>
      </c>
      <c r="L58" s="1146"/>
      <c r="M58" s="172" t="str">
        <f>IF('päd.Personal - Leitung'!M58="","",'päd.Personal - Leitung'!M58)</f>
        <v/>
      </c>
      <c r="N58" s="172" t="str">
        <f>IF('päd.Personal - Leitung'!N58="","",'päd.Personal - Leitung'!N58)</f>
        <v/>
      </c>
      <c r="O58" s="172" t="str">
        <f>IF('päd.Personal - Leitung'!O58="","",'päd.Personal - Leitung'!O58)</f>
        <v/>
      </c>
      <c r="P58" s="172" t="str">
        <f>IF('päd.Personal - Leitung'!P58="","",'päd.Personal - Leitung'!P58)</f>
        <v/>
      </c>
    </row>
    <row r="59" spans="1:16" s="52" customFormat="1" ht="13.5" customHeight="1" x14ac:dyDescent="0.25">
      <c r="A59" s="55" t="str">
        <f>IF('päd.Personal - Leitung'!A59="","",'päd.Personal - Leitung'!A59)</f>
        <v/>
      </c>
      <c r="B59" s="1172" t="str">
        <f>IF(A59="","",B58)</f>
        <v/>
      </c>
      <c r="C59" s="1173"/>
      <c r="D59" s="181" t="str">
        <f>IF('päd.Personal - Leitung'!D59="","",'päd.Personal - Leitung'!D59)</f>
        <v/>
      </c>
      <c r="E59" s="181" t="str">
        <f>IF('päd.Personal - Leitung'!E59="","",'päd.Personal - Leitung'!E59)</f>
        <v/>
      </c>
      <c r="F59" s="87">
        <f>IF('päd.Personal - Leitung'!F59="",0,'päd.Personal - Leitung'!F59)</f>
        <v>0</v>
      </c>
      <c r="G59" s="56">
        <f>IF(N47="",0,F59/N47/4.348)</f>
        <v>0</v>
      </c>
      <c r="H59" s="53">
        <f>IF(N63="",0,N63)</f>
        <v>0</v>
      </c>
      <c r="K59" s="1146" t="str">
        <f>IF('päd.Personal - Leitung'!K59="","",'päd.Personal - Leitung'!K59)</f>
        <v/>
      </c>
      <c r="L59" s="1146"/>
      <c r="M59" s="172" t="str">
        <f>IF('päd.Personal - Leitung'!M59="","",'päd.Personal - Leitung'!M59)</f>
        <v/>
      </c>
      <c r="N59" s="172" t="str">
        <f>IF('päd.Personal - Leitung'!N59="","",'päd.Personal - Leitung'!N59)</f>
        <v/>
      </c>
      <c r="O59" s="172" t="str">
        <f>IF('päd.Personal - Leitung'!O59="","",'päd.Personal - Leitung'!O59)</f>
        <v/>
      </c>
      <c r="P59" s="172" t="str">
        <f>IF('päd.Personal - Leitung'!P59="","",'päd.Personal - Leitung'!P59)</f>
        <v/>
      </c>
    </row>
    <row r="60" spans="1:16" s="52" customFormat="1" ht="13.5" customHeight="1" x14ac:dyDescent="0.25">
      <c r="A60" s="55" t="str">
        <f>IF('päd.Personal - Leitung'!A60="","",'päd.Personal - Leitung'!A60)</f>
        <v/>
      </c>
      <c r="B60" s="1172" t="str">
        <f>IF(A60="","",B59)</f>
        <v/>
      </c>
      <c r="C60" s="1173"/>
      <c r="D60" s="181" t="str">
        <f>IF('päd.Personal - Leitung'!D60="","",'päd.Personal - Leitung'!D60)</f>
        <v/>
      </c>
      <c r="E60" s="181" t="str">
        <f>IF('päd.Personal - Leitung'!E60="","",'päd.Personal - Leitung'!E60)</f>
        <v/>
      </c>
      <c r="F60" s="87">
        <f>IF('päd.Personal - Leitung'!F60="",0,'päd.Personal - Leitung'!F60)</f>
        <v>0</v>
      </c>
      <c r="G60" s="56">
        <f>IF(N47="",0,F60/N47/4.348)</f>
        <v>0</v>
      </c>
      <c r="H60" s="53">
        <f>IF(O63="",0,O63)</f>
        <v>0</v>
      </c>
      <c r="K60" s="1146" t="str">
        <f>IF('päd.Personal - Leitung'!K60="","",'päd.Personal - Leitung'!K60)</f>
        <v/>
      </c>
      <c r="L60" s="1146"/>
      <c r="M60" s="172" t="str">
        <f>IF('päd.Personal - Leitung'!M60="","",'päd.Personal - Leitung'!M60)</f>
        <v/>
      </c>
      <c r="N60" s="172" t="str">
        <f>IF('päd.Personal - Leitung'!N60="","",'päd.Personal - Leitung'!N60)</f>
        <v/>
      </c>
      <c r="O60" s="172" t="str">
        <f>IF('päd.Personal - Leitung'!O60="","",'päd.Personal - Leitung'!O60)</f>
        <v/>
      </c>
      <c r="P60" s="172" t="str">
        <f>IF('päd.Personal - Leitung'!P60="","",'päd.Personal - Leitung'!P60)</f>
        <v/>
      </c>
    </row>
    <row r="61" spans="1:16" s="52" customFormat="1" ht="13.5" customHeight="1" x14ac:dyDescent="0.25">
      <c r="A61" s="55" t="str">
        <f>IF('päd.Personal - Leitung'!A61="","",'päd.Personal - Leitung'!A61)</f>
        <v/>
      </c>
      <c r="B61" s="1172" t="str">
        <f>IF(A61="","",B60)</f>
        <v/>
      </c>
      <c r="C61" s="1173"/>
      <c r="D61" s="181" t="str">
        <f>IF('päd.Personal - Leitung'!D61="","",'päd.Personal - Leitung'!D61)</f>
        <v/>
      </c>
      <c r="E61" s="181" t="str">
        <f>IF('päd.Personal - Leitung'!E61="","",'päd.Personal - Leitung'!E61)</f>
        <v/>
      </c>
      <c r="F61" s="87">
        <f>IF('päd.Personal - Leitung'!F61="",0,'päd.Personal - Leitung'!F61)</f>
        <v>0</v>
      </c>
      <c r="G61" s="56">
        <f>IF(N47="",0,F61/N47/4.348)</f>
        <v>0</v>
      </c>
      <c r="H61" s="53">
        <f>IF(P63="",0,P63)</f>
        <v>0</v>
      </c>
      <c r="K61" s="1146" t="str">
        <f>IF('päd.Personal - Leitung'!K61="","",'päd.Personal - Leitung'!K61)</f>
        <v/>
      </c>
      <c r="L61" s="1146"/>
      <c r="M61" s="172" t="str">
        <f>IF('päd.Personal - Leitung'!M61="","",'päd.Personal - Leitung'!M61)</f>
        <v/>
      </c>
      <c r="N61" s="172" t="str">
        <f>IF('päd.Personal - Leitung'!N61="","",'päd.Personal - Leitung'!N61)</f>
        <v/>
      </c>
      <c r="O61" s="172" t="str">
        <f>IF('päd.Personal - Leitung'!O61="","",'päd.Personal - Leitung'!O61)</f>
        <v/>
      </c>
      <c r="P61" s="172" t="str">
        <f>IF('päd.Personal - Leitung'!P61="","",'päd.Personal - Leitung'!P61)</f>
        <v/>
      </c>
    </row>
    <row r="62" spans="1:16" s="52" customFormat="1" ht="13.5" customHeight="1" x14ac:dyDescent="0.25">
      <c r="B62" s="1167" t="s">
        <v>157</v>
      </c>
      <c r="C62" s="1167"/>
      <c r="E62" s="1167" t="s">
        <v>156</v>
      </c>
      <c r="F62" s="1167"/>
      <c r="J62" s="69"/>
      <c r="K62" s="1146" t="str">
        <f>IF('päd.Personal - Leitung'!K62="","",'päd.Personal - Leitung'!K62)</f>
        <v/>
      </c>
      <c r="L62" s="1146"/>
      <c r="M62" s="172" t="str">
        <f>IF('päd.Personal - Leitung'!M62="","",'päd.Personal - Leitung'!M62)</f>
        <v/>
      </c>
      <c r="N62" s="172" t="str">
        <f>IF('päd.Personal - Leitung'!N62="","",'päd.Personal - Leitung'!N62)</f>
        <v/>
      </c>
      <c r="O62" s="172" t="str">
        <f>IF('päd.Personal - Leitung'!O62="","",'päd.Personal - Leitung'!O62)</f>
        <v/>
      </c>
      <c r="P62" s="172" t="str">
        <f>IF('päd.Personal - Leitung'!P62="","",'päd.Personal - Leitung'!P62)</f>
        <v/>
      </c>
    </row>
    <row r="63" spans="1:16" s="52" customFormat="1" ht="13.5" customHeight="1" x14ac:dyDescent="0.25">
      <c r="A63" s="70" t="s">
        <v>167</v>
      </c>
      <c r="B63" s="67" t="str">
        <f>IF('päd.Personal - Leitung'!B63="","",'päd.Personal - Leitung'!B63)</f>
        <v/>
      </c>
      <c r="C63" s="99" t="str">
        <f>IF('päd.Personal - Leitung'!C63="","",'päd.Personal - Leitung'!C63)</f>
        <v/>
      </c>
      <c r="D63" s="70" t="s">
        <v>167</v>
      </c>
      <c r="E63" s="67" t="str">
        <f>IF('päd.Personal - Leitung'!E63="","",'päd.Personal - Leitung'!E63)</f>
        <v/>
      </c>
      <c r="F63" s="99" t="str">
        <f>IF('päd.Personal - Leitung'!F63="","",'päd.Personal - Leitung'!F63)</f>
        <v/>
      </c>
      <c r="J63" s="68"/>
      <c r="M63" s="173">
        <f>SUM(M58:M62)</f>
        <v>0</v>
      </c>
      <c r="N63" s="173">
        <f t="shared" ref="N63:P63" si="6">SUM(N58:N62)</f>
        <v>0</v>
      </c>
      <c r="O63" s="173">
        <f t="shared" si="6"/>
        <v>0</v>
      </c>
      <c r="P63" s="173">
        <f t="shared" si="6"/>
        <v>0</v>
      </c>
    </row>
    <row r="64" spans="1:16" s="52" customFormat="1" ht="13.5" customHeight="1" x14ac:dyDescent="0.2">
      <c r="A64" s="60" t="s">
        <v>155</v>
      </c>
    </row>
    <row r="65" spans="1:16" s="1" customFormat="1" ht="14.25" customHeight="1" x14ac:dyDescent="0.2">
      <c r="A65" s="1147"/>
      <c r="B65" s="1149" t="s">
        <v>9</v>
      </c>
      <c r="C65" s="1150"/>
      <c r="D65" s="1150"/>
      <c r="E65" s="1150"/>
      <c r="F65" s="1150"/>
      <c r="G65" s="1151"/>
      <c r="H65" s="1152" t="s">
        <v>119</v>
      </c>
      <c r="I65" s="1153"/>
      <c r="J65" s="1153"/>
      <c r="K65" s="1153"/>
      <c r="L65" s="1153"/>
      <c r="M65" s="1153"/>
      <c r="N65" s="1153"/>
      <c r="O65" s="33"/>
      <c r="P65" s="1154" t="s">
        <v>0</v>
      </c>
    </row>
    <row r="66" spans="1:16" s="1" customFormat="1" ht="14.25" customHeight="1" x14ac:dyDescent="0.2">
      <c r="A66" s="1148"/>
      <c r="B66" s="1157" t="s">
        <v>117</v>
      </c>
      <c r="C66" s="124" t="s">
        <v>115</v>
      </c>
      <c r="D66" s="1159" t="s">
        <v>277</v>
      </c>
      <c r="E66" s="1161" t="s">
        <v>147</v>
      </c>
      <c r="F66" s="127" t="s">
        <v>7</v>
      </c>
      <c r="G66" s="1162" t="s">
        <v>6</v>
      </c>
      <c r="H66" s="1161" t="s">
        <v>129</v>
      </c>
      <c r="I66" s="1161" t="s">
        <v>5</v>
      </c>
      <c r="J66" s="1161" t="s">
        <v>4</v>
      </c>
      <c r="K66" s="1161" t="s">
        <v>3</v>
      </c>
      <c r="L66" s="1161" t="s">
        <v>121</v>
      </c>
      <c r="M66" s="1161" t="s">
        <v>122</v>
      </c>
      <c r="N66" s="1161" t="s">
        <v>123</v>
      </c>
      <c r="O66" s="1160" t="s">
        <v>114</v>
      </c>
      <c r="P66" s="1155"/>
    </row>
    <row r="67" spans="1:16" s="1" customFormat="1" ht="14.25" customHeight="1" x14ac:dyDescent="0.2">
      <c r="A67" s="1148"/>
      <c r="B67" s="1157"/>
      <c r="C67" s="21" t="str">
        <f>IF(C63="","",C63)</f>
        <v/>
      </c>
      <c r="D67" s="1160"/>
      <c r="E67" s="1161"/>
      <c r="F67" s="1165" t="str">
        <f>IF(H58=0,"","siehe Zuschläge / Zulagen")</f>
        <v/>
      </c>
      <c r="G67" s="1162"/>
      <c r="H67" s="1164" t="s">
        <v>127</v>
      </c>
      <c r="I67" s="1164"/>
      <c r="J67" s="1164"/>
      <c r="K67" s="1164"/>
      <c r="L67" s="1164"/>
      <c r="M67" s="1164"/>
      <c r="N67" s="1164"/>
      <c r="O67" s="1160"/>
      <c r="P67" s="1155"/>
    </row>
    <row r="68" spans="1:16" s="1" customFormat="1" x14ac:dyDescent="0.2">
      <c r="A68" s="1148"/>
      <c r="B68" s="1157"/>
      <c r="C68" s="122" t="s">
        <v>70</v>
      </c>
      <c r="D68" s="1160"/>
      <c r="E68" s="1161"/>
      <c r="F68" s="1165"/>
      <c r="G68" s="1162"/>
      <c r="H68" s="43" t="s">
        <v>128</v>
      </c>
      <c r="I68" s="43" t="s">
        <v>255</v>
      </c>
      <c r="J68" s="43" t="s">
        <v>256</v>
      </c>
      <c r="K68" s="43" t="s">
        <v>257</v>
      </c>
      <c r="L68" s="43"/>
      <c r="M68" s="43"/>
      <c r="N68" s="43" t="s">
        <v>254</v>
      </c>
      <c r="O68" s="1160"/>
      <c r="P68" s="1155"/>
    </row>
    <row r="69" spans="1:16" s="1" customFormat="1" x14ac:dyDescent="0.2">
      <c r="A69" s="1148"/>
      <c r="B69" s="1158"/>
      <c r="C69" s="21" t="str">
        <f>IF(F63="","",F63)</f>
        <v/>
      </c>
      <c r="D69" s="51"/>
      <c r="E69" s="51"/>
      <c r="F69" s="1166"/>
      <c r="G69" s="1163"/>
      <c r="H69" s="93"/>
      <c r="I69" s="139">
        <f>'päd.Personal - Leitung'!$I$69</f>
        <v>0</v>
      </c>
      <c r="J69" s="139">
        <f>'päd.Personal - Leitung'!$J$69</f>
        <v>0</v>
      </c>
      <c r="K69" s="44">
        <f>'päd.Personal - Leitung'!$K$69</f>
        <v>0</v>
      </c>
      <c r="L69" s="21"/>
      <c r="M69" s="21"/>
      <c r="N69" s="139">
        <f>'päd.Personal - Leitung'!$N$69</f>
        <v>0</v>
      </c>
      <c r="O69" s="21"/>
      <c r="P69" s="1156"/>
    </row>
    <row r="70" spans="1:16" s="1" customFormat="1" x14ac:dyDescent="0.2">
      <c r="A70" s="100" t="str">
        <f>$A$26</f>
        <v>Jan 2022</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76">
        <f>ROUND(IF((SUM(B70:F70))&gt;L85,L85*H69,SUM(B70:F70)*H69),2)</f>
        <v>0</v>
      </c>
      <c r="I70" s="76">
        <f>ROUND(IF((SUM(B70:F70))&gt;L86,L86*I69,SUM(B70:F70)*I69),2)</f>
        <v>0</v>
      </c>
      <c r="J70" s="76">
        <f>ROUND(IF((SUM(B70:F70))&gt;L86,L86*J69,SUM(B70:F70)*J69),2)</f>
        <v>0</v>
      </c>
      <c r="K70" s="76">
        <f>ROUND(IF((SUM(B70:F70))&gt;L85,L85*K69,SUM(B70:F70)*K69),2)</f>
        <v>0</v>
      </c>
      <c r="L70" s="76">
        <f>ROUND(IF((SUM(B70:F70))&gt;L86,L86*L69,(SUM(B70:F70)-C70)*L69),2)</f>
        <v>0</v>
      </c>
      <c r="M70" s="76">
        <f>ROUND(IF((SUM(B70:F70))&gt;L86,L86*M69,(SUM(B70:F70)-C70)*M69),2)</f>
        <v>0</v>
      </c>
      <c r="N70" s="76">
        <f>ROUND(IF((SUM(B70:F70))&gt;L86,L86*N69,SUM(B70:F70)*N69),2)</f>
        <v>0</v>
      </c>
      <c r="O70" s="23">
        <f>ROUND(SUM(B70+C70+F70)*O69,2)</f>
        <v>0</v>
      </c>
      <c r="P70" s="27">
        <f>SUM(G70:O70)</f>
        <v>0</v>
      </c>
    </row>
    <row r="71" spans="1:16" s="1" customFormat="1" x14ac:dyDescent="0.2">
      <c r="A71" s="100" t="str">
        <f>$A$27</f>
        <v>Feb 2022</v>
      </c>
      <c r="B71" s="24">
        <f>ROUND(IF(N51=0,0,IFERROR(((LOOKUP(2,1/(A58:A61=A71),G58:G61))*N51*4.348),B70/N51*N51)),2)</f>
        <v>0</v>
      </c>
      <c r="C71" s="23">
        <f>ROUND(IFERROR(((LOOKUP(2,1/(B63=A71),((SUM(B76:B78)+SUM(F76:F78))/3)*C63))),0)+IFERROR(((LOOKUP(2,1/(E63=A71),(B82+F82)*F63))),0),2)</f>
        <v>0</v>
      </c>
      <c r="D71" s="23">
        <f>ROUND(IF(B71=0,0,D69/L51*N51),2)</f>
        <v>0</v>
      </c>
      <c r="E71" s="23">
        <f>ROUND(IF(B71=0,0,E69/N47*N51),2)</f>
        <v>0</v>
      </c>
      <c r="F71" s="24">
        <f>ROUND(IF(N51=0,0,IFERROR(((LOOKUP(2,1/(A58:A61=A71),H58:H61))/N47*N51),F70/N51*N51)),2)</f>
        <v>0</v>
      </c>
      <c r="G71" s="27">
        <f t="shared" ref="G71:G81" si="7">SUM(B71+C71+E71+F71)</f>
        <v>0</v>
      </c>
      <c r="H71" s="76">
        <f>ROUND(IF(SUM(B70:F70)&lt;(L85*1),IF((SUM(B70:F71))&gt;(L85*2),(((L85*2)-(SUM(B70:F71)-C70))*H69)+((SUM(B71:F71)-C70)*H69),SUM(B71:F71)*H69),IF(SUM(B70:F71)&gt;(L85*2),L85*H69,SUM(B71:F71)*H69)),2)</f>
        <v>0</v>
      </c>
      <c r="I71" s="76">
        <f>ROUND(IF(SUM(B70:F70)&lt;(L86*1),IF((SUM(B70:F71))&gt;(L86*2),(((L86*2)-(SUM(B70:F71)-C70))*I69)+((SUM(B71:F71)-C70)*I69),SUM(B71:F71)*I69),IF(SUM(B70:F71)&gt;(L86*2),L86*I69,SUM(B71:F71)*I69)),2)</f>
        <v>0</v>
      </c>
      <c r="J71" s="76">
        <f>ROUND(IF(SUM(B70:F70)&lt;(L86*1),IF((SUM(B70:F71))&gt;(L86*2),(((L86*2)-(SUM(B70:F71)-C70))*J69)+((SUM(B71:F71)-C70)*J69),SUM(B71:F71)*J69),IF(SUM(B70:F71)&gt;(L86*2),L86*J69,SUM(B71:F71)*J69)),2)</f>
        <v>0</v>
      </c>
      <c r="K71" s="76">
        <f>ROUND(IF(SUM(B70:F70)&lt;(L85*1),IF((SUM(B70:F71))&gt;(L85*2),(((L85*2)-(SUM(B70:F71)-C70))*K69)+((SUM(B71:F71)-C70)*K69),SUM(B71:F71)*K69),IF(SUM(B70:F71)&gt;(L85*2),L85*K69,SUM(B71:F71)*K69)),2)</f>
        <v>0</v>
      </c>
      <c r="L71" s="76">
        <f>ROUND(IF(SUM(B70:F70)&lt;(L86*1),IF((SUM(B70:F71))&gt;(L86*2),(((L86*2)-(SUM(B70:F71)-C71))*L69)+((SUM(B71:F71)-C71)*L69),(SUM(B71:F71)-C71)*L69),IF(SUM(B70:F71)&gt;(L86*2),L86*L69,SUM(B71:F71)*L69)),2)</f>
        <v>0</v>
      </c>
      <c r="M71" s="76">
        <f>ROUND(IF(SUM(B70:F70)&lt;(L86*1),IF((SUM(B70:F71))&gt;(L86*2),(((L86*2)-(SUM(B70:F71)-C71))*M69)+((SUM(B71:F71)-C71)*M69),(SUM(B71:F71)-C71)*M69),IF(SUM(B70:F71)&gt;(L86*2),L86*M69,SUM(B71:F71)*M69)),2)</f>
        <v>0</v>
      </c>
      <c r="N71" s="76">
        <f>ROUND(IF(SUM(B70:F70)&lt;(L86*1),IF((SUM(B70:F71))&gt;(L86*2),(((L86*2)-(SUM(B70:F71)-C70))*N69)+((SUM(B71:F71)-C70)*N69),SUM(B71:F71)*N69),IF(SUM(B70:F71)&gt;(L86*2),L86*N69,SUM(B71:F71)*N69)),2)</f>
        <v>0</v>
      </c>
      <c r="O71" s="23">
        <f>ROUND(SUM(B71+C71+F71)*O69,2)</f>
        <v>0</v>
      </c>
      <c r="P71" s="27">
        <f>SUM(G71:O71)</f>
        <v>0</v>
      </c>
    </row>
    <row r="72" spans="1:16" s="1" customFormat="1" x14ac:dyDescent="0.2">
      <c r="A72" s="100" t="str">
        <f>$A$28</f>
        <v>Mrz 2022</v>
      </c>
      <c r="B72" s="24">
        <f>ROUND(IF(N52=0,0,IFERROR(((LOOKUP(2,1/(A58:A61=A72),G58:G61))*N52*4.348),B71/N52*N52)),2)</f>
        <v>0</v>
      </c>
      <c r="C72" s="23">
        <f>ROUND(IFERROR(((LOOKUP(2,1/(B63=A72),((SUM(B76:B78)+SUM(F76:F78))/3)*C63))),0)+IFERROR(((LOOKUP(2,1/(E63=A72),(B82+F82)*F63))),0),2)</f>
        <v>0</v>
      </c>
      <c r="D72" s="23">
        <f>ROUND(IF(B72=0,0,D69/L51*N52),2)</f>
        <v>0</v>
      </c>
      <c r="E72" s="23">
        <f>ROUND(IF(B72=0,0,E69/N47*N52),2)</f>
        <v>0</v>
      </c>
      <c r="F72" s="24">
        <f>ROUND(IF(N52=0,0,IFERROR(((LOOKUP(2,1/(A58:A61=A72),H58:H61))/N47*N52),F71/N52*N52)),2)</f>
        <v>0</v>
      </c>
      <c r="G72" s="27">
        <f t="shared" si="7"/>
        <v>0</v>
      </c>
      <c r="H72" s="76">
        <f>ROUND(IF(SUM(B70:F71)&lt;(L85*2),IF((SUM(B70:F72))&gt;(L85*3),(((L85*3)-(SUM(B70:F72)-C71))*H69)+((SUM(B72:F72)-C71)*H69),SUM(B72:F72)*H69),IF(SUM(B70:F72)&gt;(L85*3),L85*H69,SUM(B72:F72)*H69)),2)</f>
        <v>0</v>
      </c>
      <c r="I72" s="76">
        <f>ROUND(IF(SUM(B70:F71)&lt;(L86*2),IF((SUM(B70:F72))&gt;(L86*3),(((L86*3)-(SUM(B70:F72)-C71))*I69)+((SUM(B72:F72)-C71)*I69),SUM(B72:F72)*I69),IF(SUM(B70:F72)&gt;(L86*3),L86*I69,SUM(B72:F72)*I69)),2)</f>
        <v>0</v>
      </c>
      <c r="J72" s="76">
        <f>ROUND(IF(SUM(B70:F71)&lt;(L86*2),IF((SUM(B70:F72))&gt;(L86*3),(((L86*3)-(SUM(B70:F72)-C71))*J69)+((SUM(B72:F72)-C71)*J69),SUM(B72:F72)*J69),IF(SUM(B70:F72)&gt;(L86*3),L86*J69,SUM(B72:F72)*J69)),2)</f>
        <v>0</v>
      </c>
      <c r="K72" s="76">
        <f>ROUND(IF(SUM(B70:F71)&lt;(L85*2),IF((SUM(B70:F72))&gt;(L85*3),(((L85*3)-(SUM(B70:F72)-C71))*K69)+((SUM(B72:F72)-C71)*K69),SUM(B72:F72)*K69),IF(SUM(B70:F72)&gt;(L85*3),L85*K69,SUM(B72:F72)*K69)),2)</f>
        <v>0</v>
      </c>
      <c r="L72" s="76">
        <f>ROUND(IF(SUM(B70:F71)&lt;(L86*2),IF((SUM(B70:F72))&gt;(L86*3),(((L86*3)-(SUM(B70:F72)-C72))*L69)+((SUM(B72:F72)-C72)*L69),(SUM(B72:F72)-C72)*L69),IF(SUM(B70:F72)&gt;(L86*3),L86*L69,SUM(B72:F72)*L69)),2)</f>
        <v>0</v>
      </c>
      <c r="M72" s="76">
        <f>ROUND(IF(SUM(B70:F71)&lt;(L86*2),IF((SUM(B70:F72))&gt;(L86*3),(((L86*3)-(SUM(B70:F72)-C72))*M69)+((SUM(B72:F72)-C72)*M69),(SUM(B72:F72)-C72)*M69),IF(SUM(B70:F72)&gt;(L86*3),L86*M69,SUM(B72:F72)*M69)),2)</f>
        <v>0</v>
      </c>
      <c r="N72" s="76">
        <f>ROUND(IF(SUM(B70:F71)&lt;(L86*2),IF((SUM(B70:F72))&gt;(L86*3),(((L86*3)-(SUM(B70:F72)-C71))*N69)+((SUM(B72:F72)-C71)*N69),SUM(B72:F72)*N69),IF(SUM(B70:F72)&gt;(L86*3),L86*N69,SUM(B72:F72)*N69)),2)</f>
        <v>0</v>
      </c>
      <c r="O72" s="23">
        <f>ROUND(SUM(B72+C72+F72)*O69,2)</f>
        <v>0</v>
      </c>
      <c r="P72" s="27">
        <f t="shared" ref="P72:P81" si="8">SUM(G72:O72)</f>
        <v>0</v>
      </c>
    </row>
    <row r="73" spans="1:16" s="1" customFormat="1" x14ac:dyDescent="0.2">
      <c r="A73" s="100" t="str">
        <f>$A$29</f>
        <v>Apr 2022</v>
      </c>
      <c r="B73" s="24">
        <f>ROUND(IF(N53=0,0,IFERROR(((LOOKUP(2,1/(A58:A61=A73),G58:G61))*N53*4.348),B72/N53*N53)),2)</f>
        <v>0</v>
      </c>
      <c r="C73" s="23">
        <f>ROUND(IFERROR(((LOOKUP(2,1/(B63=A73),((SUM(B76:B78)+SUM(F76:F78))/3)*C63))),0)+IFERROR(((LOOKUP(2,1/(E63=A73),(B82+F82)*F63))),0),2)</f>
        <v>0</v>
      </c>
      <c r="D73" s="23">
        <f>ROUND(IF(B73=0,0,D69/L51*N53),2)</f>
        <v>0</v>
      </c>
      <c r="E73" s="23">
        <f>ROUND(IF(B73=0,0,E69/N47*N53),2)</f>
        <v>0</v>
      </c>
      <c r="F73" s="24">
        <f>ROUND(IF(N53=0,0,IFERROR(((LOOKUP(2,1/(A58:A61=A73),H58:H61))/N47*N53),F72/N53*N53)),2)</f>
        <v>0</v>
      </c>
      <c r="G73" s="27">
        <f t="shared" si="7"/>
        <v>0</v>
      </c>
      <c r="H73" s="76">
        <f>ROUND(IF(SUM(B70:F72)&lt;(L85*3),IF((SUM(B70:F73))&gt;(L85*4),(((L85*4)-(SUM(B70:F73)-C72))*H69)+((SUM(B73:F73)-C72)*H69),SUM(B73:F73)*H69),IF(SUM(B70:F73)&gt;(L85*4),L85*H69,SUM(B73:F73)*H69)),2)</f>
        <v>0</v>
      </c>
      <c r="I73" s="76">
        <f>ROUND(IF(SUM(B70:F72)&lt;(L86*3),IF((SUM(B70:F73))&gt;(L86*4),(((L86*4)-(SUM(B70:F73)-C72))*I69)+((SUM(B73:F73)-C72)*I69),SUM(B73:F73)*I69),IF(SUM(B70:F73)&gt;(L86*4),L86*I69,SUM(B73:F73)*I69)),2)</f>
        <v>0</v>
      </c>
      <c r="J73" s="76">
        <f>ROUND(IF(SUM(B70:F72)&lt;(L86*3),IF((SUM(B70:F73))&gt;(L86*4),(((L86*4)-(SUM(B70:F73)-C72))*J69)+((SUM(B73:F73)-C72)*J69),SUM(B73:F73)*J69),IF(SUM(B70:F73)&gt;(L86*4),L86*J69,SUM(B73:F73)*J69)),2)</f>
        <v>0</v>
      </c>
      <c r="K73" s="76">
        <f>ROUND(IF(SUM(B70:F72)&lt;(L85*3),IF((SUM(B70:F73))&gt;(L85*4),(((L85*4)-(SUM(B70:F73)-C72))*K69)+((SUM(B73:F73)-C72)*K69),SUM(B73:F73)*K69),IF(SUM(B70:F73)&gt;(L85*4),L85*K69,SUM(B73:F73)*K69)),2)</f>
        <v>0</v>
      </c>
      <c r="L73" s="76">
        <f>ROUND(IF(SUM(B70:F72)&lt;(L86*3),IF((SUM(B70:F73))&gt;(L86*4),(((L86*4)-(SUM(B70:F73)-C73))*L69)+((SUM(B73:F73)-C73)*L69),(SUM(B73:F73)-C73)*L69),IF(SUM(B70:F73)&gt;(L86*4),L86*L69,SUM(B73:F73)*L69)),2)</f>
        <v>0</v>
      </c>
      <c r="M73" s="76">
        <f>ROUND(IF(SUM(B70:F72)&lt;(L86*3),IF((SUM(B70:F73))&gt;(L86*4),(((L86*4)-(SUM(B70:F73)-C73))*M69)+((SUM(B73:F73)-C73)*M69),(SUM(B73:F73)-C73)*M69),IF(SUM(B70:F73)&gt;(L86*4),L86*M69,SUM(B73:F73)*M69)),2)</f>
        <v>0</v>
      </c>
      <c r="N73" s="76">
        <f>ROUND(IF(SUM(B70:F72)&lt;(L86*3),IF((SUM(B70:F73))&gt;(L86*4),(((L86*4)-(SUM(B70:F73)-C72))*N69)+((SUM(B73:F73)-C72)*N69),SUM(B73:F73)*N69),IF(SUM(B70:F73)&gt;(L86*4),L86*N69,SUM(B73:F73)*N69)),2)</f>
        <v>0</v>
      </c>
      <c r="O73" s="23">
        <f>ROUND(SUM(B73+C73+F73)*O69,2)</f>
        <v>0</v>
      </c>
      <c r="P73" s="27">
        <f t="shared" si="8"/>
        <v>0</v>
      </c>
    </row>
    <row r="74" spans="1:16" s="1" customFormat="1" x14ac:dyDescent="0.2">
      <c r="A74" s="100" t="str">
        <f>$A$30</f>
        <v>Mai 2022</v>
      </c>
      <c r="B74" s="24">
        <f>ROUND(IF(N54=0,0,IFERROR(((LOOKUP(2,1/(A58:A61=A74),G58:G61))*N54*4.348),B73/N54*N54)),2)</f>
        <v>0</v>
      </c>
      <c r="C74" s="23">
        <f>ROUND(IFERROR(((LOOKUP(2,1/(B63=A74),((SUM(B76:B78)+SUM(F76:F78))/3)*C63))),0)+IFERROR(((LOOKUP(2,1/(E63=A74),(B82+F82)*F63))),0),2)</f>
        <v>0</v>
      </c>
      <c r="D74" s="23">
        <f>ROUND(IF(B74=0,0,D69/L51*N54),2)</f>
        <v>0</v>
      </c>
      <c r="E74" s="23">
        <f>ROUND(IF(B74=0,0,E69/N47*N54),2)</f>
        <v>0</v>
      </c>
      <c r="F74" s="24">
        <f>ROUND(IF(N54=0,0,IFERROR(((LOOKUP(2,1/(A58:A61=A74),H58:H61))/N47*N54),F73/N54*N54)),2)</f>
        <v>0</v>
      </c>
      <c r="G74" s="27">
        <f t="shared" si="7"/>
        <v>0</v>
      </c>
      <c r="H74" s="76">
        <f>ROUND(IF(SUM(B70:F73)&lt;(L85*4),IF((SUM(B70:F74))&gt;(L85*5),(((L85*5)-(SUM(B70:F74)-C73))*H69)+((SUM(B74:F74)-C73)*H69),SUM(B74:F74)*H69),IF(SUM(B70:F74)&gt;(L85*5),L85*H69,SUM(B74:F74)*H69)),2)</f>
        <v>0</v>
      </c>
      <c r="I74" s="76">
        <f>ROUND(IF(SUM(B70:F73)&lt;(L86*4),IF((SUM(B70:F74))&gt;(L86*5),(((L86*5)-(SUM(B70:F74)-C73))*I69)+((SUM(B74:F74)-C73)*I69),SUM(B74:F74)*I69),IF(SUM(B70:F74)&gt;(L86*5),L86*I69,SUM(B74:F74)*I69)),2)</f>
        <v>0</v>
      </c>
      <c r="J74" s="76">
        <f>ROUND(IF(SUM(B70:F73)&lt;(L86*4),IF((SUM(B70:F74))&gt;(L86*5),(((L86*5)-(SUM(B70:F74)-C73))*J69)+((SUM(B74:F74)-C73)*J69),SUM(B74:F74)*J69),IF(SUM(B70:F74)&gt;(L86*5),L86*J69,SUM(B74:F74)*J69)),2)</f>
        <v>0</v>
      </c>
      <c r="K74" s="76">
        <f>ROUND(IF(SUM(B70:F73)&lt;(L85*4),IF((SUM(B70:F74))&gt;(L85*5),(((L85*5)-(SUM(B70:F74)-C73))*K69)+((SUM(B74:F74)-C73)*K69),SUM(B74:F74)*K69),IF(SUM(B70:F74)&gt;(L85*5),L85*K69,SUM(B74:F74)*K69)),2)</f>
        <v>0</v>
      </c>
      <c r="L74" s="76">
        <f>ROUND(IF(SUM(B70:F73)&lt;(L86*4),IF((SUM(B70:F74))&gt;(L86*5),(((L86*5)-(SUM(B70:F74)-C74))*L69)+((SUM(B74:F74)-C74)*L69),(SUM(B74:F74)-C74)*L69),IF(SUM(B70:F74)&gt;(L86*5),L86*L69,SUM(B74:F74)*L69)),2)</f>
        <v>0</v>
      </c>
      <c r="M74" s="76">
        <f>ROUND(IF(SUM(B70:F73)&lt;(L86*4),IF((SUM(B70:F74))&gt;(L86*5),(((L86*5)-(SUM(B70:F74)-C74))*M69)+((SUM(B74:F74)-C74)*M69),(SUM(B74:F74)-C74)*M69),IF(SUM(B70:F74)&gt;(L86*5),L86*M69,SUM(B74:F74)*M69)),2)</f>
        <v>0</v>
      </c>
      <c r="N74" s="76">
        <f>ROUND(IF(SUM(B70:F73)&lt;(L86*4),IF((SUM(B70:F74))&gt;(L86*5),(((L86*5)-(SUM(B70:F74)-C73))*N69)+((SUM(B74:F74)-C73)*N69),SUM(B74:F74)*N69),IF(SUM(B70:F74)&gt;(L86*5),L86*N69,SUM(B74:F74)*N69)),2)</f>
        <v>0</v>
      </c>
      <c r="O74" s="23">
        <f>ROUND(SUM(B74+C74+F74)*O69,2)</f>
        <v>0</v>
      </c>
      <c r="P74" s="27">
        <f t="shared" si="8"/>
        <v>0</v>
      </c>
    </row>
    <row r="75" spans="1:16" s="1" customFormat="1" x14ac:dyDescent="0.2">
      <c r="A75" s="100" t="str">
        <f>$A$31</f>
        <v>Jun 2022</v>
      </c>
      <c r="B75" s="24">
        <f>ROUND(IF(N55=0,0,IFERROR(((LOOKUP(2,1/(A58:A61=A75),G58:G61))*N55*4.348),B74/N55*N55)),2)</f>
        <v>0</v>
      </c>
      <c r="C75" s="23">
        <f>ROUND(IFERROR(((LOOKUP(2,1/(B63=A75),((SUM(B76:B78)+SUM(F76:F78))/3)*C63))),0)+IFERROR(((LOOKUP(2,1/(E63=A75),(B82+F82)*F63))),0),2)</f>
        <v>0</v>
      </c>
      <c r="D75" s="23">
        <f>ROUND(IF(B75=0,0,D69/L51*N55),2)</f>
        <v>0</v>
      </c>
      <c r="E75" s="23">
        <f>ROUND(IF(B75=0,0,E69/N47*N55),2)</f>
        <v>0</v>
      </c>
      <c r="F75" s="24">
        <f>ROUND(IF(N55=0,0,IFERROR(((LOOKUP(2,1/(A58:A61=A75),H58:H61))/N47*N55),F74/N55*N55)),2)</f>
        <v>0</v>
      </c>
      <c r="G75" s="27">
        <f t="shared" si="7"/>
        <v>0</v>
      </c>
      <c r="H75" s="76">
        <f>ROUND(IF(SUM(B70:F74)&lt;(L85*5),IF((SUM(B70:F75))&gt;(L85*6),(((L85*6)-(SUM(B70:F75)-C74))*H69)+((SUM(B75:F75)-C74)*H69),SUM(B75:F75)*H69),IF(SUM(B70:F75)&gt;(L85*6),L85*H69,SUM(B75:F75)*H69)),2)</f>
        <v>0</v>
      </c>
      <c r="I75" s="76">
        <f>ROUND(IF(SUM(B70:F74)&lt;(L86*5),IF((SUM(B70:F75))&gt;(L86*6),(((L86*6)-(SUM(B70:F75)-C74))*I69)+((SUM(B75:F75)-C74)*I69),SUM(B75:F75)*I69),IF(SUM(B70:F75)&gt;(L86*6),L86*I69,SUM(B75:F75)*I69)),2)</f>
        <v>0</v>
      </c>
      <c r="J75" s="76">
        <f>ROUND(IF(SUM(B70:F74)&lt;(L86*5),IF((SUM(B70:F75))&gt;(L86*6),(((L86*6)-(SUM(B70:F75)-C74))*J69)+((SUM(B75:F75)-C74)*J69),SUM(B75:F75)*J69),IF(SUM(B70:F75)&gt;(L86*6),L86*J69,SUM(B75:F75)*J69)),2)</f>
        <v>0</v>
      </c>
      <c r="K75" s="76">
        <f>ROUND(IF(SUM(B70:F74)&lt;(L85*5),IF((SUM(B70:F75))&gt;(L85*6),(((L85*6)-(SUM(B70:F75)-C74))*K69)+((SUM(B75:F75)-C74)*K69),SUM(B75:F75)*K69),IF(SUM(B70:F75)&gt;(L85*6),L85*K69,SUM(B75:F75)*K69)),2)</f>
        <v>0</v>
      </c>
      <c r="L75" s="76">
        <f>ROUND(IF(SUM(B70:F74)&lt;(L86*5),IF((SUM(B70:F75))&gt;(L86*6),(((L86*6)-(SUM(B70:F75)-C75))*L69)+((SUM(B75:F75)-C75)*L69),(SUM(B75:F75)-C75)*L69),IF(SUM(B70:F75)&gt;(L86*6),L86*L69,SUM(B75:F75)*L69)),2)</f>
        <v>0</v>
      </c>
      <c r="M75" s="76">
        <f>ROUND(IF(SUM(B70:F74)&lt;(L86*5),IF((SUM(B70:F75))&gt;(L86*6),(((L86*6)-(SUM(B70:F75)-C75))*M69)+((SUM(B75:F75)-C75)*M69),(SUM(B75:F75)-C75)*M69),IF(SUM(B70:F75)&gt;(L86*6),L86*M69,SUM(B75:F75)*M69)),2)</f>
        <v>0</v>
      </c>
      <c r="N75" s="76">
        <f>ROUND(IF(SUM(B70:F74)&lt;(L86*5),IF((SUM(B70:F75))&gt;(L86*6),(((L86*6)-(SUM(B70:F75)-C74))*N69)+((SUM(B75:F75)-C74)*N69),SUM(B75:F75)*N69),IF(SUM(B70:F75)&gt;(L86*6),L86*N69,SUM(B75:F75)*N69)),2)</f>
        <v>0</v>
      </c>
      <c r="O75" s="23">
        <f>ROUND(SUM(B75+C75+F75)*O69,2)</f>
        <v>0</v>
      </c>
      <c r="P75" s="27">
        <f t="shared" si="8"/>
        <v>0</v>
      </c>
    </row>
    <row r="76" spans="1:16" s="1" customFormat="1" x14ac:dyDescent="0.2">
      <c r="A76" s="100" t="str">
        <f>$A$32</f>
        <v>Jul 2022</v>
      </c>
      <c r="B76" s="24">
        <f>ROUND(IF(P50=0,0,IFERROR(((LOOKUP(2,1/(A58:A61=A76),G58:G61))*P50*4.348),B75/P50*P50)),2)</f>
        <v>0</v>
      </c>
      <c r="C76" s="23">
        <f>ROUND(IFERROR(((LOOKUP(2,1/(B63=A76),((SUM(B76:B78)+SUM(F76:F78))/3)*C63))),0)+IFERROR(((LOOKUP(2,1/(E63=A76),(B82+F82)*F63))),0),2)</f>
        <v>0</v>
      </c>
      <c r="D76" s="23">
        <f>ROUND(IF(B76=0,0,D69/L51*P50),2)</f>
        <v>0</v>
      </c>
      <c r="E76" s="23">
        <f>ROUND(IF(B76=0,0,E69/N47*P50),2)</f>
        <v>0</v>
      </c>
      <c r="F76" s="24">
        <f>ROUND(IF(P50=0,0,IFERROR(((LOOKUP(2,1/(A58:A61=A76),H58:H61))/N47*P50),F75/P50*P50)),2)</f>
        <v>0</v>
      </c>
      <c r="G76" s="27">
        <f t="shared" si="7"/>
        <v>0</v>
      </c>
      <c r="H76" s="76">
        <f>ROUND(IF(SUM(B70:F75)&lt;(L85*6),IF((SUM(B70:F76))&gt;(L85*7),(((L85*7)-(SUM(B70:F76)-C75))*H69)+((SUM(B76:F76)-C75)*H69),SUM(B76:F76)*H69),IF(SUM(B70:F76)&gt;(L85*7),L85*H69,SUM(B76:F76)*H69)),2)</f>
        <v>0</v>
      </c>
      <c r="I76" s="76">
        <f>ROUND(IF(SUM(B70:F75)&lt;(L86*6),IF((SUM(B70:F76))&gt;(L86*7),(((L86*7)-(SUM(B70:F76)-C75))*I69)+((SUM(B76:F76)-C75)*I69),SUM(B76:F76)*I69),IF(SUM(B70:F76)&gt;(L86*7),L86*I69,SUM(B76:F76)*I69)),2)</f>
        <v>0</v>
      </c>
      <c r="J76" s="76">
        <f>ROUND(IF(SUM(B70:F75)&lt;(L86*6),IF((SUM(B70:F76))&gt;(L86*7),(((L86*7)-(SUM(B70:F76)-C75))*J69)+((SUM(B76:F76)-C75)*J69),SUM(B76:F76)*J69),IF(SUM(B70:F76)&gt;(L86*7),L86*J69,SUM(B76:F76)*J69)),2)</f>
        <v>0</v>
      </c>
      <c r="K76" s="76">
        <f>ROUND(IF(SUM(B70:F75)&lt;(L85*6),IF((SUM(B70:F76))&gt;(L85*7),(((L85*7)-(SUM(B70:F76)-C75))*K69)+((SUM(B76:F76)-C75)*K69),SUM(B76:F76)*K69),IF(SUM(B70:F76)&gt;(L85*7),L85*K69,SUM(B76:F76)*K69)),2)</f>
        <v>0</v>
      </c>
      <c r="L76" s="76">
        <f>ROUND(IF(SUM(B70:F75)&lt;(L86*6),IF((SUM(B70:F76))&gt;(L86*7),(((L86*7)-(SUM(B70:F76)-C76))*L69)+((SUM(B76:F76)-C76)*L69),(SUM(B76:F76)-C76)*L69),IF(SUM(B70:F76)&gt;(L86*7),L86*L69,SUM(B76:F76)*L69)),2)</f>
        <v>0</v>
      </c>
      <c r="M76" s="76">
        <f>ROUND(IF(SUM(B70:F75)&lt;(L86*6),IF((SUM(B70:F76))&gt;(L86*7),(((L86*7)-(SUM(B70:F76)-C76))*M69)+((SUM(B76:F76)-C76)*M69),(SUM(B76:F76)-C76)*M69),IF(SUM(B70:F76)&gt;(L86*7),L86*M69,SUM(B76:F76)*M69)),2)</f>
        <v>0</v>
      </c>
      <c r="N76" s="76">
        <f>ROUND(IF(SUM(B70:F75)&lt;(L86*6),IF((SUM(B70:F76))&gt;(L86*7),(((L86*7)-(SUM(B70:F76)-C75))*N69)+((SUM(B76:F76)-C75)*N69),SUM(B76:F76)*N69),IF(SUM(B70:F76)&gt;(L86*7),L86*N69,SUM(B76:F76)*N69)),2)</f>
        <v>0</v>
      </c>
      <c r="O76" s="23">
        <f>ROUND(SUM(B76+C76+F76)*O69,2)</f>
        <v>0</v>
      </c>
      <c r="P76" s="27">
        <f t="shared" si="8"/>
        <v>0</v>
      </c>
    </row>
    <row r="77" spans="1:16" s="1" customFormat="1" x14ac:dyDescent="0.2">
      <c r="A77" s="100" t="str">
        <f>$A$33</f>
        <v>Aug 2022</v>
      </c>
      <c r="B77" s="24">
        <f>ROUND(IF(P51=0,0,IFERROR(((LOOKUP(2,1/(A58:A61=A77),G58:G61))*P51*4.348),B76/P51*P51)),2)</f>
        <v>0</v>
      </c>
      <c r="C77" s="23">
        <f>ROUND(IFERROR(((LOOKUP(2,1/(B63=A77),((SUM(B76:B78)+SUM(F76:F78))/3)*C63))),0)+IFERROR(((LOOKUP(2,1/(E63=A77),(B82+F82)*F63))),0),2)</f>
        <v>0</v>
      </c>
      <c r="D77" s="23">
        <f>ROUND(IF(B77=0,0,D69/L51*P51),2)</f>
        <v>0</v>
      </c>
      <c r="E77" s="23">
        <f>ROUND(IF(B77=0,0,E69/N47*P51),2)</f>
        <v>0</v>
      </c>
      <c r="F77" s="24">
        <f>ROUND(IF(P51=0,0,IFERROR(((LOOKUP(2,1/(A58:A61=A77),H58:H61))/N47*P51),F76/P51*P51)),2)</f>
        <v>0</v>
      </c>
      <c r="G77" s="27">
        <f t="shared" si="7"/>
        <v>0</v>
      </c>
      <c r="H77" s="76">
        <f>ROUND(IF(SUM(B70:F76)&lt;(L85*7),IF((SUM(B70:F77))&gt;(L85*8),(((L85*8)-(SUM(B70:F77)-C76))*H69)+((SUM(B77:F77)-C76)*H69),SUM(B77:F77)*H69),IF(SUM(B70:F77)&gt;(L85*8),L85*H69,SUM(B77:F77)*H69)),2)</f>
        <v>0</v>
      </c>
      <c r="I77" s="76">
        <f>ROUND(IF(SUM(B70:F76)&lt;(L86*7),IF((SUM(B70:F77))&gt;(L86*8),(((L86*8)-(SUM(B70:F77)-C76))*I69)+((SUM(B77:F77)-C76)*I69),SUM(B77:F77)*I69),IF(SUM(B70:F77)&gt;(L86*8),L86*I69,SUM(B77:F77)*I69)),2)</f>
        <v>0</v>
      </c>
      <c r="J77" s="76">
        <f>ROUND(IF(SUM(B70:F76)&lt;(L86*7),IF((SUM(B70:F77))&gt;(L86*8),(((L86*8)-(SUM(B70:F77)-C76))*J69)+((SUM(B77:F77)-C76)*J69),SUM(B77:F77)*J69),IF(SUM(B70:F77)&gt;(L86*8),L86*J69,SUM(B77:F77)*J69)),2)</f>
        <v>0</v>
      </c>
      <c r="K77" s="76">
        <f>ROUND(IF(SUM(B70:F76)&lt;(L85*7),IF((SUM(B70:F77))&gt;(L85*8),(((L85*8)-(SUM(B70:F77)-C76))*K69)+((SUM(B77:F77)-C76)*K69),SUM(B77:F77)*K69),IF(SUM(B70:F77)&gt;(L85*8),L85*K69,SUM(B77:F77)*K69)),2)</f>
        <v>0</v>
      </c>
      <c r="L77" s="76">
        <f>ROUND(IF(SUM(B70:F76)&lt;(L86*7),IF((SUM(B70:F77))&gt;(L86*8),(((L86*8)-(SUM(B70:F77)-C77))*L69)+((SUM(B77:F77)-C77)*L69),(SUM(B77:F77)-C77)*L69),IF(SUM(B70:F77)&gt;(L86*8),L86*L69,SUM(B77:F77)*L69)),2)</f>
        <v>0</v>
      </c>
      <c r="M77" s="76">
        <f>ROUND(IF(SUM(B70:F76)&lt;(L86*7),IF((SUM(B70:F77))&gt;(L86*8),(((L86*8)-(SUM(B70:F77)-C77))*M69)+((SUM(B77:F77)-C77)*M69),(SUM(B77:F77)-C77)*M69),IF(SUM(B70:F77)&gt;(L86*8),L86*M69,SUM(B77:F77)*M69)),2)</f>
        <v>0</v>
      </c>
      <c r="N77" s="76">
        <f>ROUND(IF(SUM(B70:F76)&lt;(L86*7),IF((SUM(B70:F77))&gt;(L86*8),(((L86*8)-(SUM(B70:F77)-C76))*N69)+((SUM(B77:F77)-C76)*N69),SUM(B77:F77)*N69),IF(SUM(B70:F77)&gt;(L86*8),L86*N69,SUM(B77:F77)*N69)),2)</f>
        <v>0</v>
      </c>
      <c r="O77" s="23">
        <f>ROUND(SUM(B77+C77+F77)*O69,2)</f>
        <v>0</v>
      </c>
      <c r="P77" s="27">
        <f t="shared" si="8"/>
        <v>0</v>
      </c>
    </row>
    <row r="78" spans="1:16" s="1" customFormat="1" x14ac:dyDescent="0.2">
      <c r="A78" s="100" t="str">
        <f>$A$34</f>
        <v>Sep 2022</v>
      </c>
      <c r="B78" s="24">
        <f>ROUND(IF(P52=0,0,IFERROR(((LOOKUP(2,1/(A58:A61=A78),G58:G61))*P52*4.348),B77/P52*P52)),2)</f>
        <v>0</v>
      </c>
      <c r="C78" s="23">
        <f>ROUND(IFERROR(((LOOKUP(2,1/(B63=A78),((SUM(B76:B78)+SUM(F76:F78))/3)*C63))),0)+IFERROR(((LOOKUP(2,1/(E63=A78),(B82+F82)*F63))),0),2)</f>
        <v>0</v>
      </c>
      <c r="D78" s="23">
        <f>ROUND(IF(B78=0,0,D69/L51*P52),2)</f>
        <v>0</v>
      </c>
      <c r="E78" s="23">
        <f>ROUND(IF(B78=0,0,E69/N47*P52),2)</f>
        <v>0</v>
      </c>
      <c r="F78" s="24">
        <f>ROUND(IF(P52=0,0,IFERROR(((LOOKUP(2,1/(A58:A61=A78),H58:H61))/N47*P52),F77/P52*P52)),2)</f>
        <v>0</v>
      </c>
      <c r="G78" s="27">
        <f t="shared" si="7"/>
        <v>0</v>
      </c>
      <c r="H78" s="76">
        <f>ROUND(IF(SUM(B70:F77)&lt;(L85*8),IF((SUM(B70:F78))&gt;(L85*9),(((L85*9)-(SUM(B70:F78)-C77))*H69)+((SUM(B78:F78)-C77)*H69),SUM(B78:F78)*H69),IF(SUM(B70:F78)&gt;(L85*9),L85*H69,SUM(B78:F78)*H69)),2)</f>
        <v>0</v>
      </c>
      <c r="I78" s="76">
        <f>ROUND(IF(SUM(B70:F77)&lt;(L86*8),IF((SUM(B70:F78))&gt;(L86*9),(((L86*9)-(SUM(B70:F78)-C77))*I69)+((SUM(B78:F78)-C77)*I69),SUM(B78:F78)*I69),IF(SUM(B70:F78)&gt;(L86*9),L86*I69,SUM(B78:F78)*I69)),2)</f>
        <v>0</v>
      </c>
      <c r="J78" s="76">
        <f>ROUND(IF(SUM(B70:F77)&lt;(L86*8),IF((SUM(B70:F78))&gt;(L86*9),(((L86*9)-(SUM(B70:F78)-C77))*J69)+((SUM(B78:F78)-C77)*J69),SUM(B78:F78)*J69),IF(SUM(B70:F78)&gt;(L86*9),L86*J69,SUM(B78:F78)*J69)),2)</f>
        <v>0</v>
      </c>
      <c r="K78" s="76">
        <f>ROUND(IF(SUM(B70:F77)&lt;(L85*8),IF((SUM(B70:F78))&gt;(L85*9),(((L85*9)-(SUM(B70:F78)-C77))*K69)+((SUM(B78:F78)-C77)*K69),SUM(B78:F78)*K69),IF(SUM(B70:F78)&gt;(L85*9),L85*K69,SUM(B78:F78)*K69)),2)</f>
        <v>0</v>
      </c>
      <c r="L78" s="76">
        <f>ROUND(IF(SUM(B70:F77)&lt;(L86*8),IF((SUM(B70:F78))&gt;(L86*9),(((L86*9)-(SUM(B70:F78)-C78))*L69)+((SUM(B78:F78)-C78)*L69),(SUM(B78:F78)-C78)*L69),IF(SUM(B70:F78)&gt;(L86*9),L86*L69,SUM(B78:F78)*L69)),2)</f>
        <v>0</v>
      </c>
      <c r="M78" s="76">
        <f>ROUND(IF(SUM(B70:F77)&lt;(L86*8),IF((SUM(B70:F78))&gt;(L86*9),(((L86*9)-(SUM(B70:F78)-C78))*M69)+((SUM(B78:F78)-C78)*M69),(SUM(B78:F78)-C78)*M69),IF(SUM(B70:F78)&gt;(L86*9),L86*M69,SUM(B78:F78)*M69)),2)</f>
        <v>0</v>
      </c>
      <c r="N78" s="76">
        <f>ROUND(IF(SUM(B70:F77)&lt;(L86*8),IF((SUM(B70:F78))&gt;(L86*9),(((L86*9)-(SUM(B70:F78)-C77))*N69)+((SUM(B78:F78)-C77)*N69),SUM(B78:F78)*N69),IF(SUM(B70:F78)&gt;(L86*9),L86*N69,SUM(B78:F78)*N69)),2)</f>
        <v>0</v>
      </c>
      <c r="O78" s="23">
        <f>ROUND(SUM(B78+C78+F78)*O69,2)</f>
        <v>0</v>
      </c>
      <c r="P78" s="27">
        <f t="shared" si="8"/>
        <v>0</v>
      </c>
    </row>
    <row r="79" spans="1:16" s="1" customFormat="1" x14ac:dyDescent="0.2">
      <c r="A79" s="100" t="str">
        <f>$A$35</f>
        <v>Okt 2022</v>
      </c>
      <c r="B79" s="24">
        <f>ROUND(IF(P53=0,0,IFERROR(((LOOKUP(2,1/(A58:A61=A79),G58:G61))*P53*4.348),B78/P53*P53)),2)</f>
        <v>0</v>
      </c>
      <c r="C79" s="23">
        <f>ROUND(IFERROR(((LOOKUP(2,1/(B63=A79),((SUM(B76:B78)+SUM(F76:F78))/3)*C63))),0)+IFERROR(((LOOKUP(2,1/(E63=A79),(B82+F82)*F63))),0),2)</f>
        <v>0</v>
      </c>
      <c r="D79" s="23">
        <f>ROUND(IF(B79=0,0,D69/L51*P53),2)</f>
        <v>0</v>
      </c>
      <c r="E79" s="23">
        <f>ROUND(IF(B79=0,0,E69/N47*P53),2)</f>
        <v>0</v>
      </c>
      <c r="F79" s="24">
        <f>ROUND(IF(P53=0,0,IFERROR(((LOOKUP(2,1/(A58:A61=A79),H58:H61))/N47*P53),F78/P53*P53)),2)</f>
        <v>0</v>
      </c>
      <c r="G79" s="27">
        <f t="shared" si="7"/>
        <v>0</v>
      </c>
      <c r="H79" s="76">
        <f>ROUND(IF(SUM(B70:F78)&lt;(L85*9),IF((SUM(B70:F79))&gt;(L85*10),(((L85*10)-(SUM(B70:F79)-C78))*H69)+((SUM(B79:F79)-C78)*H69),SUM(B79:F79)*H69),IF(SUM(B70:F79)&gt;(L85*10),L85*H69,SUM(B79:F79)*H69)),2)</f>
        <v>0</v>
      </c>
      <c r="I79" s="76">
        <f>ROUND(IF(SUM(B70:F78)&lt;(L86*9),IF((SUM(B70:F79))&gt;(L86*10),(((L86*10)-(SUM(B70:F79)-C78))*I69)+((SUM(B79:F79)-C78)*I69),SUM(B79:F79)*I69),IF(SUM(B70:F79)&gt;(L86*10),L86*I69,SUM(B79:F79)*I69)),2)</f>
        <v>0</v>
      </c>
      <c r="J79" s="76">
        <f>ROUND(IF(SUM(B70:F78)&lt;(L86*9),IF((SUM(B70:F79))&gt;(L86*10),(((L86*10)-(SUM(B70:F79)-C78))*J69)+((SUM(B79:F79)-C78)*J69),SUM(B79:F79)*J69),IF(SUM(B70:F79)&gt;(L86*10),L86*J69,SUM(B79:F79)*J69)),2)</f>
        <v>0</v>
      </c>
      <c r="K79" s="76">
        <f>ROUND(IF(SUM(B70:F78)&lt;(L85*9),IF((SUM(B70:F79))&gt;(L85*10),(((L85*10)-(SUM(B70:F79)-C78))*K69)+((SUM(B79:F79)-C78)*K69),SUM(B79:F79)*K69),IF(SUM(B70:F79)&gt;(L85*10),L85*K69,SUM(B79:F79)*K69)),2)</f>
        <v>0</v>
      </c>
      <c r="L79" s="76">
        <f>ROUND(IF(SUM(B70:F78)&lt;(L86*9),IF((SUM(B70:F79))&gt;(L86*10),(((L86*10)-(SUM(B70:F79)-C79))*L69)+((SUM(B79:F79)-C79)*L69),(SUM(B79:F79)-C79)*L69),IF(SUM(B70:F79)&gt;(L86*10),L86*L69,SUM(B79:F79)*L69)),2)</f>
        <v>0</v>
      </c>
      <c r="M79" s="76">
        <f>ROUND(IF(SUM(B70:F78)&lt;(L86*9),IF((SUM(B70:F79))&gt;(L86*10),(((L86*10)-(SUM(B70:F79)-C79))*M69)+((SUM(B79:F79)-C79)*M69),(SUM(B79:F79)-C79)*M69),IF(SUM(B70:F79)&gt;(L86*10),L86*M69,SUM(B79:F79)*M69)),2)</f>
        <v>0</v>
      </c>
      <c r="N79" s="76">
        <f>ROUND(IF(SUM(B70:F78)&lt;(L86*9),IF((SUM(B70:F79))&gt;(L86*10),(((L86*10)-(SUM(B70:F79)-C78))*N69)+((SUM(B79:F79)-C78)*N69),SUM(B79:F79)*N69),IF(SUM(B70:F79)&gt;(L86*10),L86*N69,SUM(B79:F79)*N69)),2)</f>
        <v>0</v>
      </c>
      <c r="O79" s="23">
        <f>ROUND(SUM(B79+C79+F79)*O69,2)</f>
        <v>0</v>
      </c>
      <c r="P79" s="27">
        <f t="shared" si="8"/>
        <v>0</v>
      </c>
    </row>
    <row r="80" spans="1:16" s="1" customFormat="1" x14ac:dyDescent="0.2">
      <c r="A80" s="100" t="str">
        <f>$A$36</f>
        <v>Nov 2022</v>
      </c>
      <c r="B80" s="24">
        <f>ROUND(IF(P54=0,0,IFERROR(((LOOKUP(2,1/(A58:A61=A80),G58:G61))*P54*4.348),B79/P54*P54)),2)</f>
        <v>0</v>
      </c>
      <c r="C80" s="23">
        <f>ROUND(IFERROR(((LOOKUP(2,1/(B63=A80),((SUM(B76:B78)+SUM(F76:F78))/3)*C63))),0)+IFERROR(((LOOKUP(2,1/(E63=A80),(B82+F82)*F63))),0),2)</f>
        <v>0</v>
      </c>
      <c r="D80" s="23">
        <f>ROUND(IF(B80=0,0,D69/L51*P54),2)</f>
        <v>0</v>
      </c>
      <c r="E80" s="23">
        <f>ROUND(IF(B80=0,0,E69/N47*P54),2)</f>
        <v>0</v>
      </c>
      <c r="F80" s="24">
        <f>ROUND(IF(P54=0,0,IFERROR(((LOOKUP(2,1/(A58:A61=A80),H58:H61))/N47*P54),F79/P54*P54)),2)</f>
        <v>0</v>
      </c>
      <c r="G80" s="27">
        <f t="shared" si="7"/>
        <v>0</v>
      </c>
      <c r="H80" s="76">
        <f>ROUND(IF(SUM(B70:F79)&lt;(L85*10),IF((SUM(B70:F80))&gt;(L85*11),(((L85*11)-(SUM(B70:F80)-C79))*H69)+((SUM(B80:F80)-C79)*H69),SUM(B80:F80)*H69),IF(SUM(B70:F80)&gt;(L85*11),L85*H69,SUM(B80:F80)*H69)),2)</f>
        <v>0</v>
      </c>
      <c r="I80" s="76">
        <f>ROUND(IF(SUM(B70:F79)&lt;(L86*10),IF((SUM(B70:F80))&gt;(L86*11),(((L86*11)-(SUM(B70:F80)-C79))*I69)+((SUM(B80:F80)-C79)*I69),SUM(B80:F80)*I69),IF(SUM(B70:F80)&gt;(L86*11),L86*I69,SUM(B80:F80)*I69)),2)</f>
        <v>0</v>
      </c>
      <c r="J80" s="76">
        <f>ROUND(IF(SUM(B70:F79)&lt;(L86*10),IF((SUM(B70:F80))&gt;(L86*11),(((L86*11)-(SUM(B70:F80)-C79))*J69)+((SUM(B80:F80)-C79)*J69),SUM(B80:F80)*J69),IF(SUM(B70:F80)&gt;(L86*11),L86*J69,SUM(B80:F80)*J69)),2)</f>
        <v>0</v>
      </c>
      <c r="K80" s="76">
        <f>ROUND(IF(SUM(B70:F79)&lt;(L85*10),IF((SUM(B70:F80))&gt;(L85*11),(((L85*11)-(SUM(B70:F80)-C79))*K69)+((SUM(B80:F80)-C79)*K69),SUM(B80:F80)*K69),IF(SUM(B70:F80)&gt;(L85*11),L85*K69,SUM(B80:F80)*K69)),2)</f>
        <v>0</v>
      </c>
      <c r="L80" s="76">
        <f>ROUND(IF(SUM(B70:F79)&lt;(L86*10),IF((SUM(B70:F80))&gt;(L86*11),(((L86*11)-(SUM(B70:F80)-C80))*L69)+((SUM(B80:F80)-C80)*L69),(SUM(B80:F80)-C80)*L69),IF(SUM(B70:F80)&gt;(L86*11),L86*L69,SUM(B80:F80)*L69)),2)</f>
        <v>0</v>
      </c>
      <c r="M80" s="76">
        <f>ROUND(IF(SUM(B70:F79)&lt;(L86*10),IF((SUM(B70:F80))&gt;(L86*11),(((L86*11)-(SUM(B70:F80)-C80))*M69)+((SUM(B80:F80)-C80)*M69),(SUM(B80:F80)-C80)*M69),IF(SUM(B70:F80)&gt;(L86*11),L86*M69,SUM(B80:F80)*M69)),2)</f>
        <v>0</v>
      </c>
      <c r="N80" s="76">
        <f>ROUND(IF(SUM(B70:F79)&lt;(L86*10),IF((SUM(B70:F80))&gt;(L86*11),(((L86*11)-(SUM(B70:F80)-C79))*N69)+((SUM(B80:F80)-C79)*N69),SUM(B80:F80)*N69),IF(SUM(B70:F80)&gt;(L86*11),L86*N69,SUM(B80:F80)*N69)),2)</f>
        <v>0</v>
      </c>
      <c r="O80" s="23">
        <f>ROUND(SUM(B80+C80+F80)*O69,2)</f>
        <v>0</v>
      </c>
      <c r="P80" s="27">
        <f t="shared" si="8"/>
        <v>0</v>
      </c>
    </row>
    <row r="81" spans="1:16" s="1" customFormat="1" x14ac:dyDescent="0.2">
      <c r="A81" s="100" t="str">
        <f>$A$37</f>
        <v>Dez 2022</v>
      </c>
      <c r="B81" s="24">
        <f>ROUND(IF(P55=0,0,IFERROR(((LOOKUP(2,1/(A58:A61=A81),G58:G61))*P55*4.348),B80/P55*P55)),2)</f>
        <v>0</v>
      </c>
      <c r="C81" s="23">
        <f>ROUND(IFERROR(((LOOKUP(2,1/(B63=A81),((SUM(B76:B78)+SUM(F76:F78))/3)*C63))),0)+IFERROR(((LOOKUP(2,1/(E63=A81),(B82+F82)*F63))),0),2)</f>
        <v>0</v>
      </c>
      <c r="D81" s="23">
        <f>ROUND(IF(B81=0,0,D69/L51*P55),2)</f>
        <v>0</v>
      </c>
      <c r="E81" s="23">
        <f>ROUND(IF(B81=0,0,E69/N47*P55),2)</f>
        <v>0</v>
      </c>
      <c r="F81" s="24">
        <f>ROUND(IF(P55=0,0,IFERROR(((LOOKUP(2,1/(A58:A61=A81),H58:H61))/N47*P55),F80/P55*P55)),2)</f>
        <v>0</v>
      </c>
      <c r="G81" s="27">
        <f t="shared" si="7"/>
        <v>0</v>
      </c>
      <c r="H81" s="76">
        <f>ROUND(IF(SUM(B70:F80)&lt;(L85*11),IF((SUM(B70:F81))&gt;(L85*12),(((L85*12)-(SUM(B70:F81)-C80))*H69)+((SUM(B81:F81)-C80)*H69),SUM(B81:F81)*H69),IF(SUM(B70:F81)&gt;(L85*12),L85*H69,SUM(B81:F81)*H69)),2)</f>
        <v>0</v>
      </c>
      <c r="I81" s="76">
        <f>ROUND(IF(SUM(B70:F80)&lt;(L86*11),IF((SUM(B70:F81))&gt;(L86*12),(((L86*12)-(SUM(B70:F81)-C80))*I69)+((SUM(B81:F81)-C80)*I69),SUM(B81:F81)*I69),IF(SUM(B70:F81)&gt;(L86*12),L86*I69,SUM(B81:F81)*I69)),2)</f>
        <v>0</v>
      </c>
      <c r="J81" s="76">
        <f>ROUND(IF(SUM(B70:F80)&lt;(L86*11),IF((SUM(B70:F81))&gt;(L86*12),(((L86*12)-(SUM(B70:F81)-C80))*J69)+((SUM(B81:F81)-C80)*J69),SUM(B81:F81)*J69),IF(SUM(B70:F81)&gt;(L86*12),L86*J69,SUM(B81:F81)*J69)),2)</f>
        <v>0</v>
      </c>
      <c r="K81" s="76">
        <f>ROUND(IF(SUM(B70:F80)&lt;(L85*11),IF((SUM(B70:F81))&gt;(L85*12),(((L85*12)-(SUM(B70:F81)-C80))*K69)+((SUM(B81:F81)-C80)*K69),SUM(B81:F81)*K69),IF(SUM(B70:F81)&gt;(L85*12),L85*K69,SUM(B81:F81)*K69)),2)</f>
        <v>0</v>
      </c>
      <c r="L81" s="76">
        <f>ROUND(IF(SUM(B70:F80)&lt;(L86*11),IF((SUM(B70:F81))&gt;(L86*12),(((L86*12)-(SUM(B70:F81)-C81))*L69)+((SUM(B81:F81)-C81)*L69),(SUM(B81:F81)-C81)*L69),IF(SUM(B70:F81)&gt;(L86*12),L86*L69,SUM(B81:F81)*L69)),2)</f>
        <v>0</v>
      </c>
      <c r="M81" s="76">
        <f>ROUND(IF(SUM(B70:F80)&lt;(L86*11),IF((SUM(B70:F81))&gt;(L86*12),(((L86*12)-(SUM(B70:F81)-C81))*M69)+((SUM(B81:F81)-C81)*M69),(SUM(B81:F81)-C81)*M69),IF(SUM(B70:F81)&gt;(L86*12),L86*M69,SUM(B81:F81)*M69)),2)</f>
        <v>0</v>
      </c>
      <c r="N81" s="76">
        <f>ROUND(IF(SUM(B70:F80)&lt;(L86*11),IF((SUM(B70:F81))&gt;(L86*12),(((L86*12)-(SUM(B70:F81)-C80))*N69)+((SUM(B81:F81)-C80)*N69),SUM(B81:F81)*N69),IF(SUM(B70:F81)&gt;(L86*12),L86*N69,SUM(B81:F81)*N69)),2)</f>
        <v>0</v>
      </c>
      <c r="O81" s="23">
        <f>ROUND(SUM(B81+C81+F81)*O69,2)</f>
        <v>0</v>
      </c>
      <c r="P81" s="27">
        <f t="shared" si="8"/>
        <v>0</v>
      </c>
    </row>
    <row r="82" spans="1:16" s="14" customFormat="1" ht="15" x14ac:dyDescent="0.25">
      <c r="A82" s="4" t="s">
        <v>2</v>
      </c>
      <c r="B82" s="27">
        <f>SUM(B70:B81)</f>
        <v>0</v>
      </c>
      <c r="C82" s="27">
        <f t="shared" ref="C82:D82" si="9">SUM(C70:C81)</f>
        <v>0</v>
      </c>
      <c r="D82" s="27">
        <f t="shared" si="9"/>
        <v>0</v>
      </c>
      <c r="E82" s="27">
        <f>SUM(E70:E81)</f>
        <v>0</v>
      </c>
      <c r="F82" s="27">
        <f>SUM(F70:F81)</f>
        <v>0</v>
      </c>
      <c r="G82" s="27">
        <f>SUM(G70:G81)</f>
        <v>0</v>
      </c>
      <c r="H82" s="1133">
        <f>SUM(H70:N81)</f>
        <v>0</v>
      </c>
      <c r="I82" s="1134"/>
      <c r="J82" s="1134"/>
      <c r="K82" s="1134"/>
      <c r="L82" s="1134"/>
      <c r="M82" s="1134"/>
      <c r="N82" s="1135"/>
      <c r="O82" s="27">
        <f>SUM(O70:O81)</f>
        <v>0</v>
      </c>
      <c r="P82" s="27">
        <f>SUM(P70:P81)</f>
        <v>0</v>
      </c>
    </row>
    <row r="83" spans="1:16" s="13" customFormat="1" ht="11.25" x14ac:dyDescent="0.2">
      <c r="A83" s="3" t="s">
        <v>1</v>
      </c>
      <c r="B83" s="2"/>
      <c r="C83" s="2"/>
      <c r="D83" s="2"/>
      <c r="E83" s="2"/>
      <c r="F83" s="2"/>
      <c r="G83" s="2"/>
      <c r="H83" s="2"/>
      <c r="I83" s="2"/>
      <c r="J83" s="2"/>
      <c r="K83" s="2"/>
      <c r="L83" s="2"/>
      <c r="M83" s="2"/>
      <c r="N83" s="2"/>
      <c r="O83" s="2"/>
      <c r="P83" s="2"/>
    </row>
    <row r="84" spans="1:16" s="1" customFormat="1" ht="14.25" customHeight="1" x14ac:dyDescent="0.2">
      <c r="A84" s="1136" t="s">
        <v>133</v>
      </c>
      <c r="B84" s="1137"/>
      <c r="C84" s="1137"/>
      <c r="D84" s="1137" t="s">
        <v>134</v>
      </c>
      <c r="E84" s="1137"/>
      <c r="F84" s="94" t="str">
        <f>IF(IF(G82=0,"",'päd.Personal - Leitung'!$F$40)=0,"",IF(G82=0,"",'päd.Personal - Leitung'!$F$40))</f>
        <v/>
      </c>
      <c r="G84" s="77" t="s">
        <v>135</v>
      </c>
      <c r="H84" s="96" t="str">
        <f>IF(IF(G82=0,"",'päd.Personal - Leitung'!$H$40)=0,"",IF(G82=0,"",'päd.Personal - Leitung'!$H$40))</f>
        <v/>
      </c>
      <c r="I84" s="73"/>
      <c r="J84" s="194" t="s">
        <v>160</v>
      </c>
      <c r="K84" s="194" t="str">
        <f>$K$40</f>
        <v>2021</v>
      </c>
      <c r="L84" s="194" t="str">
        <f>$L$40</f>
        <v>anteilig 2021</v>
      </c>
      <c r="M84" s="1138" t="s">
        <v>140</v>
      </c>
      <c r="N84" s="1138"/>
      <c r="O84" s="1139"/>
      <c r="P84" s="27">
        <f>ROUND(IF(F84="",IF(E88="",0,(E88*H88/K88)/L51*L52),G82*F84*H84/1000),2)</f>
        <v>0</v>
      </c>
    </row>
    <row r="85" spans="1:16" s="1" customFormat="1" ht="15" customHeight="1" x14ac:dyDescent="0.2">
      <c r="A85" s="1140" t="s">
        <v>145</v>
      </c>
      <c r="B85" s="1141"/>
      <c r="C85" s="1141"/>
      <c r="D85" s="18"/>
      <c r="E85" s="107" t="s">
        <v>135</v>
      </c>
      <c r="F85" s="95" t="str">
        <f>IF(IF(G82=0,"",'päd.Personal - Leitung'!$F$41)=0,"",IF(G82=0,"",'päd.Personal - Leitung'!$F$41))</f>
        <v/>
      </c>
      <c r="G85" s="48"/>
      <c r="H85" s="47"/>
      <c r="I85" s="48"/>
      <c r="J85" s="195" t="s">
        <v>158</v>
      </c>
      <c r="K85" s="198">
        <f>$K$41</f>
        <v>4837.5</v>
      </c>
      <c r="L85" s="197">
        <f>IF(L51="",K85,K85/L51*L52)</f>
        <v>4837.5</v>
      </c>
      <c r="M85" s="1138" t="s">
        <v>139</v>
      </c>
      <c r="N85" s="1138"/>
      <c r="O85" s="1139"/>
      <c r="P85" s="27">
        <f>ROUND(IF(F85="",0,G82*F85/1000),2)</f>
        <v>0</v>
      </c>
    </row>
    <row r="86" spans="1:16" s="1" customFormat="1" ht="15.75" customHeight="1" x14ac:dyDescent="0.2">
      <c r="A86" s="1142" t="s">
        <v>141</v>
      </c>
      <c r="B86" s="1143"/>
      <c r="C86" s="1143"/>
      <c r="D86" s="1144" t="s">
        <v>143</v>
      </c>
      <c r="E86" s="1144"/>
      <c r="F86" s="1145" t="str">
        <f>IF(IF(G82=0,"",'päd.Personal - Leitung'!$F$42)=0,"",IF(G82=0,"",'päd.Personal - Leitung'!$F$42))</f>
        <v/>
      </c>
      <c r="G86" s="1145"/>
      <c r="H86" s="72"/>
      <c r="I86" s="18"/>
      <c r="J86" s="195" t="s">
        <v>159</v>
      </c>
      <c r="K86" s="197">
        <f>$K$42</f>
        <v>6700</v>
      </c>
      <c r="L86" s="197">
        <f>IF(L51="",K86,K86/L51*L52)</f>
        <v>6700</v>
      </c>
      <c r="M86" s="1138" t="s">
        <v>141</v>
      </c>
      <c r="N86" s="1138"/>
      <c r="O86" s="1139"/>
      <c r="P86" s="23">
        <f>ROUND(IF(F86="",0,IF(G82=0,0,F86/L51*L52)),2)</f>
        <v>0</v>
      </c>
    </row>
    <row r="87" spans="1:16" s="1" customFormat="1" ht="14.25" customHeight="1" x14ac:dyDescent="0.2">
      <c r="A87" s="18"/>
      <c r="B87" s="18"/>
      <c r="C87" s="18"/>
      <c r="D87" s="18"/>
      <c r="E87" s="18"/>
      <c r="F87" s="18"/>
      <c r="G87" s="18"/>
      <c r="H87" s="18"/>
      <c r="I87" s="18"/>
      <c r="J87" s="18"/>
      <c r="K87" s="74"/>
      <c r="L87" s="82"/>
      <c r="M87" s="1127" t="s">
        <v>146</v>
      </c>
      <c r="N87" s="1127"/>
      <c r="O87" s="1128"/>
      <c r="P87" s="23">
        <f>ROUND(IF(G82=0,0,'päd.Personal - Leitung'!$P$43),2)</f>
        <v>0</v>
      </c>
    </row>
    <row r="88" spans="1:16" s="1" customFormat="1" ht="14.25" customHeight="1" x14ac:dyDescent="0.2">
      <c r="A88" s="1129" t="s">
        <v>142</v>
      </c>
      <c r="B88" s="1130"/>
      <c r="C88" s="126" t="s">
        <v>136</v>
      </c>
      <c r="D88" s="179" t="s">
        <v>137</v>
      </c>
      <c r="E88" s="1131" t="str">
        <f>IF(IF(G82=0,"",'päd.Personal - Leitung'!$E$44)=0,"",IF(G82=0,"",'päd.Personal - Leitung'!$E$44))</f>
        <v/>
      </c>
      <c r="F88" s="1131"/>
      <c r="G88" s="83" t="s">
        <v>138</v>
      </c>
      <c r="H88" s="97" t="str">
        <f>IF(IF(G82=0,"",'päd.Personal - Leitung'!$H$44)=0,"",IF(G82=0,"",'päd.Personal - Leitung'!$H$44))</f>
        <v/>
      </c>
      <c r="I88" s="1132" t="s">
        <v>144</v>
      </c>
      <c r="J88" s="1132"/>
      <c r="K88" s="98" t="str">
        <f>IF(IF(G82=0,"",'päd.Personal - Leitung'!$K$44)=0,"",IF(G82=0,"",'päd.Personal - Leitung'!$K$44))</f>
        <v/>
      </c>
      <c r="L88" s="29"/>
      <c r="M88" s="29"/>
      <c r="N88" s="29"/>
      <c r="O88" s="28" t="s">
        <v>0</v>
      </c>
      <c r="P88" s="27">
        <f>P82+SUM(P84:P87)</f>
        <v>0</v>
      </c>
    </row>
    <row r="89" spans="1:16" s="12" customFormat="1" ht="13.5" customHeight="1" x14ac:dyDescent="0.2">
      <c r="A89" s="1178" t="s">
        <v>18</v>
      </c>
      <c r="B89" s="1178"/>
      <c r="C89" s="1178"/>
      <c r="D89" s="1179" t="str">
        <f>IF($D$1="","",$D$1)</f>
        <v/>
      </c>
      <c r="E89" s="1179"/>
      <c r="F89" s="1179"/>
      <c r="G89" s="1179"/>
      <c r="H89" s="1179"/>
      <c r="I89" s="1179"/>
      <c r="J89" s="1179"/>
      <c r="K89" s="1179"/>
      <c r="L89" s="1179"/>
      <c r="M89" s="1179"/>
      <c r="N89" s="1179"/>
    </row>
    <row r="90" spans="1:16" s="12" customFormat="1" ht="15" customHeight="1" x14ac:dyDescent="0.2">
      <c r="A90" s="1178" t="s">
        <v>17</v>
      </c>
      <c r="B90" s="1178"/>
      <c r="C90" s="1178" t="s">
        <v>15</v>
      </c>
      <c r="D90" s="1179" t="str">
        <f>IF($D$2="","",$D$2)</f>
        <v/>
      </c>
      <c r="E90" s="1179"/>
      <c r="F90" s="1179"/>
      <c r="G90" s="1179"/>
      <c r="H90" s="1179"/>
      <c r="I90" s="1179"/>
      <c r="J90" s="1179"/>
      <c r="K90" s="1179"/>
      <c r="L90" s="1179"/>
      <c r="M90" s="1179"/>
      <c r="N90" s="1179"/>
    </row>
    <row r="91" spans="1:16" s="12" customFormat="1" ht="15" customHeight="1" x14ac:dyDescent="0.2">
      <c r="A91" s="1178" t="s">
        <v>16</v>
      </c>
      <c r="B91" s="1178"/>
      <c r="C91" s="1178" t="s">
        <v>15</v>
      </c>
      <c r="D91" s="1179" t="str">
        <f>IF($D$3="","",$D$3)</f>
        <v/>
      </c>
      <c r="E91" s="1179"/>
      <c r="F91" s="1179"/>
      <c r="G91" s="1179"/>
      <c r="H91" s="1179"/>
      <c r="I91" s="1179"/>
      <c r="J91" s="1179"/>
      <c r="K91" s="1178" t="s">
        <v>103</v>
      </c>
      <c r="L91" s="1178"/>
      <c r="M91" s="1178"/>
      <c r="N91" s="41" t="str">
        <f>IF($N$3="","",$N$3)</f>
        <v/>
      </c>
    </row>
    <row r="92" spans="1:16" s="13" customFormat="1" ht="11.25" x14ac:dyDescent="0.2">
      <c r="A92" s="1182"/>
      <c r="B92" s="1182"/>
      <c r="C92" s="1182"/>
      <c r="D92" s="1183"/>
      <c r="E92" s="1183"/>
      <c r="F92" s="1183"/>
      <c r="G92" s="1183"/>
      <c r="H92" s="1183"/>
      <c r="I92" s="1183"/>
      <c r="J92" s="1183"/>
      <c r="K92" s="11"/>
      <c r="L92" s="11"/>
      <c r="M92" s="11"/>
      <c r="N92" s="11"/>
      <c r="O92" s="11"/>
      <c r="P92" s="11"/>
    </row>
    <row r="93" spans="1:16" s="15" customFormat="1" ht="13.5" customHeight="1" x14ac:dyDescent="0.2">
      <c r="A93" s="1177" t="s">
        <v>166</v>
      </c>
      <c r="B93" s="1177"/>
      <c r="C93" s="1177"/>
      <c r="D93" s="1177"/>
      <c r="E93" s="1177"/>
      <c r="F93" s="1177"/>
      <c r="G93" s="1177"/>
      <c r="H93" s="1177"/>
      <c r="I93" s="1177"/>
      <c r="J93" s="1177"/>
      <c r="K93" s="9"/>
      <c r="L93" s="9"/>
      <c r="M93" s="9"/>
      <c r="N93" s="59" t="s">
        <v>154</v>
      </c>
      <c r="O93" s="191">
        <f>$O$5</f>
        <v>2022</v>
      </c>
      <c r="P93" s="59" t="s">
        <v>154</v>
      </c>
    </row>
    <row r="94" spans="1:16" s="10" customFormat="1" ht="13.5" customHeight="1" x14ac:dyDescent="0.25">
      <c r="B94" s="32"/>
      <c r="C94" s="32"/>
      <c r="D94" s="5" t="s">
        <v>41</v>
      </c>
      <c r="E94" s="31"/>
      <c r="F94" s="31"/>
      <c r="G94" s="31"/>
      <c r="H94" s="31"/>
      <c r="I94" s="26"/>
      <c r="J94" s="1174" t="s">
        <v>14</v>
      </c>
      <c r="K94" s="1174"/>
      <c r="L94" s="180" t="str">
        <f>IF('päd.Personal - Leitung'!L94="","",'päd.Personal - Leitung'!L94)</f>
        <v/>
      </c>
      <c r="N94" s="84">
        <f>IF(L96="","",L96)</f>
        <v>0</v>
      </c>
      <c r="O94" s="58" t="str">
        <f>$O$6</f>
        <v>Jan                Jul</v>
      </c>
      <c r="P94" s="85">
        <f>IF(N99="","",N99)</f>
        <v>0</v>
      </c>
    </row>
    <row r="95" spans="1:16" s="7" customFormat="1" ht="13.5" customHeight="1" x14ac:dyDescent="0.25">
      <c r="A95" s="1180" t="s">
        <v>71</v>
      </c>
      <c r="B95" s="1180"/>
      <c r="C95" s="1180"/>
      <c r="D95" s="1184" t="str">
        <f>IF('päd.Personal - Leitung'!D95="","",'päd.Personal - Leitung'!D95)</f>
        <v/>
      </c>
      <c r="E95" s="1184"/>
      <c r="F95" s="1184"/>
      <c r="G95" s="1184"/>
      <c r="H95" s="1184"/>
      <c r="I95" s="1184"/>
      <c r="J95" s="1174" t="s">
        <v>104</v>
      </c>
      <c r="K95" s="1174"/>
      <c r="L95" s="145" t="str">
        <f>IF('päd.Personal - Leitung'!L95="","",'päd.Personal - Leitung'!L95)</f>
        <v/>
      </c>
      <c r="N95" s="85">
        <f>IF(N94="","",N94)</f>
        <v>0</v>
      </c>
      <c r="O95" s="58" t="str">
        <f>$O$7</f>
        <v>Feb              Aug</v>
      </c>
      <c r="P95" s="85">
        <f>IF(P94="","",P94)</f>
        <v>0</v>
      </c>
    </row>
    <row r="96" spans="1:16" s="1" customFormat="1" ht="13.5" customHeight="1" x14ac:dyDescent="0.2">
      <c r="A96" s="1180" t="s">
        <v>13</v>
      </c>
      <c r="B96" s="1180"/>
      <c r="C96" s="1180"/>
      <c r="D96" s="1181" t="str">
        <f>IF('päd.Personal - Leitung'!D96="","",'päd.Personal - Leitung'!D96)</f>
        <v/>
      </c>
      <c r="E96" s="1181"/>
      <c r="F96" s="1181"/>
      <c r="G96" s="1181"/>
      <c r="H96" s="1181"/>
      <c r="I96" s="1181"/>
      <c r="J96" s="1174" t="s">
        <v>164</v>
      </c>
      <c r="K96" s="1174"/>
      <c r="L96" s="145">
        <f>IF('päd.Personal - Leitung'!D95="",IF(L95="",0,IF((L97+L98)&gt;L95,0,L95-L97-L98)),IF(L95="",0,'päd.Personal - Leitung'!L97-'päd.Personal - Erzieher'!L97-L98))</f>
        <v>0</v>
      </c>
      <c r="N96" s="85">
        <f>IF(N95="","",N95)</f>
        <v>0</v>
      </c>
      <c r="O96" s="58" t="str">
        <f>$O$8</f>
        <v>Mrz              Sep</v>
      </c>
      <c r="P96" s="85">
        <f>IF(P95="","",P95)</f>
        <v>0</v>
      </c>
    </row>
    <row r="97" spans="1:16" s="1" customFormat="1" ht="13.5" customHeight="1" x14ac:dyDescent="0.2">
      <c r="A97" s="1180" t="s">
        <v>12</v>
      </c>
      <c r="B97" s="1180"/>
      <c r="C97" s="1180"/>
      <c r="D97" s="1181" t="str">
        <f>IF('päd.Personal - Leitung'!D97="","",'päd.Personal - Leitung'!D97)</f>
        <v/>
      </c>
      <c r="E97" s="1181"/>
      <c r="F97" s="1181"/>
      <c r="G97" s="1181"/>
      <c r="H97" s="1181"/>
      <c r="I97" s="1181"/>
      <c r="J97" s="1174" t="s">
        <v>165</v>
      </c>
      <c r="K97" s="1174"/>
      <c r="L97" s="145"/>
      <c r="N97" s="85">
        <f>IF(N96="","",N96)</f>
        <v>0</v>
      </c>
      <c r="O97" s="58" t="str">
        <f>$O$9</f>
        <v>Apr               Okt</v>
      </c>
      <c r="P97" s="85">
        <f t="shared" ref="P97:P99" si="10">IF(P96="","",P96)</f>
        <v>0</v>
      </c>
    </row>
    <row r="98" spans="1:16" s="1" customFormat="1" ht="13.5" customHeight="1" x14ac:dyDescent="0.2">
      <c r="A98" s="1180" t="s">
        <v>19</v>
      </c>
      <c r="B98" s="1180"/>
      <c r="C98" s="1180"/>
      <c r="D98" s="1181" t="str">
        <f>IF('päd.Personal - Leitung'!D98="","",'päd.Personal - Leitung'!D98)</f>
        <v/>
      </c>
      <c r="E98" s="1181"/>
      <c r="F98" s="1181"/>
      <c r="G98" s="1181"/>
      <c r="H98" s="1181"/>
      <c r="I98" s="1181"/>
      <c r="J98" s="1174" t="s">
        <v>252</v>
      </c>
      <c r="K98" s="1174"/>
      <c r="L98" s="145"/>
      <c r="M98" s="92"/>
      <c r="N98" s="85">
        <f>IF(N97="","",N97)</f>
        <v>0</v>
      </c>
      <c r="O98" s="58" t="str">
        <f>$O$10</f>
        <v>Mai               Nov</v>
      </c>
      <c r="P98" s="85">
        <f t="shared" si="10"/>
        <v>0</v>
      </c>
    </row>
    <row r="99" spans="1:16" s="1" customFormat="1" ht="13.5" customHeight="1" x14ac:dyDescent="0.2">
      <c r="B99" s="8"/>
      <c r="C99" s="121" t="s">
        <v>162</v>
      </c>
      <c r="D99" s="1175" t="str">
        <f>IF('päd.Personal - Leitung'!D99="","",'päd.Personal - Leitung'!D99)</f>
        <v/>
      </c>
      <c r="E99" s="1175"/>
      <c r="F99" s="1176" t="s">
        <v>106</v>
      </c>
      <c r="G99" s="1176"/>
      <c r="H99" s="1186" t="str">
        <f>IF('päd.Personal - Leitung'!H99="","",'päd.Personal - Leitung'!H99)</f>
        <v/>
      </c>
      <c r="I99" s="1186"/>
      <c r="J99" s="1174" t="s">
        <v>97</v>
      </c>
      <c r="K99" s="1174"/>
      <c r="L99" s="17" t="str">
        <f>IF(IF((COUNTIF(B114:B125,"&gt;0"))=0,0,(COUNTIF(B114:B125,"&gt;0")))&gt;Grundlagen!$C$24,Grundlagen!$C$24,IF((COUNTIF(B114:B125,"&gt;0"))=0,"",(COUNTIF(B114:B125,"&gt;0"))))</f>
        <v/>
      </c>
      <c r="N99" s="85">
        <f>IF(N98="","",N98)</f>
        <v>0</v>
      </c>
      <c r="O99" s="58" t="str">
        <f>'päd.Personal - Leitung'!$O$11</f>
        <v>Jun               Dez</v>
      </c>
      <c r="P99" s="85">
        <f t="shared" si="10"/>
        <v>0</v>
      </c>
    </row>
    <row r="100" spans="1:16" s="1" customFormat="1" ht="13.5" customHeight="1" x14ac:dyDescent="0.2">
      <c r="I100" s="6"/>
      <c r="L100" s="147" t="str">
        <f>IF((SUM(F102:F105))=0,"",IF(P100&gt;L96,L96,IF(L96="","",IF(L99="","",P100))))</f>
        <v/>
      </c>
      <c r="O100" s="174" t="s">
        <v>251</v>
      </c>
      <c r="P100" s="175">
        <f>IF(L99="",0,((IF(SUMIF(B114,"&gt;0"),N94,0))+(IF(SUMIF(B115,"&gt;0"),N95,0))+(IF(SUMIF(B116,"&gt;0"),N96,0))+(IF(SUMIF(B117,"&gt;0"),N97,0))+(IF(SUMIF(B118,"&gt;0"),N98,0))+(IF(SUMIF(B119,"&gt;0"),N99,0))+(IF(SUMIF(B120,"&gt;0"),P94,0))+(IF(SUMIF(B121,"&gt;0"),P95,0))+(IF(SUMIF(B122,"&gt;0"),P96,0))+(IF(SUMIF(B123,"&gt;0"),P97,0))+(IF(SUMIF(B124,"&gt;0"),P98,0))+(IF(SUMIF(B125,"&gt;0"),P99,0)))/Grundlagen!$C$24)</f>
        <v>0</v>
      </c>
    </row>
    <row r="101" spans="1:16" s="52" customFormat="1" ht="13.5" customHeight="1" x14ac:dyDescent="0.2">
      <c r="A101" s="61" t="s">
        <v>148</v>
      </c>
      <c r="B101" s="1168" t="s">
        <v>149</v>
      </c>
      <c r="C101" s="1168"/>
      <c r="D101" s="62" t="s">
        <v>150</v>
      </c>
      <c r="E101" s="63" t="s">
        <v>151</v>
      </c>
      <c r="F101" s="64" t="str">
        <f>CONCATENATE("Entg. ",N91," h/Wo")</f>
        <v>Entg.  h/Wo</v>
      </c>
      <c r="G101" s="65" t="s">
        <v>152</v>
      </c>
      <c r="H101" s="65" t="s">
        <v>153</v>
      </c>
      <c r="K101" s="1169" t="str">
        <f>CONCATENATE("Zuschläge / Zulagen für ",N91,"h/Wo")</f>
        <v>Zuschläge / Zulagen für h/Wo</v>
      </c>
      <c r="L101" s="1169"/>
      <c r="M101" s="66" t="str">
        <f>IF(A102="","",A102)</f>
        <v>Jan 2022</v>
      </c>
      <c r="N101" s="66" t="str">
        <f>IF(A103="","",A103)</f>
        <v/>
      </c>
      <c r="O101" s="66" t="str">
        <f>IF(A104="","",A104)</f>
        <v/>
      </c>
      <c r="P101" s="66" t="str">
        <f>IF(A105="","",A105)</f>
        <v/>
      </c>
    </row>
    <row r="102" spans="1:16" s="52" customFormat="1" ht="13.5" customHeight="1" x14ac:dyDescent="0.25">
      <c r="A102" s="54" t="str">
        <f>'päd.Personal - Leitung'!A102</f>
        <v>Jan 2022</v>
      </c>
      <c r="B102" s="1170" t="str">
        <f>IF($D$3="","",$D$3)</f>
        <v/>
      </c>
      <c r="C102" s="1171"/>
      <c r="D102" s="181" t="str">
        <f>IF('päd.Personal - Leitung'!D102="","",'päd.Personal - Leitung'!D102)</f>
        <v/>
      </c>
      <c r="E102" s="181" t="str">
        <f>IF('päd.Personal - Leitung'!E102="","",'päd.Personal - Leitung'!E102)</f>
        <v/>
      </c>
      <c r="F102" s="87">
        <f>IF('päd.Personal - Leitung'!F102="",0,'päd.Personal - Leitung'!F102)</f>
        <v>0</v>
      </c>
      <c r="G102" s="56">
        <f>IF(N91="",0,F102/N91/4.348)</f>
        <v>0</v>
      </c>
      <c r="H102" s="53">
        <f>IF(M107="",0,M107)</f>
        <v>0</v>
      </c>
      <c r="K102" s="1146" t="str">
        <f>IF('päd.Personal - Leitung'!K102="","",'päd.Personal - Leitung'!K102)</f>
        <v/>
      </c>
      <c r="L102" s="1146"/>
      <c r="M102" s="172" t="str">
        <f>IF('päd.Personal - Leitung'!M102="","",'päd.Personal - Leitung'!M102)</f>
        <v/>
      </c>
      <c r="N102" s="172" t="str">
        <f>IF('päd.Personal - Leitung'!N102="","",'päd.Personal - Leitung'!N102)</f>
        <v/>
      </c>
      <c r="O102" s="172" t="str">
        <f>IF('päd.Personal - Leitung'!O102="","",'päd.Personal - Leitung'!O102)</f>
        <v/>
      </c>
      <c r="P102" s="172" t="str">
        <f>IF('päd.Personal - Leitung'!P102="","",'päd.Personal - Leitung'!P102)</f>
        <v/>
      </c>
    </row>
    <row r="103" spans="1:16" s="52" customFormat="1" ht="13.5" customHeight="1" x14ac:dyDescent="0.25">
      <c r="A103" s="55" t="str">
        <f>IF('päd.Personal - Leitung'!A103="","",'päd.Personal - Leitung'!A103)</f>
        <v/>
      </c>
      <c r="B103" s="1172" t="str">
        <f>IF(A103="","",B102)</f>
        <v/>
      </c>
      <c r="C103" s="1173"/>
      <c r="D103" s="181" t="str">
        <f>IF('päd.Personal - Leitung'!D103="","",'päd.Personal - Leitung'!D103)</f>
        <v/>
      </c>
      <c r="E103" s="181" t="str">
        <f>IF('päd.Personal - Leitung'!E103="","",'päd.Personal - Leitung'!E103)</f>
        <v/>
      </c>
      <c r="F103" s="87">
        <f>IF('päd.Personal - Leitung'!F103="",0,'päd.Personal - Leitung'!F103)</f>
        <v>0</v>
      </c>
      <c r="G103" s="56">
        <f>IF(N91="",0,F103/N91/4.348)</f>
        <v>0</v>
      </c>
      <c r="H103" s="53">
        <f>IF(N107="",0,N107)</f>
        <v>0</v>
      </c>
      <c r="K103" s="1146" t="str">
        <f>IF('päd.Personal - Leitung'!K103="","",'päd.Personal - Leitung'!K103)</f>
        <v/>
      </c>
      <c r="L103" s="1146"/>
      <c r="M103" s="172" t="str">
        <f>IF('päd.Personal - Leitung'!M103="","",'päd.Personal - Leitung'!M103)</f>
        <v/>
      </c>
      <c r="N103" s="172" t="str">
        <f>IF('päd.Personal - Leitung'!N103="","",'päd.Personal - Leitung'!N103)</f>
        <v/>
      </c>
      <c r="O103" s="172" t="str">
        <f>IF('päd.Personal - Leitung'!O103="","",'päd.Personal - Leitung'!O103)</f>
        <v/>
      </c>
      <c r="P103" s="172" t="str">
        <f>IF('päd.Personal - Leitung'!P103="","",'päd.Personal - Leitung'!P103)</f>
        <v/>
      </c>
    </row>
    <row r="104" spans="1:16" s="52" customFormat="1" ht="13.5" customHeight="1" x14ac:dyDescent="0.25">
      <c r="A104" s="55" t="str">
        <f>IF('päd.Personal - Leitung'!A104="","",'päd.Personal - Leitung'!A104)</f>
        <v/>
      </c>
      <c r="B104" s="1172" t="str">
        <f>IF(A104="","",B103)</f>
        <v/>
      </c>
      <c r="C104" s="1173"/>
      <c r="D104" s="181" t="str">
        <f>IF('päd.Personal - Leitung'!D104="","",'päd.Personal - Leitung'!D104)</f>
        <v/>
      </c>
      <c r="E104" s="181" t="str">
        <f>IF('päd.Personal - Leitung'!E104="","",'päd.Personal - Leitung'!E104)</f>
        <v/>
      </c>
      <c r="F104" s="87">
        <f>IF('päd.Personal - Leitung'!F104="",0,'päd.Personal - Leitung'!F104)</f>
        <v>0</v>
      </c>
      <c r="G104" s="56">
        <f>IF(N91="",0,F104/N91/4.348)</f>
        <v>0</v>
      </c>
      <c r="H104" s="53">
        <f>IF(O107="",0,O107)</f>
        <v>0</v>
      </c>
      <c r="K104" s="1146" t="str">
        <f>IF('päd.Personal - Leitung'!K104="","",'päd.Personal - Leitung'!K104)</f>
        <v/>
      </c>
      <c r="L104" s="1146"/>
      <c r="M104" s="172" t="str">
        <f>IF('päd.Personal - Leitung'!M104="","",'päd.Personal - Leitung'!M104)</f>
        <v/>
      </c>
      <c r="N104" s="172" t="str">
        <f>IF('päd.Personal - Leitung'!N104="","",'päd.Personal - Leitung'!N104)</f>
        <v/>
      </c>
      <c r="O104" s="172" t="str">
        <f>IF('päd.Personal - Leitung'!O104="","",'päd.Personal - Leitung'!O104)</f>
        <v/>
      </c>
      <c r="P104" s="172" t="str">
        <f>IF('päd.Personal - Leitung'!P104="","",'päd.Personal - Leitung'!P104)</f>
        <v/>
      </c>
    </row>
    <row r="105" spans="1:16" s="52" customFormat="1" ht="13.5" customHeight="1" x14ac:dyDescent="0.25">
      <c r="A105" s="55" t="str">
        <f>IF('päd.Personal - Leitung'!A105="","",'päd.Personal - Leitung'!A105)</f>
        <v/>
      </c>
      <c r="B105" s="1172" t="str">
        <f>IF(A105="","",B104)</f>
        <v/>
      </c>
      <c r="C105" s="1173"/>
      <c r="D105" s="181" t="str">
        <f>IF('päd.Personal - Leitung'!D105="","",'päd.Personal - Leitung'!D105)</f>
        <v/>
      </c>
      <c r="E105" s="181" t="str">
        <f>IF('päd.Personal - Leitung'!E105="","",'päd.Personal - Leitung'!E105)</f>
        <v/>
      </c>
      <c r="F105" s="87">
        <f>IF('päd.Personal - Leitung'!F105="",0,'päd.Personal - Leitung'!F105)</f>
        <v>0</v>
      </c>
      <c r="G105" s="56">
        <f>IF(N91="",0,F105/N91/4.348)</f>
        <v>0</v>
      </c>
      <c r="H105" s="53">
        <f>IF(P107="",0,P107)</f>
        <v>0</v>
      </c>
      <c r="K105" s="1146" t="str">
        <f>IF('päd.Personal - Leitung'!K105="","",'päd.Personal - Leitung'!K105)</f>
        <v/>
      </c>
      <c r="L105" s="1146"/>
      <c r="M105" s="172" t="str">
        <f>IF('päd.Personal - Leitung'!M105="","",'päd.Personal - Leitung'!M105)</f>
        <v/>
      </c>
      <c r="N105" s="172" t="str">
        <f>IF('päd.Personal - Leitung'!N105="","",'päd.Personal - Leitung'!N105)</f>
        <v/>
      </c>
      <c r="O105" s="172" t="str">
        <f>IF('päd.Personal - Leitung'!O105="","",'päd.Personal - Leitung'!O105)</f>
        <v/>
      </c>
      <c r="P105" s="172" t="str">
        <f>IF('päd.Personal - Leitung'!P105="","",'päd.Personal - Leitung'!P105)</f>
        <v/>
      </c>
    </row>
    <row r="106" spans="1:16" s="52" customFormat="1" ht="13.5" customHeight="1" x14ac:dyDescent="0.25">
      <c r="B106" s="1167" t="s">
        <v>157</v>
      </c>
      <c r="C106" s="1167"/>
      <c r="E106" s="1167" t="s">
        <v>156</v>
      </c>
      <c r="F106" s="1167"/>
      <c r="J106" s="69"/>
      <c r="K106" s="1146" t="str">
        <f>IF('päd.Personal - Leitung'!K106="","",'päd.Personal - Leitung'!K106)</f>
        <v/>
      </c>
      <c r="L106" s="1146"/>
      <c r="M106" s="172" t="str">
        <f>IF('päd.Personal - Leitung'!M106="","",'päd.Personal - Leitung'!M106)</f>
        <v/>
      </c>
      <c r="N106" s="172" t="str">
        <f>IF('päd.Personal - Leitung'!N106="","",'päd.Personal - Leitung'!N106)</f>
        <v/>
      </c>
      <c r="O106" s="172" t="str">
        <f>IF('päd.Personal - Leitung'!O106="","",'päd.Personal - Leitung'!O106)</f>
        <v/>
      </c>
      <c r="P106" s="172" t="str">
        <f>IF('päd.Personal - Leitung'!P106="","",'päd.Personal - Leitung'!P106)</f>
        <v/>
      </c>
    </row>
    <row r="107" spans="1:16" s="52" customFormat="1" ht="13.5" customHeight="1" x14ac:dyDescent="0.25">
      <c r="A107" s="70" t="s">
        <v>167</v>
      </c>
      <c r="B107" s="67" t="str">
        <f>IF('päd.Personal - Leitung'!B107="","",'päd.Personal - Leitung'!B107)</f>
        <v/>
      </c>
      <c r="C107" s="99" t="str">
        <f>IF('päd.Personal - Leitung'!C107="","",'päd.Personal - Leitung'!C107)</f>
        <v/>
      </c>
      <c r="D107" s="70" t="s">
        <v>167</v>
      </c>
      <c r="E107" s="67" t="str">
        <f>IF('päd.Personal - Leitung'!E107="","",'päd.Personal - Leitung'!E107)</f>
        <v/>
      </c>
      <c r="F107" s="99" t="str">
        <f>IF('päd.Personal - Leitung'!F107="","",'päd.Personal - Leitung'!F107)</f>
        <v/>
      </c>
      <c r="J107" s="68"/>
      <c r="M107" s="173">
        <f>SUM(M102:M106)</f>
        <v>0</v>
      </c>
      <c r="N107" s="173">
        <f t="shared" ref="N107:P107" si="11">SUM(N102:N106)</f>
        <v>0</v>
      </c>
      <c r="O107" s="173">
        <f t="shared" si="11"/>
        <v>0</v>
      </c>
      <c r="P107" s="173">
        <f t="shared" si="11"/>
        <v>0</v>
      </c>
    </row>
    <row r="108" spans="1:16" s="52" customFormat="1" ht="13.5" customHeight="1" x14ac:dyDescent="0.2">
      <c r="A108" s="60" t="s">
        <v>155</v>
      </c>
    </row>
    <row r="109" spans="1:16" s="1" customFormat="1" ht="14.25" customHeight="1" x14ac:dyDescent="0.2">
      <c r="A109" s="1147"/>
      <c r="B109" s="1149" t="s">
        <v>9</v>
      </c>
      <c r="C109" s="1150"/>
      <c r="D109" s="1150"/>
      <c r="E109" s="1150"/>
      <c r="F109" s="1150"/>
      <c r="G109" s="1151"/>
      <c r="H109" s="1152" t="s">
        <v>119</v>
      </c>
      <c r="I109" s="1153"/>
      <c r="J109" s="1153"/>
      <c r="K109" s="1153"/>
      <c r="L109" s="1153"/>
      <c r="M109" s="1153"/>
      <c r="N109" s="1153"/>
      <c r="O109" s="33"/>
      <c r="P109" s="1154" t="s">
        <v>0</v>
      </c>
    </row>
    <row r="110" spans="1:16" s="1" customFormat="1" ht="14.25" customHeight="1" x14ac:dyDescent="0.2">
      <c r="A110" s="1148"/>
      <c r="B110" s="1157" t="s">
        <v>117</v>
      </c>
      <c r="C110" s="124" t="s">
        <v>115</v>
      </c>
      <c r="D110" s="1159" t="s">
        <v>277</v>
      </c>
      <c r="E110" s="1161" t="s">
        <v>147</v>
      </c>
      <c r="F110" s="127" t="s">
        <v>7</v>
      </c>
      <c r="G110" s="1162" t="s">
        <v>6</v>
      </c>
      <c r="H110" s="1161" t="s">
        <v>129</v>
      </c>
      <c r="I110" s="1161" t="s">
        <v>5</v>
      </c>
      <c r="J110" s="1161" t="s">
        <v>4</v>
      </c>
      <c r="K110" s="1161" t="s">
        <v>3</v>
      </c>
      <c r="L110" s="1161" t="s">
        <v>121</v>
      </c>
      <c r="M110" s="1161" t="s">
        <v>122</v>
      </c>
      <c r="N110" s="1161" t="s">
        <v>123</v>
      </c>
      <c r="O110" s="1160" t="s">
        <v>114</v>
      </c>
      <c r="P110" s="1155"/>
    </row>
    <row r="111" spans="1:16" s="1" customFormat="1" ht="14.25" customHeight="1" x14ac:dyDescent="0.2">
      <c r="A111" s="1148"/>
      <c r="B111" s="1157"/>
      <c r="C111" s="21" t="str">
        <f>IF(C107="","",C107)</f>
        <v/>
      </c>
      <c r="D111" s="1160"/>
      <c r="E111" s="1161"/>
      <c r="F111" s="1165" t="str">
        <f>IF(H102=0,"","siehe Zuschläge / Zulagen")</f>
        <v/>
      </c>
      <c r="G111" s="1162"/>
      <c r="H111" s="1164" t="s">
        <v>127</v>
      </c>
      <c r="I111" s="1164"/>
      <c r="J111" s="1164"/>
      <c r="K111" s="1164"/>
      <c r="L111" s="1164"/>
      <c r="M111" s="1164"/>
      <c r="N111" s="1164"/>
      <c r="O111" s="1160"/>
      <c r="P111" s="1155"/>
    </row>
    <row r="112" spans="1:16" s="1" customFormat="1" x14ac:dyDescent="0.2">
      <c r="A112" s="1148"/>
      <c r="B112" s="1157"/>
      <c r="C112" s="122" t="s">
        <v>70</v>
      </c>
      <c r="D112" s="1160"/>
      <c r="E112" s="1161"/>
      <c r="F112" s="1165"/>
      <c r="G112" s="1162"/>
      <c r="H112" s="43" t="s">
        <v>128</v>
      </c>
      <c r="I112" s="43" t="s">
        <v>255</v>
      </c>
      <c r="J112" s="43" t="s">
        <v>256</v>
      </c>
      <c r="K112" s="43" t="s">
        <v>257</v>
      </c>
      <c r="L112" s="43"/>
      <c r="M112" s="43"/>
      <c r="N112" s="43" t="s">
        <v>254</v>
      </c>
      <c r="O112" s="1160"/>
      <c r="P112" s="1155"/>
    </row>
    <row r="113" spans="1:16" s="1" customFormat="1" x14ac:dyDescent="0.2">
      <c r="A113" s="1148"/>
      <c r="B113" s="1158"/>
      <c r="C113" s="21" t="str">
        <f>IF(F107="","",F107)</f>
        <v/>
      </c>
      <c r="D113" s="51"/>
      <c r="E113" s="51"/>
      <c r="F113" s="1166"/>
      <c r="G113" s="1163"/>
      <c r="H113" s="93"/>
      <c r="I113" s="139">
        <f>$I$69</f>
        <v>0</v>
      </c>
      <c r="J113" s="139">
        <f>$J$69</f>
        <v>0</v>
      </c>
      <c r="K113" s="44">
        <f>$K$69</f>
        <v>0</v>
      </c>
      <c r="L113" s="21"/>
      <c r="M113" s="21"/>
      <c r="N113" s="139">
        <f>$N$69</f>
        <v>0</v>
      </c>
      <c r="O113" s="21">
        <f>O69</f>
        <v>0</v>
      </c>
      <c r="P113" s="1156"/>
    </row>
    <row r="114" spans="1:16" s="1" customFormat="1" x14ac:dyDescent="0.2">
      <c r="A114" s="100" t="str">
        <f>$A$26</f>
        <v>Jan 2022</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76">
        <f>ROUND(IF((SUM(B114:F114))&gt;L129,L129*H113,SUM(B114:F114)*H113),2)</f>
        <v>0</v>
      </c>
      <c r="I114" s="76">
        <f>ROUND(IF((SUM(B114:F114))&gt;L130,L130*I113,SUM(B114:F114)*I113),2)</f>
        <v>0</v>
      </c>
      <c r="J114" s="76">
        <f>ROUND(IF((SUM(B114:F114))&gt;L130,L130*J113,SUM(B114:F114)*J113),2)</f>
        <v>0</v>
      </c>
      <c r="K114" s="76">
        <f>ROUND(IF((SUM(B114:F114))&gt;L129,L129*K113,SUM(B114:F114)*K113),2)</f>
        <v>0</v>
      </c>
      <c r="L114" s="76">
        <f>ROUND(IF((SUM(B114:F114))&gt;L130,L130*L113,(SUM(B114:F114)-C114)*L113),2)</f>
        <v>0</v>
      </c>
      <c r="M114" s="76">
        <f>ROUND(IF((SUM(B114:F114))&gt;L130,L130*M113,(SUM(B114:F114)-C114)*M113),2)</f>
        <v>0</v>
      </c>
      <c r="N114" s="76">
        <f>ROUND(IF((SUM(B114:F114))&gt;L130,L130*N113,SUM(B114:F114)*N113),2)</f>
        <v>0</v>
      </c>
      <c r="O114" s="23">
        <f>ROUND(SUM(B114+C114+F114)*O113,2)</f>
        <v>0</v>
      </c>
      <c r="P114" s="27">
        <f>SUM(G114:O114)</f>
        <v>0</v>
      </c>
    </row>
    <row r="115" spans="1:16" s="1" customFormat="1" x14ac:dyDescent="0.2">
      <c r="A115" s="100" t="str">
        <f>$A$27</f>
        <v>Feb 2022</v>
      </c>
      <c r="B115" s="24">
        <f>ROUND(IF(N95=0,0,IFERROR(((LOOKUP(2,1/(A102:A105=A115),G102:G105))*N95*4.348),B114/N95*N95)),2)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ROUND(IF(N95=0,0,IFERROR(((LOOKUP(2,1/(A102:A105=A115),H102:H105))/N91*N95),F114/N95*N95)),2)</f>
        <v>0</v>
      </c>
      <c r="G115" s="27">
        <f t="shared" ref="G115:G125" si="12">SUM(B115+C115+E115+F115)</f>
        <v>0</v>
      </c>
      <c r="H115" s="76">
        <f>ROUND(IF(SUM(B114:F114)&lt;(L129*1),IF((SUM(B114:F115))&gt;(L129*2),(((L129*2)-(SUM(B114:F115)-C114))*H113)+((SUM(B115:F115)-C114)*H113),SUM(B115:F115)*H113),IF(SUM(B114:F115)&gt;(L129*2),L129*H113,SUM(B115:F115)*H113)),2)</f>
        <v>0</v>
      </c>
      <c r="I115" s="76">
        <f>ROUND(IF(SUM(B114:F114)&lt;(L130*1),IF((SUM(B114:F115))&gt;(L130*2),(((L130*2)-(SUM(B114:F115)-C114))*I113)+((SUM(B115:F115)-C114)*I113),SUM(B115:F115)*I113),IF(SUM(B114:F115)&gt;(L130*2),L130*I113,SUM(B115:F115)*I113)),2)</f>
        <v>0</v>
      </c>
      <c r="J115" s="76">
        <f>ROUND(IF(SUM(B114:F114)&lt;(L130*1),IF((SUM(B114:F115))&gt;(L130*2),(((L130*2)-(SUM(B114:F115)-C114))*J113)+((SUM(B115:F115)-C114)*J113),SUM(B115:F115)*J113),IF(SUM(B114:F115)&gt;(L130*2),L130*J113,SUM(B115:F115)*J113)),2)</f>
        <v>0</v>
      </c>
      <c r="K115" s="76">
        <f>ROUND(IF(SUM(B114:F114)&lt;(L129*1),IF((SUM(B114:F115))&gt;(L129*2),(((L129*2)-(SUM(B114:F115)-C114))*K113)+((SUM(B115:F115)-C114)*K113),SUM(B115:F115)*K113),IF(SUM(B114:F115)&gt;(L129*2),L129*K113,SUM(B115:F115)*K113)),2)</f>
        <v>0</v>
      </c>
      <c r="L115" s="76">
        <f>ROUND(IF(SUM(B114:F114)&lt;(L130*1),IF((SUM(B114:F115))&gt;(L130*2),(((L130*2)-(SUM(B114:F115)-C115))*L113)+((SUM(B115:F115)-C115)*L113),(SUM(B115:F115)-C115)*L113),IF(SUM(B114:F115)&gt;(L130*2),L130*L113,SUM(B115:F115)*L113)),2)</f>
        <v>0</v>
      </c>
      <c r="M115" s="76">
        <f>ROUND(IF(SUM(B114:F114)&lt;(L130*1),IF((SUM(B114:F115))&gt;(L130*2),(((L130*2)-(SUM(B114:F115)-C115))*M113)+((SUM(B115:F115)-C115)*M113),(SUM(B115:F115)-C115)*M113),IF(SUM(B114:F115)&gt;(L130*2),L130*M113,SUM(B115:F115)*M113)),2)</f>
        <v>0</v>
      </c>
      <c r="N115" s="76">
        <f>ROUND(IF(SUM(B114:F114)&lt;(L130*1),IF((SUM(B114:F115))&gt;(L130*2),(((L130*2)-(SUM(B114:F115)-C114))*N113)+((SUM(B115:F115)-C114)*N113),SUM(B115:F115)*N113),IF(SUM(B114:F115)&gt;(L130*2),L130*N113,SUM(B115:F115)*N113)),2)</f>
        <v>0</v>
      </c>
      <c r="O115" s="23">
        <f>ROUND(SUM(B115+C115+F115)*O113,2)</f>
        <v>0</v>
      </c>
      <c r="P115" s="27">
        <f>SUM(G115:O115)</f>
        <v>0</v>
      </c>
    </row>
    <row r="116" spans="1:16" s="1" customFormat="1" x14ac:dyDescent="0.2">
      <c r="A116" s="100" t="str">
        <f>$A$28</f>
        <v>Mrz 2022</v>
      </c>
      <c r="B116" s="24">
        <f>ROUND(IF(N96=0,0,IFERROR(((LOOKUP(2,1/(A102:A105=A116),G102:G105))*N96*4.348),B115/N96*N96)),2)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ROUND(IF(N96=0,0,IFERROR(((LOOKUP(2,1/(A102:A105=A116),H102:H105))/N91*N96),F115/N96*N96)),2)</f>
        <v>0</v>
      </c>
      <c r="G116" s="27">
        <f t="shared" si="12"/>
        <v>0</v>
      </c>
      <c r="H116" s="76">
        <f>ROUND(IF(SUM(B114:F115)&lt;(L129*2),IF((SUM(B114:F116))&gt;(L129*3),(((L129*3)-(SUM(B114:F116)-C115))*H113)+((SUM(B116:F116)-C115)*H113),SUM(B116:F116)*H113),IF(SUM(B114:F116)&gt;(L129*3),L129*H113,SUM(B116:F116)*H113)),2)</f>
        <v>0</v>
      </c>
      <c r="I116" s="76">
        <f>ROUND(IF(SUM(B114:F115)&lt;(L130*2),IF((SUM(B114:F116))&gt;(L130*3),(((L130*3)-(SUM(B114:F116)-C115))*I113)+((SUM(B116:F116)-C115)*I113),SUM(B116:F116)*I113),IF(SUM(B114:F116)&gt;(L130*3),L130*I113,SUM(B116:F116)*I113)),2)</f>
        <v>0</v>
      </c>
      <c r="J116" s="76">
        <f>ROUND(IF(SUM(B114:F115)&lt;(L130*2),IF((SUM(B114:F116))&gt;(L130*3),(((L130*3)-(SUM(B114:F116)-C115))*J113)+((SUM(B116:F116)-C115)*J113),SUM(B116:F116)*J113),IF(SUM(B114:F116)&gt;(L130*3),L130*J113,SUM(B116:F116)*J113)),2)</f>
        <v>0</v>
      </c>
      <c r="K116" s="76">
        <f>ROUND(IF(SUM(B114:F115)&lt;(L129*2),IF((SUM(B114:F116))&gt;(L129*3),(((L129*3)-(SUM(B114:F116)-C115))*K113)+((SUM(B116:F116)-C115)*K113),SUM(B116:F116)*K113),IF(SUM(B114:F116)&gt;(L129*3),L129*K113,SUM(B116:F116)*K113)),2)</f>
        <v>0</v>
      </c>
      <c r="L116" s="76">
        <f>ROUND(IF(SUM(B114:F115)&lt;(L130*2),IF((SUM(B114:F116))&gt;(L130*3),(((L130*3)-(SUM(B114:F116)-C116))*L113)+((SUM(B116:F116)-C116)*L113),(SUM(B116:F116)-C116)*L113),IF(SUM(B114:F116)&gt;(L130*3),L130*L113,SUM(B116:F116)*L113)),2)</f>
        <v>0</v>
      </c>
      <c r="M116" s="76">
        <f>ROUND(IF(SUM(B114:F115)&lt;(L130*2),IF((SUM(B114:F116))&gt;(L130*3),(((L130*3)-(SUM(B114:F116)-C116))*M113)+((SUM(B116:F116)-C116)*M113),(SUM(B116:F116)-C116)*M113),IF(SUM(B114:F116)&gt;(L130*3),L130*M113,SUM(B116:F116)*M113)),2)</f>
        <v>0</v>
      </c>
      <c r="N116" s="76">
        <f>ROUND(IF(SUM(B114:F115)&lt;(L130*2),IF((SUM(B114:F116))&gt;(L130*3),(((L130*3)-(SUM(B114:F116)-C115))*N113)+((SUM(B116:F116)-C115)*N113),SUM(B116:F116)*N113),IF(SUM(B114:F116)&gt;(L130*3),L130*N113,SUM(B116:F116)*N113)),2)</f>
        <v>0</v>
      </c>
      <c r="O116" s="23">
        <f>ROUND(SUM(B116+C116+F116)*O113,2)</f>
        <v>0</v>
      </c>
      <c r="P116" s="27">
        <f t="shared" ref="P116:P125" si="13">SUM(G116:O116)</f>
        <v>0</v>
      </c>
    </row>
    <row r="117" spans="1:16" s="1" customFormat="1" x14ac:dyDescent="0.2">
      <c r="A117" s="100" t="str">
        <f>$A$29</f>
        <v>Apr 2022</v>
      </c>
      <c r="B117" s="24">
        <f>ROUND(IF(N97=0,0,IFERROR(((LOOKUP(2,1/(A102:A105=A117),G102:G105))*N97*4.348),B116/N97*N97)),2)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ROUND(IF(N97=0,0,IFERROR(((LOOKUP(2,1/(A102:A105=A117),H102:H105))/N91*N97),F116/N97*N97)),2)</f>
        <v>0</v>
      </c>
      <c r="G117" s="27">
        <f t="shared" si="12"/>
        <v>0</v>
      </c>
      <c r="H117" s="76">
        <f>ROUND(IF(SUM(B114:F116)&lt;(L129*3),IF((SUM(B114:F117))&gt;(L129*4),(((L129*4)-(SUM(B114:F117)-C116))*H113)+((SUM(B117:F117)-C116)*H113),SUM(B117:F117)*H113),IF(SUM(B114:F117)&gt;(L129*4),L129*H113,SUM(B117:F117)*H113)),2)</f>
        <v>0</v>
      </c>
      <c r="I117" s="76">
        <f>ROUND(IF(SUM(B114:F116)&lt;(L130*3),IF((SUM(B114:F117))&gt;(L130*4),(((L130*4)-(SUM(B114:F117)-C116))*I113)+((SUM(B117:F117)-C116)*I113),SUM(B117:F117)*I113),IF(SUM(B114:F117)&gt;(L130*4),L130*I113,SUM(B117:F117)*I113)),2)</f>
        <v>0</v>
      </c>
      <c r="J117" s="76">
        <f>ROUND(IF(SUM(B114:F116)&lt;(L130*3),IF((SUM(B114:F117))&gt;(L130*4),(((L130*4)-(SUM(B114:F117)-C116))*J113)+((SUM(B117:F117)-C116)*J113),SUM(B117:F117)*J113),IF(SUM(B114:F117)&gt;(L130*4),L130*J113,SUM(B117:F117)*J113)),2)</f>
        <v>0</v>
      </c>
      <c r="K117" s="76">
        <f>ROUND(IF(SUM(B114:F116)&lt;(L129*3),IF((SUM(B114:F117))&gt;(L129*4),(((L129*4)-(SUM(B114:F117)-C116))*K113)+((SUM(B117:F117)-C116)*K113),SUM(B117:F117)*K113),IF(SUM(B114:F117)&gt;(L129*4),L129*K113,SUM(B117:F117)*K113)),2)</f>
        <v>0</v>
      </c>
      <c r="L117" s="76">
        <f>ROUND(IF(SUM(B114:F116)&lt;(L130*3),IF((SUM(B114:F117))&gt;(L130*4),(((L130*4)-(SUM(B114:F117)-C117))*L113)+((SUM(B117:F117)-C117)*L113),(SUM(B117:F117)-C117)*L113),IF(SUM(B114:F117)&gt;(L130*4),L130*L113,SUM(B117:F117)*L113)),2)</f>
        <v>0</v>
      </c>
      <c r="M117" s="76">
        <f>ROUND(IF(SUM(B114:F116)&lt;(L130*3),IF((SUM(B114:F117))&gt;(L130*4),(((L130*4)-(SUM(B114:F117)-C117))*M113)+((SUM(B117:F117)-C117)*M113),(SUM(B117:F117)-C117)*M113),IF(SUM(B114:F117)&gt;(L130*4),L130*M113,SUM(B117:F117)*M113)),2)</f>
        <v>0</v>
      </c>
      <c r="N117" s="76">
        <f>ROUND(IF(SUM(B114:F116)&lt;(L130*3),IF((SUM(B114:F117))&gt;(L130*4),(((L130*4)-(SUM(B114:F117)-C116))*N113)+((SUM(B117:F117)-C116)*N113),SUM(B117:F117)*N113),IF(SUM(B114:F117)&gt;(L130*4),L130*N113,SUM(B117:F117)*N113)),2)</f>
        <v>0</v>
      </c>
      <c r="O117" s="23">
        <f>ROUND(SUM(B117+C117+F117)*O113,2)</f>
        <v>0</v>
      </c>
      <c r="P117" s="27">
        <f t="shared" si="13"/>
        <v>0</v>
      </c>
    </row>
    <row r="118" spans="1:16" s="1" customFormat="1" x14ac:dyDescent="0.2">
      <c r="A118" s="100" t="str">
        <f>$A$30</f>
        <v>Mai 2022</v>
      </c>
      <c r="B118" s="24">
        <f>ROUND(IF(N98=0,0,IFERROR(((LOOKUP(2,1/(A102:A105=A118),G102:G105))*N98*4.348),B117/N98*N98)),2)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ROUND(IF(N98=0,0,IFERROR(((LOOKUP(2,1/(A102:A105=A118),H102:H105))/N91*N98),F117/N98*N98)),2)</f>
        <v>0</v>
      </c>
      <c r="G118" s="27">
        <f t="shared" si="12"/>
        <v>0</v>
      </c>
      <c r="H118" s="76">
        <f>ROUND(IF(SUM(B114:F117)&lt;(L129*4),IF((SUM(B114:F118))&gt;(L129*5),(((L129*5)-(SUM(B114:F118)-C117))*H113)+((SUM(B118:F118)-C117)*H113),SUM(B118:F118)*H113),IF(SUM(B114:F118)&gt;(L129*5),L129*H113,SUM(B118:F118)*H113)),2)</f>
        <v>0</v>
      </c>
      <c r="I118" s="76">
        <f>ROUND(IF(SUM(B114:F117)&lt;(L130*4),IF((SUM(B114:F118))&gt;(L130*5),(((L130*5)-(SUM(B114:F118)-C117))*I113)+((SUM(B118:F118)-C117)*I113),SUM(B118:F118)*I113),IF(SUM(B114:F118)&gt;(L130*5),L130*I113,SUM(B118:F118)*I113)),2)</f>
        <v>0</v>
      </c>
      <c r="J118" s="76">
        <f>ROUND(IF(SUM(B114:F117)&lt;(L130*4),IF((SUM(B114:F118))&gt;(L130*5),(((L130*5)-(SUM(B114:F118)-C117))*J113)+((SUM(B118:F118)-C117)*J113),SUM(B118:F118)*J113),IF(SUM(B114:F118)&gt;(L130*5),L130*J113,SUM(B118:F118)*J113)),2)</f>
        <v>0</v>
      </c>
      <c r="K118" s="76">
        <f>ROUND(IF(SUM(B114:F117)&lt;(L129*4),IF((SUM(B114:F118))&gt;(L129*5),(((L129*5)-(SUM(B114:F118)-C117))*K113)+((SUM(B118:F118)-C117)*K113),SUM(B118:F118)*K113),IF(SUM(B114:F118)&gt;(L129*5),L129*K113,SUM(B118:F118)*K113)),2)</f>
        <v>0</v>
      </c>
      <c r="L118" s="76">
        <f>ROUND(IF(SUM(B114:F117)&lt;(L130*4),IF((SUM(B114:F118))&gt;(L130*5),(((L130*5)-(SUM(B114:F118)-C118))*L113)+((SUM(B118:F118)-C118)*L113),(SUM(B118:F118)-C118)*L113),IF(SUM(B114:F118)&gt;(L130*5),L130*L113,SUM(B118:F118)*L113)),2)</f>
        <v>0</v>
      </c>
      <c r="M118" s="76">
        <f>ROUND(IF(SUM(B114:F117)&lt;(L130*4),IF((SUM(B114:F118))&gt;(L130*5),(((L130*5)-(SUM(B114:F118)-C118))*M113)+((SUM(B118:F118)-C118)*M113),(SUM(B118:F118)-C118)*M113),IF(SUM(B114:F118)&gt;(L130*5),L130*M113,SUM(B118:F118)*M113)),2)</f>
        <v>0</v>
      </c>
      <c r="N118" s="76">
        <f>ROUND(IF(SUM(B114:F117)&lt;(L130*4),IF((SUM(B114:F118))&gt;(L130*5),(((L130*5)-(SUM(B114:F118)-C117))*N113)+((SUM(B118:F118)-C117)*N113),SUM(B118:F118)*N113),IF(SUM(B114:F118)&gt;(L130*5),L130*N113,SUM(B118:F118)*N113)),2)</f>
        <v>0</v>
      </c>
      <c r="O118" s="23">
        <f>ROUND(SUM(B118+C118+F118)*O113,2)</f>
        <v>0</v>
      </c>
      <c r="P118" s="27">
        <f t="shared" si="13"/>
        <v>0</v>
      </c>
    </row>
    <row r="119" spans="1:16" s="1" customFormat="1" x14ac:dyDescent="0.2">
      <c r="A119" s="100" t="str">
        <f>$A$31</f>
        <v>Jun 2022</v>
      </c>
      <c r="B119" s="24">
        <f>ROUND(IF(N99=0,0,IFERROR(((LOOKUP(2,1/(A102:A105=A119),G102:G105))*N99*4.348),B118/N99*N99)),2)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ROUND(IF(N99=0,0,IFERROR(((LOOKUP(2,1/(A102:A105=A119),H102:H105))/N91*N99),F118/N99*N99)),2)</f>
        <v>0</v>
      </c>
      <c r="G119" s="27">
        <f t="shared" si="12"/>
        <v>0</v>
      </c>
      <c r="H119" s="76">
        <f>ROUND(IF(SUM(B114:F118)&lt;(L129*5),IF((SUM(B114:F119))&gt;(L129*6),(((L129*6)-(SUM(B114:F119)-C118))*H113)+((SUM(B119:F119)-C118)*H113),SUM(B119:F119)*H113),IF(SUM(B114:F119)&gt;(L129*6),L129*H113,SUM(B119:F119)*H113)),2)</f>
        <v>0</v>
      </c>
      <c r="I119" s="76">
        <f>ROUND(IF(SUM(B114:F118)&lt;(L130*5),IF((SUM(B114:F119))&gt;(L130*6),(((L130*6)-(SUM(B114:F119)-C118))*I113)+((SUM(B119:F119)-C118)*I113),SUM(B119:F119)*I113),IF(SUM(B114:F119)&gt;(L130*6),L130*I113,SUM(B119:F119)*I113)),2)</f>
        <v>0</v>
      </c>
      <c r="J119" s="76">
        <f>ROUND(IF(SUM(B114:F118)&lt;(L130*5),IF((SUM(B114:F119))&gt;(L130*6),(((L130*6)-(SUM(B114:F119)-C118))*J113)+((SUM(B119:F119)-C118)*J113),SUM(B119:F119)*J113),IF(SUM(B114:F119)&gt;(L130*6),L130*J113,SUM(B119:F119)*J113)),2)</f>
        <v>0</v>
      </c>
      <c r="K119" s="76">
        <f>ROUND(IF(SUM(B114:F118)&lt;(L129*5),IF((SUM(B114:F119))&gt;(L129*6),(((L129*6)-(SUM(B114:F119)-C118))*K113)+((SUM(B119:F119)-C118)*K113),SUM(B119:F119)*K113),IF(SUM(B114:F119)&gt;(L129*6),L129*K113,SUM(B119:F119)*K113)),2)</f>
        <v>0</v>
      </c>
      <c r="L119" s="76">
        <f>ROUND(IF(SUM(B114:F118)&lt;(L130*5),IF((SUM(B114:F119))&gt;(L130*6),(((L130*6)-(SUM(B114:F119)-C119))*L113)+((SUM(B119:F119)-C119)*L113),(SUM(B119:F119)-C119)*L113),IF(SUM(B114:F119)&gt;(L130*6),L130*L113,SUM(B119:F119)*L113)),2)</f>
        <v>0</v>
      </c>
      <c r="M119" s="76">
        <f>ROUND(IF(SUM(B114:F118)&lt;(L130*5),IF((SUM(B114:F119))&gt;(L130*6),(((L130*6)-(SUM(B114:F119)-C119))*M113)+((SUM(B119:F119)-C119)*M113),(SUM(B119:F119)-C119)*M113),IF(SUM(B114:F119)&gt;(L130*6),L130*M113,SUM(B119:F119)*M113)),2)</f>
        <v>0</v>
      </c>
      <c r="N119" s="76">
        <f>ROUND(IF(SUM(B114:F118)&lt;(L130*5),IF((SUM(B114:F119))&gt;(L130*6),(((L130*6)-(SUM(B114:F119)-C118))*N113)+((SUM(B119:F119)-C118)*N113),SUM(B119:F119)*N113),IF(SUM(B114:F119)&gt;(L130*6),L130*N113,SUM(B119:F119)*N113)),2)</f>
        <v>0</v>
      </c>
      <c r="O119" s="23">
        <f>ROUND(SUM(B119+C119+F119)*O113,2)</f>
        <v>0</v>
      </c>
      <c r="P119" s="27">
        <f t="shared" si="13"/>
        <v>0</v>
      </c>
    </row>
    <row r="120" spans="1:16" s="1" customFormat="1" x14ac:dyDescent="0.2">
      <c r="A120" s="100" t="str">
        <f>$A$32</f>
        <v>Jul 2022</v>
      </c>
      <c r="B120" s="24">
        <f>ROUND(IF(P94=0,0,IFERROR(((LOOKUP(2,1/(A102:A105=A120),G102:G105))*P94*4.348),B119/P94*P94)),2)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ROUND(IF(P94=0,0,IFERROR(((LOOKUP(2,1/(A102:A105=A120),H102:H105))/N91*P94),F119/P94*P94)),2)</f>
        <v>0</v>
      </c>
      <c r="G120" s="27">
        <f t="shared" si="12"/>
        <v>0</v>
      </c>
      <c r="H120" s="76">
        <f>ROUND(IF(SUM(B114:F119)&lt;(L129*6),IF((SUM(B114:F120))&gt;(L129*7),(((L129*7)-(SUM(B114:F120)-C119))*H113)+((SUM(B120:F120)-C119)*H113),SUM(B120:F120)*H113),IF(SUM(B114:F120)&gt;(L129*7),L129*H113,SUM(B120:F120)*H113)),2)</f>
        <v>0</v>
      </c>
      <c r="I120" s="76">
        <f>ROUND(IF(SUM(B114:F119)&lt;(L130*6),IF((SUM(B114:F120))&gt;(L130*7),(((L130*7)-(SUM(B114:F120)-C119))*I113)+((SUM(B120:F120)-C119)*I113),SUM(B120:F120)*I113),IF(SUM(B114:F120)&gt;(L130*7),L130*I113,SUM(B120:F120)*I113)),2)</f>
        <v>0</v>
      </c>
      <c r="J120" s="76">
        <f>ROUND(IF(SUM(B114:F119)&lt;(L130*6),IF((SUM(B114:F120))&gt;(L130*7),(((L130*7)-(SUM(B114:F120)-C119))*J113)+((SUM(B120:F120)-C119)*J113),SUM(B120:F120)*J113),IF(SUM(B114:F120)&gt;(L130*7),L130*J113,SUM(B120:F120)*J113)),2)</f>
        <v>0</v>
      </c>
      <c r="K120" s="76">
        <f>ROUND(IF(SUM(B114:F119)&lt;(L129*6),IF((SUM(B114:F120))&gt;(L129*7),(((L129*7)-(SUM(B114:F120)-C119))*K113)+((SUM(B120:F120)-C119)*K113),SUM(B120:F120)*K113),IF(SUM(B114:F120)&gt;(L129*7),L129*K113,SUM(B120:F120)*K113)),2)</f>
        <v>0</v>
      </c>
      <c r="L120" s="76">
        <f>ROUND(IF(SUM(B114:F119)&lt;(L130*6),IF((SUM(B114:F120))&gt;(L130*7),(((L130*7)-(SUM(B114:F120)-C120))*L113)+((SUM(B120:F120)-C120)*L113),(SUM(B120:F120)-C120)*L113),IF(SUM(B114:F120)&gt;(L130*7),L130*L113,SUM(B120:F120)*L113)),2)</f>
        <v>0</v>
      </c>
      <c r="M120" s="76">
        <f>ROUND(IF(SUM(B114:F119)&lt;(L130*6),IF((SUM(B114:F120))&gt;(L130*7),(((L130*7)-(SUM(B114:F120)-C120))*M113)+((SUM(B120:F120)-C120)*M113),(SUM(B120:F120)-C120)*M113),IF(SUM(B114:F120)&gt;(L130*7),L130*M113,SUM(B120:F120)*M113)),2)</f>
        <v>0</v>
      </c>
      <c r="N120" s="76">
        <f>ROUND(IF(SUM(B114:F119)&lt;(L130*6),IF((SUM(B114:F120))&gt;(L130*7),(((L130*7)-(SUM(B114:F120)-C119))*N113)+((SUM(B120:F120)-C119)*N113),SUM(B120:F120)*N113),IF(SUM(B114:F120)&gt;(L130*7),L130*N113,SUM(B120:F120)*N113)),2)</f>
        <v>0</v>
      </c>
      <c r="O120" s="23">
        <f>ROUND(SUM(B120+C120+F120)*O113,2)</f>
        <v>0</v>
      </c>
      <c r="P120" s="27">
        <f t="shared" si="13"/>
        <v>0</v>
      </c>
    </row>
    <row r="121" spans="1:16" s="1" customFormat="1" x14ac:dyDescent="0.2">
      <c r="A121" s="100" t="str">
        <f>$A$33</f>
        <v>Aug 2022</v>
      </c>
      <c r="B121" s="24">
        <f>ROUND(IF(P95=0,0,IFERROR(((LOOKUP(2,1/(A102:A105=A121),G102:G105))*P95*4.348),B120/P95*P95)),2)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ROUND(IF(P95=0,0,IFERROR(((LOOKUP(2,1/(A102:A105=A121),H102:H105))/N91*P95),F120/P95*P95)),2)</f>
        <v>0</v>
      </c>
      <c r="G121" s="27">
        <f t="shared" si="12"/>
        <v>0</v>
      </c>
      <c r="H121" s="76">
        <f>ROUND(IF(SUM(B114:F120)&lt;(L129*7),IF((SUM(B114:F121))&gt;(L129*8),(((L129*8)-(SUM(B114:F121)-C120))*H113)+((SUM(B121:F121)-C120)*H113),SUM(B121:F121)*H113),IF(SUM(B114:F121)&gt;(L129*8),L129*H113,SUM(B121:F121)*H113)),2)</f>
        <v>0</v>
      </c>
      <c r="I121" s="76">
        <f>ROUND(IF(SUM(B114:F120)&lt;(L130*7),IF((SUM(B114:F121))&gt;(L130*8),(((L130*8)-(SUM(B114:F121)-C120))*I113)+((SUM(B121:F121)-C120)*I113),SUM(B121:F121)*I113),IF(SUM(B114:F121)&gt;(L130*8),L130*I113,SUM(B121:F121)*I113)),2)</f>
        <v>0</v>
      </c>
      <c r="J121" s="76">
        <f>ROUND(IF(SUM(B114:F120)&lt;(L130*7),IF((SUM(B114:F121))&gt;(L130*8),(((L130*8)-(SUM(B114:F121)-C120))*J113)+((SUM(B121:F121)-C120)*J113),SUM(B121:F121)*J113),IF(SUM(B114:F121)&gt;(L130*8),L130*J113,SUM(B121:F121)*J113)),2)</f>
        <v>0</v>
      </c>
      <c r="K121" s="76">
        <f>ROUND(IF(SUM(B114:F120)&lt;(L129*7),IF((SUM(B114:F121))&gt;(L129*8),(((L129*8)-(SUM(B114:F121)-C120))*K113)+((SUM(B121:F121)-C120)*K113),SUM(B121:F121)*K113),IF(SUM(B114:F121)&gt;(L129*8),L129*K113,SUM(B121:F121)*K113)),2)</f>
        <v>0</v>
      </c>
      <c r="L121" s="76">
        <f>ROUND(IF(SUM(B114:F120)&lt;(L130*7),IF((SUM(B114:F121))&gt;(L130*8),(((L130*8)-(SUM(B114:F121)-C121))*L113)+((SUM(B121:F121)-C121)*L113),(SUM(B121:F121)-C121)*L113),IF(SUM(B114:F121)&gt;(L130*8),L130*L113,SUM(B121:F121)*L113)),2)</f>
        <v>0</v>
      </c>
      <c r="M121" s="76">
        <f>ROUND(IF(SUM(B114:F120)&lt;(L130*7),IF((SUM(B114:F121))&gt;(L130*8),(((L130*8)-(SUM(B114:F121)-C121))*M113)+((SUM(B121:F121)-C121)*M113),(SUM(B121:F121)-C121)*M113),IF(SUM(B114:F121)&gt;(L130*8),L130*M113,SUM(B121:F121)*M113)),2)</f>
        <v>0</v>
      </c>
      <c r="N121" s="76">
        <f>ROUND(IF(SUM(B114:F120)&lt;(L130*7),IF((SUM(B114:F121))&gt;(L130*8),(((L130*8)-(SUM(B114:F121)-C120))*N113)+((SUM(B121:F121)-C120)*N113),SUM(B121:F121)*N113),IF(SUM(B114:F121)&gt;(L130*8),L130*N113,SUM(B121:F121)*N113)),2)</f>
        <v>0</v>
      </c>
      <c r="O121" s="23">
        <f>ROUND(SUM(B121+C121+F121)*O113,2)</f>
        <v>0</v>
      </c>
      <c r="P121" s="27">
        <f t="shared" si="13"/>
        <v>0</v>
      </c>
    </row>
    <row r="122" spans="1:16" s="1" customFormat="1" x14ac:dyDescent="0.2">
      <c r="A122" s="100" t="str">
        <f>$A$34</f>
        <v>Sep 2022</v>
      </c>
      <c r="B122" s="24">
        <f>ROUND(IF(P96=0,0,IFERROR(((LOOKUP(2,1/(A102:A105=A122),G102:G105))*P96*4.348),B121/P96*P96)),2)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ROUND(IF(P96=0,0,IFERROR(((LOOKUP(2,1/(A102:A105=A122),H102:H105))/N91*P96),F121/P96*P96)),2)</f>
        <v>0</v>
      </c>
      <c r="G122" s="27">
        <f t="shared" si="12"/>
        <v>0</v>
      </c>
      <c r="H122" s="76">
        <f>ROUND(IF(SUM(B114:F121)&lt;(L129*8),IF((SUM(B114:F122))&gt;(L129*9),(((L129*9)-(SUM(B114:F122)-C121))*H113)+((SUM(B122:F122)-C121)*H113),SUM(B122:F122)*H113),IF(SUM(B114:F122)&gt;(L129*9),L129*H113,SUM(B122:F122)*H113)),2)</f>
        <v>0</v>
      </c>
      <c r="I122" s="76">
        <f>ROUND(IF(SUM(B114:F121)&lt;(L130*8),IF((SUM(B114:F122))&gt;(L130*9),(((L130*9)-(SUM(B114:F122)-C121))*I113)+((SUM(B122:F122)-C121)*I113),SUM(B122:F122)*I113),IF(SUM(B114:F122)&gt;(L130*9),L130*I113,SUM(B122:F122)*I113)),2)</f>
        <v>0</v>
      </c>
      <c r="J122" s="76">
        <f>ROUND(IF(SUM(B114:F121)&lt;(L130*8),IF((SUM(B114:F122))&gt;(L130*9),(((L130*9)-(SUM(B114:F122)-C121))*J113)+((SUM(B122:F122)-C121)*J113),SUM(B122:F122)*J113),IF(SUM(B114:F122)&gt;(L130*9),L130*J113,SUM(B122:F122)*J113)),2)</f>
        <v>0</v>
      </c>
      <c r="K122" s="76">
        <f>ROUND(IF(SUM(B114:F121)&lt;(L129*8),IF((SUM(B114:F122))&gt;(L129*9),(((L129*9)-(SUM(B114:F122)-C121))*K113)+((SUM(B122:F122)-C121)*K113),SUM(B122:F122)*K113),IF(SUM(B114:F122)&gt;(L129*9),L129*K113,SUM(B122:F122)*K113)),2)</f>
        <v>0</v>
      </c>
      <c r="L122" s="76">
        <f>ROUND(IF(SUM(B114:F121)&lt;(L130*8),IF((SUM(B114:F122))&gt;(L130*9),(((L130*9)-(SUM(B114:F122)-C122))*L113)+((SUM(B122:F122)-C122)*L113),(SUM(B122:F122)-C122)*L113),IF(SUM(B114:F122)&gt;(L130*9),L130*L113,SUM(B122:F122)*L113)),2)</f>
        <v>0</v>
      </c>
      <c r="M122" s="76">
        <f>ROUND(IF(SUM(B114:F121)&lt;(L130*8),IF((SUM(B114:F122))&gt;(L130*9),(((L130*9)-(SUM(B114:F122)-C122))*M113)+((SUM(B122:F122)-C122)*M113),(SUM(B122:F122)-C122)*M113),IF(SUM(B114:F122)&gt;(L130*9),L130*M113,SUM(B122:F122)*M113)),2)</f>
        <v>0</v>
      </c>
      <c r="N122" s="76">
        <f>ROUND(IF(SUM(B114:F121)&lt;(L130*8),IF((SUM(B114:F122))&gt;(L130*9),(((L130*9)-(SUM(B114:F122)-C121))*N113)+((SUM(B122:F122)-C121)*N113),SUM(B122:F122)*N113),IF(SUM(B114:F122)&gt;(L130*9),L130*N113,SUM(B122:F122)*N113)),2)</f>
        <v>0</v>
      </c>
      <c r="O122" s="23">
        <f>ROUND(SUM(B122+C122+F122)*O113,2)</f>
        <v>0</v>
      </c>
      <c r="P122" s="27">
        <f t="shared" si="13"/>
        <v>0</v>
      </c>
    </row>
    <row r="123" spans="1:16" s="1" customFormat="1" x14ac:dyDescent="0.2">
      <c r="A123" s="100" t="str">
        <f>$A$35</f>
        <v>Okt 2022</v>
      </c>
      <c r="B123" s="24">
        <f>ROUND(IF(P97=0,0,IFERROR(((LOOKUP(2,1/(A102:A105=A123),G102:G105))*P97*4.348),B122/P97*P97)),2)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ROUND(IF(P97=0,0,IFERROR(((LOOKUP(2,1/(A102:A105=A123),H102:H105))/N91*P97),F122/P97*P97)),2)</f>
        <v>0</v>
      </c>
      <c r="G123" s="27">
        <f t="shared" si="12"/>
        <v>0</v>
      </c>
      <c r="H123" s="76">
        <f>ROUND(IF(SUM(B114:F122)&lt;(L129*9),IF((SUM(B114:F123))&gt;(L129*10),(((L129*10)-(SUM(B114:F123)-C122))*H113)+((SUM(B123:F123)-C122)*H113),SUM(B123:F123)*H113),IF(SUM(B114:F123)&gt;(L129*10),L129*H113,SUM(B123:F123)*H113)),2)</f>
        <v>0</v>
      </c>
      <c r="I123" s="76">
        <f>ROUND(IF(SUM(B114:F122)&lt;(L130*9),IF((SUM(B114:F123))&gt;(L130*10),(((L130*10)-(SUM(B114:F123)-C122))*I113)+((SUM(B123:F123)-C122)*I113),SUM(B123:F123)*I113),IF(SUM(B114:F123)&gt;(L130*10),L130*I113,SUM(B123:F123)*I113)),2)</f>
        <v>0</v>
      </c>
      <c r="J123" s="76">
        <f>ROUND(IF(SUM(B114:F122)&lt;(L130*9),IF((SUM(B114:F123))&gt;(L130*10),(((L130*10)-(SUM(B114:F123)-C122))*J113)+((SUM(B123:F123)-C122)*J113),SUM(B123:F123)*J113),IF(SUM(B114:F123)&gt;(L130*10),L130*J113,SUM(B123:F123)*J113)),2)</f>
        <v>0</v>
      </c>
      <c r="K123" s="76">
        <f>ROUND(IF(SUM(B114:F122)&lt;(L129*9),IF((SUM(B114:F123))&gt;(L129*10),(((L129*10)-(SUM(B114:F123)-C122))*K113)+((SUM(B123:F123)-C122)*K113),SUM(B123:F123)*K113),IF(SUM(B114:F123)&gt;(L129*10),L129*K113,SUM(B123:F123)*K113)),2)</f>
        <v>0</v>
      </c>
      <c r="L123" s="76">
        <f>ROUND(IF(SUM(B114:F122)&lt;(L130*9),IF((SUM(B114:F123))&gt;(L130*10),(((L130*10)-(SUM(B114:F123)-C123))*L113)+((SUM(B123:F123)-C123)*L113),(SUM(B123:F123)-C123)*L113),IF(SUM(B114:F123)&gt;(L130*10),L130*L113,SUM(B123:F123)*L113)),2)</f>
        <v>0</v>
      </c>
      <c r="M123" s="76">
        <f>ROUND(IF(SUM(B114:F122)&lt;(L130*9),IF((SUM(B114:F123))&gt;(L130*10),(((L130*10)-(SUM(B114:F123)-C123))*M113)+((SUM(B123:F123)-C123)*M113),(SUM(B123:F123)-C123)*M113),IF(SUM(B114:F123)&gt;(L130*10),L130*M113,SUM(B123:F123)*M113)),2)</f>
        <v>0</v>
      </c>
      <c r="N123" s="76">
        <f>ROUND(IF(SUM(B114:F122)&lt;(L130*9),IF((SUM(B114:F123))&gt;(L130*10),(((L130*10)-(SUM(B114:F123)-C122))*N113)+((SUM(B123:F123)-C122)*N113),SUM(B123:F123)*N113),IF(SUM(B114:F123)&gt;(L130*10),L130*N113,SUM(B123:F123)*N113)),2)</f>
        <v>0</v>
      </c>
      <c r="O123" s="23">
        <f>ROUND(SUM(B123+C123+F123)*O113,2)</f>
        <v>0</v>
      </c>
      <c r="P123" s="27">
        <f t="shared" si="13"/>
        <v>0</v>
      </c>
    </row>
    <row r="124" spans="1:16" s="1" customFormat="1" x14ac:dyDescent="0.2">
      <c r="A124" s="100" t="str">
        <f>$A$36</f>
        <v>Nov 2022</v>
      </c>
      <c r="B124" s="24">
        <f>ROUND(IF(P98=0,0,IFERROR(((LOOKUP(2,1/(A102:A105=A124),G102:G105))*P98*4.348),B123/P98*P98)),2)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ROUND(IF(P98=0,0,IFERROR(((LOOKUP(2,1/(A102:A105=A124),H102:H105))/N91*P98),F123/P98*P98)),2)</f>
        <v>0</v>
      </c>
      <c r="G124" s="27">
        <f t="shared" si="12"/>
        <v>0</v>
      </c>
      <c r="H124" s="76">
        <f>ROUND(IF(SUM(B114:F123)&lt;(L129*10),IF((SUM(B114:F124))&gt;(L129*11),(((L129*11)-(SUM(B114:F124)-C123))*H113)+((SUM(B124:F124)-C123)*H113),SUM(B124:F124)*H113),IF(SUM(B114:F124)&gt;(L129*11),L129*H113,SUM(B124:F124)*H113)),2)</f>
        <v>0</v>
      </c>
      <c r="I124" s="76">
        <f>ROUND(IF(SUM(B114:F123)&lt;(L130*10),IF((SUM(B114:F124))&gt;(L130*11),(((L130*11)-(SUM(B114:F124)-C123))*I113)+((SUM(B124:F124)-C123)*I113),SUM(B124:F124)*I113),IF(SUM(B114:F124)&gt;(L130*11),L130*I113,SUM(B124:F124)*I113)),2)</f>
        <v>0</v>
      </c>
      <c r="J124" s="76">
        <f>ROUND(IF(SUM(B114:F123)&lt;(L130*10),IF((SUM(B114:F124))&gt;(L130*11),(((L130*11)-(SUM(B114:F124)-C123))*J113)+((SUM(B124:F124)-C123)*J113),SUM(B124:F124)*J113),IF(SUM(B114:F124)&gt;(L130*11),L130*J113,SUM(B124:F124)*J113)),2)</f>
        <v>0</v>
      </c>
      <c r="K124" s="76">
        <f>ROUND(IF(SUM(B114:F123)&lt;(L129*10),IF((SUM(B114:F124))&gt;(L129*11),(((L129*11)-(SUM(B114:F124)-C123))*K113)+((SUM(B124:F124)-C123)*K113),SUM(B124:F124)*K113),IF(SUM(B114:F124)&gt;(L129*11),L129*K113,SUM(B124:F124)*K113)),2)</f>
        <v>0</v>
      </c>
      <c r="L124" s="76">
        <f>ROUND(IF(SUM(B114:F123)&lt;(L130*10),IF((SUM(B114:F124))&gt;(L130*11),(((L130*11)-(SUM(B114:F124)-C124))*L113)+((SUM(B124:F124)-C124)*L113),(SUM(B124:F124)-C124)*L113),IF(SUM(B114:F124)&gt;(L130*11),L130*L113,SUM(B124:F124)*L113)),2)</f>
        <v>0</v>
      </c>
      <c r="M124" s="76">
        <f>ROUND(IF(SUM(B114:F123)&lt;(L130*10),IF((SUM(B114:F124))&gt;(L130*11),(((L130*11)-(SUM(B114:F124)-C124))*M113)+((SUM(B124:F124)-C124)*M113),(SUM(B124:F124)-C124)*M113),IF(SUM(B114:F124)&gt;(L130*11),L130*M113,SUM(B124:F124)*M113)),2)</f>
        <v>0</v>
      </c>
      <c r="N124" s="76">
        <f>ROUND(IF(SUM(B114:F123)&lt;(L130*10),IF((SUM(B114:F124))&gt;(L130*11),(((L130*11)-(SUM(B114:F124)-C123))*N113)+((SUM(B124:F124)-C123)*N113),SUM(B124:F124)*N113),IF(SUM(B114:F124)&gt;(L130*11),L130*N113,SUM(B124:F124)*N113)),2)</f>
        <v>0</v>
      </c>
      <c r="O124" s="23">
        <f>ROUND(SUM(B124+C124+F124)*O113,2)</f>
        <v>0</v>
      </c>
      <c r="P124" s="27">
        <f t="shared" si="13"/>
        <v>0</v>
      </c>
    </row>
    <row r="125" spans="1:16" s="1" customFormat="1" x14ac:dyDescent="0.2">
      <c r="A125" s="100" t="str">
        <f>$A$37</f>
        <v>Dez 2022</v>
      </c>
      <c r="B125" s="24">
        <f>ROUND(IF(P99=0,0,IFERROR(((LOOKUP(2,1/(A102:A105=A125),G102:G105))*P99*4.348),B124/P99*P99)),2)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ROUND(IF(P99=0,0,IFERROR(((LOOKUP(2,1/(A102:A105=A125),H102:H105))/N91*P99),F124/P99*P99)),2)</f>
        <v>0</v>
      </c>
      <c r="G125" s="27">
        <f t="shared" si="12"/>
        <v>0</v>
      </c>
      <c r="H125" s="76">
        <f>ROUND(IF(SUM(B114:F124)&lt;(L129*11),IF((SUM(B114:F125))&gt;(L129*12),(((L129*12)-(SUM(B114:F125)-C124))*H113)+((SUM(B125:F125)-C124)*H113),SUM(B125:F125)*H113),IF(SUM(B114:F125)&gt;(L129*12),L129*H113,SUM(B125:F125)*H113)),2)</f>
        <v>0</v>
      </c>
      <c r="I125" s="76">
        <f>ROUND(IF(SUM(B114:F124)&lt;(L130*11),IF((SUM(B114:F125))&gt;(L130*12),(((L130*12)-(SUM(B114:F125)-C124))*I113)+((SUM(B125:F125)-C124)*I113),SUM(B125:F125)*I113),IF(SUM(B114:F125)&gt;(L130*12),L130*I113,SUM(B125:F125)*I113)),2)</f>
        <v>0</v>
      </c>
      <c r="J125" s="76">
        <f>ROUND(IF(SUM(B114:F124)&lt;(L130*11),IF((SUM(B114:F125))&gt;(L130*12),(((L130*12)-(SUM(B114:F125)-C124))*J113)+((SUM(B125:F125)-C124)*J113),SUM(B125:F125)*J113),IF(SUM(B114:F125)&gt;(L130*12),L130*J113,SUM(B125:F125)*J113)),2)</f>
        <v>0</v>
      </c>
      <c r="K125" s="76">
        <f>ROUND(IF(SUM(B114:F124)&lt;(L129*11),IF((SUM(B114:F125))&gt;(L129*12),(((L129*12)-(SUM(B114:F125)-C124))*K113)+((SUM(B125:F125)-C124)*K113),SUM(B125:F125)*K113),IF(SUM(B114:F125)&gt;(L129*12),L129*K113,SUM(B125:F125)*K113)),2)</f>
        <v>0</v>
      </c>
      <c r="L125" s="76">
        <f>ROUND(IF(SUM(B114:F124)&lt;(L130*11),IF((SUM(B114:F125))&gt;(L130*12),(((L130*12)-(SUM(B114:F125)-C125))*L113)+((SUM(B125:F125)-C125)*L113),(SUM(B125:F125)-C125)*L113),IF(SUM(B114:F125)&gt;(L130*12),L130*L113,SUM(B125:F125)*L113)),2)</f>
        <v>0</v>
      </c>
      <c r="M125" s="76">
        <f>ROUND(IF(SUM(B114:F124)&lt;(L130*11),IF((SUM(B114:F125))&gt;(L130*12),(((L130*12)-(SUM(B114:F125)-C125))*M113)+((SUM(B125:F125)-C125)*M113),(SUM(B125:F125)-C125)*M113),IF(SUM(B114:F125)&gt;(L130*12),L130*M113,SUM(B125:F125)*M113)),2)</f>
        <v>0</v>
      </c>
      <c r="N125" s="76">
        <f>ROUND(IF(SUM(B114:F124)&lt;(L130*11),IF((SUM(B114:F125))&gt;(L130*12),(((L130*12)-(SUM(B114:F125)-C124))*N113)+((SUM(B125:F125)-C124)*N113),SUM(B125:F125)*N113),IF(SUM(B114:F125)&gt;(L130*12),L130*N113,SUM(B125:F125)*N113)),2)</f>
        <v>0</v>
      </c>
      <c r="O125" s="23">
        <f>ROUND(SUM(B125+C125+F125)*O113,2)</f>
        <v>0</v>
      </c>
      <c r="P125" s="27">
        <f t="shared" si="13"/>
        <v>0</v>
      </c>
    </row>
    <row r="126" spans="1:16"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133">
        <f>SUM(H114:N125)</f>
        <v>0</v>
      </c>
      <c r="I126" s="1134"/>
      <c r="J126" s="1134"/>
      <c r="K126" s="1134"/>
      <c r="L126" s="1134"/>
      <c r="M126" s="1134"/>
      <c r="N126" s="1135"/>
      <c r="O126" s="27">
        <f>SUM(O114:O125)</f>
        <v>0</v>
      </c>
      <c r="P126" s="27">
        <f>SUM(P114:P125)</f>
        <v>0</v>
      </c>
    </row>
    <row r="127" spans="1:16" s="13" customFormat="1" ht="11.25" x14ac:dyDescent="0.2">
      <c r="A127" s="3" t="s">
        <v>1</v>
      </c>
      <c r="B127" s="2"/>
      <c r="C127" s="2"/>
      <c r="D127" s="2"/>
      <c r="E127" s="2"/>
      <c r="F127" s="2"/>
      <c r="G127" s="2"/>
      <c r="H127" s="2"/>
      <c r="I127" s="2"/>
      <c r="J127" s="2"/>
      <c r="K127" s="2"/>
      <c r="L127" s="2"/>
      <c r="M127" s="2"/>
      <c r="N127" s="2"/>
      <c r="O127" s="2"/>
      <c r="P127" s="2"/>
    </row>
    <row r="128" spans="1:16" s="1" customFormat="1" ht="14.25" customHeight="1" x14ac:dyDescent="0.2">
      <c r="A128" s="1136" t="s">
        <v>133</v>
      </c>
      <c r="B128" s="1137"/>
      <c r="C128" s="1137"/>
      <c r="D128" s="1137" t="s">
        <v>134</v>
      </c>
      <c r="E128" s="1137"/>
      <c r="F128" s="94" t="str">
        <f>IF(IF(G126=0,"",'päd.Personal - Leitung'!$F$40)=0,"",IF(G126=0,"",'päd.Personal - Leitung'!$F$40))</f>
        <v/>
      </c>
      <c r="G128" s="77" t="s">
        <v>135</v>
      </c>
      <c r="H128" s="96" t="str">
        <f>IF(IF(G126=0,"",'päd.Personal - Leitung'!$H$40)=0,"",IF(G126=0,"",'päd.Personal - Leitung'!$H$40))</f>
        <v/>
      </c>
      <c r="I128" s="73"/>
      <c r="J128" s="194" t="s">
        <v>160</v>
      </c>
      <c r="K128" s="194" t="str">
        <f>$K$40</f>
        <v>2021</v>
      </c>
      <c r="L128" s="194" t="str">
        <f>$L$40</f>
        <v>anteilig 2021</v>
      </c>
      <c r="M128" s="1138" t="s">
        <v>140</v>
      </c>
      <c r="N128" s="1138"/>
      <c r="O128" s="1139"/>
      <c r="P128" s="27">
        <f>ROUND(IF(F128="",IF(E132="",0,(E132*H132/K132)/L95*L96),G126*F128*H128/1000),2)</f>
        <v>0</v>
      </c>
    </row>
    <row r="129" spans="1:16" s="1" customFormat="1" ht="15" customHeight="1" x14ac:dyDescent="0.2">
      <c r="A129" s="1140" t="s">
        <v>145</v>
      </c>
      <c r="B129" s="1141"/>
      <c r="C129" s="1141"/>
      <c r="D129" s="18"/>
      <c r="E129" s="107" t="s">
        <v>135</v>
      </c>
      <c r="F129" s="95" t="str">
        <f>IF(IF(G126=0,"",'päd.Personal - Leitung'!$F$41)=0,"",IF(G126=0,"",'päd.Personal - Leitung'!$F$41))</f>
        <v/>
      </c>
      <c r="G129" s="48"/>
      <c r="H129" s="47"/>
      <c r="I129" s="48"/>
      <c r="J129" s="195" t="s">
        <v>158</v>
      </c>
      <c r="K129" s="198">
        <f>$K$41</f>
        <v>4837.5</v>
      </c>
      <c r="L129" s="197">
        <f>IF(L95="",K129,K129/L95*L96)</f>
        <v>4837.5</v>
      </c>
      <c r="M129" s="1138" t="s">
        <v>139</v>
      </c>
      <c r="N129" s="1138"/>
      <c r="O129" s="1139"/>
      <c r="P129" s="27">
        <f>ROUND(IF(F129="",0,G126*F129/1000),2)</f>
        <v>0</v>
      </c>
    </row>
    <row r="130" spans="1:16" s="1" customFormat="1" ht="15.75" customHeight="1" x14ac:dyDescent="0.2">
      <c r="A130" s="1142" t="s">
        <v>141</v>
      </c>
      <c r="B130" s="1143"/>
      <c r="C130" s="1143"/>
      <c r="D130" s="1144" t="s">
        <v>143</v>
      </c>
      <c r="E130" s="1144"/>
      <c r="F130" s="1145" t="str">
        <f>IF(IF(G126=0,"",'päd.Personal - Leitung'!$F$42)=0,"",IF(G126=0,"",'päd.Personal - Leitung'!$F$42))</f>
        <v/>
      </c>
      <c r="G130" s="1145"/>
      <c r="H130" s="72"/>
      <c r="I130" s="18"/>
      <c r="J130" s="195" t="s">
        <v>159</v>
      </c>
      <c r="K130" s="197">
        <f>$K$42</f>
        <v>6700</v>
      </c>
      <c r="L130" s="197">
        <f>IF(L95="",K130,K130/L95*L96)</f>
        <v>6700</v>
      </c>
      <c r="M130" s="1138" t="s">
        <v>141</v>
      </c>
      <c r="N130" s="1138"/>
      <c r="O130" s="1139"/>
      <c r="P130" s="23">
        <f>ROUND(IF(F130="",0,IF(G126=0,0,F130/L95*L96)),2)</f>
        <v>0</v>
      </c>
    </row>
    <row r="131" spans="1:16" s="1" customFormat="1" ht="14.25" customHeight="1" x14ac:dyDescent="0.2">
      <c r="A131" s="18"/>
      <c r="B131" s="18"/>
      <c r="C131" s="18"/>
      <c r="D131" s="18"/>
      <c r="E131" s="18"/>
      <c r="F131" s="18"/>
      <c r="G131" s="18"/>
      <c r="H131" s="18"/>
      <c r="I131" s="18"/>
      <c r="J131" s="18"/>
      <c r="K131" s="74"/>
      <c r="L131" s="82"/>
      <c r="M131" s="1127" t="s">
        <v>146</v>
      </c>
      <c r="N131" s="1127"/>
      <c r="O131" s="1128"/>
      <c r="P131" s="23">
        <f>ROUND(IF(G126=0,0,$P$87),2)</f>
        <v>0</v>
      </c>
    </row>
    <row r="132" spans="1:16" s="1" customFormat="1" ht="14.25" customHeight="1" x14ac:dyDescent="0.2">
      <c r="A132" s="1129" t="s">
        <v>142</v>
      </c>
      <c r="B132" s="1130"/>
      <c r="C132" s="126" t="s">
        <v>136</v>
      </c>
      <c r="D132" s="179" t="s">
        <v>137</v>
      </c>
      <c r="E132" s="1131" t="str">
        <f>IF(IF(G126=0,"",'päd.Personal - Leitung'!$E$44)=0,"",IF(G126=0,"",'päd.Personal - Leitung'!$E$44))</f>
        <v/>
      </c>
      <c r="F132" s="1131"/>
      <c r="G132" s="83" t="s">
        <v>138</v>
      </c>
      <c r="H132" s="97" t="str">
        <f>IF(IF(G126=0,"",'päd.Personal - Leitung'!$H$44)=0,"",IF(G126=0,"",'päd.Personal - Leitung'!$H$44))</f>
        <v/>
      </c>
      <c r="I132" s="1132" t="s">
        <v>144</v>
      </c>
      <c r="J132" s="1132"/>
      <c r="K132" s="98" t="str">
        <f>IF(IF(G126=0,"",'päd.Personal - Leitung'!$K$44)=0,"",IF(G126=0,"",'päd.Personal - Leitung'!$K$44))</f>
        <v/>
      </c>
      <c r="L132" s="29"/>
      <c r="M132" s="29"/>
      <c r="N132" s="29"/>
      <c r="O132" s="28" t="s">
        <v>0</v>
      </c>
      <c r="P132" s="27">
        <f>P126+SUM(P128:P131)</f>
        <v>0</v>
      </c>
    </row>
    <row r="133" spans="1:16" s="12" customFormat="1" ht="13.5" customHeight="1" x14ac:dyDescent="0.2">
      <c r="A133" s="1178" t="s">
        <v>18</v>
      </c>
      <c r="B133" s="1178"/>
      <c r="C133" s="1178"/>
      <c r="D133" s="1179" t="str">
        <f>IF($D$1="","",$D$1)</f>
        <v/>
      </c>
      <c r="E133" s="1179"/>
      <c r="F133" s="1179"/>
      <c r="G133" s="1179"/>
      <c r="H133" s="1179"/>
      <c r="I133" s="1179"/>
      <c r="J133" s="1179"/>
      <c r="K133" s="1179"/>
      <c r="L133" s="1179"/>
      <c r="M133" s="1179"/>
      <c r="N133" s="1179"/>
    </row>
    <row r="134" spans="1:16" s="12" customFormat="1" ht="15" customHeight="1" x14ac:dyDescent="0.2">
      <c r="A134" s="1178" t="s">
        <v>17</v>
      </c>
      <c r="B134" s="1178"/>
      <c r="C134" s="1178" t="s">
        <v>15</v>
      </c>
      <c r="D134" s="1179" t="str">
        <f>IF($D$2="","",$D$2)</f>
        <v/>
      </c>
      <c r="E134" s="1179"/>
      <c r="F134" s="1179"/>
      <c r="G134" s="1179"/>
      <c r="H134" s="1179"/>
      <c r="I134" s="1179"/>
      <c r="J134" s="1179"/>
      <c r="K134" s="1179"/>
      <c r="L134" s="1179"/>
      <c r="M134" s="1179"/>
      <c r="N134" s="1179"/>
    </row>
    <row r="135" spans="1:16" s="12" customFormat="1" ht="15" customHeight="1" x14ac:dyDescent="0.2">
      <c r="A135" s="1178" t="s">
        <v>16</v>
      </c>
      <c r="B135" s="1178"/>
      <c r="C135" s="1178" t="s">
        <v>15</v>
      </c>
      <c r="D135" s="1179" t="str">
        <f>IF($D$3="","",$D$3)</f>
        <v/>
      </c>
      <c r="E135" s="1179"/>
      <c r="F135" s="1179"/>
      <c r="G135" s="1179"/>
      <c r="H135" s="1179"/>
      <c r="I135" s="1179"/>
      <c r="J135" s="1179"/>
      <c r="K135" s="1178" t="s">
        <v>103</v>
      </c>
      <c r="L135" s="1178"/>
      <c r="M135" s="1178"/>
      <c r="N135" s="41" t="str">
        <f>IF($N$3="","",$N$3)</f>
        <v/>
      </c>
    </row>
    <row r="136" spans="1:16" s="13" customFormat="1" ht="11.25" x14ac:dyDescent="0.2">
      <c r="A136" s="1182"/>
      <c r="B136" s="1182"/>
      <c r="C136" s="1182"/>
      <c r="D136" s="1183"/>
      <c r="E136" s="1183"/>
      <c r="F136" s="1183"/>
      <c r="G136" s="1183"/>
      <c r="H136" s="1183"/>
      <c r="I136" s="1183"/>
      <c r="J136" s="1183"/>
      <c r="K136" s="11"/>
      <c r="L136" s="11"/>
      <c r="M136" s="11"/>
      <c r="N136" s="11"/>
      <c r="O136" s="11"/>
      <c r="P136" s="11"/>
    </row>
    <row r="137" spans="1:16" s="15" customFormat="1" ht="13.5" customHeight="1" x14ac:dyDescent="0.2">
      <c r="A137" s="1177" t="s">
        <v>166</v>
      </c>
      <c r="B137" s="1177"/>
      <c r="C137" s="1177"/>
      <c r="D137" s="1177"/>
      <c r="E137" s="1177"/>
      <c r="F137" s="1177"/>
      <c r="G137" s="1177"/>
      <c r="H137" s="1177"/>
      <c r="I137" s="1177"/>
      <c r="J137" s="1177"/>
      <c r="K137" s="9"/>
      <c r="L137" s="9"/>
      <c r="M137" s="9"/>
      <c r="N137" s="59" t="s">
        <v>154</v>
      </c>
      <c r="O137" s="191">
        <f>$O$5</f>
        <v>2022</v>
      </c>
      <c r="P137" s="59" t="s">
        <v>154</v>
      </c>
    </row>
    <row r="138" spans="1:16" s="10" customFormat="1" ht="13.5" customHeight="1" x14ac:dyDescent="0.25">
      <c r="B138" s="32"/>
      <c r="C138" s="32"/>
      <c r="D138" s="5" t="s">
        <v>168</v>
      </c>
      <c r="E138" s="31"/>
      <c r="F138" s="31"/>
      <c r="G138" s="31"/>
      <c r="H138" s="31"/>
      <c r="I138" s="26"/>
      <c r="J138" s="1174" t="s">
        <v>14</v>
      </c>
      <c r="K138" s="1174"/>
      <c r="L138" s="180"/>
      <c r="N138" s="84">
        <f>IF(L140="","",L140)</f>
        <v>0</v>
      </c>
      <c r="O138" s="58" t="str">
        <f>$O$6</f>
        <v>Jan                Jul</v>
      </c>
      <c r="P138" s="85">
        <f>IF(N143="","",N143)</f>
        <v>0</v>
      </c>
    </row>
    <row r="139" spans="1:16" s="7" customFormat="1" ht="13.5" customHeight="1" x14ac:dyDescent="0.25">
      <c r="A139" s="1180" t="s">
        <v>71</v>
      </c>
      <c r="B139" s="1180"/>
      <c r="C139" s="1180"/>
      <c r="D139" s="1184"/>
      <c r="E139" s="1184"/>
      <c r="F139" s="1184"/>
      <c r="G139" s="1184"/>
      <c r="H139" s="1184"/>
      <c r="I139" s="1184"/>
      <c r="J139" s="1174" t="s">
        <v>104</v>
      </c>
      <c r="K139" s="1174"/>
      <c r="L139" s="145"/>
      <c r="N139" s="85">
        <f>IF(N138="","",N138)</f>
        <v>0</v>
      </c>
      <c r="O139" s="58" t="str">
        <f>$O$7</f>
        <v>Feb              Aug</v>
      </c>
      <c r="P139" s="85">
        <f>IF(P138="","",P138)</f>
        <v>0</v>
      </c>
    </row>
    <row r="140" spans="1:16" s="1" customFormat="1" ht="13.5" customHeight="1" x14ac:dyDescent="0.2">
      <c r="A140" s="1180" t="s">
        <v>13</v>
      </c>
      <c r="B140" s="1180"/>
      <c r="C140" s="1180"/>
      <c r="D140" s="1181"/>
      <c r="E140" s="1181"/>
      <c r="F140" s="1181"/>
      <c r="G140" s="1181"/>
      <c r="H140" s="1181"/>
      <c r="I140" s="1181"/>
      <c r="J140" s="1174" t="s">
        <v>164</v>
      </c>
      <c r="K140" s="1174"/>
      <c r="L140" s="145">
        <f>IF((L141+L142)&gt;L139,0,L139-L141-L142)</f>
        <v>0</v>
      </c>
      <c r="N140" s="85">
        <f>IF(N139="","",N139)</f>
        <v>0</v>
      </c>
      <c r="O140" s="58" t="str">
        <f>$O$8</f>
        <v>Mrz              Sep</v>
      </c>
      <c r="P140" s="85">
        <f>IF(P139="","",P139)</f>
        <v>0</v>
      </c>
    </row>
    <row r="141" spans="1:16" s="1" customFormat="1" ht="13.5" customHeight="1" x14ac:dyDescent="0.2">
      <c r="A141" s="1180" t="s">
        <v>12</v>
      </c>
      <c r="B141" s="1180"/>
      <c r="C141" s="1180"/>
      <c r="D141" s="1181"/>
      <c r="E141" s="1181"/>
      <c r="F141" s="1181"/>
      <c r="G141" s="1181"/>
      <c r="H141" s="1181"/>
      <c r="I141" s="1181"/>
      <c r="J141" s="1174" t="s">
        <v>165</v>
      </c>
      <c r="K141" s="1174"/>
      <c r="L141" s="145"/>
      <c r="N141" s="85">
        <f>IF(N140="","",N140)</f>
        <v>0</v>
      </c>
      <c r="O141" s="58" t="str">
        <f>$O$9</f>
        <v>Apr               Okt</v>
      </c>
      <c r="P141" s="85">
        <f t="shared" ref="P141:P143" si="15">IF(P140="","",P140)</f>
        <v>0</v>
      </c>
    </row>
    <row r="142" spans="1:16" s="1" customFormat="1" ht="13.5" customHeight="1" x14ac:dyDescent="0.2">
      <c r="A142" s="1180" t="s">
        <v>19</v>
      </c>
      <c r="B142" s="1180"/>
      <c r="C142" s="1180"/>
      <c r="D142" s="1181"/>
      <c r="E142" s="1181"/>
      <c r="F142" s="1181"/>
      <c r="G142" s="1181"/>
      <c r="H142" s="1181"/>
      <c r="I142" s="1181"/>
      <c r="J142" s="1174" t="s">
        <v>252</v>
      </c>
      <c r="K142" s="1174"/>
      <c r="L142" s="145"/>
      <c r="M142" s="92"/>
      <c r="N142" s="85">
        <f>IF(N141="","",N141)</f>
        <v>0</v>
      </c>
      <c r="O142" s="58" t="str">
        <f>$O$10</f>
        <v>Mai               Nov</v>
      </c>
      <c r="P142" s="85">
        <f t="shared" si="15"/>
        <v>0</v>
      </c>
    </row>
    <row r="143" spans="1:16" s="1" customFormat="1" ht="13.5" customHeight="1" x14ac:dyDescent="0.2">
      <c r="B143" s="8"/>
      <c r="C143" s="121" t="s">
        <v>162</v>
      </c>
      <c r="D143" s="1175"/>
      <c r="E143" s="1175"/>
      <c r="F143" s="1176" t="s">
        <v>106</v>
      </c>
      <c r="G143" s="1176"/>
      <c r="H143" s="1186"/>
      <c r="I143" s="1186"/>
      <c r="J143" s="1174" t="s">
        <v>97</v>
      </c>
      <c r="K143" s="1174"/>
      <c r="L143" s="17" t="str">
        <f>IF(IF((COUNTIF(B158:B169,"&gt;0"))=0,0,(COUNTIF(B158:B169,"&gt;0")))&gt;Grundlagen!$C$24,Grundlagen!$C$24,IF((COUNTIF(B158:B169,"&gt;0"))=0,"",(COUNTIF(B158:B169,"&gt;0"))))</f>
        <v/>
      </c>
      <c r="N143" s="85">
        <f>IF(N142="","",N142)</f>
        <v>0</v>
      </c>
      <c r="O143" s="58" t="str">
        <f>'päd.Personal - Leitung'!$O$11</f>
        <v>Jun               Dez</v>
      </c>
      <c r="P143" s="85">
        <f t="shared" si="15"/>
        <v>0</v>
      </c>
    </row>
    <row r="144" spans="1:16" s="1" customFormat="1" ht="13.5" customHeight="1" x14ac:dyDescent="0.2">
      <c r="I144" s="6"/>
      <c r="L144" s="147" t="str">
        <f>IF((SUM(F146:F149))=0,"",IF(P144&gt;L140,L140,IF(L140="","",IF(L143="","",P144))))</f>
        <v/>
      </c>
      <c r="O144" s="174" t="s">
        <v>251</v>
      </c>
      <c r="P144" s="175">
        <f>IF(L143="",0,((IF(SUMIF(B158,"&gt;0"),N138,0))+(IF(SUMIF(B159,"&gt;0"),N139,0))+(IF(SUMIF(B160,"&gt;0"),N140,0))+(IF(SUMIF(B161,"&gt;0"),N141,0))+(IF(SUMIF(B162,"&gt;0"),N142,0))+(IF(SUMIF(B163,"&gt;0"),N143,0))+(IF(SUMIF(B164,"&gt;0"),P138,0))+(IF(SUMIF(B165,"&gt;0"),P139,0))+(IF(SUMIF(B166,"&gt;0"),P140,0))+(IF(SUMIF(B167,"&gt;0"),P141,0))+(IF(SUMIF(B168,"&gt;0"),P142,0))+(IF(SUMIF(B169,"&gt;0"),P143,0)))/Grundlagen!$C$24)</f>
        <v>0</v>
      </c>
    </row>
    <row r="145" spans="1:16" s="52" customFormat="1" ht="13.5" customHeight="1" x14ac:dyDescent="0.2">
      <c r="A145" s="61" t="s">
        <v>148</v>
      </c>
      <c r="B145" s="1168" t="s">
        <v>149</v>
      </c>
      <c r="C145" s="1168"/>
      <c r="D145" s="62" t="s">
        <v>150</v>
      </c>
      <c r="E145" s="63" t="s">
        <v>151</v>
      </c>
      <c r="F145" s="64" t="str">
        <f>CONCATENATE("Entg. ",N135," h/Wo")</f>
        <v>Entg.  h/Wo</v>
      </c>
      <c r="G145" s="65" t="s">
        <v>152</v>
      </c>
      <c r="H145" s="65" t="s">
        <v>153</v>
      </c>
      <c r="K145" s="1169" t="str">
        <f>CONCATENATE("Zuschläge / Zulagen für ",N135,"h/Wo")</f>
        <v>Zuschläge / Zulagen für h/Wo</v>
      </c>
      <c r="L145" s="1169"/>
      <c r="M145" s="66" t="str">
        <f>IF(A146="","",A146)</f>
        <v>Jan 2022</v>
      </c>
      <c r="N145" s="66" t="str">
        <f>IF(A147="","",A147)</f>
        <v/>
      </c>
      <c r="O145" s="66" t="str">
        <f>IF(A148="","",A148)</f>
        <v/>
      </c>
      <c r="P145" s="66" t="str">
        <f>IF(A149="","",A149)</f>
        <v/>
      </c>
    </row>
    <row r="146" spans="1:16" s="52" customFormat="1" ht="13.5" customHeight="1" x14ac:dyDescent="0.25">
      <c r="A146" s="54" t="str">
        <f>A158</f>
        <v>Jan 2022</v>
      </c>
      <c r="B146" s="1170" t="str">
        <f>IF($D$3="","",$D$3)</f>
        <v/>
      </c>
      <c r="C146" s="1171"/>
      <c r="D146" s="181"/>
      <c r="E146" s="181"/>
      <c r="F146" s="87"/>
      <c r="G146" s="56">
        <f>IF(N135="",0,F146/N135/4.348)</f>
        <v>0</v>
      </c>
      <c r="H146" s="53">
        <f>IF(G146=0,0,M151)</f>
        <v>0</v>
      </c>
      <c r="K146" s="1146"/>
      <c r="L146" s="1146"/>
      <c r="M146" s="172"/>
      <c r="N146" s="172"/>
      <c r="O146" s="172"/>
      <c r="P146" s="172"/>
    </row>
    <row r="147" spans="1:16" s="52" customFormat="1" ht="13.5" customHeight="1" x14ac:dyDescent="0.25">
      <c r="A147" s="55"/>
      <c r="B147" s="1172" t="str">
        <f>IF(A147="","",B146)</f>
        <v/>
      </c>
      <c r="C147" s="1173"/>
      <c r="D147" s="181"/>
      <c r="E147" s="181"/>
      <c r="F147" s="87"/>
      <c r="G147" s="56">
        <f>IF(N135="",0,F147/N135/4.348)</f>
        <v>0</v>
      </c>
      <c r="H147" s="53">
        <f>IF(G147=0,0,N151)</f>
        <v>0</v>
      </c>
      <c r="K147" s="1146"/>
      <c r="L147" s="1146"/>
      <c r="M147" s="172"/>
      <c r="N147" s="172"/>
      <c r="O147" s="172"/>
      <c r="P147" s="172"/>
    </row>
    <row r="148" spans="1:16" s="52" customFormat="1" ht="13.5" customHeight="1" x14ac:dyDescent="0.25">
      <c r="A148" s="55"/>
      <c r="B148" s="1172" t="str">
        <f>IF(A148="","",B147)</f>
        <v/>
      </c>
      <c r="C148" s="1173"/>
      <c r="D148" s="181"/>
      <c r="E148" s="181"/>
      <c r="F148" s="87"/>
      <c r="G148" s="56">
        <f>IF(N135="",0,F148/N135/4.348)</f>
        <v>0</v>
      </c>
      <c r="H148" s="53">
        <f>IF(G148=0,0,O151)</f>
        <v>0</v>
      </c>
      <c r="K148" s="1146"/>
      <c r="L148" s="1146"/>
      <c r="M148" s="172"/>
      <c r="N148" s="172"/>
      <c r="O148" s="172"/>
      <c r="P148" s="172"/>
    </row>
    <row r="149" spans="1:16" s="52" customFormat="1" ht="13.5" customHeight="1" x14ac:dyDescent="0.25">
      <c r="A149" s="55"/>
      <c r="B149" s="1172" t="str">
        <f>IF(A149="","",B148)</f>
        <v/>
      </c>
      <c r="C149" s="1173"/>
      <c r="D149" s="181"/>
      <c r="E149" s="181"/>
      <c r="F149" s="87"/>
      <c r="G149" s="56">
        <f>IF(N135="",0,F149/N135/4.348)</f>
        <v>0</v>
      </c>
      <c r="H149" s="53">
        <f>IF(G149=0,0,P151)</f>
        <v>0</v>
      </c>
      <c r="K149" s="1146"/>
      <c r="L149" s="1146"/>
      <c r="M149" s="172"/>
      <c r="N149" s="172"/>
      <c r="O149" s="172"/>
      <c r="P149" s="172"/>
    </row>
    <row r="150" spans="1:16" s="52" customFormat="1" ht="13.5" customHeight="1" x14ac:dyDescent="0.25">
      <c r="B150" s="1167" t="s">
        <v>157</v>
      </c>
      <c r="C150" s="1167"/>
      <c r="E150" s="1167" t="s">
        <v>156</v>
      </c>
      <c r="F150" s="1167"/>
      <c r="J150" s="69"/>
      <c r="K150" s="1146"/>
      <c r="L150" s="1146"/>
      <c r="M150" s="172"/>
      <c r="N150" s="172"/>
      <c r="O150" s="172"/>
      <c r="P150" s="172"/>
    </row>
    <row r="151" spans="1:16" s="52" customFormat="1" ht="13.5" customHeight="1" x14ac:dyDescent="0.25">
      <c r="A151" s="70" t="s">
        <v>167</v>
      </c>
      <c r="B151" s="67"/>
      <c r="C151" s="99" t="str">
        <f>IF(C107="","",C107)</f>
        <v/>
      </c>
      <c r="D151" s="70" t="s">
        <v>167</v>
      </c>
      <c r="E151" s="67"/>
      <c r="F151" s="99" t="str">
        <f>IF(F107="","",F107)</f>
        <v/>
      </c>
      <c r="J151" s="68"/>
      <c r="M151" s="173">
        <f>SUM(M146:M150)</f>
        <v>0</v>
      </c>
      <c r="N151" s="173">
        <f t="shared" ref="N151:P151" si="16">SUM(N146:N150)</f>
        <v>0</v>
      </c>
      <c r="O151" s="173">
        <f t="shared" si="16"/>
        <v>0</v>
      </c>
      <c r="P151" s="173">
        <f t="shared" si="16"/>
        <v>0</v>
      </c>
    </row>
    <row r="152" spans="1:16" s="52" customFormat="1" ht="13.5" customHeight="1" x14ac:dyDescent="0.2">
      <c r="A152" s="60" t="s">
        <v>155</v>
      </c>
    </row>
    <row r="153" spans="1:16" s="1" customFormat="1" ht="14.25" customHeight="1" x14ac:dyDescent="0.2">
      <c r="A153" s="1147"/>
      <c r="B153" s="1149" t="s">
        <v>9</v>
      </c>
      <c r="C153" s="1150"/>
      <c r="D153" s="1150"/>
      <c r="E153" s="1150"/>
      <c r="F153" s="1150"/>
      <c r="G153" s="1151"/>
      <c r="H153" s="1152" t="s">
        <v>119</v>
      </c>
      <c r="I153" s="1153"/>
      <c r="J153" s="1153"/>
      <c r="K153" s="1153"/>
      <c r="L153" s="1153"/>
      <c r="M153" s="1153"/>
      <c r="N153" s="1153"/>
      <c r="O153" s="33"/>
      <c r="P153" s="1154" t="s">
        <v>0</v>
      </c>
    </row>
    <row r="154" spans="1:16" s="1" customFormat="1" ht="14.25" customHeight="1" x14ac:dyDescent="0.2">
      <c r="A154" s="1148"/>
      <c r="B154" s="1157" t="s">
        <v>117</v>
      </c>
      <c r="C154" s="124" t="s">
        <v>115</v>
      </c>
      <c r="D154" s="1159" t="s">
        <v>277</v>
      </c>
      <c r="E154" s="1161" t="s">
        <v>147</v>
      </c>
      <c r="F154" s="127" t="s">
        <v>7</v>
      </c>
      <c r="G154" s="1162" t="s">
        <v>6</v>
      </c>
      <c r="H154" s="1161" t="s">
        <v>129</v>
      </c>
      <c r="I154" s="1161" t="s">
        <v>5</v>
      </c>
      <c r="J154" s="1161" t="s">
        <v>4</v>
      </c>
      <c r="K154" s="1161" t="s">
        <v>3</v>
      </c>
      <c r="L154" s="1161" t="s">
        <v>121</v>
      </c>
      <c r="M154" s="1161" t="s">
        <v>122</v>
      </c>
      <c r="N154" s="1161" t="s">
        <v>123</v>
      </c>
      <c r="O154" s="1160" t="s">
        <v>114</v>
      </c>
      <c r="P154" s="1155"/>
    </row>
    <row r="155" spans="1:16" s="1" customFormat="1" ht="14.25" customHeight="1" x14ac:dyDescent="0.2">
      <c r="A155" s="1148"/>
      <c r="B155" s="1157"/>
      <c r="C155" s="21" t="str">
        <f>IF(C151="","",C151)</f>
        <v/>
      </c>
      <c r="D155" s="1160"/>
      <c r="E155" s="1161"/>
      <c r="F155" s="1165" t="str">
        <f>IF(H146=0,"","siehe Zuschläge / Zulagen")</f>
        <v/>
      </c>
      <c r="G155" s="1162"/>
      <c r="H155" s="1164" t="s">
        <v>127</v>
      </c>
      <c r="I155" s="1164"/>
      <c r="J155" s="1164"/>
      <c r="K155" s="1164"/>
      <c r="L155" s="1164"/>
      <c r="M155" s="1164"/>
      <c r="N155" s="1164"/>
      <c r="O155" s="1160"/>
      <c r="P155" s="1155"/>
    </row>
    <row r="156" spans="1:16" s="1" customFormat="1" x14ac:dyDescent="0.2">
      <c r="A156" s="1148"/>
      <c r="B156" s="1157"/>
      <c r="C156" s="122" t="s">
        <v>70</v>
      </c>
      <c r="D156" s="1160"/>
      <c r="E156" s="1161"/>
      <c r="F156" s="1165"/>
      <c r="G156" s="1162"/>
      <c r="H156" s="43" t="s">
        <v>128</v>
      </c>
      <c r="I156" s="43" t="s">
        <v>255</v>
      </c>
      <c r="J156" s="43" t="s">
        <v>256</v>
      </c>
      <c r="K156" s="43" t="s">
        <v>257</v>
      </c>
      <c r="L156" s="43"/>
      <c r="M156" s="43"/>
      <c r="N156" s="43" t="s">
        <v>254</v>
      </c>
      <c r="O156" s="1160"/>
      <c r="P156" s="1155"/>
    </row>
    <row r="157" spans="1:16" s="1" customFormat="1" x14ac:dyDescent="0.2">
      <c r="A157" s="1148"/>
      <c r="B157" s="1158"/>
      <c r="C157" s="21" t="str">
        <f>IF(F151="","",F151)</f>
        <v/>
      </c>
      <c r="D157" s="51"/>
      <c r="E157" s="51"/>
      <c r="F157" s="1166"/>
      <c r="G157" s="1163"/>
      <c r="H157" s="93"/>
      <c r="I157" s="139">
        <f>$I$69</f>
        <v>0</v>
      </c>
      <c r="J157" s="139">
        <f>$J$69</f>
        <v>0</v>
      </c>
      <c r="K157" s="44">
        <f>$K$69</f>
        <v>0</v>
      </c>
      <c r="L157" s="21"/>
      <c r="M157" s="21"/>
      <c r="N157" s="139">
        <f>$N$69</f>
        <v>0</v>
      </c>
      <c r="O157" s="21">
        <f>O113</f>
        <v>0</v>
      </c>
      <c r="P157" s="1156"/>
    </row>
    <row r="158" spans="1:16" s="1" customFormat="1" x14ac:dyDescent="0.2">
      <c r="A158" s="100" t="str">
        <f>$A$26</f>
        <v>Jan 2022</v>
      </c>
      <c r="B158" s="24">
        <f>ROUND(IF(N138=0,0,(LOOKUP(2,1/(A146:A149=A158),G146:G149))*N138*4.348),2)</f>
        <v>0</v>
      </c>
      <c r="C158" s="23">
        <f>ROUND(IFERROR(((LOOKUP(2,1/(B151=A158),((SUM(B164:B166)+SUM(F164:F166))/3)*C151))),0)+IFERROR(((LOOKUP(2,1/(E151=A158),(B170+F170)*F151))),0),2)</f>
        <v>0</v>
      </c>
      <c r="D158" s="23">
        <f>ROUND(IF(B158=0,0,D157/L139*N138),2)</f>
        <v>0</v>
      </c>
      <c r="E158" s="23">
        <f>ROUND(IF(B158=0,0,E157/N135*N138),2)</f>
        <v>0</v>
      </c>
      <c r="F158" s="24">
        <f>ROUND(IF(N138=0,0,(LOOKUP(2,1/(A146:A149=A158),H146:H149))/N135*N138),2)</f>
        <v>0</v>
      </c>
      <c r="G158" s="27">
        <f>SUM(B158+C158+E158+F158)</f>
        <v>0</v>
      </c>
      <c r="H158" s="76">
        <f>ROUND(IF((SUM(B158:F158))&gt;L173,L173*H157,SUM(B158:F158)*H157),2)</f>
        <v>0</v>
      </c>
      <c r="I158" s="76">
        <f>ROUND(IF((SUM(B158:F158))&gt;L174,L174*I157,SUM(B158:F158)*I157),2)</f>
        <v>0</v>
      </c>
      <c r="J158" s="76">
        <f>ROUND(IF((SUM(B158:F158))&gt;L174,L174*J157,SUM(B158:F158)*J157),2)</f>
        <v>0</v>
      </c>
      <c r="K158" s="76">
        <f>ROUND(IF((SUM(B158:F158))&gt;L173,L173*K157,SUM(B158:F158)*K157),2)</f>
        <v>0</v>
      </c>
      <c r="L158" s="76">
        <f>ROUND(IF((SUM(B158:F158))&gt;L174,L174*L157,(SUM(B158:F158)-C158)*L157),2)</f>
        <v>0</v>
      </c>
      <c r="M158" s="76">
        <f>ROUND(IF((SUM(B158:F158))&gt;L174,L174*M157,(SUM(B158:F158)-C158)*M157),2)</f>
        <v>0</v>
      </c>
      <c r="N158" s="76">
        <f>ROUND(IF((SUM(B158:F158))&gt;L174,L174*N157,SUM(B158:F158)*N157),2)</f>
        <v>0</v>
      </c>
      <c r="O158" s="23">
        <f>ROUND(SUM(B158+C158+F158)*O157,2)</f>
        <v>0</v>
      </c>
      <c r="P158" s="27">
        <f>SUM(G158:O158)</f>
        <v>0</v>
      </c>
    </row>
    <row r="159" spans="1:16" s="1" customFormat="1" x14ac:dyDescent="0.2">
      <c r="A159" s="100" t="str">
        <f>$A$27</f>
        <v>Feb 2022</v>
      </c>
      <c r="B159" s="24">
        <f>ROUND(IF(N139=0,0,IFERROR(((LOOKUP(2,1/(A146:A149=A159),G146:G149))*N139*4.348),B158/N139*N139)),2)</f>
        <v>0</v>
      </c>
      <c r="C159" s="23">
        <f>ROUND(IFERROR(((LOOKUP(2,1/(B151=A159),((SUM(B164:B166)+SUM(F164:F166))/3)*C151))),0)+IFERROR(((LOOKUP(2,1/(E151=A159),(B170+F170)*F151))),0),2)</f>
        <v>0</v>
      </c>
      <c r="D159" s="23">
        <f>ROUND(IF(B159=0,0,D157/L139*N139),2)</f>
        <v>0</v>
      </c>
      <c r="E159" s="23">
        <f>ROUND(IF(B159=0,0,E157/N135*N139),2)</f>
        <v>0</v>
      </c>
      <c r="F159" s="24">
        <f>ROUND(IF(N139=0,0,IFERROR(((LOOKUP(2,1/(A146:A149=A159),H146:H149))/N135*N139),F158/N139*N139)),2)</f>
        <v>0</v>
      </c>
      <c r="G159" s="27">
        <f t="shared" ref="G159:G169" si="17">SUM(B159+C159+E159+F159)</f>
        <v>0</v>
      </c>
      <c r="H159" s="76">
        <f>ROUND(IF(SUM(B158:F158)&lt;(L173*1),IF((SUM(B158:F159))&gt;(L173*2),(((L173*2)-(SUM(B158:F159)-C158))*H157)+((SUM(B159:F159)-C158)*H157),SUM(B159:F159)*H157),IF(SUM(B158:F159)&gt;(L173*2),L173*H157,SUM(B159:F159)*H157)),2)</f>
        <v>0</v>
      </c>
      <c r="I159" s="76">
        <f>ROUND(IF(SUM(B158:F158)&lt;(L174*1),IF((SUM(B158:F159))&gt;(L174*2),(((L174*2)-(SUM(B158:F159)-C158))*I157)+((SUM(B159:F159)-C158)*I157),SUM(B159:F159)*I157),IF(SUM(B158:F159)&gt;(L174*2),L174*I157,SUM(B159:F159)*I157)),2)</f>
        <v>0</v>
      </c>
      <c r="J159" s="76">
        <f>ROUND(IF(SUM(B158:F158)&lt;(L174*1),IF((SUM(B158:F159))&gt;(L174*2),(((L174*2)-(SUM(B158:F159)-C158))*J157)+((SUM(B159:F159)-C158)*J157),SUM(B159:F159)*J157),IF(SUM(B158:F159)&gt;(L174*2),L174*J157,SUM(B159:F159)*J157)),2)</f>
        <v>0</v>
      </c>
      <c r="K159" s="76">
        <f>ROUND(IF(SUM(B158:F158)&lt;(L173*1),IF((SUM(B158:F159))&gt;(L173*2),(((L173*2)-(SUM(B158:F159)-C158))*K157)+((SUM(B159:F159)-C158)*K157),SUM(B159:F159)*K157),IF(SUM(B158:F159)&gt;(L173*2),L173*K157,SUM(B159:F159)*K157)),2)</f>
        <v>0</v>
      </c>
      <c r="L159" s="76">
        <f>ROUND(IF(SUM(B158:F158)&lt;(L174*1),IF((SUM(B158:F159))&gt;(L174*2),(((L174*2)-(SUM(B158:F159)-C159))*L157)+((SUM(B159:F159)-C159)*L157),(SUM(B159:F159)-C159)*L157),IF(SUM(B158:F159)&gt;(L174*2),L174*L157,SUM(B159:F159)*L157)),2)</f>
        <v>0</v>
      </c>
      <c r="M159" s="76">
        <f>ROUND(IF(SUM(B158:F158)&lt;(L174*1),IF((SUM(B158:F159))&gt;(L174*2),(((L174*2)-(SUM(B158:F159)-C159))*M157)+((SUM(B159:F159)-C159)*M157),(SUM(B159:F159)-C159)*M157),IF(SUM(B158:F159)&gt;(L174*2),L174*M157,SUM(B159:F159)*M157)),2)</f>
        <v>0</v>
      </c>
      <c r="N159" s="76">
        <f>ROUND(IF(SUM(B158:F158)&lt;(L174*1),IF((SUM(B158:F159))&gt;(L174*2),(((L174*2)-(SUM(B158:F159)-C158))*N157)+((SUM(B159:F159)-C158)*N157),SUM(B159:F159)*N157),IF(SUM(B158:F159)&gt;(L174*2),L174*N157,SUM(B159:F159)*N157)),2)</f>
        <v>0</v>
      </c>
      <c r="O159" s="23">
        <f>ROUND(SUM(B159+C159+F159)*O157,2)</f>
        <v>0</v>
      </c>
      <c r="P159" s="27">
        <f>SUM(G159:O159)</f>
        <v>0</v>
      </c>
    </row>
    <row r="160" spans="1:16" s="1" customFormat="1" x14ac:dyDescent="0.2">
      <c r="A160" s="100" t="str">
        <f>$A$28</f>
        <v>Mrz 2022</v>
      </c>
      <c r="B160" s="24">
        <f>ROUND(IF(N140=0,0,IFERROR(((LOOKUP(2,1/(A146:A149=A160),G146:G149))*N140*4.348),B159/N140*N140)),2)</f>
        <v>0</v>
      </c>
      <c r="C160" s="23">
        <f>ROUND(IFERROR(((LOOKUP(2,1/(B151=A160),((SUM(B164:B166)+SUM(F164:F166))/3)*C151))),0)+IFERROR(((LOOKUP(2,1/(E151=A160),(B170+F170)*F151))),0),2)</f>
        <v>0</v>
      </c>
      <c r="D160" s="23">
        <f>ROUND(IF(B160=0,0,D157/L139*N140),2)</f>
        <v>0</v>
      </c>
      <c r="E160" s="23">
        <f>ROUND(IF(B160=0,0,E157/N135*N140),2)</f>
        <v>0</v>
      </c>
      <c r="F160" s="24">
        <f>ROUND(IF(N140=0,0,IFERROR(((LOOKUP(2,1/(A146:A149=A160),H146:H149))/N135*N140),F159/N140*N140)),2)</f>
        <v>0</v>
      </c>
      <c r="G160" s="27">
        <f t="shared" si="17"/>
        <v>0</v>
      </c>
      <c r="H160" s="76">
        <f>ROUND(IF(SUM(B158:F159)&lt;(L173*2),IF((SUM(B158:F160))&gt;(L173*3),(((L173*3)-(SUM(B158:F160)-C159))*H157)+((SUM(B160:F160)-C159)*H157),SUM(B160:F160)*H157),IF(SUM(B158:F160)&gt;(L173*3),L173*H157,SUM(B160:F160)*H157)),2)</f>
        <v>0</v>
      </c>
      <c r="I160" s="76">
        <f>ROUND(IF(SUM(B158:F159)&lt;(L174*2),IF((SUM(B158:F160))&gt;(L174*3),(((L174*3)-(SUM(B158:F160)-C159))*I157)+((SUM(B160:F160)-C159)*I157),SUM(B160:F160)*I157),IF(SUM(B158:F160)&gt;(L174*3),L174*I157,SUM(B160:F160)*I157)),2)</f>
        <v>0</v>
      </c>
      <c r="J160" s="76">
        <f>ROUND(IF(SUM(B158:F159)&lt;(L174*2),IF((SUM(B158:F160))&gt;(L174*3),(((L174*3)-(SUM(B158:F160)-C159))*J157)+((SUM(B160:F160)-C159)*J157),SUM(B160:F160)*J157),IF(SUM(B158:F160)&gt;(L174*3),L174*J157,SUM(B160:F160)*J157)),2)</f>
        <v>0</v>
      </c>
      <c r="K160" s="76">
        <f>ROUND(IF(SUM(B158:F159)&lt;(L173*2),IF((SUM(B158:F160))&gt;(L173*3),(((L173*3)-(SUM(B158:F160)-C159))*K157)+((SUM(B160:F160)-C159)*K157),SUM(B160:F160)*K157),IF(SUM(B158:F160)&gt;(L173*3),L173*K157,SUM(B160:F160)*K157)),2)</f>
        <v>0</v>
      </c>
      <c r="L160" s="76">
        <f>ROUND(IF(SUM(B158:F159)&lt;(L174*2),IF((SUM(B158:F160))&gt;(L174*3),(((L174*3)-(SUM(B158:F160)-C160))*L157)+((SUM(B160:F160)-C160)*L157),(SUM(B160:F160)-C160)*L157),IF(SUM(B158:F160)&gt;(L174*3),L174*L157,SUM(B160:F160)*L157)),2)</f>
        <v>0</v>
      </c>
      <c r="M160" s="76">
        <f>ROUND(IF(SUM(B158:F159)&lt;(L174*2),IF((SUM(B158:F160))&gt;(L174*3),(((L174*3)-(SUM(B158:F160)-C160))*M157)+((SUM(B160:F160)-C160)*M157),(SUM(B160:F160)-C160)*M157),IF(SUM(B158:F160)&gt;(L174*3),L174*M157,SUM(B160:F160)*M157)),2)</f>
        <v>0</v>
      </c>
      <c r="N160" s="76">
        <f>ROUND(IF(SUM(B158:F159)&lt;(L174*2),IF((SUM(B158:F160))&gt;(L174*3),(((L174*3)-(SUM(B158:F160)-C159))*N157)+((SUM(B160:F160)-C159)*N157),SUM(B160:F160)*N157),IF(SUM(B158:F160)&gt;(L174*3),L174*N157,SUM(B160:F160)*N157)),2)</f>
        <v>0</v>
      </c>
      <c r="O160" s="23">
        <f>ROUND(SUM(B160+C160+F160)*O157,2)</f>
        <v>0</v>
      </c>
      <c r="P160" s="27">
        <f t="shared" ref="P160:P169" si="18">SUM(G160:O160)</f>
        <v>0</v>
      </c>
    </row>
    <row r="161" spans="1:16" s="1" customFormat="1" x14ac:dyDescent="0.2">
      <c r="A161" s="100" t="str">
        <f>$A$29</f>
        <v>Apr 2022</v>
      </c>
      <c r="B161" s="24">
        <f>ROUND(IF(N141=0,0,IFERROR(((LOOKUP(2,1/(A146:A149=A161),G146:G149))*N141*4.348),B160/N141*N141)),2)</f>
        <v>0</v>
      </c>
      <c r="C161" s="23">
        <f>ROUND(IFERROR(((LOOKUP(2,1/(B151=A161),((SUM(B164:B166)+SUM(F164:F166))/3)*C151))),0)+IFERROR(((LOOKUP(2,1/(E151=A161),(B170+F170)*F151))),0),2)</f>
        <v>0</v>
      </c>
      <c r="D161" s="23">
        <f>ROUND(IF(B161=0,0,D157/L139*N141),2)</f>
        <v>0</v>
      </c>
      <c r="E161" s="23">
        <f>ROUND(IF(B161=0,0,E157/N135*N141),2)</f>
        <v>0</v>
      </c>
      <c r="F161" s="24">
        <f>ROUND(IF(N141=0,0,IFERROR(((LOOKUP(2,1/(A146:A149=A161),H146:H149))/N135*N141),F160/N141*N141)),2)</f>
        <v>0</v>
      </c>
      <c r="G161" s="27">
        <f t="shared" si="17"/>
        <v>0</v>
      </c>
      <c r="H161" s="76">
        <f>ROUND(IF(SUM(B158:F160)&lt;(L173*3),IF((SUM(B158:F161))&gt;(L173*4),(((L173*4)-(SUM(B158:F161)-C160))*H157)+((SUM(B161:F161)-C160)*H157),SUM(B161:F161)*H157),IF(SUM(B158:F161)&gt;(L173*4),L173*H157,SUM(B161:F161)*H157)),2)</f>
        <v>0</v>
      </c>
      <c r="I161" s="76">
        <f>ROUND(IF(SUM(B158:F160)&lt;(L174*3),IF((SUM(B158:F161))&gt;(L174*4),(((L174*4)-(SUM(B158:F161)-C160))*I157)+((SUM(B161:F161)-C160)*I157),SUM(B161:F161)*I157),IF(SUM(B158:F161)&gt;(L174*4),L174*I157,SUM(B161:F161)*I157)),2)</f>
        <v>0</v>
      </c>
      <c r="J161" s="76">
        <f>ROUND(IF(SUM(B158:F160)&lt;(L174*3),IF((SUM(B158:F161))&gt;(L174*4),(((L174*4)-(SUM(B158:F161)-C160))*J157)+((SUM(B161:F161)-C160)*J157),SUM(B161:F161)*J157),IF(SUM(B158:F161)&gt;(L174*4),L174*J157,SUM(B161:F161)*J157)),2)</f>
        <v>0</v>
      </c>
      <c r="K161" s="76">
        <f>ROUND(IF(SUM(B158:F160)&lt;(L173*3),IF((SUM(B158:F161))&gt;(L173*4),(((L173*4)-(SUM(B158:F161)-C160))*K157)+((SUM(B161:F161)-C160)*K157),SUM(B161:F161)*K157),IF(SUM(B158:F161)&gt;(L173*4),L173*K157,SUM(B161:F161)*K157)),2)</f>
        <v>0</v>
      </c>
      <c r="L161" s="76">
        <f>ROUND(IF(SUM(B158:F160)&lt;(L174*3),IF((SUM(B158:F161))&gt;(L174*4),(((L174*4)-(SUM(B158:F161)-C161))*L157)+((SUM(B161:F161)-C161)*L157),(SUM(B161:F161)-C161)*L157),IF(SUM(B158:F161)&gt;(L174*4),L174*L157,SUM(B161:F161)*L157)),2)</f>
        <v>0</v>
      </c>
      <c r="M161" s="76">
        <f>ROUND(IF(SUM(B158:F160)&lt;(L174*3),IF((SUM(B158:F161))&gt;(L174*4),(((L174*4)-(SUM(B158:F161)-C161))*M157)+((SUM(B161:F161)-C161)*M157),(SUM(B161:F161)-C161)*M157),IF(SUM(B158:F161)&gt;(L174*4),L174*M157,SUM(B161:F161)*M157)),2)</f>
        <v>0</v>
      </c>
      <c r="N161" s="76">
        <f>ROUND(IF(SUM(B158:F160)&lt;(L174*3),IF((SUM(B158:F161))&gt;(L174*4),(((L174*4)-(SUM(B158:F161)-C160))*N157)+((SUM(B161:F161)-C160)*N157),SUM(B161:F161)*N157),IF(SUM(B158:F161)&gt;(L174*4),L174*N157,SUM(B161:F161)*N157)),2)</f>
        <v>0</v>
      </c>
      <c r="O161" s="23">
        <f>ROUND(SUM(B161+C161+F161)*O157,2)</f>
        <v>0</v>
      </c>
      <c r="P161" s="27">
        <f t="shared" si="18"/>
        <v>0</v>
      </c>
    </row>
    <row r="162" spans="1:16" s="1" customFormat="1" x14ac:dyDescent="0.2">
      <c r="A162" s="100" t="str">
        <f>$A$30</f>
        <v>Mai 2022</v>
      </c>
      <c r="B162" s="24">
        <f>ROUND(IF(N142=0,0,IFERROR(((LOOKUP(2,1/(A146:A149=A162),G146:G149))*N142*4.348),B161/N142*N142)),2)</f>
        <v>0</v>
      </c>
      <c r="C162" s="23">
        <f>ROUND(IFERROR(((LOOKUP(2,1/(B151=A162),((SUM(B164:B166)+SUM(F164:F166))/3)*C151))),0)+IFERROR(((LOOKUP(2,1/(E151=A162),(B170+F170)*F151))),0),2)</f>
        <v>0</v>
      </c>
      <c r="D162" s="23">
        <f>ROUND(IF(B162=0,0,D157/L139*N142),2)</f>
        <v>0</v>
      </c>
      <c r="E162" s="23">
        <f>ROUND(IF(B162=0,0,E157/N135*N142),2)</f>
        <v>0</v>
      </c>
      <c r="F162" s="24">
        <f>ROUND(IF(N142=0,0,IFERROR(((LOOKUP(2,1/(A146:A149=A162),H146:H149))/N135*N142),F161/N142*N142)),2)</f>
        <v>0</v>
      </c>
      <c r="G162" s="27">
        <f t="shared" si="17"/>
        <v>0</v>
      </c>
      <c r="H162" s="76">
        <f>ROUND(IF(SUM(B158:F161)&lt;(L173*4),IF((SUM(B158:F162))&gt;(L173*5),(((L173*5)-(SUM(B158:F162)-C161))*H157)+((SUM(B162:F162)-C161)*H157),SUM(B162:F162)*H157),IF(SUM(B158:F162)&gt;(L173*5),L173*H157,SUM(B162:F162)*H157)),2)</f>
        <v>0</v>
      </c>
      <c r="I162" s="76">
        <f>ROUND(IF(SUM(B158:F161)&lt;(L174*4),IF((SUM(B158:F162))&gt;(L174*5),(((L174*5)-(SUM(B158:F162)-C161))*I157)+((SUM(B162:F162)-C161)*I157),SUM(B162:F162)*I157),IF(SUM(B158:F162)&gt;(L174*5),L174*I157,SUM(B162:F162)*I157)),2)</f>
        <v>0</v>
      </c>
      <c r="J162" s="76">
        <f>ROUND(IF(SUM(B158:F161)&lt;(L174*4),IF((SUM(B158:F162))&gt;(L174*5),(((L174*5)-(SUM(B158:F162)-C161))*J157)+((SUM(B162:F162)-C161)*J157),SUM(B162:F162)*J157),IF(SUM(B158:F162)&gt;(L174*5),L174*J157,SUM(B162:F162)*J157)),2)</f>
        <v>0</v>
      </c>
      <c r="K162" s="76">
        <f>ROUND(IF(SUM(B158:F161)&lt;(L173*4),IF((SUM(B158:F162))&gt;(L173*5),(((L173*5)-(SUM(B158:F162)-C161))*K157)+((SUM(B162:F162)-C161)*K157),SUM(B162:F162)*K157),IF(SUM(B158:F162)&gt;(L173*5),L173*K157,SUM(B162:F162)*K157)),2)</f>
        <v>0</v>
      </c>
      <c r="L162" s="76">
        <f>ROUND(IF(SUM(B158:F161)&lt;(L174*4),IF((SUM(B158:F162))&gt;(L174*5),(((L174*5)-(SUM(B158:F162)-C162))*L157)+((SUM(B162:F162)-C162)*L157),(SUM(B162:F162)-C162)*L157),IF(SUM(B158:F162)&gt;(L174*5),L174*L157,SUM(B162:F162)*L157)),2)</f>
        <v>0</v>
      </c>
      <c r="M162" s="76">
        <f>ROUND(IF(SUM(B158:F161)&lt;(L174*4),IF((SUM(B158:F162))&gt;(L174*5),(((L174*5)-(SUM(B158:F162)-C162))*M157)+((SUM(B162:F162)-C162)*M157),(SUM(B162:F162)-C162)*M157),IF(SUM(B158:F162)&gt;(L174*5),L174*M157,SUM(B162:F162)*M157)),2)</f>
        <v>0</v>
      </c>
      <c r="N162" s="76">
        <f>ROUND(IF(SUM(B158:F161)&lt;(L174*4),IF((SUM(B158:F162))&gt;(L174*5),(((L174*5)-(SUM(B158:F162)-C161))*N157)+((SUM(B162:F162)-C161)*N157),SUM(B162:F162)*N157),IF(SUM(B158:F162)&gt;(L174*5),L174*N157,SUM(B162:F162)*N157)),2)</f>
        <v>0</v>
      </c>
      <c r="O162" s="23">
        <f>ROUND(SUM(B162+C162+F162)*O157,2)</f>
        <v>0</v>
      </c>
      <c r="P162" s="27">
        <f t="shared" si="18"/>
        <v>0</v>
      </c>
    </row>
    <row r="163" spans="1:16" s="1" customFormat="1" x14ac:dyDescent="0.2">
      <c r="A163" s="100" t="str">
        <f>$A$31</f>
        <v>Jun 2022</v>
      </c>
      <c r="B163" s="24">
        <f>ROUND(IF(N143=0,0,IFERROR(((LOOKUP(2,1/(A146:A149=A163),G146:G149))*N143*4.348),B162/N143*N143)),2)</f>
        <v>0</v>
      </c>
      <c r="C163" s="23">
        <f>ROUND(IFERROR(((LOOKUP(2,1/(B151=A163),((SUM(B164:B166)+SUM(F164:F166))/3)*C151))),0)+IFERROR(((LOOKUP(2,1/(E151=A163),(B170+F170)*F151))),0),2)</f>
        <v>0</v>
      </c>
      <c r="D163" s="23">
        <f>ROUND(IF(B163=0,0,D157/L139*N143),2)</f>
        <v>0</v>
      </c>
      <c r="E163" s="23">
        <f>ROUND(IF(B163=0,0,E157/N135*N143),2)</f>
        <v>0</v>
      </c>
      <c r="F163" s="24">
        <f>ROUND(IF(N143=0,0,IFERROR(((LOOKUP(2,1/(A146:A149=A163),H146:H149))/N135*N143),F162/N143*N143)),2)</f>
        <v>0</v>
      </c>
      <c r="G163" s="27">
        <f t="shared" si="17"/>
        <v>0</v>
      </c>
      <c r="H163" s="76">
        <f>ROUND(IF(SUM(B158:F162)&lt;(L173*5),IF((SUM(B158:F163))&gt;(L173*6),(((L173*6)-(SUM(B158:F163)-C162))*H157)+((SUM(B163:F163)-C162)*H157),SUM(B163:F163)*H157),IF(SUM(B158:F163)&gt;(L173*6),L173*H157,SUM(B163:F163)*H157)),2)</f>
        <v>0</v>
      </c>
      <c r="I163" s="76">
        <f>ROUND(IF(SUM(B158:F162)&lt;(L174*5),IF((SUM(B158:F163))&gt;(L174*6),(((L174*6)-(SUM(B158:F163)-C162))*I157)+((SUM(B163:F163)-C162)*I157),SUM(B163:F163)*I157),IF(SUM(B158:F163)&gt;(L174*6),L174*I157,SUM(B163:F163)*I157)),2)</f>
        <v>0</v>
      </c>
      <c r="J163" s="76">
        <f>ROUND(IF(SUM(B158:F162)&lt;(L174*5),IF((SUM(B158:F163))&gt;(L174*6),(((L174*6)-(SUM(B158:F163)-C162))*J157)+((SUM(B163:F163)-C162)*J157),SUM(B163:F163)*J157),IF(SUM(B158:F163)&gt;(L174*6),L174*J157,SUM(B163:F163)*J157)),2)</f>
        <v>0</v>
      </c>
      <c r="K163" s="76">
        <f>ROUND(IF(SUM(B158:F162)&lt;(L173*5),IF((SUM(B158:F163))&gt;(L173*6),(((L173*6)-(SUM(B158:F163)-C162))*K157)+((SUM(B163:F163)-C162)*K157),SUM(B163:F163)*K157),IF(SUM(B158:F163)&gt;(L173*6),L173*K157,SUM(B163:F163)*K157)),2)</f>
        <v>0</v>
      </c>
      <c r="L163" s="76">
        <f>ROUND(IF(SUM(B158:F162)&lt;(L174*5),IF((SUM(B158:F163))&gt;(L174*6),(((L174*6)-(SUM(B158:F163)-C163))*L157)+((SUM(B163:F163)-C163)*L157),(SUM(B163:F163)-C163)*L157),IF(SUM(B158:F163)&gt;(L174*6),L174*L157,SUM(B163:F163)*L157)),2)</f>
        <v>0</v>
      </c>
      <c r="M163" s="76">
        <f>ROUND(IF(SUM(B158:F162)&lt;(L174*5),IF((SUM(B158:F163))&gt;(L174*6),(((L174*6)-(SUM(B158:F163)-C163))*M157)+((SUM(B163:F163)-C163)*M157),(SUM(B163:F163)-C163)*M157),IF(SUM(B158:F163)&gt;(L174*6),L174*M157,SUM(B163:F163)*M157)),2)</f>
        <v>0</v>
      </c>
      <c r="N163" s="76">
        <f>ROUND(IF(SUM(B158:F162)&lt;(L174*5),IF((SUM(B158:F163))&gt;(L174*6),(((L174*6)-(SUM(B158:F163)-C162))*N157)+((SUM(B163:F163)-C162)*N157),SUM(B163:F163)*N157),IF(SUM(B158:F163)&gt;(L174*6),L174*N157,SUM(B163:F163)*N157)),2)</f>
        <v>0</v>
      </c>
      <c r="O163" s="23">
        <f>ROUND(SUM(B163+C163+F163)*O157,2)</f>
        <v>0</v>
      </c>
      <c r="P163" s="27">
        <f t="shared" si="18"/>
        <v>0</v>
      </c>
    </row>
    <row r="164" spans="1:16" s="1" customFormat="1" x14ac:dyDescent="0.2">
      <c r="A164" s="100" t="str">
        <f>$A$32</f>
        <v>Jul 2022</v>
      </c>
      <c r="B164" s="24">
        <f>ROUND(IF(P138=0,0,IFERROR(((LOOKUP(2,1/(A146:A149=A164),G146:G149))*P138*4.348),B163/P138*P138)),2)</f>
        <v>0</v>
      </c>
      <c r="C164" s="23">
        <f>ROUND(IFERROR(((LOOKUP(2,1/(B151=A164),((SUM(B164:B166)+SUM(F164:F166))/3)*C151))),0)+IFERROR(((LOOKUP(2,1/(E151=A164),(B170+F170)*F151))),0),2)</f>
        <v>0</v>
      </c>
      <c r="D164" s="23">
        <f>ROUND(IF(B164=0,0,D157/L139*P138),2)</f>
        <v>0</v>
      </c>
      <c r="E164" s="23">
        <f>ROUND(IF(B164=0,0,E157/N135*P138),2)</f>
        <v>0</v>
      </c>
      <c r="F164" s="24">
        <f>ROUND(IF(P138=0,0,IFERROR(((LOOKUP(2,1/(A146:A149=A164),H146:H149))/N135*P138),F163/P138*P138)),2)</f>
        <v>0</v>
      </c>
      <c r="G164" s="27">
        <f t="shared" si="17"/>
        <v>0</v>
      </c>
      <c r="H164" s="76">
        <f>ROUND(IF(SUM(B158:F163)&lt;(L173*6),IF((SUM(B158:F164))&gt;(L173*7),(((L173*7)-(SUM(B158:F164)-C163))*H157)+((SUM(B164:F164)-C163)*H157),SUM(B164:F164)*H157),IF(SUM(B158:F164)&gt;(L173*7),L173*H157,SUM(B164:F164)*H157)),2)</f>
        <v>0</v>
      </c>
      <c r="I164" s="76">
        <f>ROUND(IF(SUM(B158:F163)&lt;(L174*6),IF((SUM(B158:F164))&gt;(L174*7),(((L174*7)-(SUM(B158:F164)-C163))*I157)+((SUM(B164:F164)-C163)*I157),SUM(B164:F164)*I157),IF(SUM(B158:F164)&gt;(L174*7),L174*I157,SUM(B164:F164)*I157)),2)</f>
        <v>0</v>
      </c>
      <c r="J164" s="76">
        <f>ROUND(IF(SUM(B158:F163)&lt;(L174*6),IF((SUM(B158:F164))&gt;(L174*7),(((L174*7)-(SUM(B158:F164)-C163))*J157)+((SUM(B164:F164)-C163)*J157),SUM(B164:F164)*J157),IF(SUM(B158:F164)&gt;(L174*7),L174*J157,SUM(B164:F164)*J157)),2)</f>
        <v>0</v>
      </c>
      <c r="K164" s="76">
        <f>ROUND(IF(SUM(B158:F163)&lt;(L173*6),IF((SUM(B158:F164))&gt;(L173*7),(((L173*7)-(SUM(B158:F164)-C163))*K157)+((SUM(B164:F164)-C163)*K157),SUM(B164:F164)*K157),IF(SUM(B158:F164)&gt;(L173*7),L173*K157,SUM(B164:F164)*K157)),2)</f>
        <v>0</v>
      </c>
      <c r="L164" s="76">
        <f>ROUND(IF(SUM(B158:F163)&lt;(L174*6),IF((SUM(B158:F164))&gt;(L174*7),(((L174*7)-(SUM(B158:F164)-C164))*L157)+((SUM(B164:F164)-C164)*L157),(SUM(B164:F164)-C164)*L157),IF(SUM(B158:F164)&gt;(L174*7),L174*L157,SUM(B164:F164)*L157)),2)</f>
        <v>0</v>
      </c>
      <c r="M164" s="76">
        <f>ROUND(IF(SUM(B158:F163)&lt;(L174*6),IF((SUM(B158:F164))&gt;(L174*7),(((L174*7)-(SUM(B158:F164)-C164))*M157)+((SUM(B164:F164)-C164)*M157),(SUM(B164:F164)-C164)*M157),IF(SUM(B158:F164)&gt;(L174*7),L174*M157,SUM(B164:F164)*M157)),2)</f>
        <v>0</v>
      </c>
      <c r="N164" s="76">
        <f>ROUND(IF(SUM(B158:F163)&lt;(L174*6),IF((SUM(B158:F164))&gt;(L174*7),(((L174*7)-(SUM(B158:F164)-C163))*N157)+((SUM(B164:F164)-C163)*N157),SUM(B164:F164)*N157),IF(SUM(B158:F164)&gt;(L174*7),L174*N157,SUM(B164:F164)*N157)),2)</f>
        <v>0</v>
      </c>
      <c r="O164" s="23">
        <f>ROUND(SUM(B164+C164+F164)*O157,2)</f>
        <v>0</v>
      </c>
      <c r="P164" s="27">
        <f t="shared" si="18"/>
        <v>0</v>
      </c>
    </row>
    <row r="165" spans="1:16" s="1" customFormat="1" x14ac:dyDescent="0.2">
      <c r="A165" s="100" t="str">
        <f>$A$33</f>
        <v>Aug 2022</v>
      </c>
      <c r="B165" s="24">
        <f>ROUND(IF(P139=0,0,IFERROR(((LOOKUP(2,1/(A146:A149=A165),G146:G149))*P139*4.348),B164/P139*P139)),2)</f>
        <v>0</v>
      </c>
      <c r="C165" s="23">
        <f>ROUND(IFERROR(((LOOKUP(2,1/(B151=A165),((SUM(B164:B166)+SUM(F164:F166))/3)*C151))),0)+IFERROR(((LOOKUP(2,1/(E151=A165),(B170+F170)*F151))),0),2)</f>
        <v>0</v>
      </c>
      <c r="D165" s="23">
        <f>ROUND(IF(B165=0,0,D157/L139*P139),2)</f>
        <v>0</v>
      </c>
      <c r="E165" s="23">
        <f>ROUND(IF(B165=0,0,E157/N135*P139),2)</f>
        <v>0</v>
      </c>
      <c r="F165" s="24">
        <f>ROUND(IF(P139=0,0,IFERROR(((LOOKUP(2,1/(A146:A149=A165),H146:H149))/N135*P139),F164/P139*P139)),2)</f>
        <v>0</v>
      </c>
      <c r="G165" s="27">
        <f t="shared" si="17"/>
        <v>0</v>
      </c>
      <c r="H165" s="76">
        <f>ROUND(IF(SUM(B158:F164)&lt;(L173*7),IF((SUM(B158:F165))&gt;(L173*8),(((L173*8)-(SUM(B158:F165)-C164))*H157)+((SUM(B165:F165)-C164)*H157),SUM(B165:F165)*H157),IF(SUM(B158:F165)&gt;(L173*8),L173*H157,SUM(B165:F165)*H157)),2)</f>
        <v>0</v>
      </c>
      <c r="I165" s="76">
        <f>ROUND(IF(SUM(B158:F164)&lt;(L174*7),IF((SUM(B158:F165))&gt;(L174*8),(((L174*8)-(SUM(B158:F165)-C164))*I157)+((SUM(B165:F165)-C164)*I157),SUM(B165:F165)*I157),IF(SUM(B158:F165)&gt;(L174*8),L174*I157,SUM(B165:F165)*I157)),2)</f>
        <v>0</v>
      </c>
      <c r="J165" s="76">
        <f>ROUND(IF(SUM(B158:F164)&lt;(L174*7),IF((SUM(B158:F165))&gt;(L174*8),(((L174*8)-(SUM(B158:F165)-C164))*J157)+((SUM(B165:F165)-C164)*J157),SUM(B165:F165)*J157),IF(SUM(B158:F165)&gt;(L174*8),L174*J157,SUM(B165:F165)*J157)),2)</f>
        <v>0</v>
      </c>
      <c r="K165" s="76">
        <f>ROUND(IF(SUM(B158:F164)&lt;(L173*7),IF((SUM(B158:F165))&gt;(L173*8),(((L173*8)-(SUM(B158:F165)-C164))*K157)+((SUM(B165:F165)-C164)*K157),SUM(B165:F165)*K157),IF(SUM(B158:F165)&gt;(L173*8),L173*K157,SUM(B165:F165)*K157)),2)</f>
        <v>0</v>
      </c>
      <c r="L165" s="76">
        <f>ROUND(IF(SUM(B158:F164)&lt;(L174*7),IF((SUM(B158:F165))&gt;(L174*8),(((L174*8)-(SUM(B158:F165)-C165))*L157)+((SUM(B165:F165)-C165)*L157),(SUM(B165:F165)-C165)*L157),IF(SUM(B158:F165)&gt;(L174*8),L174*L157,SUM(B165:F165)*L157)),2)</f>
        <v>0</v>
      </c>
      <c r="M165" s="76">
        <f>ROUND(IF(SUM(B158:F164)&lt;(L174*7),IF((SUM(B158:F165))&gt;(L174*8),(((L174*8)-(SUM(B158:F165)-C165))*M157)+((SUM(B165:F165)-C165)*M157),(SUM(B165:F165)-C165)*M157),IF(SUM(B158:F165)&gt;(L174*8),L174*M157,SUM(B165:F165)*M157)),2)</f>
        <v>0</v>
      </c>
      <c r="N165" s="76">
        <f>ROUND(IF(SUM(B158:F164)&lt;(L174*7),IF((SUM(B158:F165))&gt;(L174*8),(((L174*8)-(SUM(B158:F165)-C164))*N157)+((SUM(B165:F165)-C164)*N157),SUM(B165:F165)*N157),IF(SUM(B158:F165)&gt;(L174*8),L174*N157,SUM(B165:F165)*N157)),2)</f>
        <v>0</v>
      </c>
      <c r="O165" s="23">
        <f>ROUND(SUM(B165+C165+F165)*O157,2)</f>
        <v>0</v>
      </c>
      <c r="P165" s="27">
        <f t="shared" si="18"/>
        <v>0</v>
      </c>
    </row>
    <row r="166" spans="1:16" s="1" customFormat="1" x14ac:dyDescent="0.2">
      <c r="A166" s="100" t="str">
        <f>$A$34</f>
        <v>Sep 2022</v>
      </c>
      <c r="B166" s="24">
        <f>ROUND(IF(P140=0,0,IFERROR(((LOOKUP(2,1/(A146:A149=A166),G146:G149))*P140*4.348),B165/P140*P140)),2)</f>
        <v>0</v>
      </c>
      <c r="C166" s="23">
        <f>ROUND(IFERROR(((LOOKUP(2,1/(B151=A166),((SUM(B164:B166)+SUM(F164:F166))/3)*C151))),0)+IFERROR(((LOOKUP(2,1/(E151=A166),(B170+F170)*F151))),0),2)</f>
        <v>0</v>
      </c>
      <c r="D166" s="23">
        <f>ROUND(IF(B166=0,0,D157/L139*P140),2)</f>
        <v>0</v>
      </c>
      <c r="E166" s="23">
        <f>ROUND(IF(B166=0,0,E157/N135*P140),2)</f>
        <v>0</v>
      </c>
      <c r="F166" s="24">
        <f>ROUND(IF(P140=0,0,IFERROR(((LOOKUP(2,1/(A146:A149=A166),H146:H149))/N135*P140),F165/P140*P140)),2)</f>
        <v>0</v>
      </c>
      <c r="G166" s="27">
        <f t="shared" si="17"/>
        <v>0</v>
      </c>
      <c r="H166" s="76">
        <f>ROUND(IF(SUM(B158:F165)&lt;(L173*8),IF((SUM(B158:F166))&gt;(L173*9),(((L173*9)-(SUM(B158:F166)-C165))*H157)+((SUM(B166:F166)-C165)*H157),SUM(B166:F166)*H157),IF(SUM(B158:F166)&gt;(L173*9),L173*H157,SUM(B166:F166)*H157)),2)</f>
        <v>0</v>
      </c>
      <c r="I166" s="76">
        <f>ROUND(IF(SUM(B158:F165)&lt;(L174*8),IF((SUM(B158:F166))&gt;(L174*9),(((L174*9)-(SUM(B158:F166)-C165))*I157)+((SUM(B166:F166)-C165)*I157),SUM(B166:F166)*I157),IF(SUM(B158:F166)&gt;(L174*9),L174*I157,SUM(B166:F166)*I157)),2)</f>
        <v>0</v>
      </c>
      <c r="J166" s="76">
        <f>ROUND(IF(SUM(B158:F165)&lt;(L174*8),IF((SUM(B158:F166))&gt;(L174*9),(((L174*9)-(SUM(B158:F166)-C165))*J157)+((SUM(B166:F166)-C165)*J157),SUM(B166:F166)*J157),IF(SUM(B158:F166)&gt;(L174*9),L174*J157,SUM(B166:F166)*J157)),2)</f>
        <v>0</v>
      </c>
      <c r="K166" s="76">
        <f>ROUND(IF(SUM(B158:F165)&lt;(L173*8),IF((SUM(B158:F166))&gt;(L173*9),(((L173*9)-(SUM(B158:F166)-C165))*K157)+((SUM(B166:F166)-C165)*K157),SUM(B166:F166)*K157),IF(SUM(B158:F166)&gt;(L173*9),L173*K157,SUM(B166:F166)*K157)),2)</f>
        <v>0</v>
      </c>
      <c r="L166" s="76">
        <f>ROUND(IF(SUM(B158:F165)&lt;(L174*8),IF((SUM(B158:F166))&gt;(L174*9),(((L174*9)-(SUM(B158:F166)-C166))*L157)+((SUM(B166:F166)-C166)*L157),(SUM(B166:F166)-C166)*L157),IF(SUM(B158:F166)&gt;(L174*9),L174*L157,SUM(B166:F166)*L157)),2)</f>
        <v>0</v>
      </c>
      <c r="M166" s="76">
        <f>ROUND(IF(SUM(B158:F165)&lt;(L174*8),IF((SUM(B158:F166))&gt;(L174*9),(((L174*9)-(SUM(B158:F166)-C166))*M157)+((SUM(B166:F166)-C166)*M157),(SUM(B166:F166)-C166)*M157),IF(SUM(B158:F166)&gt;(L174*9),L174*M157,SUM(B166:F166)*M157)),2)</f>
        <v>0</v>
      </c>
      <c r="N166" s="76">
        <f>ROUND(IF(SUM(B158:F165)&lt;(L174*8),IF((SUM(B158:F166))&gt;(L174*9),(((L174*9)-(SUM(B158:F166)-C165))*N157)+((SUM(B166:F166)-C165)*N157),SUM(B166:F166)*N157),IF(SUM(B158:F166)&gt;(L174*9),L174*N157,SUM(B166:F166)*N157)),2)</f>
        <v>0</v>
      </c>
      <c r="O166" s="23">
        <f>ROUND(SUM(B166+C166+F166)*O157,2)</f>
        <v>0</v>
      </c>
      <c r="P166" s="27">
        <f t="shared" si="18"/>
        <v>0</v>
      </c>
    </row>
    <row r="167" spans="1:16" s="1" customFormat="1" x14ac:dyDescent="0.2">
      <c r="A167" s="100" t="str">
        <f>$A$35</f>
        <v>Okt 2022</v>
      </c>
      <c r="B167" s="24">
        <f>ROUND(IF(P141=0,0,IFERROR(((LOOKUP(2,1/(A146:A149=A167),G146:G149))*P141*4.348),B166/P141*P141)),2)</f>
        <v>0</v>
      </c>
      <c r="C167" s="23">
        <f>ROUND(IFERROR(((LOOKUP(2,1/(B151=A167),((SUM(B164:B166)+SUM(F164:F166))/3)*C151))),0)+IFERROR(((LOOKUP(2,1/(E151=A167),(B170+F170)*F151))),0),2)</f>
        <v>0</v>
      </c>
      <c r="D167" s="23">
        <f>ROUND(IF(B167=0,0,D157/L139*P141),2)</f>
        <v>0</v>
      </c>
      <c r="E167" s="23">
        <f>ROUND(IF(B167=0,0,E157/N135*P141),2)</f>
        <v>0</v>
      </c>
      <c r="F167" s="24">
        <f>ROUND(IF(P141=0,0,IFERROR(((LOOKUP(2,1/(A146:A149=A167),H146:H149))/N135*P141),F166/P141*P141)),2)</f>
        <v>0</v>
      </c>
      <c r="G167" s="27">
        <f t="shared" si="17"/>
        <v>0</v>
      </c>
      <c r="H167" s="76">
        <f>ROUND(IF(SUM(B158:F166)&lt;(L173*9),IF((SUM(B158:F167))&gt;(L173*10),(((L173*10)-(SUM(B158:F167)-C166))*H157)+((SUM(B167:F167)-C166)*H157),SUM(B167:F167)*H157),IF(SUM(B158:F167)&gt;(L173*10),L173*H157,SUM(B167:F167)*H157)),2)</f>
        <v>0</v>
      </c>
      <c r="I167" s="76">
        <f>ROUND(IF(SUM(B158:F166)&lt;(L174*9),IF((SUM(B158:F167))&gt;(L174*10),(((L174*10)-(SUM(B158:F167)-C166))*I157)+((SUM(B167:F167)-C166)*I157),SUM(B167:F167)*I157),IF(SUM(B158:F167)&gt;(L174*10),L174*I157,SUM(B167:F167)*I157)),2)</f>
        <v>0</v>
      </c>
      <c r="J167" s="76">
        <f>ROUND(IF(SUM(B158:F166)&lt;(L174*9),IF((SUM(B158:F167))&gt;(L174*10),(((L174*10)-(SUM(B158:F167)-C166))*J157)+((SUM(B167:F167)-C166)*J157),SUM(B167:F167)*J157),IF(SUM(B158:F167)&gt;(L174*10),L174*J157,SUM(B167:F167)*J157)),2)</f>
        <v>0</v>
      </c>
      <c r="K167" s="76">
        <f>ROUND(IF(SUM(B158:F166)&lt;(L173*9),IF((SUM(B158:F167))&gt;(L173*10),(((L173*10)-(SUM(B158:F167)-C166))*K157)+((SUM(B167:F167)-C166)*K157),SUM(B167:F167)*K157),IF(SUM(B158:F167)&gt;(L173*10),L173*K157,SUM(B167:F167)*K157)),2)</f>
        <v>0</v>
      </c>
      <c r="L167" s="76">
        <f>ROUND(IF(SUM(B158:F166)&lt;(L174*9),IF((SUM(B158:F167))&gt;(L174*10),(((L174*10)-(SUM(B158:F167)-C167))*L157)+((SUM(B167:F167)-C167)*L157),(SUM(B167:F167)-C167)*L157),IF(SUM(B158:F167)&gt;(L174*10),L174*L157,SUM(B167:F167)*L157)),2)</f>
        <v>0</v>
      </c>
      <c r="M167" s="76">
        <f>ROUND(IF(SUM(B158:F166)&lt;(L174*9),IF((SUM(B158:F167))&gt;(L174*10),(((L174*10)-(SUM(B158:F167)-C167))*M157)+((SUM(B167:F167)-C167)*M157),(SUM(B167:F167)-C167)*M157),IF(SUM(B158:F167)&gt;(L174*10),L174*M157,SUM(B167:F167)*M157)),2)</f>
        <v>0</v>
      </c>
      <c r="N167" s="76">
        <f>ROUND(IF(SUM(B158:F166)&lt;(L174*9),IF((SUM(B158:F167))&gt;(L174*10),(((L174*10)-(SUM(B158:F167)-C166))*N157)+((SUM(B167:F167)-C166)*N157),SUM(B167:F167)*N157),IF(SUM(B158:F167)&gt;(L174*10),L174*N157,SUM(B167:F167)*N157)),2)</f>
        <v>0</v>
      </c>
      <c r="O167" s="23">
        <f>ROUND(SUM(B167+C167+F167)*O157,2)</f>
        <v>0</v>
      </c>
      <c r="P167" s="27">
        <f t="shared" si="18"/>
        <v>0</v>
      </c>
    </row>
    <row r="168" spans="1:16" s="1" customFormat="1" x14ac:dyDescent="0.2">
      <c r="A168" s="100" t="str">
        <f>$A$36</f>
        <v>Nov 2022</v>
      </c>
      <c r="B168" s="24">
        <f>ROUND(IF(P142=0,0,IFERROR(((LOOKUP(2,1/(A146:A149=A168),G146:G149))*P142*4.348),B167/P142*P142)),2)</f>
        <v>0</v>
      </c>
      <c r="C168" s="23">
        <f>ROUND(IFERROR(((LOOKUP(2,1/(B151=A168),((SUM(B164:B166)+SUM(F164:F166))/3)*C151))),0)+IFERROR(((LOOKUP(2,1/(E151=A168),(B170+F170)*F151))),0),2)</f>
        <v>0</v>
      </c>
      <c r="D168" s="23">
        <f>ROUND(IF(B168=0,0,D157/L139*P142),2)</f>
        <v>0</v>
      </c>
      <c r="E168" s="23">
        <f>ROUND(IF(B168=0,0,E157/N135*P142),2)</f>
        <v>0</v>
      </c>
      <c r="F168" s="24">
        <f>ROUND(IF(P142=0,0,IFERROR(((LOOKUP(2,1/(A146:A149=A168),H146:H149))/N135*P142),F167/P142*P142)),2)</f>
        <v>0</v>
      </c>
      <c r="G168" s="27">
        <f t="shared" si="17"/>
        <v>0</v>
      </c>
      <c r="H168" s="76">
        <f>ROUND(IF(SUM(B158:F167)&lt;(L173*10),IF((SUM(B158:F168))&gt;(L173*11),(((L173*11)-(SUM(B158:F168)-C167))*H157)+((SUM(B168:F168)-C167)*H157),SUM(B168:F168)*H157),IF(SUM(B158:F168)&gt;(L173*11),L173*H157,SUM(B168:F168)*H157)),2)</f>
        <v>0</v>
      </c>
      <c r="I168" s="76">
        <f>ROUND(IF(SUM(B158:F167)&lt;(L174*10),IF((SUM(B158:F168))&gt;(L174*11),(((L174*11)-(SUM(B158:F168)-C167))*I157)+((SUM(B168:F168)-C167)*I157),SUM(B168:F168)*I157),IF(SUM(B158:F168)&gt;(L174*11),L174*I157,SUM(B168:F168)*I157)),2)</f>
        <v>0</v>
      </c>
      <c r="J168" s="76">
        <f>ROUND(IF(SUM(B158:F167)&lt;(L174*10),IF((SUM(B158:F168))&gt;(L174*11),(((L174*11)-(SUM(B158:F168)-C167))*J157)+((SUM(B168:F168)-C167)*J157),SUM(B168:F168)*J157),IF(SUM(B158:F168)&gt;(L174*11),L174*J157,SUM(B168:F168)*J157)),2)</f>
        <v>0</v>
      </c>
      <c r="K168" s="76">
        <f>ROUND(IF(SUM(B158:F167)&lt;(L173*10),IF((SUM(B158:F168))&gt;(L173*11),(((L173*11)-(SUM(B158:F168)-C167))*K157)+((SUM(B168:F168)-C167)*K157),SUM(B168:F168)*K157),IF(SUM(B158:F168)&gt;(L173*11),L173*K157,SUM(B168:F168)*K157)),2)</f>
        <v>0</v>
      </c>
      <c r="L168" s="76">
        <f>ROUND(IF(SUM(B158:F167)&lt;(L174*10),IF((SUM(B158:F168))&gt;(L174*11),(((L174*11)-(SUM(B158:F168)-C168))*L157)+((SUM(B168:F168)-C168)*L157),(SUM(B168:F168)-C168)*L157),IF(SUM(B158:F168)&gt;(L174*11),L174*L157,SUM(B168:F168)*L157)),2)</f>
        <v>0</v>
      </c>
      <c r="M168" s="76">
        <f>ROUND(IF(SUM(B158:F167)&lt;(L174*10),IF((SUM(B158:F168))&gt;(L174*11),(((L174*11)-(SUM(B158:F168)-C168))*M157)+((SUM(B168:F168)-C168)*M157),(SUM(B168:F168)-C168)*M157),IF(SUM(B158:F168)&gt;(L174*11),L174*M157,SUM(B168:F168)*M157)),2)</f>
        <v>0</v>
      </c>
      <c r="N168" s="76">
        <f>ROUND(IF(SUM(B158:F167)&lt;(L174*10),IF((SUM(B158:F168))&gt;(L174*11),(((L174*11)-(SUM(B158:F168)-C167))*N157)+((SUM(B168:F168)-C167)*N157),SUM(B168:F168)*N157),IF(SUM(B158:F168)&gt;(L174*11),L174*N157,SUM(B168:F168)*N157)),2)</f>
        <v>0</v>
      </c>
      <c r="O168" s="23">
        <f>ROUND(SUM(B168+C168+F168)*O157,2)</f>
        <v>0</v>
      </c>
      <c r="P168" s="27">
        <f t="shared" si="18"/>
        <v>0</v>
      </c>
    </row>
    <row r="169" spans="1:16" s="1" customFormat="1" x14ac:dyDescent="0.2">
      <c r="A169" s="100" t="str">
        <f>$A$37</f>
        <v>Dez 2022</v>
      </c>
      <c r="B169" s="24">
        <f>ROUND(IF(P143=0,0,IFERROR(((LOOKUP(2,1/(A146:A149=A169),G146:G149))*P143*4.348),B168/P143*P143)),2)</f>
        <v>0</v>
      </c>
      <c r="C169" s="23">
        <f>ROUND(IFERROR(((LOOKUP(2,1/(B151=A169),((SUM(B164:B166)+SUM(F164:F166))/3)*C151))),0)+IFERROR(((LOOKUP(2,1/(E151=A169),(B170+F170)*F151))),0),2)</f>
        <v>0</v>
      </c>
      <c r="D169" s="23">
        <f>ROUND(IF(B169=0,0,D157/L139*P143),2)</f>
        <v>0</v>
      </c>
      <c r="E169" s="23">
        <f>ROUND(IF(B169=0,0,E157/N135*P143),2)</f>
        <v>0</v>
      </c>
      <c r="F169" s="24">
        <f>ROUND(IF(P143=0,0,IFERROR(((LOOKUP(2,1/(A146:A149=A169),H146:H149))/N135*P143),F168/P143*P143)),2)</f>
        <v>0</v>
      </c>
      <c r="G169" s="27">
        <f t="shared" si="17"/>
        <v>0</v>
      </c>
      <c r="H169" s="76">
        <f>ROUND(IF(SUM(B158:F168)&lt;(L173*11),IF((SUM(B158:F169))&gt;(L173*12),(((L173*12)-(SUM(B158:F169)-C168))*H157)+((SUM(B169:F169)-C168)*H157),SUM(B169:F169)*H157),IF(SUM(B158:F169)&gt;(L173*12),L173*H157,SUM(B169:F169)*H157)),2)</f>
        <v>0</v>
      </c>
      <c r="I169" s="76">
        <f>ROUND(IF(SUM(B158:F168)&lt;(L174*11),IF((SUM(B158:F169))&gt;(L174*12),(((L174*12)-(SUM(B158:F169)-C168))*I157)+((SUM(B169:F169)-C168)*I157),SUM(B169:F169)*I157),IF(SUM(B158:F169)&gt;(L174*12),L174*I157,SUM(B169:F169)*I157)),2)</f>
        <v>0</v>
      </c>
      <c r="J169" s="76">
        <f>ROUND(IF(SUM(B158:F168)&lt;(L174*11),IF((SUM(B158:F169))&gt;(L174*12),(((L174*12)-(SUM(B158:F169)-C168))*J157)+((SUM(B169:F169)-C168)*J157),SUM(B169:F169)*J157),IF(SUM(B158:F169)&gt;(L174*12),L174*J157,SUM(B169:F169)*J157)),2)</f>
        <v>0</v>
      </c>
      <c r="K169" s="76">
        <f>ROUND(IF(SUM(B158:F168)&lt;(L173*11),IF((SUM(B158:F169))&gt;(L173*12),(((L173*12)-(SUM(B158:F169)-C168))*K157)+((SUM(B169:F169)-C168)*K157),SUM(B169:F169)*K157),IF(SUM(B158:F169)&gt;(L173*12),L173*K157,SUM(B169:F169)*K157)),2)</f>
        <v>0</v>
      </c>
      <c r="L169" s="76">
        <f>ROUND(IF(SUM(B158:F168)&lt;(L174*11),IF((SUM(B158:F169))&gt;(L174*12),(((L174*12)-(SUM(B158:F169)-C169))*L157)+((SUM(B169:F169)-C169)*L157),(SUM(B169:F169)-C169)*L157),IF(SUM(B158:F169)&gt;(L174*12),L174*L157,SUM(B169:F169)*L157)),2)</f>
        <v>0</v>
      </c>
      <c r="M169" s="76">
        <f>ROUND(IF(SUM(B158:F168)&lt;(L174*11),IF((SUM(B158:F169))&gt;(L174*12),(((L174*12)-(SUM(B158:F169)-C169))*M157)+((SUM(B169:F169)-C169)*M157),(SUM(B169:F169)-C169)*M157),IF(SUM(B158:F169)&gt;(L174*12),L174*M157,SUM(B169:F169)*M157)),2)</f>
        <v>0</v>
      </c>
      <c r="N169" s="76">
        <f>ROUND(IF(SUM(B158:F168)&lt;(L174*11),IF((SUM(B158:F169))&gt;(L174*12),(((L174*12)-(SUM(B158:F169)-C168))*N157)+((SUM(B169:F169)-C168)*N157),SUM(B169:F169)*N157),IF(SUM(B158:F169)&gt;(L174*12),L174*N157,SUM(B169:F169)*N157)),2)</f>
        <v>0</v>
      </c>
      <c r="O169" s="23">
        <f>ROUND(SUM(B169+C169+F169)*O157,2)</f>
        <v>0</v>
      </c>
      <c r="P169" s="27">
        <f t="shared" si="18"/>
        <v>0</v>
      </c>
    </row>
    <row r="170" spans="1:16" s="14" customFormat="1" ht="15" x14ac:dyDescent="0.25">
      <c r="A170" s="4" t="s">
        <v>2</v>
      </c>
      <c r="B170" s="27">
        <f>SUM(B158:B169)</f>
        <v>0</v>
      </c>
      <c r="C170" s="27">
        <f t="shared" ref="C170:D170" si="19">SUM(C158:C169)</f>
        <v>0</v>
      </c>
      <c r="D170" s="27">
        <f t="shared" si="19"/>
        <v>0</v>
      </c>
      <c r="E170" s="27">
        <f>SUM(E158:E169)</f>
        <v>0</v>
      </c>
      <c r="F170" s="27">
        <f>SUM(F158:F169)</f>
        <v>0</v>
      </c>
      <c r="G170" s="27">
        <f>SUM(G158:G169)</f>
        <v>0</v>
      </c>
      <c r="H170" s="1133">
        <f>SUM(H158:N169)</f>
        <v>0</v>
      </c>
      <c r="I170" s="1134"/>
      <c r="J170" s="1134"/>
      <c r="K170" s="1134"/>
      <c r="L170" s="1134"/>
      <c r="M170" s="1134"/>
      <c r="N170" s="1135"/>
      <c r="O170" s="27">
        <f>SUM(O158:O169)</f>
        <v>0</v>
      </c>
      <c r="P170" s="27">
        <f>SUM(P158:P169)</f>
        <v>0</v>
      </c>
    </row>
    <row r="171" spans="1:16" s="13" customFormat="1" ht="11.25" x14ac:dyDescent="0.2">
      <c r="A171" s="3" t="s">
        <v>1</v>
      </c>
      <c r="B171" s="2"/>
      <c r="C171" s="2"/>
      <c r="D171" s="2"/>
      <c r="E171" s="2"/>
      <c r="F171" s="2"/>
      <c r="G171" s="2"/>
      <c r="H171" s="2"/>
      <c r="I171" s="2"/>
      <c r="J171" s="2"/>
      <c r="K171" s="2"/>
      <c r="L171" s="2"/>
      <c r="M171" s="2"/>
      <c r="N171" s="2"/>
      <c r="O171" s="2"/>
      <c r="P171" s="2"/>
    </row>
    <row r="172" spans="1:16" s="1" customFormat="1" ht="14.25" customHeight="1" x14ac:dyDescent="0.2">
      <c r="A172" s="1136" t="s">
        <v>133</v>
      </c>
      <c r="B172" s="1137"/>
      <c r="C172" s="1137"/>
      <c r="D172" s="1137" t="s">
        <v>134</v>
      </c>
      <c r="E172" s="1137"/>
      <c r="F172" s="94" t="str">
        <f>IF(IF(G170=0,"",'päd.Personal - Leitung'!$F$40)=0,"",IF(G170=0,"",'päd.Personal - Leitung'!$F$40))</f>
        <v/>
      </c>
      <c r="G172" s="77" t="s">
        <v>135</v>
      </c>
      <c r="H172" s="96" t="str">
        <f>IF(IF(G170=0,"",'päd.Personal - Leitung'!$H$40)=0,"",IF(G170=0,"",'päd.Personal - Leitung'!$H$40))</f>
        <v/>
      </c>
      <c r="I172" s="73"/>
      <c r="J172" s="194" t="s">
        <v>160</v>
      </c>
      <c r="K172" s="194" t="str">
        <f>$K$40</f>
        <v>2021</v>
      </c>
      <c r="L172" s="194" t="str">
        <f>$L$40</f>
        <v>anteilig 2021</v>
      </c>
      <c r="M172" s="1138" t="s">
        <v>140</v>
      </c>
      <c r="N172" s="1138"/>
      <c r="O172" s="1139"/>
      <c r="P172" s="27">
        <f>ROUND(IF(F172="",IF(E176="",0,(E176*H176/K176)/L139*L140),G170*F172*H172/1000),2)</f>
        <v>0</v>
      </c>
    </row>
    <row r="173" spans="1:16" s="1" customFormat="1" ht="15" customHeight="1" x14ac:dyDescent="0.2">
      <c r="A173" s="1140" t="s">
        <v>145</v>
      </c>
      <c r="B173" s="1141"/>
      <c r="C173" s="1141"/>
      <c r="D173" s="18"/>
      <c r="E173" s="107" t="s">
        <v>135</v>
      </c>
      <c r="F173" s="95" t="str">
        <f>IF(IF(G170=0,"",'päd.Personal - Leitung'!$F$41)=0,"",IF(G170=0,"",'päd.Personal - Leitung'!$F$41))</f>
        <v/>
      </c>
      <c r="G173" s="48"/>
      <c r="H173" s="47"/>
      <c r="I173" s="48"/>
      <c r="J173" s="195" t="s">
        <v>158</v>
      </c>
      <c r="K173" s="198">
        <f>$K$41</f>
        <v>4837.5</v>
      </c>
      <c r="L173" s="197">
        <f>IF(L139="",K173,K173/L139*L140)</f>
        <v>4837.5</v>
      </c>
      <c r="M173" s="1138" t="s">
        <v>139</v>
      </c>
      <c r="N173" s="1138"/>
      <c r="O173" s="1139"/>
      <c r="P173" s="27">
        <f>ROUND(IF(F173="",0,G170*F173/1000),2)</f>
        <v>0</v>
      </c>
    </row>
    <row r="174" spans="1:16" s="1" customFormat="1" ht="15.75" customHeight="1" x14ac:dyDescent="0.2">
      <c r="A174" s="1142" t="s">
        <v>141</v>
      </c>
      <c r="B174" s="1143"/>
      <c r="C174" s="1143"/>
      <c r="D174" s="1144" t="s">
        <v>143</v>
      </c>
      <c r="E174" s="1144"/>
      <c r="F174" s="1145" t="str">
        <f>IF(IF(G170=0,"",'päd.Personal - Leitung'!$F$42)=0,"",IF(G170=0,"",'päd.Personal - Leitung'!$F$42))</f>
        <v/>
      </c>
      <c r="G174" s="1145"/>
      <c r="H174" s="72"/>
      <c r="I174" s="18"/>
      <c r="J174" s="195" t="s">
        <v>159</v>
      </c>
      <c r="K174" s="197">
        <f>$K$42</f>
        <v>6700</v>
      </c>
      <c r="L174" s="197">
        <f>IF(L139="",K174,K174/L139*L140)</f>
        <v>6700</v>
      </c>
      <c r="M174" s="1138" t="s">
        <v>141</v>
      </c>
      <c r="N174" s="1138"/>
      <c r="O174" s="1139"/>
      <c r="P174" s="23">
        <f>ROUND(IF(F174="",0,IF(G170=0,0,F174/L139*L140)),2)</f>
        <v>0</v>
      </c>
    </row>
    <row r="175" spans="1:16" s="1" customFormat="1" ht="14.25" customHeight="1" x14ac:dyDescent="0.2">
      <c r="A175" s="18"/>
      <c r="B175" s="18"/>
      <c r="C175" s="18"/>
      <c r="D175" s="18"/>
      <c r="E175" s="18"/>
      <c r="F175" s="18"/>
      <c r="G175" s="18"/>
      <c r="H175" s="18"/>
      <c r="I175" s="18"/>
      <c r="J175" s="18"/>
      <c r="K175" s="74"/>
      <c r="L175" s="82"/>
      <c r="M175" s="1127" t="s">
        <v>146</v>
      </c>
      <c r="N175" s="1127"/>
      <c r="O175" s="1128"/>
      <c r="P175" s="23">
        <f>ROUND(IF(G170=0,0,$P$87),2)</f>
        <v>0</v>
      </c>
    </row>
    <row r="176" spans="1:16" s="1" customFormat="1" ht="14.25" customHeight="1" x14ac:dyDescent="0.2">
      <c r="A176" s="1129" t="s">
        <v>142</v>
      </c>
      <c r="B176" s="1130"/>
      <c r="C176" s="126" t="s">
        <v>136</v>
      </c>
      <c r="D176" s="179" t="s">
        <v>137</v>
      </c>
      <c r="E176" s="1131" t="str">
        <f>IF(IF(G170=0,"",'päd.Personal - Leitung'!$E$44)=0,"",IF(G170=0,"",'päd.Personal - Leitung'!$E$44))</f>
        <v/>
      </c>
      <c r="F176" s="1131"/>
      <c r="G176" s="83" t="s">
        <v>138</v>
      </c>
      <c r="H176" s="97" t="str">
        <f>IF(IF(G170=0,"",'päd.Personal - Leitung'!$H$44)=0,"",IF(G170=0,"",'päd.Personal - Leitung'!$H$44))</f>
        <v/>
      </c>
      <c r="I176" s="1132" t="s">
        <v>144</v>
      </c>
      <c r="J176" s="1132"/>
      <c r="K176" s="98" t="str">
        <f>IF(IF(G170=0,"",'päd.Personal - Leitung'!$K$44)=0,"",IF(G170=0,"",'päd.Personal - Leitung'!$K$44))</f>
        <v/>
      </c>
      <c r="L176" s="29"/>
      <c r="M176" s="29"/>
      <c r="N176" s="29"/>
      <c r="O176" s="28" t="s">
        <v>0</v>
      </c>
      <c r="P176" s="27">
        <f>P170+SUM(P172:P175)</f>
        <v>0</v>
      </c>
    </row>
    <row r="177" spans="1:16" s="12" customFormat="1" ht="13.5" customHeight="1" x14ac:dyDescent="0.2">
      <c r="A177" s="1178" t="s">
        <v>18</v>
      </c>
      <c r="B177" s="1178"/>
      <c r="C177" s="1178"/>
      <c r="D177" s="1179" t="str">
        <f>IF($D$1="","",$D$1)</f>
        <v/>
      </c>
      <c r="E177" s="1179"/>
      <c r="F177" s="1179"/>
      <c r="G177" s="1179"/>
      <c r="H177" s="1179"/>
      <c r="I177" s="1179"/>
      <c r="J177" s="1179"/>
      <c r="K177" s="1179"/>
      <c r="L177" s="1179"/>
      <c r="M177" s="1179"/>
      <c r="N177" s="1179"/>
    </row>
    <row r="178" spans="1:16" s="12" customFormat="1" ht="15" customHeight="1" x14ac:dyDescent="0.2">
      <c r="A178" s="1178" t="s">
        <v>17</v>
      </c>
      <c r="B178" s="1178"/>
      <c r="C178" s="1178" t="s">
        <v>15</v>
      </c>
      <c r="D178" s="1179" t="str">
        <f>IF($D$2="","",$D$2)</f>
        <v/>
      </c>
      <c r="E178" s="1179"/>
      <c r="F178" s="1179"/>
      <c r="G178" s="1179"/>
      <c r="H178" s="1179"/>
      <c r="I178" s="1179"/>
      <c r="J178" s="1179"/>
      <c r="K178" s="1179"/>
      <c r="L178" s="1179"/>
      <c r="M178" s="1179"/>
      <c r="N178" s="1179"/>
    </row>
    <row r="179" spans="1:16" s="12" customFormat="1" ht="15" customHeight="1" x14ac:dyDescent="0.2">
      <c r="A179" s="1178" t="s">
        <v>16</v>
      </c>
      <c r="B179" s="1178"/>
      <c r="C179" s="1178" t="s">
        <v>15</v>
      </c>
      <c r="D179" s="1179" t="str">
        <f>IF($D$3="","",$D$3)</f>
        <v/>
      </c>
      <c r="E179" s="1179"/>
      <c r="F179" s="1179"/>
      <c r="G179" s="1179"/>
      <c r="H179" s="1179"/>
      <c r="I179" s="1179"/>
      <c r="J179" s="1179"/>
      <c r="K179" s="1178" t="s">
        <v>103</v>
      </c>
      <c r="L179" s="1178"/>
      <c r="M179" s="1178"/>
      <c r="N179" s="41" t="str">
        <f>IF($N$3="","",$N$3)</f>
        <v/>
      </c>
    </row>
    <row r="180" spans="1:16" s="13" customFormat="1" ht="11.25" x14ac:dyDescent="0.2">
      <c r="A180" s="1182"/>
      <c r="B180" s="1182"/>
      <c r="C180" s="1182"/>
      <c r="D180" s="1183"/>
      <c r="E180" s="1183"/>
      <c r="F180" s="1183"/>
      <c r="G180" s="1183"/>
      <c r="H180" s="1183"/>
      <c r="I180" s="1183"/>
      <c r="J180" s="1183"/>
      <c r="K180" s="11"/>
      <c r="L180" s="11"/>
      <c r="M180" s="11"/>
      <c r="N180" s="11"/>
      <c r="O180" s="11"/>
      <c r="P180" s="11"/>
    </row>
    <row r="181" spans="1:16" s="15" customFormat="1" ht="13.5" customHeight="1" x14ac:dyDescent="0.2">
      <c r="A181" s="1177" t="s">
        <v>166</v>
      </c>
      <c r="B181" s="1177"/>
      <c r="C181" s="1177"/>
      <c r="D181" s="1177"/>
      <c r="E181" s="1177"/>
      <c r="F181" s="1177"/>
      <c r="G181" s="1177"/>
      <c r="H181" s="1177"/>
      <c r="I181" s="1177"/>
      <c r="J181" s="1177"/>
      <c r="K181" s="9"/>
      <c r="L181" s="9"/>
      <c r="M181" s="9"/>
      <c r="N181" s="59" t="s">
        <v>154</v>
      </c>
      <c r="O181" s="191">
        <f>$O$5</f>
        <v>2022</v>
      </c>
      <c r="P181" s="59" t="s">
        <v>154</v>
      </c>
    </row>
    <row r="182" spans="1:16" s="10" customFormat="1" ht="13.5" customHeight="1" x14ac:dyDescent="0.25">
      <c r="B182" s="32"/>
      <c r="C182" s="32"/>
      <c r="D182" s="5" t="s">
        <v>42</v>
      </c>
      <c r="E182" s="31"/>
      <c r="F182" s="31"/>
      <c r="G182" s="31"/>
      <c r="H182" s="31"/>
      <c r="I182" s="26"/>
      <c r="J182" s="1174" t="s">
        <v>14</v>
      </c>
      <c r="K182" s="1174"/>
      <c r="L182" s="180"/>
      <c r="N182" s="84">
        <f>IF(L184="","",L184)</f>
        <v>0</v>
      </c>
      <c r="O182" s="58" t="str">
        <f>$O$6</f>
        <v>Jan                Jul</v>
      </c>
      <c r="P182" s="85">
        <f>IF(N187="","",N187)</f>
        <v>0</v>
      </c>
    </row>
    <row r="183" spans="1:16" s="7" customFormat="1" ht="13.5" customHeight="1" x14ac:dyDescent="0.25">
      <c r="A183" s="1180" t="s">
        <v>71</v>
      </c>
      <c r="B183" s="1180"/>
      <c r="C183" s="1180"/>
      <c r="D183" s="1184"/>
      <c r="E183" s="1184"/>
      <c r="F183" s="1184"/>
      <c r="G183" s="1184"/>
      <c r="H183" s="1184"/>
      <c r="I183" s="1184"/>
      <c r="J183" s="1174" t="s">
        <v>104</v>
      </c>
      <c r="K183" s="1174"/>
      <c r="L183" s="145"/>
      <c r="N183" s="85">
        <f>IF(N182="","",N182)</f>
        <v>0</v>
      </c>
      <c r="O183" s="58" t="str">
        <f>$O$7</f>
        <v>Feb              Aug</v>
      </c>
      <c r="P183" s="85">
        <f>IF(P182="","",P182)</f>
        <v>0</v>
      </c>
    </row>
    <row r="184" spans="1:16" s="1" customFormat="1" ht="13.5" customHeight="1" x14ac:dyDescent="0.2">
      <c r="A184" s="1180" t="s">
        <v>13</v>
      </c>
      <c r="B184" s="1180"/>
      <c r="C184" s="1180"/>
      <c r="D184" s="1181"/>
      <c r="E184" s="1181"/>
      <c r="F184" s="1181"/>
      <c r="G184" s="1181"/>
      <c r="H184" s="1181"/>
      <c r="I184" s="1181"/>
      <c r="J184" s="1174" t="s">
        <v>164</v>
      </c>
      <c r="K184" s="1174"/>
      <c r="L184" s="145">
        <f>IF((L185+L186)&gt;L183,0,L183-L185-L186)</f>
        <v>0</v>
      </c>
      <c r="N184" s="85">
        <f>IF(N183="","",N183)</f>
        <v>0</v>
      </c>
      <c r="O184" s="58" t="str">
        <f>$O$8</f>
        <v>Mrz              Sep</v>
      </c>
      <c r="P184" s="85">
        <f>IF(P183="","",P183)</f>
        <v>0</v>
      </c>
    </row>
    <row r="185" spans="1:16" s="1" customFormat="1" ht="13.5" customHeight="1" x14ac:dyDescent="0.2">
      <c r="A185" s="1180" t="s">
        <v>12</v>
      </c>
      <c r="B185" s="1180"/>
      <c r="C185" s="1180"/>
      <c r="D185" s="1181"/>
      <c r="E185" s="1181"/>
      <c r="F185" s="1181"/>
      <c r="G185" s="1181"/>
      <c r="H185" s="1181"/>
      <c r="I185" s="1181"/>
      <c r="J185" s="1174" t="s">
        <v>165</v>
      </c>
      <c r="K185" s="1174"/>
      <c r="L185" s="145"/>
      <c r="N185" s="85">
        <f>IF(N184="","",N184)</f>
        <v>0</v>
      </c>
      <c r="O185" s="58" t="str">
        <f>$O$9</f>
        <v>Apr               Okt</v>
      </c>
      <c r="P185" s="85">
        <f t="shared" ref="P185:P187" si="20">IF(P184="","",P184)</f>
        <v>0</v>
      </c>
    </row>
    <row r="186" spans="1:16" s="1" customFormat="1" ht="13.5" customHeight="1" x14ac:dyDescent="0.2">
      <c r="A186" s="1180" t="s">
        <v>19</v>
      </c>
      <c r="B186" s="1180"/>
      <c r="C186" s="1180"/>
      <c r="D186" s="1181"/>
      <c r="E186" s="1181"/>
      <c r="F186" s="1181"/>
      <c r="G186" s="1181"/>
      <c r="H186" s="1181"/>
      <c r="I186" s="1181"/>
      <c r="J186" s="1174" t="s">
        <v>252</v>
      </c>
      <c r="K186" s="1174"/>
      <c r="L186" s="145"/>
      <c r="M186" s="92"/>
      <c r="N186" s="85">
        <f>IF(N185="","",N185)</f>
        <v>0</v>
      </c>
      <c r="O186" s="58" t="str">
        <f>$O$10</f>
        <v>Mai               Nov</v>
      </c>
      <c r="P186" s="85">
        <f t="shared" si="20"/>
        <v>0</v>
      </c>
    </row>
    <row r="187" spans="1:16" s="1" customFormat="1" ht="13.5" customHeight="1" x14ac:dyDescent="0.2">
      <c r="B187" s="8"/>
      <c r="C187" s="121" t="s">
        <v>162</v>
      </c>
      <c r="D187" s="1175"/>
      <c r="E187" s="1175"/>
      <c r="F187" s="1176" t="s">
        <v>106</v>
      </c>
      <c r="G187" s="1176"/>
      <c r="H187" s="1186"/>
      <c r="I187" s="1186"/>
      <c r="J187" s="1174" t="s">
        <v>97</v>
      </c>
      <c r="K187" s="1174"/>
      <c r="L187" s="17" t="str">
        <f>IF(IF((COUNTIF(B202:B213,"&gt;0"))=0,0,(COUNTIF(B202:B213,"&gt;0")))&gt;Grundlagen!$C$24,Grundlagen!$C$24,IF((COUNTIF(B202:B213,"&gt;0"))=0,"",(COUNTIF(B202:B213,"&gt;0"))))</f>
        <v/>
      </c>
      <c r="N187" s="85">
        <f>IF(N186="","",N186)</f>
        <v>0</v>
      </c>
      <c r="O187" s="58" t="str">
        <f>'päd.Personal - Leitung'!$O$11</f>
        <v>Jun               Dez</v>
      </c>
      <c r="P187" s="85">
        <f t="shared" si="20"/>
        <v>0</v>
      </c>
    </row>
    <row r="188" spans="1:16" s="1" customFormat="1" ht="13.5" customHeight="1" x14ac:dyDescent="0.2">
      <c r="I188" s="6"/>
      <c r="L188" s="147" t="str">
        <f>IF((SUM(F190:F193))=0,"",IF(P188&gt;L184,L184,IF(L184="","",IF(L187="","",P188))))</f>
        <v/>
      </c>
      <c r="O188" s="174" t="s">
        <v>251</v>
      </c>
      <c r="P188" s="175">
        <f>IF(L187="",0,((IF(SUMIF(B202,"&gt;0"),N182,0))+(IF(SUMIF(B203,"&gt;0"),N183,0))+(IF(SUMIF(B204,"&gt;0"),N184,0))+(IF(SUMIF(B205,"&gt;0"),N185,0))+(IF(SUMIF(B206,"&gt;0"),N186,0))+(IF(SUMIF(B207,"&gt;0"),N187,0))+(IF(SUMIF(B208,"&gt;0"),P182,0))+(IF(SUMIF(B209,"&gt;0"),P183,0))+(IF(SUMIF(B210,"&gt;0"),P184,0))+(IF(SUMIF(B211,"&gt;0"),P185,0))+(IF(SUMIF(B212,"&gt;0"),P186,0))+(IF(SUMIF(B213,"&gt;0"),P187,0)))/Grundlagen!$C$24)</f>
        <v>0</v>
      </c>
    </row>
    <row r="189" spans="1:16" s="52" customFormat="1" ht="13.5" customHeight="1" x14ac:dyDescent="0.2">
      <c r="A189" s="61" t="s">
        <v>148</v>
      </c>
      <c r="B189" s="1168" t="s">
        <v>149</v>
      </c>
      <c r="C189" s="1168"/>
      <c r="D189" s="62" t="s">
        <v>150</v>
      </c>
      <c r="E189" s="63" t="s">
        <v>151</v>
      </c>
      <c r="F189" s="64" t="str">
        <f>CONCATENATE("Entg. ",N179," h/Wo")</f>
        <v>Entg.  h/Wo</v>
      </c>
      <c r="G189" s="65" t="s">
        <v>152</v>
      </c>
      <c r="H189" s="65" t="s">
        <v>153</v>
      </c>
      <c r="K189" s="1169" t="str">
        <f>CONCATENATE("Zuschläge / Zulagen für ",N179,"h/Wo")</f>
        <v>Zuschläge / Zulagen für h/Wo</v>
      </c>
      <c r="L189" s="1169"/>
      <c r="M189" s="66" t="str">
        <f>IF(A190="","",A190)</f>
        <v>Jan 2022</v>
      </c>
      <c r="N189" s="66" t="str">
        <f>IF(A191="","",A191)</f>
        <v/>
      </c>
      <c r="O189" s="66" t="str">
        <f>IF(A192="","",A192)</f>
        <v/>
      </c>
      <c r="P189" s="66" t="str">
        <f>IF(A193="","",A193)</f>
        <v/>
      </c>
    </row>
    <row r="190" spans="1:16" s="52" customFormat="1" ht="13.5" customHeight="1" x14ac:dyDescent="0.25">
      <c r="A190" s="54" t="str">
        <f>A202</f>
        <v>Jan 2022</v>
      </c>
      <c r="B190" s="1170" t="str">
        <f>IF($D$3="","",$D$3)</f>
        <v/>
      </c>
      <c r="C190" s="1171"/>
      <c r="D190" s="181"/>
      <c r="E190" s="181"/>
      <c r="F190" s="87"/>
      <c r="G190" s="56">
        <f>IF(N179="",0,F190/N179/4.348)</f>
        <v>0</v>
      </c>
      <c r="H190" s="53">
        <f>IF(G190=0,0,M195)</f>
        <v>0</v>
      </c>
      <c r="K190" s="1146"/>
      <c r="L190" s="1146"/>
      <c r="M190" s="172"/>
      <c r="N190" s="172"/>
      <c r="O190" s="172"/>
      <c r="P190" s="172"/>
    </row>
    <row r="191" spans="1:16" s="52" customFormat="1" ht="13.5" customHeight="1" x14ac:dyDescent="0.25">
      <c r="A191" s="55"/>
      <c r="B191" s="1172" t="str">
        <f>IF(A191="","",B190)</f>
        <v/>
      </c>
      <c r="C191" s="1173"/>
      <c r="D191" s="181"/>
      <c r="E191" s="181"/>
      <c r="F191" s="87"/>
      <c r="G191" s="56">
        <f>IF(N179="",0,F191/N179/4.348)</f>
        <v>0</v>
      </c>
      <c r="H191" s="53">
        <f>IF(G191=0,0,N195)</f>
        <v>0</v>
      </c>
      <c r="K191" s="1146"/>
      <c r="L191" s="1146"/>
      <c r="M191" s="172"/>
      <c r="N191" s="172"/>
      <c r="O191" s="172"/>
      <c r="P191" s="172"/>
    </row>
    <row r="192" spans="1:16" s="52" customFormat="1" ht="13.5" customHeight="1" x14ac:dyDescent="0.25">
      <c r="A192" s="55"/>
      <c r="B192" s="1172" t="str">
        <f>IF(A192="","",B191)</f>
        <v/>
      </c>
      <c r="C192" s="1173"/>
      <c r="D192" s="181"/>
      <c r="E192" s="181"/>
      <c r="F192" s="87"/>
      <c r="G192" s="56">
        <f>IF(N179="",0,F192/N179/4.348)</f>
        <v>0</v>
      </c>
      <c r="H192" s="53">
        <f>IF(G192=0,0,O195)</f>
        <v>0</v>
      </c>
      <c r="K192" s="1146"/>
      <c r="L192" s="1146"/>
      <c r="M192" s="172"/>
      <c r="N192" s="172"/>
      <c r="O192" s="172"/>
      <c r="P192" s="172"/>
    </row>
    <row r="193" spans="1:16" s="52" customFormat="1" ht="13.5" customHeight="1" x14ac:dyDescent="0.25">
      <c r="A193" s="55"/>
      <c r="B193" s="1172" t="str">
        <f>IF(A193="","",B192)</f>
        <v/>
      </c>
      <c r="C193" s="1173"/>
      <c r="D193" s="181"/>
      <c r="E193" s="181"/>
      <c r="F193" s="87"/>
      <c r="G193" s="56">
        <f>IF(N179="",0,F193/N179/4.348)</f>
        <v>0</v>
      </c>
      <c r="H193" s="53">
        <f>IF(G193=0,0,P195)</f>
        <v>0</v>
      </c>
      <c r="K193" s="1146"/>
      <c r="L193" s="1146"/>
      <c r="M193" s="172"/>
      <c r="N193" s="172"/>
      <c r="O193" s="172"/>
      <c r="P193" s="172"/>
    </row>
    <row r="194" spans="1:16" s="52" customFormat="1" ht="13.5" customHeight="1" x14ac:dyDescent="0.25">
      <c r="B194" s="1167" t="s">
        <v>157</v>
      </c>
      <c r="C194" s="1167"/>
      <c r="E194" s="1167" t="s">
        <v>156</v>
      </c>
      <c r="F194" s="1167"/>
      <c r="J194" s="69"/>
      <c r="K194" s="1146"/>
      <c r="L194" s="1146"/>
      <c r="M194" s="172"/>
      <c r="N194" s="172"/>
      <c r="O194" s="172"/>
      <c r="P194" s="172"/>
    </row>
    <row r="195" spans="1:16" s="52" customFormat="1" ht="13.5" customHeight="1" x14ac:dyDescent="0.25">
      <c r="A195" s="70" t="s">
        <v>167</v>
      </c>
      <c r="B195" s="67"/>
      <c r="C195" s="99" t="str">
        <f>IF(C151="","",C151)</f>
        <v/>
      </c>
      <c r="D195" s="70" t="s">
        <v>167</v>
      </c>
      <c r="E195" s="67"/>
      <c r="F195" s="99" t="str">
        <f>IF(F151="","",F151)</f>
        <v/>
      </c>
      <c r="J195" s="68"/>
      <c r="M195" s="173">
        <f>SUM(M190:M194)</f>
        <v>0</v>
      </c>
      <c r="N195" s="173">
        <f t="shared" ref="N195:P195" si="21">SUM(N190:N194)</f>
        <v>0</v>
      </c>
      <c r="O195" s="173">
        <f t="shared" si="21"/>
        <v>0</v>
      </c>
      <c r="P195" s="173">
        <f t="shared" si="21"/>
        <v>0</v>
      </c>
    </row>
    <row r="196" spans="1:16" s="52" customFormat="1" ht="13.5" customHeight="1" x14ac:dyDescent="0.2">
      <c r="A196" s="60" t="s">
        <v>155</v>
      </c>
    </row>
    <row r="197" spans="1:16" s="1" customFormat="1" ht="14.25" customHeight="1" x14ac:dyDescent="0.2">
      <c r="A197" s="1147"/>
      <c r="B197" s="1149" t="s">
        <v>9</v>
      </c>
      <c r="C197" s="1150"/>
      <c r="D197" s="1150"/>
      <c r="E197" s="1150"/>
      <c r="F197" s="1150"/>
      <c r="G197" s="1151"/>
      <c r="H197" s="1152" t="s">
        <v>119</v>
      </c>
      <c r="I197" s="1153"/>
      <c r="J197" s="1153"/>
      <c r="K197" s="1153"/>
      <c r="L197" s="1153"/>
      <c r="M197" s="1153"/>
      <c r="N197" s="1153"/>
      <c r="O197" s="33"/>
      <c r="P197" s="1154" t="s">
        <v>0</v>
      </c>
    </row>
    <row r="198" spans="1:16" s="1" customFormat="1" ht="14.25" customHeight="1" x14ac:dyDescent="0.2">
      <c r="A198" s="1148"/>
      <c r="B198" s="1157" t="s">
        <v>117</v>
      </c>
      <c r="C198" s="124" t="s">
        <v>115</v>
      </c>
      <c r="D198" s="1159" t="s">
        <v>277</v>
      </c>
      <c r="E198" s="1161" t="s">
        <v>147</v>
      </c>
      <c r="F198" s="127" t="s">
        <v>7</v>
      </c>
      <c r="G198" s="1162" t="s">
        <v>6</v>
      </c>
      <c r="H198" s="1161" t="s">
        <v>129</v>
      </c>
      <c r="I198" s="1161" t="s">
        <v>5</v>
      </c>
      <c r="J198" s="1161" t="s">
        <v>4</v>
      </c>
      <c r="K198" s="1161" t="s">
        <v>3</v>
      </c>
      <c r="L198" s="1161" t="s">
        <v>121</v>
      </c>
      <c r="M198" s="1161" t="s">
        <v>122</v>
      </c>
      <c r="N198" s="1161" t="s">
        <v>123</v>
      </c>
      <c r="O198" s="1160" t="s">
        <v>114</v>
      </c>
      <c r="P198" s="1155"/>
    </row>
    <row r="199" spans="1:16" s="1" customFormat="1" ht="14.25" customHeight="1" x14ac:dyDescent="0.2">
      <c r="A199" s="1148"/>
      <c r="B199" s="1157"/>
      <c r="C199" s="21" t="str">
        <f>IF(C195="","",C195)</f>
        <v/>
      </c>
      <c r="D199" s="1160"/>
      <c r="E199" s="1161"/>
      <c r="F199" s="1165" t="str">
        <f>IF(H190=0,"","siehe Zuschläge / Zulagen")</f>
        <v/>
      </c>
      <c r="G199" s="1162"/>
      <c r="H199" s="1164" t="s">
        <v>127</v>
      </c>
      <c r="I199" s="1164"/>
      <c r="J199" s="1164"/>
      <c r="K199" s="1164"/>
      <c r="L199" s="1164"/>
      <c r="M199" s="1164"/>
      <c r="N199" s="1164"/>
      <c r="O199" s="1160"/>
      <c r="P199" s="1155"/>
    </row>
    <row r="200" spans="1:16" s="1" customFormat="1" x14ac:dyDescent="0.2">
      <c r="A200" s="1148"/>
      <c r="B200" s="1157"/>
      <c r="C200" s="122" t="s">
        <v>70</v>
      </c>
      <c r="D200" s="1160"/>
      <c r="E200" s="1161"/>
      <c r="F200" s="1165"/>
      <c r="G200" s="1162"/>
      <c r="H200" s="43" t="s">
        <v>128</v>
      </c>
      <c r="I200" s="43" t="s">
        <v>255</v>
      </c>
      <c r="J200" s="43" t="s">
        <v>256</v>
      </c>
      <c r="K200" s="43" t="s">
        <v>257</v>
      </c>
      <c r="L200" s="43"/>
      <c r="M200" s="43"/>
      <c r="N200" s="43" t="s">
        <v>254</v>
      </c>
      <c r="O200" s="1160"/>
      <c r="P200" s="1155"/>
    </row>
    <row r="201" spans="1:16" s="1" customFormat="1" x14ac:dyDescent="0.2">
      <c r="A201" s="1148"/>
      <c r="B201" s="1158"/>
      <c r="C201" s="21" t="str">
        <f>IF(F195="","",F195)</f>
        <v/>
      </c>
      <c r="D201" s="51"/>
      <c r="E201" s="51"/>
      <c r="F201" s="1166"/>
      <c r="G201" s="1163"/>
      <c r="H201" s="93"/>
      <c r="I201" s="139">
        <f>$I$69</f>
        <v>0</v>
      </c>
      <c r="J201" s="139">
        <f>$J$69</f>
        <v>0</v>
      </c>
      <c r="K201" s="44">
        <f>$K$69</f>
        <v>0</v>
      </c>
      <c r="L201" s="21"/>
      <c r="M201" s="21"/>
      <c r="N201" s="139">
        <f>$N$69</f>
        <v>0</v>
      </c>
      <c r="O201" s="21">
        <f>O157</f>
        <v>0</v>
      </c>
      <c r="P201" s="1156"/>
    </row>
    <row r="202" spans="1:16" s="1" customFormat="1" x14ac:dyDescent="0.2">
      <c r="A202" s="100" t="str">
        <f>$A$26</f>
        <v>Jan 2022</v>
      </c>
      <c r="B202" s="24">
        <f>ROUND(IF(N182=0,0,(LOOKUP(2,1/(A190:A193=A202),G190:G193))*N182*4.348),2)</f>
        <v>0</v>
      </c>
      <c r="C202" s="23">
        <f>ROUND(IFERROR(((LOOKUP(2,1/(B195=A202),((SUM(B208:B210)+SUM(F208:F210))/3)*C195))),0)+IFERROR(((LOOKUP(2,1/(E195=A202),(B214+F214)*F195))),0),2)</f>
        <v>0</v>
      </c>
      <c r="D202" s="23">
        <f>ROUND(IF(B202=0,0,D201/L183*N182),2)</f>
        <v>0</v>
      </c>
      <c r="E202" s="23">
        <f>ROUND(IF(B202=0,0,E201/N179*N182),2)</f>
        <v>0</v>
      </c>
      <c r="F202" s="24">
        <f>ROUND(IF(N182=0,0,(LOOKUP(2,1/(A190:A193=A202),H190:H193))/N179*N182),2)</f>
        <v>0</v>
      </c>
      <c r="G202" s="27">
        <f>SUM(B202+C202+E202+F202)</f>
        <v>0</v>
      </c>
      <c r="H202" s="76">
        <f>ROUND(IF((SUM(B202:F202))&gt;L217,L217*H201,SUM(B202:F202)*H201),2)</f>
        <v>0</v>
      </c>
      <c r="I202" s="76">
        <f>ROUND(IF((SUM(B202:F202))&gt;L218,L218*I201,SUM(B202:F202)*I201),2)</f>
        <v>0</v>
      </c>
      <c r="J202" s="76">
        <f>ROUND(IF((SUM(B202:F202))&gt;L218,L218*J201,SUM(B202:F202)*J201),2)</f>
        <v>0</v>
      </c>
      <c r="K202" s="76">
        <f>ROUND(IF((SUM(B202:F202))&gt;L217,L217*K201,SUM(B202:F202)*K201),2)</f>
        <v>0</v>
      </c>
      <c r="L202" s="76">
        <f>ROUND(IF((SUM(B202:F202))&gt;L218,L218*L201,(SUM(B202:F202)-C202)*L201),2)</f>
        <v>0</v>
      </c>
      <c r="M202" s="76">
        <f>ROUND(IF((SUM(B202:F202))&gt;L218,L218*M201,(SUM(B202:F202)-C202)*M201),2)</f>
        <v>0</v>
      </c>
      <c r="N202" s="76">
        <f>ROUND(IF((SUM(B202:F202))&gt;L218,L218*N201,SUM(B202:F202)*N201),2)</f>
        <v>0</v>
      </c>
      <c r="O202" s="23">
        <f>ROUND(SUM(B202+C202+F202)*O201,2)</f>
        <v>0</v>
      </c>
      <c r="P202" s="27">
        <f>SUM(G202:O202)</f>
        <v>0</v>
      </c>
    </row>
    <row r="203" spans="1:16" s="1" customFormat="1" x14ac:dyDescent="0.2">
      <c r="A203" s="100" t="str">
        <f>$A$27</f>
        <v>Feb 2022</v>
      </c>
      <c r="B203" s="24">
        <f>ROUND(IF(N183=0,0,IFERROR(((LOOKUP(2,1/(A190:A193=A203),G190:G193))*N183*4.348),B202/N183*N183)),2)</f>
        <v>0</v>
      </c>
      <c r="C203" s="23">
        <f>ROUND(IFERROR(((LOOKUP(2,1/(B195=A203),((SUM(B208:B210)+SUM(F208:F210))/3)*C195))),0)+IFERROR(((LOOKUP(2,1/(E195=A203),(B214+F214)*F195))),0),2)</f>
        <v>0</v>
      </c>
      <c r="D203" s="23">
        <f>ROUND(IF(B203=0,0,D201/L183*N183),2)</f>
        <v>0</v>
      </c>
      <c r="E203" s="23">
        <f>ROUND(IF(B203=0,0,E201/N179*N183),2)</f>
        <v>0</v>
      </c>
      <c r="F203" s="24">
        <f>ROUND(IF(N183=0,0,IFERROR(((LOOKUP(2,1/(A190:A193=A203),H190:H193))/N179*N183),F202/N183*N183)),2)</f>
        <v>0</v>
      </c>
      <c r="G203" s="27">
        <f t="shared" ref="G203:G213" si="22">SUM(B203+C203+E203+F203)</f>
        <v>0</v>
      </c>
      <c r="H203" s="76">
        <f>ROUND(IF(SUM(B202:F202)&lt;(L217*1),IF((SUM(B202:F203))&gt;(L217*2),(((L217*2)-(SUM(B202:F203)-C202))*H201)+((SUM(B203:F203)-C202)*H201),SUM(B203:F203)*H201),IF(SUM(B202:F203)&gt;(L217*2),L217*H201,SUM(B203:F203)*H201)),2)</f>
        <v>0</v>
      </c>
      <c r="I203" s="76">
        <f>ROUND(IF(SUM(B202:F202)&lt;(L218*1),IF((SUM(B202:F203))&gt;(L218*2),(((L218*2)-(SUM(B202:F203)-C202))*I201)+((SUM(B203:F203)-C202)*I201),SUM(B203:F203)*I201),IF(SUM(B202:F203)&gt;(L218*2),L218*I201,SUM(B203:F203)*I201)),2)</f>
        <v>0</v>
      </c>
      <c r="J203" s="76">
        <f>ROUND(IF(SUM(B202:F202)&lt;(L218*1),IF((SUM(B202:F203))&gt;(L218*2),(((L218*2)-(SUM(B202:F203)-C202))*J201)+((SUM(B203:F203)-C202)*J201),SUM(B203:F203)*J201),IF(SUM(B202:F203)&gt;(L218*2),L218*J201,SUM(B203:F203)*J201)),2)</f>
        <v>0</v>
      </c>
      <c r="K203" s="76">
        <f>ROUND(IF(SUM(B202:F202)&lt;(L217*1),IF((SUM(B202:F203))&gt;(L217*2),(((L217*2)-(SUM(B202:F203)-C202))*K201)+((SUM(B203:F203)-C202)*K201),SUM(B203:F203)*K201),IF(SUM(B202:F203)&gt;(L217*2),L217*K201,SUM(B203:F203)*K201)),2)</f>
        <v>0</v>
      </c>
      <c r="L203" s="76">
        <f>ROUND(IF(SUM(B202:F202)&lt;(L218*1),IF((SUM(B202:F203))&gt;(L218*2),(((L218*2)-(SUM(B202:F203)-C203))*L201)+((SUM(B203:F203)-C203)*L201),(SUM(B203:F203)-C203)*L201),IF(SUM(B202:F203)&gt;(L218*2),L218*L201,SUM(B203:F203)*L201)),2)</f>
        <v>0</v>
      </c>
      <c r="M203" s="76">
        <f>ROUND(IF(SUM(B202:F202)&lt;(L218*1),IF((SUM(B202:F203))&gt;(L218*2),(((L218*2)-(SUM(B202:F203)-C203))*M201)+((SUM(B203:F203)-C203)*M201),(SUM(B203:F203)-C203)*M201),IF(SUM(B202:F203)&gt;(L218*2),L218*M201,SUM(B203:F203)*M201)),2)</f>
        <v>0</v>
      </c>
      <c r="N203" s="76">
        <f>ROUND(IF(SUM(B202:F202)&lt;(L218*1),IF((SUM(B202:F203))&gt;(L218*2),(((L218*2)-(SUM(B202:F203)-C202))*N201)+((SUM(B203:F203)-C202)*N201),SUM(B203:F203)*N201),IF(SUM(B202:F203)&gt;(L218*2),L218*N201,SUM(B203:F203)*N201)),2)</f>
        <v>0</v>
      </c>
      <c r="O203" s="23">
        <f>ROUND(SUM(B203+C203+F203)*O201,2)</f>
        <v>0</v>
      </c>
      <c r="P203" s="27">
        <f>SUM(G203:O203)</f>
        <v>0</v>
      </c>
    </row>
    <row r="204" spans="1:16" s="1" customFormat="1" x14ac:dyDescent="0.2">
      <c r="A204" s="100" t="str">
        <f>$A$28</f>
        <v>Mrz 2022</v>
      </c>
      <c r="B204" s="24">
        <f>ROUND(IF(N184=0,0,IFERROR(((LOOKUP(2,1/(A190:A193=A204),G190:G193))*N184*4.348),B203/N184*N184)),2)</f>
        <v>0</v>
      </c>
      <c r="C204" s="23">
        <f>ROUND(IFERROR(((LOOKUP(2,1/(B195=A204),((SUM(B208:B210)+SUM(F208:F210))/3)*C195))),0)+IFERROR(((LOOKUP(2,1/(E195=A204),(B214+F214)*F195))),0),2)</f>
        <v>0</v>
      </c>
      <c r="D204" s="23">
        <f>ROUND(IF(B204=0,0,D201/L183*N184),2)</f>
        <v>0</v>
      </c>
      <c r="E204" s="23">
        <f>ROUND(IF(B204=0,0,E201/N179*N184),2)</f>
        <v>0</v>
      </c>
      <c r="F204" s="24">
        <f>ROUND(IF(N184=0,0,IFERROR(((LOOKUP(2,1/(A190:A193=A204),H190:H193))/N179*N184),F203/N184*N184)),2)</f>
        <v>0</v>
      </c>
      <c r="G204" s="27">
        <f t="shared" si="22"/>
        <v>0</v>
      </c>
      <c r="H204" s="76">
        <f>ROUND(IF(SUM(B202:F203)&lt;(L217*2),IF((SUM(B202:F204))&gt;(L217*3),(((L217*3)-(SUM(B202:F204)-C203))*H201)+((SUM(B204:F204)-C203)*H201),SUM(B204:F204)*H201),IF(SUM(B202:F204)&gt;(L217*3),L217*H201,SUM(B204:F204)*H201)),2)</f>
        <v>0</v>
      </c>
      <c r="I204" s="76">
        <f>ROUND(IF(SUM(B202:F203)&lt;(L218*2),IF((SUM(B202:F204))&gt;(L218*3),(((L218*3)-(SUM(B202:F204)-C203))*I201)+((SUM(B204:F204)-C203)*I201),SUM(B204:F204)*I201),IF(SUM(B202:F204)&gt;(L218*3),L218*I201,SUM(B204:F204)*I201)),2)</f>
        <v>0</v>
      </c>
      <c r="J204" s="76">
        <f>ROUND(IF(SUM(B202:F203)&lt;(L218*2),IF((SUM(B202:F204))&gt;(L218*3),(((L218*3)-(SUM(B202:F204)-C203))*J201)+((SUM(B204:F204)-C203)*J201),SUM(B204:F204)*J201),IF(SUM(B202:F204)&gt;(L218*3),L218*J201,SUM(B204:F204)*J201)),2)</f>
        <v>0</v>
      </c>
      <c r="K204" s="76">
        <f>ROUND(IF(SUM(B202:F203)&lt;(L217*2),IF((SUM(B202:F204))&gt;(L217*3),(((L217*3)-(SUM(B202:F204)-C203))*K201)+((SUM(B204:F204)-C203)*K201),SUM(B204:F204)*K201),IF(SUM(B202:F204)&gt;(L217*3),L217*K201,SUM(B204:F204)*K201)),2)</f>
        <v>0</v>
      </c>
      <c r="L204" s="76">
        <f>ROUND(IF(SUM(B202:F203)&lt;(L218*2),IF((SUM(B202:F204))&gt;(L218*3),(((L218*3)-(SUM(B202:F204)-C204))*L201)+((SUM(B204:F204)-C204)*L201),(SUM(B204:F204)-C204)*L201),IF(SUM(B202:F204)&gt;(L218*3),L218*L201,SUM(B204:F204)*L201)),2)</f>
        <v>0</v>
      </c>
      <c r="M204" s="76">
        <f>ROUND(IF(SUM(B202:F203)&lt;(L218*2),IF((SUM(B202:F204))&gt;(L218*3),(((L218*3)-(SUM(B202:F204)-C204))*M201)+((SUM(B204:F204)-C204)*M201),(SUM(B204:F204)-C204)*M201),IF(SUM(B202:F204)&gt;(L218*3),L218*M201,SUM(B204:F204)*M201)),2)</f>
        <v>0</v>
      </c>
      <c r="N204" s="76">
        <f>ROUND(IF(SUM(B202:F203)&lt;(L218*2),IF((SUM(B202:F204))&gt;(L218*3),(((L218*3)-(SUM(B202:F204)-C203))*N201)+((SUM(B204:F204)-C203)*N201),SUM(B204:F204)*N201),IF(SUM(B202:F204)&gt;(L218*3),L218*N201,SUM(B204:F204)*N201)),2)</f>
        <v>0</v>
      </c>
      <c r="O204" s="23">
        <f>ROUND(SUM(B204+C204+F204)*O201,2)</f>
        <v>0</v>
      </c>
      <c r="P204" s="27">
        <f t="shared" ref="P204:P213" si="23">SUM(G204:O204)</f>
        <v>0</v>
      </c>
    </row>
    <row r="205" spans="1:16" s="1" customFormat="1" x14ac:dyDescent="0.2">
      <c r="A205" s="100" t="str">
        <f>$A$29</f>
        <v>Apr 2022</v>
      </c>
      <c r="B205" s="24">
        <f>ROUND(IF(N185=0,0,IFERROR(((LOOKUP(2,1/(A190:A193=A205),G190:G193))*N185*4.348),B204/N185*N185)),2)</f>
        <v>0</v>
      </c>
      <c r="C205" s="23">
        <f>ROUND(IFERROR(((LOOKUP(2,1/(B195=A205),((SUM(B208:B210)+SUM(F208:F210))/3)*C195))),0)+IFERROR(((LOOKUP(2,1/(E195=A205),(B214+F214)*F195))),0),2)</f>
        <v>0</v>
      </c>
      <c r="D205" s="23">
        <f>ROUND(IF(B205=0,0,D201/L183*N185),2)</f>
        <v>0</v>
      </c>
      <c r="E205" s="23">
        <f>ROUND(IF(B205=0,0,E201/N179*N185),2)</f>
        <v>0</v>
      </c>
      <c r="F205" s="24">
        <f>ROUND(IF(N185=0,0,IFERROR(((LOOKUP(2,1/(A190:A193=A205),H190:H193))/N179*N185),F204/N185*N185)),2)</f>
        <v>0</v>
      </c>
      <c r="G205" s="27">
        <f t="shared" si="22"/>
        <v>0</v>
      </c>
      <c r="H205" s="76">
        <f>ROUND(IF(SUM(B202:F204)&lt;(L217*3),IF((SUM(B202:F205))&gt;(L217*4),(((L217*4)-(SUM(B202:F205)-C204))*H201)+((SUM(B205:F205)-C204)*H201),SUM(B205:F205)*H201),IF(SUM(B202:F205)&gt;(L217*4),L217*H201,SUM(B205:F205)*H201)),2)</f>
        <v>0</v>
      </c>
      <c r="I205" s="76">
        <f>ROUND(IF(SUM(B202:F204)&lt;(L218*3),IF((SUM(B202:F205))&gt;(L218*4),(((L218*4)-(SUM(B202:F205)-C204))*I201)+((SUM(B205:F205)-C204)*I201),SUM(B205:F205)*I201),IF(SUM(B202:F205)&gt;(L218*4),L218*I201,SUM(B205:F205)*I201)),2)</f>
        <v>0</v>
      </c>
      <c r="J205" s="76">
        <f>ROUND(IF(SUM(B202:F204)&lt;(L218*3),IF((SUM(B202:F205))&gt;(L218*4),(((L218*4)-(SUM(B202:F205)-C204))*J201)+((SUM(B205:F205)-C204)*J201),SUM(B205:F205)*J201),IF(SUM(B202:F205)&gt;(L218*4),L218*J201,SUM(B205:F205)*J201)),2)</f>
        <v>0</v>
      </c>
      <c r="K205" s="76">
        <f>ROUND(IF(SUM(B202:F204)&lt;(L217*3),IF((SUM(B202:F205))&gt;(L217*4),(((L217*4)-(SUM(B202:F205)-C204))*K201)+((SUM(B205:F205)-C204)*K201),SUM(B205:F205)*K201),IF(SUM(B202:F205)&gt;(L217*4),L217*K201,SUM(B205:F205)*K201)),2)</f>
        <v>0</v>
      </c>
      <c r="L205" s="76">
        <f>ROUND(IF(SUM(B202:F204)&lt;(L218*3),IF((SUM(B202:F205))&gt;(L218*4),(((L218*4)-(SUM(B202:F205)-C205))*L201)+((SUM(B205:F205)-C205)*L201),(SUM(B205:F205)-C205)*L201),IF(SUM(B202:F205)&gt;(L218*4),L218*L201,SUM(B205:F205)*L201)),2)</f>
        <v>0</v>
      </c>
      <c r="M205" s="76">
        <f>ROUND(IF(SUM(B202:F204)&lt;(L218*3),IF((SUM(B202:F205))&gt;(L218*4),(((L218*4)-(SUM(B202:F205)-C205))*M201)+((SUM(B205:F205)-C205)*M201),(SUM(B205:F205)-C205)*M201),IF(SUM(B202:F205)&gt;(L218*4),L218*M201,SUM(B205:F205)*M201)),2)</f>
        <v>0</v>
      </c>
      <c r="N205" s="76">
        <f>ROUND(IF(SUM(B202:F204)&lt;(L218*3),IF((SUM(B202:F205))&gt;(L218*4),(((L218*4)-(SUM(B202:F205)-C204))*N201)+((SUM(B205:F205)-C204)*N201),SUM(B205:F205)*N201),IF(SUM(B202:F205)&gt;(L218*4),L218*N201,SUM(B205:F205)*N201)),2)</f>
        <v>0</v>
      </c>
      <c r="O205" s="23">
        <f>ROUND(SUM(B205+C205+F205)*O201,2)</f>
        <v>0</v>
      </c>
      <c r="P205" s="27">
        <f t="shared" si="23"/>
        <v>0</v>
      </c>
    </row>
    <row r="206" spans="1:16" s="1" customFormat="1" x14ac:dyDescent="0.2">
      <c r="A206" s="100" t="str">
        <f>$A$30</f>
        <v>Mai 2022</v>
      </c>
      <c r="B206" s="24">
        <f>ROUND(IF(N186=0,0,IFERROR(((LOOKUP(2,1/(A190:A193=A206),G190:G193))*N186*4.348),B205/N186*N186)),2)</f>
        <v>0</v>
      </c>
      <c r="C206" s="23">
        <f>ROUND(IFERROR(((LOOKUP(2,1/(B195=A206),((SUM(B208:B210)+SUM(F208:F210))/3)*C195))),0)+IFERROR(((LOOKUP(2,1/(E195=A206),(B214+F214)*F195))),0),2)</f>
        <v>0</v>
      </c>
      <c r="D206" s="23">
        <f>ROUND(IF(B206=0,0,D201/L183*N186),2)</f>
        <v>0</v>
      </c>
      <c r="E206" s="23">
        <f>ROUND(IF(B206=0,0,E201/N179*N186),2)</f>
        <v>0</v>
      </c>
      <c r="F206" s="24">
        <f>ROUND(IF(N186=0,0,IFERROR(((LOOKUP(2,1/(A190:A193=A206),H190:H193))/N179*N186),F205/N186*N186)),2)</f>
        <v>0</v>
      </c>
      <c r="G206" s="27">
        <f t="shared" si="22"/>
        <v>0</v>
      </c>
      <c r="H206" s="76">
        <f>ROUND(IF(SUM(B202:F205)&lt;(L217*4),IF((SUM(B202:F206))&gt;(L217*5),(((L217*5)-(SUM(B202:F206)-C205))*H201)+((SUM(B206:F206)-C205)*H201),SUM(B206:F206)*H201),IF(SUM(B202:F206)&gt;(L217*5),L217*H201,SUM(B206:F206)*H201)),2)</f>
        <v>0</v>
      </c>
      <c r="I206" s="76">
        <f>ROUND(IF(SUM(B202:F205)&lt;(L218*4),IF((SUM(B202:F206))&gt;(L218*5),(((L218*5)-(SUM(B202:F206)-C205))*I201)+((SUM(B206:F206)-C205)*I201),SUM(B206:F206)*I201),IF(SUM(B202:F206)&gt;(L218*5),L218*I201,SUM(B206:F206)*I201)),2)</f>
        <v>0</v>
      </c>
      <c r="J206" s="76">
        <f>ROUND(IF(SUM(B202:F205)&lt;(L218*4),IF((SUM(B202:F206))&gt;(L218*5),(((L218*5)-(SUM(B202:F206)-C205))*J201)+((SUM(B206:F206)-C205)*J201),SUM(B206:F206)*J201),IF(SUM(B202:F206)&gt;(L218*5),L218*J201,SUM(B206:F206)*J201)),2)</f>
        <v>0</v>
      </c>
      <c r="K206" s="76">
        <f>ROUND(IF(SUM(B202:F205)&lt;(L217*4),IF((SUM(B202:F206))&gt;(L217*5),(((L217*5)-(SUM(B202:F206)-C205))*K201)+((SUM(B206:F206)-C205)*K201),SUM(B206:F206)*K201),IF(SUM(B202:F206)&gt;(L217*5),L217*K201,SUM(B206:F206)*K201)),2)</f>
        <v>0</v>
      </c>
      <c r="L206" s="76">
        <f>ROUND(IF(SUM(B202:F205)&lt;(L218*4),IF((SUM(B202:F206))&gt;(L218*5),(((L218*5)-(SUM(B202:F206)-C206))*L201)+((SUM(B206:F206)-C206)*L201),(SUM(B206:F206)-C206)*L201),IF(SUM(B202:F206)&gt;(L218*5),L218*L201,SUM(B206:F206)*L201)),2)</f>
        <v>0</v>
      </c>
      <c r="M206" s="76">
        <f>ROUND(IF(SUM(B202:F205)&lt;(L218*4),IF((SUM(B202:F206))&gt;(L218*5),(((L218*5)-(SUM(B202:F206)-C206))*M201)+((SUM(B206:F206)-C206)*M201),(SUM(B206:F206)-C206)*M201),IF(SUM(B202:F206)&gt;(L218*5),L218*M201,SUM(B206:F206)*M201)),2)</f>
        <v>0</v>
      </c>
      <c r="N206" s="76">
        <f>ROUND(IF(SUM(B202:F205)&lt;(L218*4),IF((SUM(B202:F206))&gt;(L218*5),(((L218*5)-(SUM(B202:F206)-C205))*N201)+((SUM(B206:F206)-C205)*N201),SUM(B206:F206)*N201),IF(SUM(B202:F206)&gt;(L218*5),L218*N201,SUM(B206:F206)*N201)),2)</f>
        <v>0</v>
      </c>
      <c r="O206" s="23">
        <f>ROUND(SUM(B206+C206+F206)*O201,2)</f>
        <v>0</v>
      </c>
      <c r="P206" s="27">
        <f t="shared" si="23"/>
        <v>0</v>
      </c>
    </row>
    <row r="207" spans="1:16" s="1" customFormat="1" x14ac:dyDescent="0.2">
      <c r="A207" s="100" t="str">
        <f>$A$31</f>
        <v>Jun 2022</v>
      </c>
      <c r="B207" s="24">
        <f>ROUND(IF(N187=0,0,IFERROR(((LOOKUP(2,1/(A190:A193=A207),G190:G193))*N187*4.348),B206/N187*N187)),2)</f>
        <v>0</v>
      </c>
      <c r="C207" s="23">
        <f>ROUND(IFERROR(((LOOKUP(2,1/(B195=A207),((SUM(B208:B210)+SUM(F208:F210))/3)*C195))),0)+IFERROR(((LOOKUP(2,1/(E195=A207),(B214+F214)*F195))),0),2)</f>
        <v>0</v>
      </c>
      <c r="D207" s="23">
        <f>ROUND(IF(B207=0,0,D201/L183*N187),2)</f>
        <v>0</v>
      </c>
      <c r="E207" s="23">
        <f>ROUND(IF(B207=0,0,E201/N179*N187),2)</f>
        <v>0</v>
      </c>
      <c r="F207" s="24">
        <f>ROUND(IF(N187=0,0,IFERROR(((LOOKUP(2,1/(A190:A193=A207),H190:H193))/N179*N187),F206/N187*N187)),2)</f>
        <v>0</v>
      </c>
      <c r="G207" s="27">
        <f t="shared" si="22"/>
        <v>0</v>
      </c>
      <c r="H207" s="76">
        <f>ROUND(IF(SUM(B202:F206)&lt;(L217*5),IF((SUM(B202:F207))&gt;(L217*6),(((L217*6)-(SUM(B202:F207)-C206))*H201)+((SUM(B207:F207)-C206)*H201),SUM(B207:F207)*H201),IF(SUM(B202:F207)&gt;(L217*6),L217*H201,SUM(B207:F207)*H201)),2)</f>
        <v>0</v>
      </c>
      <c r="I207" s="76">
        <f>ROUND(IF(SUM(B202:F206)&lt;(L218*5),IF((SUM(B202:F207))&gt;(L218*6),(((L218*6)-(SUM(B202:F207)-C206))*I201)+((SUM(B207:F207)-C206)*I201),SUM(B207:F207)*I201),IF(SUM(B202:F207)&gt;(L218*6),L218*I201,SUM(B207:F207)*I201)),2)</f>
        <v>0</v>
      </c>
      <c r="J207" s="76">
        <f>ROUND(IF(SUM(B202:F206)&lt;(L218*5),IF((SUM(B202:F207))&gt;(L218*6),(((L218*6)-(SUM(B202:F207)-C206))*J201)+((SUM(B207:F207)-C206)*J201),SUM(B207:F207)*J201),IF(SUM(B202:F207)&gt;(L218*6),L218*J201,SUM(B207:F207)*J201)),2)</f>
        <v>0</v>
      </c>
      <c r="K207" s="76">
        <f>ROUND(IF(SUM(B202:F206)&lt;(L217*5),IF((SUM(B202:F207))&gt;(L217*6),(((L217*6)-(SUM(B202:F207)-C206))*K201)+((SUM(B207:F207)-C206)*K201),SUM(B207:F207)*K201),IF(SUM(B202:F207)&gt;(L217*6),L217*K201,SUM(B207:F207)*K201)),2)</f>
        <v>0</v>
      </c>
      <c r="L207" s="76">
        <f>ROUND(IF(SUM(B202:F206)&lt;(L218*5),IF((SUM(B202:F207))&gt;(L218*6),(((L218*6)-(SUM(B202:F207)-C207))*L201)+((SUM(B207:F207)-C207)*L201),(SUM(B207:F207)-C207)*L201),IF(SUM(B202:F207)&gt;(L218*6),L218*L201,SUM(B207:F207)*L201)),2)</f>
        <v>0</v>
      </c>
      <c r="M207" s="76">
        <f>ROUND(IF(SUM(B202:F206)&lt;(L218*5),IF((SUM(B202:F207))&gt;(L218*6),(((L218*6)-(SUM(B202:F207)-C207))*M201)+((SUM(B207:F207)-C207)*M201),(SUM(B207:F207)-C207)*M201),IF(SUM(B202:F207)&gt;(L218*6),L218*M201,SUM(B207:F207)*M201)),2)</f>
        <v>0</v>
      </c>
      <c r="N207" s="76">
        <f>ROUND(IF(SUM(B202:F206)&lt;(L218*5),IF((SUM(B202:F207))&gt;(L218*6),(((L218*6)-(SUM(B202:F207)-C206))*N201)+((SUM(B207:F207)-C206)*N201),SUM(B207:F207)*N201),IF(SUM(B202:F207)&gt;(L218*6),L218*N201,SUM(B207:F207)*N201)),2)</f>
        <v>0</v>
      </c>
      <c r="O207" s="23">
        <f>ROUND(SUM(B207+C207+F207)*O201,2)</f>
        <v>0</v>
      </c>
      <c r="P207" s="27">
        <f t="shared" si="23"/>
        <v>0</v>
      </c>
    </row>
    <row r="208" spans="1:16" s="1" customFormat="1" x14ac:dyDescent="0.2">
      <c r="A208" s="100" t="str">
        <f>$A$32</f>
        <v>Jul 2022</v>
      </c>
      <c r="B208" s="24">
        <f>ROUND(IF(P182=0,0,IFERROR(((LOOKUP(2,1/(A190:A193=A208),G190:G193))*P182*4.348),B207/P182*P182)),2)</f>
        <v>0</v>
      </c>
      <c r="C208" s="23">
        <f>ROUND(IFERROR(((LOOKUP(2,1/(B195=A208),((SUM(B208:B210)+SUM(F208:F210))/3)*C195))),0)+IFERROR(((LOOKUP(2,1/(E195=A208),(B214+F214)*F195))),0),2)</f>
        <v>0</v>
      </c>
      <c r="D208" s="23">
        <f>ROUND(IF(B208=0,0,D201/L183*P182),2)</f>
        <v>0</v>
      </c>
      <c r="E208" s="23">
        <f>ROUND(IF(B208=0,0,E201/N179*P182),2)</f>
        <v>0</v>
      </c>
      <c r="F208" s="24">
        <f>ROUND(IF(P182=0,0,IFERROR(((LOOKUP(2,1/(A190:A193=A208),H190:H193))/N179*P182),F207/P182*P182)),2)</f>
        <v>0</v>
      </c>
      <c r="G208" s="27">
        <f t="shared" si="22"/>
        <v>0</v>
      </c>
      <c r="H208" s="76">
        <f>ROUND(IF(SUM(B202:F207)&lt;(L217*6),IF((SUM(B202:F208))&gt;(L217*7),(((L217*7)-(SUM(B202:F208)-C207))*H201)+((SUM(B208:F208)-C207)*H201),SUM(B208:F208)*H201),IF(SUM(B202:F208)&gt;(L217*7),L217*H201,SUM(B208:F208)*H201)),2)</f>
        <v>0</v>
      </c>
      <c r="I208" s="76">
        <f>ROUND(IF(SUM(B202:F207)&lt;(L218*6),IF((SUM(B202:F208))&gt;(L218*7),(((L218*7)-(SUM(B202:F208)-C207))*I201)+((SUM(B208:F208)-C207)*I201),SUM(B208:F208)*I201),IF(SUM(B202:F208)&gt;(L218*7),L218*I201,SUM(B208:F208)*I201)),2)</f>
        <v>0</v>
      </c>
      <c r="J208" s="76">
        <f>ROUND(IF(SUM(B202:F207)&lt;(L218*6),IF((SUM(B202:F208))&gt;(L218*7),(((L218*7)-(SUM(B202:F208)-C207))*J201)+((SUM(B208:F208)-C207)*J201),SUM(B208:F208)*J201),IF(SUM(B202:F208)&gt;(L218*7),L218*J201,SUM(B208:F208)*J201)),2)</f>
        <v>0</v>
      </c>
      <c r="K208" s="76">
        <f>ROUND(IF(SUM(B202:F207)&lt;(L217*6),IF((SUM(B202:F208))&gt;(L217*7),(((L217*7)-(SUM(B202:F208)-C207))*K201)+((SUM(B208:F208)-C207)*K201),SUM(B208:F208)*K201),IF(SUM(B202:F208)&gt;(L217*7),L217*K201,SUM(B208:F208)*K201)),2)</f>
        <v>0</v>
      </c>
      <c r="L208" s="76">
        <f>ROUND(IF(SUM(B202:F207)&lt;(L218*6),IF((SUM(B202:F208))&gt;(L218*7),(((L218*7)-(SUM(B202:F208)-C208))*L201)+((SUM(B208:F208)-C208)*L201),(SUM(B208:F208)-C208)*L201),IF(SUM(B202:F208)&gt;(L218*7),L218*L201,SUM(B208:F208)*L201)),2)</f>
        <v>0</v>
      </c>
      <c r="M208" s="76">
        <f>ROUND(IF(SUM(B202:F207)&lt;(L218*6),IF((SUM(B202:F208))&gt;(L218*7),(((L218*7)-(SUM(B202:F208)-C208))*M201)+((SUM(B208:F208)-C208)*M201),(SUM(B208:F208)-C208)*M201),IF(SUM(B202:F208)&gt;(L218*7),L218*M201,SUM(B208:F208)*M201)),2)</f>
        <v>0</v>
      </c>
      <c r="N208" s="76">
        <f>ROUND(IF(SUM(B202:F207)&lt;(L218*6),IF((SUM(B202:F208))&gt;(L218*7),(((L218*7)-(SUM(B202:F208)-C207))*N201)+((SUM(B208:F208)-C207)*N201),SUM(B208:F208)*N201),IF(SUM(B202:F208)&gt;(L218*7),L218*N201,SUM(B208:F208)*N201)),2)</f>
        <v>0</v>
      </c>
      <c r="O208" s="23">
        <f>ROUND(SUM(B208+C208+F208)*O201,2)</f>
        <v>0</v>
      </c>
      <c r="P208" s="27">
        <f t="shared" si="23"/>
        <v>0</v>
      </c>
    </row>
    <row r="209" spans="1:16" s="1" customFormat="1" x14ac:dyDescent="0.2">
      <c r="A209" s="100" t="str">
        <f>$A$33</f>
        <v>Aug 2022</v>
      </c>
      <c r="B209" s="24">
        <f>ROUND(IF(P183=0,0,IFERROR(((LOOKUP(2,1/(A190:A193=A209),G190:G193))*P183*4.348),B208/P183*P183)),2)</f>
        <v>0</v>
      </c>
      <c r="C209" s="23">
        <f>ROUND(IFERROR(((LOOKUP(2,1/(B195=A209),((SUM(B208:B210)+SUM(F208:F210))/3)*C195))),0)+IFERROR(((LOOKUP(2,1/(E195=A209),(B214+F214)*F195))),0),2)</f>
        <v>0</v>
      </c>
      <c r="D209" s="23">
        <f>ROUND(IF(B209=0,0,D201/L183*P183),2)</f>
        <v>0</v>
      </c>
      <c r="E209" s="23">
        <f>ROUND(IF(B209=0,0,E201/N179*P183),2)</f>
        <v>0</v>
      </c>
      <c r="F209" s="24">
        <f>ROUND(IF(P183=0,0,IFERROR(((LOOKUP(2,1/(A190:A193=A209),H190:H193))/N179*P183),F208/P183*P183)),2)</f>
        <v>0</v>
      </c>
      <c r="G209" s="27">
        <f t="shared" si="22"/>
        <v>0</v>
      </c>
      <c r="H209" s="76">
        <f>ROUND(IF(SUM(B202:F208)&lt;(L217*7),IF((SUM(B202:F209))&gt;(L217*8),(((L217*8)-(SUM(B202:F209)-C208))*H201)+((SUM(B209:F209)-C208)*H201),SUM(B209:F209)*H201),IF(SUM(B202:F209)&gt;(L217*8),L217*H201,SUM(B209:F209)*H201)),2)</f>
        <v>0</v>
      </c>
      <c r="I209" s="76">
        <f>ROUND(IF(SUM(B202:F208)&lt;(L218*7),IF((SUM(B202:F209))&gt;(L218*8),(((L218*8)-(SUM(B202:F209)-C208))*I201)+((SUM(B209:F209)-C208)*I201),SUM(B209:F209)*I201),IF(SUM(B202:F209)&gt;(L218*8),L218*I201,SUM(B209:F209)*I201)),2)</f>
        <v>0</v>
      </c>
      <c r="J209" s="76">
        <f>ROUND(IF(SUM(B202:F208)&lt;(L218*7),IF((SUM(B202:F209))&gt;(L218*8),(((L218*8)-(SUM(B202:F209)-C208))*J201)+((SUM(B209:F209)-C208)*J201),SUM(B209:F209)*J201),IF(SUM(B202:F209)&gt;(L218*8),L218*J201,SUM(B209:F209)*J201)),2)</f>
        <v>0</v>
      </c>
      <c r="K209" s="76">
        <f>ROUND(IF(SUM(B202:F208)&lt;(L217*7),IF((SUM(B202:F209))&gt;(L217*8),(((L217*8)-(SUM(B202:F209)-C208))*K201)+((SUM(B209:F209)-C208)*K201),SUM(B209:F209)*K201),IF(SUM(B202:F209)&gt;(L217*8),L217*K201,SUM(B209:F209)*K201)),2)</f>
        <v>0</v>
      </c>
      <c r="L209" s="76">
        <f>ROUND(IF(SUM(B202:F208)&lt;(L218*7),IF((SUM(B202:F209))&gt;(L218*8),(((L218*8)-(SUM(B202:F209)-C209))*L201)+((SUM(B209:F209)-C209)*L201),(SUM(B209:F209)-C209)*L201),IF(SUM(B202:F209)&gt;(L218*8),L218*L201,SUM(B209:F209)*L201)),2)</f>
        <v>0</v>
      </c>
      <c r="M209" s="76">
        <f>ROUND(IF(SUM(B202:F208)&lt;(L218*7),IF((SUM(B202:F209))&gt;(L218*8),(((L218*8)-(SUM(B202:F209)-C209))*M201)+((SUM(B209:F209)-C209)*M201),(SUM(B209:F209)-C209)*M201),IF(SUM(B202:F209)&gt;(L218*8),L218*M201,SUM(B209:F209)*M201)),2)</f>
        <v>0</v>
      </c>
      <c r="N209" s="76">
        <f>ROUND(IF(SUM(B202:F208)&lt;(L218*7),IF((SUM(B202:F209))&gt;(L218*8),(((L218*8)-(SUM(B202:F209)-C208))*N201)+((SUM(B209:F209)-C208)*N201),SUM(B209:F209)*N201),IF(SUM(B202:F209)&gt;(L218*8),L218*N201,SUM(B209:F209)*N201)),2)</f>
        <v>0</v>
      </c>
      <c r="O209" s="23">
        <f>ROUND(SUM(B209+C209+F209)*O201,2)</f>
        <v>0</v>
      </c>
      <c r="P209" s="27">
        <f t="shared" si="23"/>
        <v>0</v>
      </c>
    </row>
    <row r="210" spans="1:16" s="1" customFormat="1" x14ac:dyDescent="0.2">
      <c r="A210" s="100" t="str">
        <f>$A$34</f>
        <v>Sep 2022</v>
      </c>
      <c r="B210" s="24">
        <f>ROUND(IF(P184=0,0,IFERROR(((LOOKUP(2,1/(A190:A193=A210),G190:G193))*P184*4.348),B209/P184*P184)),2)</f>
        <v>0</v>
      </c>
      <c r="C210" s="23">
        <f>ROUND(IFERROR(((LOOKUP(2,1/(B195=A210),((SUM(B208:B210)+SUM(F208:F210))/3)*C195))),0)+IFERROR(((LOOKUP(2,1/(E195=A210),(B214+F214)*F195))),0),2)</f>
        <v>0</v>
      </c>
      <c r="D210" s="23">
        <f>ROUND(IF(B210=0,0,D201/L183*P184),2)</f>
        <v>0</v>
      </c>
      <c r="E210" s="23">
        <f>ROUND(IF(B210=0,0,E201/N179*P184),2)</f>
        <v>0</v>
      </c>
      <c r="F210" s="24">
        <f>ROUND(IF(P184=0,0,IFERROR(((LOOKUP(2,1/(A190:A193=A210),H190:H193))/N179*P184),F209/P184*P184)),2)</f>
        <v>0</v>
      </c>
      <c r="G210" s="27">
        <f t="shared" si="22"/>
        <v>0</v>
      </c>
      <c r="H210" s="76">
        <f>ROUND(IF(SUM(B202:F209)&lt;(L217*8),IF((SUM(B202:F210))&gt;(L217*9),(((L217*9)-(SUM(B202:F210)-C209))*H201)+((SUM(B210:F210)-C209)*H201),SUM(B210:F210)*H201),IF(SUM(B202:F210)&gt;(L217*9),L217*H201,SUM(B210:F210)*H201)),2)</f>
        <v>0</v>
      </c>
      <c r="I210" s="76">
        <f>ROUND(IF(SUM(B202:F209)&lt;(L218*8),IF((SUM(B202:F210))&gt;(L218*9),(((L218*9)-(SUM(B202:F210)-C209))*I201)+((SUM(B210:F210)-C209)*I201),SUM(B210:F210)*I201),IF(SUM(B202:F210)&gt;(L218*9),L218*I201,SUM(B210:F210)*I201)),2)</f>
        <v>0</v>
      </c>
      <c r="J210" s="76">
        <f>ROUND(IF(SUM(B202:F209)&lt;(L218*8),IF((SUM(B202:F210))&gt;(L218*9),(((L218*9)-(SUM(B202:F210)-C209))*J201)+((SUM(B210:F210)-C209)*J201),SUM(B210:F210)*J201),IF(SUM(B202:F210)&gt;(L218*9),L218*J201,SUM(B210:F210)*J201)),2)</f>
        <v>0</v>
      </c>
      <c r="K210" s="76">
        <f>ROUND(IF(SUM(B202:F209)&lt;(L217*8),IF((SUM(B202:F210))&gt;(L217*9),(((L217*9)-(SUM(B202:F210)-C209))*K201)+((SUM(B210:F210)-C209)*K201),SUM(B210:F210)*K201),IF(SUM(B202:F210)&gt;(L217*9),L217*K201,SUM(B210:F210)*K201)),2)</f>
        <v>0</v>
      </c>
      <c r="L210" s="76">
        <f>ROUND(IF(SUM(B202:F209)&lt;(L218*8),IF((SUM(B202:F210))&gt;(L218*9),(((L218*9)-(SUM(B202:F210)-C210))*L201)+((SUM(B210:F210)-C210)*L201),(SUM(B210:F210)-C210)*L201),IF(SUM(B202:F210)&gt;(L218*9),L218*L201,SUM(B210:F210)*L201)),2)</f>
        <v>0</v>
      </c>
      <c r="M210" s="76">
        <f>ROUND(IF(SUM(B202:F209)&lt;(L218*8),IF((SUM(B202:F210))&gt;(L218*9),(((L218*9)-(SUM(B202:F210)-C210))*M201)+((SUM(B210:F210)-C210)*M201),(SUM(B210:F210)-C210)*M201),IF(SUM(B202:F210)&gt;(L218*9),L218*M201,SUM(B210:F210)*M201)),2)</f>
        <v>0</v>
      </c>
      <c r="N210" s="76">
        <f>ROUND(IF(SUM(B202:F209)&lt;(L218*8),IF((SUM(B202:F210))&gt;(L218*9),(((L218*9)-(SUM(B202:F210)-C209))*N201)+((SUM(B210:F210)-C209)*N201),SUM(B210:F210)*N201),IF(SUM(B202:F210)&gt;(L218*9),L218*N201,SUM(B210:F210)*N201)),2)</f>
        <v>0</v>
      </c>
      <c r="O210" s="23">
        <f>ROUND(SUM(B210+C210+F210)*O201,2)</f>
        <v>0</v>
      </c>
      <c r="P210" s="27">
        <f t="shared" si="23"/>
        <v>0</v>
      </c>
    </row>
    <row r="211" spans="1:16" s="1" customFormat="1" x14ac:dyDescent="0.2">
      <c r="A211" s="100" t="str">
        <f>$A$35</f>
        <v>Okt 2022</v>
      </c>
      <c r="B211" s="24">
        <f>ROUND(IF(P185=0,0,IFERROR(((LOOKUP(2,1/(A190:A193=A211),G190:G193))*P185*4.348),B210/P185*P185)),2)</f>
        <v>0</v>
      </c>
      <c r="C211" s="23">
        <f>ROUND(IFERROR(((LOOKUP(2,1/(B195=A211),((SUM(B208:B210)+SUM(F208:F210))/3)*C195))),0)+IFERROR(((LOOKUP(2,1/(E195=A211),(B214+F214)*F195))),0),2)</f>
        <v>0</v>
      </c>
      <c r="D211" s="23">
        <f>ROUND(IF(B211=0,0,D201/L183*P185),2)</f>
        <v>0</v>
      </c>
      <c r="E211" s="23">
        <f>ROUND(IF(B211=0,0,E201/N179*P185),2)</f>
        <v>0</v>
      </c>
      <c r="F211" s="24">
        <f>ROUND(IF(P185=0,0,IFERROR(((LOOKUP(2,1/(A190:A193=A211),H190:H193))/N179*P185),F210/P185*P185)),2)</f>
        <v>0</v>
      </c>
      <c r="G211" s="27">
        <f t="shared" si="22"/>
        <v>0</v>
      </c>
      <c r="H211" s="76">
        <f>ROUND(IF(SUM(B202:F210)&lt;(L217*9),IF((SUM(B202:F211))&gt;(L217*10),(((L217*10)-(SUM(B202:F211)-C210))*H201)+((SUM(B211:F211)-C210)*H201),SUM(B211:F211)*H201),IF(SUM(B202:F211)&gt;(L217*10),L217*H201,SUM(B211:F211)*H201)),2)</f>
        <v>0</v>
      </c>
      <c r="I211" s="76">
        <f>ROUND(IF(SUM(B202:F210)&lt;(L218*9),IF((SUM(B202:F211))&gt;(L218*10),(((L218*10)-(SUM(B202:F211)-C210))*I201)+((SUM(B211:F211)-C210)*I201),SUM(B211:F211)*I201),IF(SUM(B202:F211)&gt;(L218*10),L218*I201,SUM(B211:F211)*I201)),2)</f>
        <v>0</v>
      </c>
      <c r="J211" s="76">
        <f>ROUND(IF(SUM(B202:F210)&lt;(L218*9),IF((SUM(B202:F211))&gt;(L218*10),(((L218*10)-(SUM(B202:F211)-C210))*J201)+((SUM(B211:F211)-C210)*J201),SUM(B211:F211)*J201),IF(SUM(B202:F211)&gt;(L218*10),L218*J201,SUM(B211:F211)*J201)),2)</f>
        <v>0</v>
      </c>
      <c r="K211" s="76">
        <f>ROUND(IF(SUM(B202:F210)&lt;(L217*9),IF((SUM(B202:F211))&gt;(L217*10),(((L217*10)-(SUM(B202:F211)-C210))*K201)+((SUM(B211:F211)-C210)*K201),SUM(B211:F211)*K201),IF(SUM(B202:F211)&gt;(L217*10),L217*K201,SUM(B211:F211)*K201)),2)</f>
        <v>0</v>
      </c>
      <c r="L211" s="76">
        <f>ROUND(IF(SUM(B202:F210)&lt;(L218*9),IF((SUM(B202:F211))&gt;(L218*10),(((L218*10)-(SUM(B202:F211)-C211))*L201)+((SUM(B211:F211)-C211)*L201),(SUM(B211:F211)-C211)*L201),IF(SUM(B202:F211)&gt;(L218*10),L218*L201,SUM(B211:F211)*L201)),2)</f>
        <v>0</v>
      </c>
      <c r="M211" s="76">
        <f>ROUND(IF(SUM(B202:F210)&lt;(L218*9),IF((SUM(B202:F211))&gt;(L218*10),(((L218*10)-(SUM(B202:F211)-C211))*M201)+((SUM(B211:F211)-C211)*M201),(SUM(B211:F211)-C211)*M201),IF(SUM(B202:F211)&gt;(L218*10),L218*M201,SUM(B211:F211)*M201)),2)</f>
        <v>0</v>
      </c>
      <c r="N211" s="76">
        <f>ROUND(IF(SUM(B202:F210)&lt;(L218*9),IF((SUM(B202:F211))&gt;(L218*10),(((L218*10)-(SUM(B202:F211)-C210))*N201)+((SUM(B211:F211)-C210)*N201),SUM(B211:F211)*N201),IF(SUM(B202:F211)&gt;(L218*10),L218*N201,SUM(B211:F211)*N201)),2)</f>
        <v>0</v>
      </c>
      <c r="O211" s="23">
        <f>ROUND(SUM(B211+C211+F211)*O201,2)</f>
        <v>0</v>
      </c>
      <c r="P211" s="27">
        <f t="shared" si="23"/>
        <v>0</v>
      </c>
    </row>
    <row r="212" spans="1:16" s="1" customFormat="1" x14ac:dyDescent="0.2">
      <c r="A212" s="100" t="str">
        <f>$A$36</f>
        <v>Nov 2022</v>
      </c>
      <c r="B212" s="24">
        <f>ROUND(IF(P186=0,0,IFERROR(((LOOKUP(2,1/(A190:A193=A212),G190:G193))*P186*4.348),B211/P186*P186)),2)</f>
        <v>0</v>
      </c>
      <c r="C212" s="23">
        <f>ROUND(IFERROR(((LOOKUP(2,1/(B195=A212),((SUM(B208:B210)+SUM(F208:F210))/3)*C195))),0)+IFERROR(((LOOKUP(2,1/(E195=A212),(B214+F214)*F195))),0),2)</f>
        <v>0</v>
      </c>
      <c r="D212" s="23">
        <f>ROUND(IF(B212=0,0,D201/L183*P186),2)</f>
        <v>0</v>
      </c>
      <c r="E212" s="23">
        <f>ROUND(IF(B212=0,0,E201/N179*P186),2)</f>
        <v>0</v>
      </c>
      <c r="F212" s="24">
        <f>ROUND(IF(P186=0,0,IFERROR(((LOOKUP(2,1/(A190:A193=A212),H190:H193))/N179*P186),F211/P186*P186)),2)</f>
        <v>0</v>
      </c>
      <c r="G212" s="27">
        <f t="shared" si="22"/>
        <v>0</v>
      </c>
      <c r="H212" s="76">
        <f>ROUND(IF(SUM(B202:F211)&lt;(L217*10),IF((SUM(B202:F212))&gt;(L217*11),(((L217*11)-(SUM(B202:F212)-C211))*H201)+((SUM(B212:F212)-C211)*H201),SUM(B212:F212)*H201),IF(SUM(B202:F212)&gt;(L217*11),L217*H201,SUM(B212:F212)*H201)),2)</f>
        <v>0</v>
      </c>
      <c r="I212" s="76">
        <f>ROUND(IF(SUM(B202:F211)&lt;(L218*10),IF((SUM(B202:F212))&gt;(L218*11),(((L218*11)-(SUM(B202:F212)-C211))*I201)+((SUM(B212:F212)-C211)*I201),SUM(B212:F212)*I201),IF(SUM(B202:F212)&gt;(L218*11),L218*I201,SUM(B212:F212)*I201)),2)</f>
        <v>0</v>
      </c>
      <c r="J212" s="76">
        <f>ROUND(IF(SUM(B202:F211)&lt;(L218*10),IF((SUM(B202:F212))&gt;(L218*11),(((L218*11)-(SUM(B202:F212)-C211))*J201)+((SUM(B212:F212)-C211)*J201),SUM(B212:F212)*J201),IF(SUM(B202:F212)&gt;(L218*11),L218*J201,SUM(B212:F212)*J201)),2)</f>
        <v>0</v>
      </c>
      <c r="K212" s="76">
        <f>ROUND(IF(SUM(B202:F211)&lt;(L217*10),IF((SUM(B202:F212))&gt;(L217*11),(((L217*11)-(SUM(B202:F212)-C211))*K201)+((SUM(B212:F212)-C211)*K201),SUM(B212:F212)*K201),IF(SUM(B202:F212)&gt;(L217*11),L217*K201,SUM(B212:F212)*K201)),2)</f>
        <v>0</v>
      </c>
      <c r="L212" s="76">
        <f>ROUND(IF(SUM(B202:F211)&lt;(L218*10),IF((SUM(B202:F212))&gt;(L218*11),(((L218*11)-(SUM(B202:F212)-C212))*L201)+((SUM(B212:F212)-C212)*L201),(SUM(B212:F212)-C212)*L201),IF(SUM(B202:F212)&gt;(L218*11),L218*L201,SUM(B212:F212)*L201)),2)</f>
        <v>0</v>
      </c>
      <c r="M212" s="76">
        <f>ROUND(IF(SUM(B202:F211)&lt;(L218*10),IF((SUM(B202:F212))&gt;(L218*11),(((L218*11)-(SUM(B202:F212)-C212))*M201)+((SUM(B212:F212)-C212)*M201),(SUM(B212:F212)-C212)*M201),IF(SUM(B202:F212)&gt;(L218*11),L218*M201,SUM(B212:F212)*M201)),2)</f>
        <v>0</v>
      </c>
      <c r="N212" s="76">
        <f>ROUND(IF(SUM(B202:F211)&lt;(L218*10),IF((SUM(B202:F212))&gt;(L218*11),(((L218*11)-(SUM(B202:F212)-C211))*N201)+((SUM(B212:F212)-C211)*N201),SUM(B212:F212)*N201),IF(SUM(B202:F212)&gt;(L218*11),L218*N201,SUM(B212:F212)*N201)),2)</f>
        <v>0</v>
      </c>
      <c r="O212" s="23">
        <f>ROUND(SUM(B212+C212+F212)*O201,2)</f>
        <v>0</v>
      </c>
      <c r="P212" s="27">
        <f t="shared" si="23"/>
        <v>0</v>
      </c>
    </row>
    <row r="213" spans="1:16" s="1" customFormat="1" x14ac:dyDescent="0.2">
      <c r="A213" s="100" t="str">
        <f>$A$37</f>
        <v>Dez 2022</v>
      </c>
      <c r="B213" s="24">
        <f>ROUND(IF(P187=0,0,IFERROR(((LOOKUP(2,1/(A190:A193=A213),G190:G193))*P187*4.348),B212/P187*P187)),2)</f>
        <v>0</v>
      </c>
      <c r="C213" s="23">
        <f>ROUND(IFERROR(((LOOKUP(2,1/(B195=A213),((SUM(B208:B210)+SUM(F208:F210))/3)*C195))),0)+IFERROR(((LOOKUP(2,1/(E195=A213),(B214+F214)*F195))),0),2)</f>
        <v>0</v>
      </c>
      <c r="D213" s="23">
        <f>ROUND(IF(B213=0,0,D201/L183*P187),2)</f>
        <v>0</v>
      </c>
      <c r="E213" s="23">
        <f>ROUND(IF(B213=0,0,E201/N179*P187),2)</f>
        <v>0</v>
      </c>
      <c r="F213" s="24">
        <f>ROUND(IF(P187=0,0,IFERROR(((LOOKUP(2,1/(A190:A193=A213),H190:H193))/N179*P187),F212/P187*P187)),2)</f>
        <v>0</v>
      </c>
      <c r="G213" s="27">
        <f t="shared" si="22"/>
        <v>0</v>
      </c>
      <c r="H213" s="76">
        <f>ROUND(IF(SUM(B202:F212)&lt;(L217*11),IF((SUM(B202:F213))&gt;(L217*12),(((L217*12)-(SUM(B202:F213)-C212))*H201)+((SUM(B213:F213)-C212)*H201),SUM(B213:F213)*H201),IF(SUM(B202:F213)&gt;(L217*12),L217*H201,SUM(B213:F213)*H201)),2)</f>
        <v>0</v>
      </c>
      <c r="I213" s="76">
        <f>ROUND(IF(SUM(B202:F212)&lt;(L218*11),IF((SUM(B202:F213))&gt;(L218*12),(((L218*12)-(SUM(B202:F213)-C212))*I201)+((SUM(B213:F213)-C212)*I201),SUM(B213:F213)*I201),IF(SUM(B202:F213)&gt;(L218*12),L218*I201,SUM(B213:F213)*I201)),2)</f>
        <v>0</v>
      </c>
      <c r="J213" s="76">
        <f>ROUND(IF(SUM(B202:F212)&lt;(L218*11),IF((SUM(B202:F213))&gt;(L218*12),(((L218*12)-(SUM(B202:F213)-C212))*J201)+((SUM(B213:F213)-C212)*J201),SUM(B213:F213)*J201),IF(SUM(B202:F213)&gt;(L218*12),L218*J201,SUM(B213:F213)*J201)),2)</f>
        <v>0</v>
      </c>
      <c r="K213" s="76">
        <f>ROUND(IF(SUM(B202:F212)&lt;(L217*11),IF((SUM(B202:F213))&gt;(L217*12),(((L217*12)-(SUM(B202:F213)-C212))*K201)+((SUM(B213:F213)-C212)*K201),SUM(B213:F213)*K201),IF(SUM(B202:F213)&gt;(L217*12),L217*K201,SUM(B213:F213)*K201)),2)</f>
        <v>0</v>
      </c>
      <c r="L213" s="76">
        <f>ROUND(IF(SUM(B202:F212)&lt;(L218*11),IF((SUM(B202:F213))&gt;(L218*12),(((L218*12)-(SUM(B202:F213)-C213))*L201)+((SUM(B213:F213)-C213)*L201),(SUM(B213:F213)-C213)*L201),IF(SUM(B202:F213)&gt;(L218*12),L218*L201,SUM(B213:F213)*L201)),2)</f>
        <v>0</v>
      </c>
      <c r="M213" s="76">
        <f>ROUND(IF(SUM(B202:F212)&lt;(L218*11),IF((SUM(B202:F213))&gt;(L218*12),(((L218*12)-(SUM(B202:F213)-C213))*M201)+((SUM(B213:F213)-C213)*M201),(SUM(B213:F213)-C213)*M201),IF(SUM(B202:F213)&gt;(L218*12),L218*M201,SUM(B213:F213)*M201)),2)</f>
        <v>0</v>
      </c>
      <c r="N213" s="76">
        <f>ROUND(IF(SUM(B202:F212)&lt;(L218*11),IF((SUM(B202:F213))&gt;(L218*12),(((L218*12)-(SUM(B202:F213)-C212))*N201)+((SUM(B213:F213)-C212)*N201),SUM(B213:F213)*N201),IF(SUM(B202:F213)&gt;(L218*12),L218*N201,SUM(B213:F213)*N201)),2)</f>
        <v>0</v>
      </c>
      <c r="O213" s="23">
        <f>ROUND(SUM(B213+C213+F213)*O201,2)</f>
        <v>0</v>
      </c>
      <c r="P213" s="27">
        <f t="shared" si="23"/>
        <v>0</v>
      </c>
    </row>
    <row r="214" spans="1:16" s="14" customFormat="1" ht="15" x14ac:dyDescent="0.25">
      <c r="A214" s="4" t="s">
        <v>2</v>
      </c>
      <c r="B214" s="27">
        <f>SUM(B202:B213)</f>
        <v>0</v>
      </c>
      <c r="C214" s="27">
        <f t="shared" ref="C214:D214" si="24">SUM(C202:C213)</f>
        <v>0</v>
      </c>
      <c r="D214" s="27">
        <f t="shared" si="24"/>
        <v>0</v>
      </c>
      <c r="E214" s="27">
        <f>SUM(E202:E213)</f>
        <v>0</v>
      </c>
      <c r="F214" s="27">
        <f>SUM(F202:F213)</f>
        <v>0</v>
      </c>
      <c r="G214" s="27">
        <f>SUM(G202:G213)</f>
        <v>0</v>
      </c>
      <c r="H214" s="1133">
        <f>SUM(H202:N213)</f>
        <v>0</v>
      </c>
      <c r="I214" s="1134"/>
      <c r="J214" s="1134"/>
      <c r="K214" s="1134"/>
      <c r="L214" s="1134"/>
      <c r="M214" s="1134"/>
      <c r="N214" s="1135"/>
      <c r="O214" s="27">
        <f>SUM(O202:O213)</f>
        <v>0</v>
      </c>
      <c r="P214" s="27">
        <f>SUM(P202:P213)</f>
        <v>0</v>
      </c>
    </row>
    <row r="215" spans="1:16" s="13" customFormat="1" ht="11.25" x14ac:dyDescent="0.2">
      <c r="A215" s="3" t="s">
        <v>1</v>
      </c>
      <c r="B215" s="2"/>
      <c r="C215" s="2"/>
      <c r="D215" s="2"/>
      <c r="E215" s="2"/>
      <c r="F215" s="2"/>
      <c r="G215" s="2"/>
      <c r="H215" s="2"/>
      <c r="I215" s="2"/>
      <c r="J215" s="2"/>
      <c r="K215" s="2"/>
      <c r="L215" s="2"/>
      <c r="M215" s="2"/>
      <c r="N215" s="2"/>
      <c r="O215" s="2"/>
      <c r="P215" s="2"/>
    </row>
    <row r="216" spans="1:16" s="1" customFormat="1" ht="14.25" customHeight="1" x14ac:dyDescent="0.2">
      <c r="A216" s="1136" t="s">
        <v>133</v>
      </c>
      <c r="B216" s="1137"/>
      <c r="C216" s="1137"/>
      <c r="D216" s="1137" t="s">
        <v>134</v>
      </c>
      <c r="E216" s="1137"/>
      <c r="F216" s="94" t="str">
        <f>IF(IF(G214=0,"",'päd.Personal - Leitung'!$F$40)=0,"",IF(G214=0,"",'päd.Personal - Leitung'!$F$40))</f>
        <v/>
      </c>
      <c r="G216" s="77" t="s">
        <v>135</v>
      </c>
      <c r="H216" s="96" t="str">
        <f>IF(IF(G214=0,"",'päd.Personal - Leitung'!$H$40)=0,"",IF(G214=0,"",'päd.Personal - Leitung'!$H$40))</f>
        <v/>
      </c>
      <c r="I216" s="73"/>
      <c r="J216" s="194" t="s">
        <v>160</v>
      </c>
      <c r="K216" s="194" t="str">
        <f>$K$40</f>
        <v>2021</v>
      </c>
      <c r="L216" s="194" t="str">
        <f>$L$40</f>
        <v>anteilig 2021</v>
      </c>
      <c r="M216" s="1138" t="s">
        <v>140</v>
      </c>
      <c r="N216" s="1138"/>
      <c r="O216" s="1139"/>
      <c r="P216" s="27">
        <f>ROUND(IF(F216="",IF(E220="",0,(E220*H220/K220)/L183*L184),G214*F216*H216/1000),2)</f>
        <v>0</v>
      </c>
    </row>
    <row r="217" spans="1:16" s="1" customFormat="1" ht="15" customHeight="1" x14ac:dyDescent="0.2">
      <c r="A217" s="1140" t="s">
        <v>145</v>
      </c>
      <c r="B217" s="1141"/>
      <c r="C217" s="1141"/>
      <c r="D217" s="18"/>
      <c r="E217" s="107" t="s">
        <v>135</v>
      </c>
      <c r="F217" s="95" t="str">
        <f>IF(IF(G214=0,"",'päd.Personal - Leitung'!$F$41)=0,"",IF(G214=0,"",'päd.Personal - Leitung'!$F$41))</f>
        <v/>
      </c>
      <c r="G217" s="48"/>
      <c r="H217" s="47"/>
      <c r="I217" s="48"/>
      <c r="J217" s="195" t="s">
        <v>158</v>
      </c>
      <c r="K217" s="198">
        <f>$K$41</f>
        <v>4837.5</v>
      </c>
      <c r="L217" s="197">
        <f>IF(L183="",K217,K217/L183*L184)</f>
        <v>4837.5</v>
      </c>
      <c r="M217" s="1138" t="s">
        <v>139</v>
      </c>
      <c r="N217" s="1138"/>
      <c r="O217" s="1139"/>
      <c r="P217" s="27">
        <f>ROUND(IF(F217="",0,G214*F217/1000),2)</f>
        <v>0</v>
      </c>
    </row>
    <row r="218" spans="1:16" s="1" customFormat="1" ht="15.75" customHeight="1" x14ac:dyDescent="0.2">
      <c r="A218" s="1142" t="s">
        <v>141</v>
      </c>
      <c r="B218" s="1143"/>
      <c r="C218" s="1143"/>
      <c r="D218" s="1144" t="s">
        <v>143</v>
      </c>
      <c r="E218" s="1144"/>
      <c r="F218" s="1145" t="str">
        <f>IF(IF(G214=0,"",'päd.Personal - Leitung'!$F$42)=0,"",IF(G214=0,"",'päd.Personal - Leitung'!$F$42))</f>
        <v/>
      </c>
      <c r="G218" s="1145"/>
      <c r="H218" s="72"/>
      <c r="I218" s="18"/>
      <c r="J218" s="195" t="s">
        <v>159</v>
      </c>
      <c r="K218" s="197">
        <f>$K$42</f>
        <v>6700</v>
      </c>
      <c r="L218" s="197">
        <f>IF(L183="",K218,K218/L183*L184)</f>
        <v>6700</v>
      </c>
      <c r="M218" s="1138" t="s">
        <v>141</v>
      </c>
      <c r="N218" s="1138"/>
      <c r="O218" s="1139"/>
      <c r="P218" s="23">
        <f>ROUND(IF(F218="",0,IF(G214=0,0,F218/L183*L184)),2)</f>
        <v>0</v>
      </c>
    </row>
    <row r="219" spans="1:16" s="1" customFormat="1" ht="14.25" customHeight="1" x14ac:dyDescent="0.2">
      <c r="A219" s="18"/>
      <c r="B219" s="18"/>
      <c r="C219" s="18"/>
      <c r="D219" s="18"/>
      <c r="E219" s="18"/>
      <c r="F219" s="18"/>
      <c r="G219" s="18"/>
      <c r="H219" s="18"/>
      <c r="I219" s="18"/>
      <c r="J219" s="18"/>
      <c r="K219" s="74"/>
      <c r="L219" s="82"/>
      <c r="M219" s="1127" t="s">
        <v>146</v>
      </c>
      <c r="N219" s="1127"/>
      <c r="O219" s="1128"/>
      <c r="P219" s="23">
        <f>ROUND(IF(G214=0,0,$P$87),2)</f>
        <v>0</v>
      </c>
    </row>
    <row r="220" spans="1:16" s="1" customFormat="1" ht="14.25" customHeight="1" x14ac:dyDescent="0.2">
      <c r="A220" s="1129" t="s">
        <v>142</v>
      </c>
      <c r="B220" s="1130"/>
      <c r="C220" s="126" t="s">
        <v>136</v>
      </c>
      <c r="D220" s="179" t="s">
        <v>137</v>
      </c>
      <c r="E220" s="1131" t="str">
        <f>IF(IF(G214=0,"",'päd.Personal - Leitung'!$E$44)=0,"",IF(G214=0,"",'päd.Personal - Leitung'!$E$44))</f>
        <v/>
      </c>
      <c r="F220" s="1131"/>
      <c r="G220" s="83" t="s">
        <v>138</v>
      </c>
      <c r="H220" s="97" t="str">
        <f>IF(IF(G214=0,"",'päd.Personal - Leitung'!$H$44)=0,"",IF(G214=0,"",'päd.Personal - Leitung'!$H$44))</f>
        <v/>
      </c>
      <c r="I220" s="1132" t="s">
        <v>144</v>
      </c>
      <c r="J220" s="1132"/>
      <c r="K220" s="98" t="str">
        <f>IF(IF(G214=0,"",'päd.Personal - Leitung'!$K$44)=0,"",IF(G214=0,"",'päd.Personal - Leitung'!$K$44))</f>
        <v/>
      </c>
      <c r="L220" s="29"/>
      <c r="M220" s="29"/>
      <c r="N220" s="29"/>
      <c r="O220" s="28" t="s">
        <v>0</v>
      </c>
      <c r="P220" s="27">
        <f>P214+SUM(P216:P219)</f>
        <v>0</v>
      </c>
    </row>
    <row r="221" spans="1:16" s="12" customFormat="1" ht="13.5" customHeight="1" x14ac:dyDescent="0.2">
      <c r="A221" s="1178" t="s">
        <v>18</v>
      </c>
      <c r="B221" s="1178"/>
      <c r="C221" s="1178"/>
      <c r="D221" s="1179" t="str">
        <f>IF($D$1="","",$D$1)</f>
        <v/>
      </c>
      <c r="E221" s="1179"/>
      <c r="F221" s="1179"/>
      <c r="G221" s="1179"/>
      <c r="H221" s="1179"/>
      <c r="I221" s="1179"/>
      <c r="J221" s="1179"/>
      <c r="K221" s="1179"/>
      <c r="L221" s="1179"/>
      <c r="M221" s="1179"/>
      <c r="N221" s="1179"/>
    </row>
    <row r="222" spans="1:16" s="12" customFormat="1" ht="15" customHeight="1" x14ac:dyDescent="0.2">
      <c r="A222" s="1178" t="s">
        <v>17</v>
      </c>
      <c r="B222" s="1178"/>
      <c r="C222" s="1178" t="s">
        <v>15</v>
      </c>
      <c r="D222" s="1179" t="str">
        <f>IF($D$2="","",$D$2)</f>
        <v/>
      </c>
      <c r="E222" s="1179"/>
      <c r="F222" s="1179"/>
      <c r="G222" s="1179"/>
      <c r="H222" s="1179"/>
      <c r="I222" s="1179"/>
      <c r="J222" s="1179"/>
      <c r="K222" s="1179"/>
      <c r="L222" s="1179"/>
      <c r="M222" s="1179"/>
      <c r="N222" s="1179"/>
    </row>
    <row r="223" spans="1:16" s="12" customFormat="1" ht="15" customHeight="1" x14ac:dyDescent="0.2">
      <c r="A223" s="1178" t="s">
        <v>16</v>
      </c>
      <c r="B223" s="1178"/>
      <c r="C223" s="1178" t="s">
        <v>15</v>
      </c>
      <c r="D223" s="1179" t="str">
        <f>IF($D$3="","",$D$3)</f>
        <v/>
      </c>
      <c r="E223" s="1179"/>
      <c r="F223" s="1179"/>
      <c r="G223" s="1179"/>
      <c r="H223" s="1179"/>
      <c r="I223" s="1179"/>
      <c r="J223" s="1179"/>
      <c r="K223" s="1178" t="s">
        <v>103</v>
      </c>
      <c r="L223" s="1178"/>
      <c r="M223" s="1178"/>
      <c r="N223" s="41" t="str">
        <f>IF($N$3="","",$N$3)</f>
        <v/>
      </c>
    </row>
    <row r="224" spans="1:16" s="13" customFormat="1" ht="11.25" x14ac:dyDescent="0.2">
      <c r="A224" s="1182"/>
      <c r="B224" s="1182"/>
      <c r="C224" s="1182"/>
      <c r="D224" s="1183"/>
      <c r="E224" s="1183"/>
      <c r="F224" s="1183"/>
      <c r="G224" s="1183"/>
      <c r="H224" s="1183"/>
      <c r="I224" s="1183"/>
      <c r="J224" s="1183"/>
      <c r="K224" s="11"/>
      <c r="L224" s="11"/>
      <c r="M224" s="11"/>
      <c r="N224" s="11"/>
      <c r="O224" s="11"/>
      <c r="P224" s="11"/>
    </row>
    <row r="225" spans="1:16" s="15" customFormat="1" ht="13.5" customHeight="1" x14ac:dyDescent="0.2">
      <c r="A225" s="1177" t="s">
        <v>166</v>
      </c>
      <c r="B225" s="1177"/>
      <c r="C225" s="1177"/>
      <c r="D225" s="1177"/>
      <c r="E225" s="1177"/>
      <c r="F225" s="1177"/>
      <c r="G225" s="1177"/>
      <c r="H225" s="1177"/>
      <c r="I225" s="1177"/>
      <c r="J225" s="1177"/>
      <c r="K225" s="9"/>
      <c r="L225" s="9"/>
      <c r="M225" s="9"/>
      <c r="N225" s="59" t="s">
        <v>154</v>
      </c>
      <c r="O225" s="191">
        <f>$O$5</f>
        <v>2022</v>
      </c>
      <c r="P225" s="59" t="s">
        <v>154</v>
      </c>
    </row>
    <row r="226" spans="1:16" s="10" customFormat="1" ht="13.5" customHeight="1" x14ac:dyDescent="0.25">
      <c r="B226" s="32"/>
      <c r="C226" s="32"/>
      <c r="D226" s="5" t="s">
        <v>169</v>
      </c>
      <c r="E226" s="31"/>
      <c r="F226" s="31"/>
      <c r="G226" s="31"/>
      <c r="H226" s="31"/>
      <c r="I226" s="26"/>
      <c r="J226" s="1174" t="s">
        <v>14</v>
      </c>
      <c r="K226" s="1174"/>
      <c r="L226" s="180"/>
      <c r="N226" s="84">
        <f>IF(L228="","",L228)</f>
        <v>0</v>
      </c>
      <c r="O226" s="58" t="str">
        <f>$O$6</f>
        <v>Jan                Jul</v>
      </c>
      <c r="P226" s="85">
        <f>IF(N231="","",N231)</f>
        <v>0</v>
      </c>
    </row>
    <row r="227" spans="1:16" s="7" customFormat="1" ht="13.5" customHeight="1" x14ac:dyDescent="0.25">
      <c r="A227" s="1180" t="s">
        <v>71</v>
      </c>
      <c r="B227" s="1180"/>
      <c r="C227" s="1180"/>
      <c r="D227" s="1184"/>
      <c r="E227" s="1184"/>
      <c r="F227" s="1184"/>
      <c r="G227" s="1184"/>
      <c r="H227" s="1184"/>
      <c r="I227" s="1184"/>
      <c r="J227" s="1174" t="s">
        <v>104</v>
      </c>
      <c r="K227" s="1174"/>
      <c r="L227" s="145"/>
      <c r="N227" s="85">
        <f>IF(N226="","",N226)</f>
        <v>0</v>
      </c>
      <c r="O227" s="58" t="str">
        <f>$O$7</f>
        <v>Feb              Aug</v>
      </c>
      <c r="P227" s="85">
        <f>IF(P226="","",P226)</f>
        <v>0</v>
      </c>
    </row>
    <row r="228" spans="1:16" s="1" customFormat="1" ht="13.5" customHeight="1" x14ac:dyDescent="0.2">
      <c r="A228" s="1180" t="s">
        <v>13</v>
      </c>
      <c r="B228" s="1180"/>
      <c r="C228" s="1180"/>
      <c r="D228" s="1181"/>
      <c r="E228" s="1181"/>
      <c r="F228" s="1181"/>
      <c r="G228" s="1181"/>
      <c r="H228" s="1181"/>
      <c r="I228" s="1181"/>
      <c r="J228" s="1174" t="s">
        <v>164</v>
      </c>
      <c r="K228" s="1174"/>
      <c r="L228" s="145">
        <f>IF((L229+L230)&gt;L227,0,L227-L229-L230)</f>
        <v>0</v>
      </c>
      <c r="N228" s="85">
        <f>IF(N227="","",N227)</f>
        <v>0</v>
      </c>
      <c r="O228" s="58" t="str">
        <f>$O$8</f>
        <v>Mrz              Sep</v>
      </c>
      <c r="P228" s="85">
        <f>IF(P227="","",P227)</f>
        <v>0</v>
      </c>
    </row>
    <row r="229" spans="1:16" s="1" customFormat="1" ht="13.5" customHeight="1" x14ac:dyDescent="0.2">
      <c r="A229" s="1180" t="s">
        <v>12</v>
      </c>
      <c r="B229" s="1180"/>
      <c r="C229" s="1180"/>
      <c r="D229" s="1181"/>
      <c r="E229" s="1181"/>
      <c r="F229" s="1181"/>
      <c r="G229" s="1181"/>
      <c r="H229" s="1181"/>
      <c r="I229" s="1181"/>
      <c r="J229" s="1174" t="s">
        <v>165</v>
      </c>
      <c r="K229" s="1174"/>
      <c r="L229" s="145"/>
      <c r="N229" s="85">
        <f>IF(N228="","",N228)</f>
        <v>0</v>
      </c>
      <c r="O229" s="58" t="str">
        <f>$O$9</f>
        <v>Apr               Okt</v>
      </c>
      <c r="P229" s="85">
        <f t="shared" ref="P229:P231" si="25">IF(P228="","",P228)</f>
        <v>0</v>
      </c>
    </row>
    <row r="230" spans="1:16" s="1" customFormat="1" ht="13.5" customHeight="1" x14ac:dyDescent="0.2">
      <c r="A230" s="1180" t="s">
        <v>19</v>
      </c>
      <c r="B230" s="1180"/>
      <c r="C230" s="1180"/>
      <c r="D230" s="1181"/>
      <c r="E230" s="1181"/>
      <c r="F230" s="1181"/>
      <c r="G230" s="1181"/>
      <c r="H230" s="1181"/>
      <c r="I230" s="1181"/>
      <c r="J230" s="1174" t="s">
        <v>252</v>
      </c>
      <c r="K230" s="1174"/>
      <c r="L230" s="145"/>
      <c r="M230" s="92"/>
      <c r="N230" s="85">
        <f>IF(N229="","",N229)</f>
        <v>0</v>
      </c>
      <c r="O230" s="58" t="str">
        <f>$O$10</f>
        <v>Mai               Nov</v>
      </c>
      <c r="P230" s="85">
        <f t="shared" si="25"/>
        <v>0</v>
      </c>
    </row>
    <row r="231" spans="1:16" s="1" customFormat="1" ht="13.5" customHeight="1" x14ac:dyDescent="0.2">
      <c r="B231" s="8"/>
      <c r="C231" s="121" t="s">
        <v>162</v>
      </c>
      <c r="D231" s="1175"/>
      <c r="E231" s="1175"/>
      <c r="F231" s="1176" t="s">
        <v>106</v>
      </c>
      <c r="G231" s="1176"/>
      <c r="H231" s="1186"/>
      <c r="I231" s="1186"/>
      <c r="J231" s="1174" t="s">
        <v>97</v>
      </c>
      <c r="K231" s="1174"/>
      <c r="L231" s="17" t="str">
        <f>IF(IF((COUNTIF(B246:B257,"&gt;0"))=0,0,(COUNTIF(B246:B257,"&gt;0")))&gt;Grundlagen!$C$24,Grundlagen!$C$24,IF((COUNTIF(B246:B257,"&gt;0"))=0,"",(COUNTIF(B246:B257,"&gt;0"))))</f>
        <v/>
      </c>
      <c r="N231" s="85">
        <f>IF(N230="","",N230)</f>
        <v>0</v>
      </c>
      <c r="O231" s="58" t="str">
        <f>'päd.Personal - Leitung'!$O$11</f>
        <v>Jun               Dez</v>
      </c>
      <c r="P231" s="85">
        <f t="shared" si="25"/>
        <v>0</v>
      </c>
    </row>
    <row r="232" spans="1:16" s="1" customFormat="1" ht="13.5" customHeight="1" x14ac:dyDescent="0.2">
      <c r="I232" s="6"/>
      <c r="L232" s="147" t="str">
        <f>IF((SUM(F234:F237))=0,"",IF(P232&gt;L228,L228,IF(L228="","",IF(L231="","",P232))))</f>
        <v/>
      </c>
      <c r="O232" s="174" t="s">
        <v>251</v>
      </c>
      <c r="P232" s="175">
        <f>IF(L231="",0,((IF(SUMIF(B246,"&gt;0"),N226,0))+(IF(SUMIF(B247,"&gt;0"),N227,0))+(IF(SUMIF(B248,"&gt;0"),N228,0))+(IF(SUMIF(B249,"&gt;0"),N229,0))+(IF(SUMIF(B250,"&gt;0"),N230,0))+(IF(SUMIF(B251,"&gt;0"),N231,0))+(IF(SUMIF(B252,"&gt;0"),P226,0))+(IF(SUMIF(B253,"&gt;0"),P227,0))+(IF(SUMIF(B254,"&gt;0"),P228,0))+(IF(SUMIF(B255,"&gt;0"),P229,0))+(IF(SUMIF(B256,"&gt;0"),P230,0))+(IF(SUMIF(B257,"&gt;0"),P231,0)))/Grundlagen!$C$24)</f>
        <v>0</v>
      </c>
    </row>
    <row r="233" spans="1:16" s="52" customFormat="1" ht="13.5" customHeight="1" x14ac:dyDescent="0.2">
      <c r="A233" s="61" t="s">
        <v>148</v>
      </c>
      <c r="B233" s="1168" t="s">
        <v>149</v>
      </c>
      <c r="C233" s="1168"/>
      <c r="D233" s="62" t="s">
        <v>150</v>
      </c>
      <c r="E233" s="63" t="s">
        <v>151</v>
      </c>
      <c r="F233" s="64" t="str">
        <f>CONCATENATE("Entg. ",N223," h/Wo")</f>
        <v>Entg.  h/Wo</v>
      </c>
      <c r="G233" s="65" t="s">
        <v>152</v>
      </c>
      <c r="H233" s="65" t="s">
        <v>153</v>
      </c>
      <c r="K233" s="1169" t="str">
        <f>CONCATENATE("Zuschläge / Zulagen für ",N223,"h/Wo")</f>
        <v>Zuschläge / Zulagen für h/Wo</v>
      </c>
      <c r="L233" s="1169"/>
      <c r="M233" s="66" t="str">
        <f>IF(A234="","",A234)</f>
        <v>Jan 2022</v>
      </c>
      <c r="N233" s="66" t="str">
        <f>IF(A235="","",A235)</f>
        <v/>
      </c>
      <c r="O233" s="66" t="str">
        <f>IF(A236="","",A236)</f>
        <v/>
      </c>
      <c r="P233" s="66" t="str">
        <f>IF(A237="","",A237)</f>
        <v/>
      </c>
    </row>
    <row r="234" spans="1:16" s="52" customFormat="1" ht="13.5" customHeight="1" x14ac:dyDescent="0.25">
      <c r="A234" s="54" t="str">
        <f>A246</f>
        <v>Jan 2022</v>
      </c>
      <c r="B234" s="1170" t="str">
        <f>IF($D$3="","",$D$3)</f>
        <v/>
      </c>
      <c r="C234" s="1171"/>
      <c r="D234" s="181"/>
      <c r="E234" s="181"/>
      <c r="F234" s="87"/>
      <c r="G234" s="56">
        <f>IF(N223="",0,F234/N223/4.348)</f>
        <v>0</v>
      </c>
      <c r="H234" s="53">
        <f>IF(G234=0,0,M239)</f>
        <v>0</v>
      </c>
      <c r="K234" s="1146"/>
      <c r="L234" s="1146"/>
      <c r="M234" s="172"/>
      <c r="N234" s="172"/>
      <c r="O234" s="172"/>
      <c r="P234" s="172"/>
    </row>
    <row r="235" spans="1:16" s="52" customFormat="1" ht="13.5" customHeight="1" x14ac:dyDescent="0.25">
      <c r="A235" s="55"/>
      <c r="B235" s="1172" t="str">
        <f>IF(A235="","",B234)</f>
        <v/>
      </c>
      <c r="C235" s="1173"/>
      <c r="D235" s="181"/>
      <c r="E235" s="181"/>
      <c r="F235" s="87"/>
      <c r="G235" s="56">
        <f>IF(N223="",0,F235/N223/4.348)</f>
        <v>0</v>
      </c>
      <c r="H235" s="53">
        <f>IF(G235=0,0,N239)</f>
        <v>0</v>
      </c>
      <c r="K235" s="1146"/>
      <c r="L235" s="1146"/>
      <c r="M235" s="172"/>
      <c r="N235" s="172"/>
      <c r="O235" s="172"/>
      <c r="P235" s="172"/>
    </row>
    <row r="236" spans="1:16" s="52" customFormat="1" ht="13.5" customHeight="1" x14ac:dyDescent="0.25">
      <c r="A236" s="55"/>
      <c r="B236" s="1172" t="str">
        <f>IF(A236="","",B235)</f>
        <v/>
      </c>
      <c r="C236" s="1173"/>
      <c r="D236" s="181"/>
      <c r="E236" s="181"/>
      <c r="F236" s="87"/>
      <c r="G236" s="56">
        <f>IF(N223="",0,F236/N223/4.348)</f>
        <v>0</v>
      </c>
      <c r="H236" s="53">
        <f>IF(G236=0,0,O239)</f>
        <v>0</v>
      </c>
      <c r="K236" s="1146"/>
      <c r="L236" s="1146"/>
      <c r="M236" s="172"/>
      <c r="N236" s="172"/>
      <c r="O236" s="172"/>
      <c r="P236" s="172"/>
    </row>
    <row r="237" spans="1:16" s="52" customFormat="1" ht="13.5" customHeight="1" x14ac:dyDescent="0.25">
      <c r="A237" s="55"/>
      <c r="B237" s="1172" t="str">
        <f>IF(A237="","",B236)</f>
        <v/>
      </c>
      <c r="C237" s="1173"/>
      <c r="D237" s="181"/>
      <c r="E237" s="181"/>
      <c r="F237" s="87"/>
      <c r="G237" s="56">
        <f>IF(N223="",0,F237/N223/4.348)</f>
        <v>0</v>
      </c>
      <c r="H237" s="53">
        <f>IF(G237=0,0,P239)</f>
        <v>0</v>
      </c>
      <c r="K237" s="1146"/>
      <c r="L237" s="1146"/>
      <c r="M237" s="172"/>
      <c r="N237" s="172"/>
      <c r="O237" s="172"/>
      <c r="P237" s="172"/>
    </row>
    <row r="238" spans="1:16" s="52" customFormat="1" ht="13.5" customHeight="1" x14ac:dyDescent="0.25">
      <c r="B238" s="1167" t="s">
        <v>157</v>
      </c>
      <c r="C238" s="1167"/>
      <c r="E238" s="1167" t="s">
        <v>156</v>
      </c>
      <c r="F238" s="1167"/>
      <c r="J238" s="69"/>
      <c r="K238" s="1146"/>
      <c r="L238" s="1146"/>
      <c r="M238" s="172"/>
      <c r="N238" s="172"/>
      <c r="O238" s="172"/>
      <c r="P238" s="172"/>
    </row>
    <row r="239" spans="1:16" s="52" customFormat="1" ht="13.5" customHeight="1" x14ac:dyDescent="0.25">
      <c r="A239" s="70" t="s">
        <v>167</v>
      </c>
      <c r="B239" s="67"/>
      <c r="C239" s="99" t="str">
        <f>IF(C195="","",C195)</f>
        <v/>
      </c>
      <c r="D239" s="70" t="s">
        <v>167</v>
      </c>
      <c r="E239" s="67"/>
      <c r="F239" s="99" t="str">
        <f>IF(F195="","",F195)</f>
        <v/>
      </c>
      <c r="J239" s="68"/>
      <c r="M239" s="173">
        <f>SUM(M234:M238)</f>
        <v>0</v>
      </c>
      <c r="N239" s="173">
        <f t="shared" ref="N239:P239" si="26">SUM(N234:N238)</f>
        <v>0</v>
      </c>
      <c r="O239" s="173">
        <f t="shared" si="26"/>
        <v>0</v>
      </c>
      <c r="P239" s="173">
        <f t="shared" si="26"/>
        <v>0</v>
      </c>
    </row>
    <row r="240" spans="1:16" s="52" customFormat="1" ht="13.5" customHeight="1" x14ac:dyDescent="0.2">
      <c r="A240" s="60" t="s">
        <v>155</v>
      </c>
    </row>
    <row r="241" spans="1:16" s="1" customFormat="1" ht="14.25" customHeight="1" x14ac:dyDescent="0.2">
      <c r="A241" s="1147"/>
      <c r="B241" s="1149" t="s">
        <v>9</v>
      </c>
      <c r="C241" s="1150"/>
      <c r="D241" s="1150"/>
      <c r="E241" s="1150"/>
      <c r="F241" s="1150"/>
      <c r="G241" s="1151"/>
      <c r="H241" s="1152" t="s">
        <v>119</v>
      </c>
      <c r="I241" s="1153"/>
      <c r="J241" s="1153"/>
      <c r="K241" s="1153"/>
      <c r="L241" s="1153"/>
      <c r="M241" s="1153"/>
      <c r="N241" s="1153"/>
      <c r="O241" s="33"/>
      <c r="P241" s="1154" t="s">
        <v>0</v>
      </c>
    </row>
    <row r="242" spans="1:16" s="1" customFormat="1" ht="14.25" customHeight="1" x14ac:dyDescent="0.2">
      <c r="A242" s="1148"/>
      <c r="B242" s="1157" t="s">
        <v>117</v>
      </c>
      <c r="C242" s="124" t="s">
        <v>115</v>
      </c>
      <c r="D242" s="1159" t="s">
        <v>277</v>
      </c>
      <c r="E242" s="1161" t="s">
        <v>147</v>
      </c>
      <c r="F242" s="127" t="s">
        <v>7</v>
      </c>
      <c r="G242" s="1162" t="s">
        <v>6</v>
      </c>
      <c r="H242" s="1161" t="s">
        <v>129</v>
      </c>
      <c r="I242" s="1161" t="s">
        <v>5</v>
      </c>
      <c r="J242" s="1161" t="s">
        <v>4</v>
      </c>
      <c r="K242" s="1161" t="s">
        <v>3</v>
      </c>
      <c r="L242" s="1161" t="s">
        <v>121</v>
      </c>
      <c r="M242" s="1161" t="s">
        <v>122</v>
      </c>
      <c r="N242" s="1161" t="s">
        <v>123</v>
      </c>
      <c r="O242" s="1160" t="s">
        <v>114</v>
      </c>
      <c r="P242" s="1155"/>
    </row>
    <row r="243" spans="1:16" s="1" customFormat="1" ht="14.25" customHeight="1" x14ac:dyDescent="0.2">
      <c r="A243" s="1148"/>
      <c r="B243" s="1157"/>
      <c r="C243" s="21" t="str">
        <f>IF(C239="","",C239)</f>
        <v/>
      </c>
      <c r="D243" s="1160"/>
      <c r="E243" s="1161"/>
      <c r="F243" s="1165" t="str">
        <f>IF(H234=0,"","siehe Zuschläge / Zulagen")</f>
        <v/>
      </c>
      <c r="G243" s="1162"/>
      <c r="H243" s="1164" t="s">
        <v>127</v>
      </c>
      <c r="I243" s="1164"/>
      <c r="J243" s="1164"/>
      <c r="K243" s="1164"/>
      <c r="L243" s="1164"/>
      <c r="M243" s="1164"/>
      <c r="N243" s="1164"/>
      <c r="O243" s="1160"/>
      <c r="P243" s="1155"/>
    </row>
    <row r="244" spans="1:16" s="1" customFormat="1" x14ac:dyDescent="0.2">
      <c r="A244" s="1148"/>
      <c r="B244" s="1157"/>
      <c r="C244" s="122" t="s">
        <v>70</v>
      </c>
      <c r="D244" s="1160"/>
      <c r="E244" s="1161"/>
      <c r="F244" s="1165"/>
      <c r="G244" s="1162"/>
      <c r="H244" s="43" t="s">
        <v>128</v>
      </c>
      <c r="I244" s="43" t="s">
        <v>255</v>
      </c>
      <c r="J244" s="43" t="s">
        <v>256</v>
      </c>
      <c r="K244" s="43" t="s">
        <v>257</v>
      </c>
      <c r="L244" s="43"/>
      <c r="M244" s="43"/>
      <c r="N244" s="43" t="s">
        <v>254</v>
      </c>
      <c r="O244" s="1160"/>
      <c r="P244" s="1155"/>
    </row>
    <row r="245" spans="1:16" s="1" customFormat="1" x14ac:dyDescent="0.2">
      <c r="A245" s="1148"/>
      <c r="B245" s="1158"/>
      <c r="C245" s="21" t="str">
        <f>IF(F239="","",F239)</f>
        <v/>
      </c>
      <c r="D245" s="51"/>
      <c r="E245" s="51"/>
      <c r="F245" s="1166"/>
      <c r="G245" s="1163"/>
      <c r="H245" s="93"/>
      <c r="I245" s="139">
        <f>$I$69</f>
        <v>0</v>
      </c>
      <c r="J245" s="139">
        <f>$J$69</f>
        <v>0</v>
      </c>
      <c r="K245" s="44">
        <f>$K$69</f>
        <v>0</v>
      </c>
      <c r="L245" s="21"/>
      <c r="M245" s="21"/>
      <c r="N245" s="139">
        <f>$N$69</f>
        <v>0</v>
      </c>
      <c r="O245" s="21">
        <f>O201</f>
        <v>0</v>
      </c>
      <c r="P245" s="1156"/>
    </row>
    <row r="246" spans="1:16" s="1" customFormat="1" x14ac:dyDescent="0.2">
      <c r="A246" s="100" t="str">
        <f>$A$26</f>
        <v>Jan 2022</v>
      </c>
      <c r="B246" s="24">
        <f>ROUND(IF(N226=0,0,(LOOKUP(2,1/(A234:A237=A246),G234:G237))*N226*4.348),2)</f>
        <v>0</v>
      </c>
      <c r="C246" s="23">
        <f>ROUND(IFERROR(((LOOKUP(2,1/(B239=A246),((SUM(B252:B254)+SUM(F252:F254))/3)*C239))),0)+IFERROR(((LOOKUP(2,1/(E239=A246),(B258+F258)*F239))),0),2)</f>
        <v>0</v>
      </c>
      <c r="D246" s="23">
        <f>ROUND(IF(B246=0,0,D245/L227*N226),2)</f>
        <v>0</v>
      </c>
      <c r="E246" s="23">
        <f>ROUND(IF(B246=0,0,E245/N223*N226),2)</f>
        <v>0</v>
      </c>
      <c r="F246" s="24">
        <f>ROUND(IF(N226=0,0,(LOOKUP(2,1/(A234:A237=A246),H234:H237))/N223*N226),2)</f>
        <v>0</v>
      </c>
      <c r="G246" s="27">
        <f>SUM(B246+C246+E246+F246)</f>
        <v>0</v>
      </c>
      <c r="H246" s="76">
        <f>ROUND(IF((SUM(B246:F246))&gt;L261,L261*H245,SUM(B246:F246)*H245),2)</f>
        <v>0</v>
      </c>
      <c r="I246" s="76">
        <f>ROUND(IF((SUM(B246:F246))&gt;L262,L262*I245,SUM(B246:F246)*I245),2)</f>
        <v>0</v>
      </c>
      <c r="J246" s="76">
        <f>ROUND(IF((SUM(B246:F246))&gt;L262,L262*J245,SUM(B246:F246)*J245),2)</f>
        <v>0</v>
      </c>
      <c r="K246" s="76">
        <f>ROUND(IF((SUM(B246:F246))&gt;L261,L261*K245,SUM(B246:F246)*K245),2)</f>
        <v>0</v>
      </c>
      <c r="L246" s="76">
        <f>ROUND(IF((SUM(B246:F246))&gt;L262,L262*L245,(SUM(B246:F246)-C246)*L245),2)</f>
        <v>0</v>
      </c>
      <c r="M246" s="76">
        <f>ROUND(IF((SUM(B246:F246))&gt;L262,L262*M245,(SUM(B246:F246)-C246)*M245),2)</f>
        <v>0</v>
      </c>
      <c r="N246" s="76">
        <f>ROUND(IF((SUM(B246:F246))&gt;L262,L262*N245,SUM(B246:F246)*N245),2)</f>
        <v>0</v>
      </c>
      <c r="O246" s="23">
        <f>ROUND(SUM(B246+C246+F246)*O245,2)</f>
        <v>0</v>
      </c>
      <c r="P246" s="27">
        <f>SUM(G246:O246)</f>
        <v>0</v>
      </c>
    </row>
    <row r="247" spans="1:16" s="1" customFormat="1" x14ac:dyDescent="0.2">
      <c r="A247" s="100" t="str">
        <f>$A$27</f>
        <v>Feb 2022</v>
      </c>
      <c r="B247" s="24">
        <f>ROUND(IF(N227=0,0,IFERROR(((LOOKUP(2,1/(A234:A237=A247),G234:G237))*N227*4.348),B246/N227*N227)),2)</f>
        <v>0</v>
      </c>
      <c r="C247" s="23">
        <f>ROUND(IFERROR(((LOOKUP(2,1/(B239=A247),((SUM(B252:B254)+SUM(F252:F254))/3)*C239))),0)+IFERROR(((LOOKUP(2,1/(E239=A247),(B258+F258)*F239))),0),2)</f>
        <v>0</v>
      </c>
      <c r="D247" s="23">
        <f>ROUND(IF(B247=0,0,D245/L227*N227),2)</f>
        <v>0</v>
      </c>
      <c r="E247" s="23">
        <f>ROUND(IF(B247=0,0,E245/N223*N227),2)</f>
        <v>0</v>
      </c>
      <c r="F247" s="24">
        <f>ROUND(IF(N227=0,0,IFERROR(((LOOKUP(2,1/(A234:A237=A247),H234:H237))/N223*N227),F246/N227*N227)),2)</f>
        <v>0</v>
      </c>
      <c r="G247" s="27">
        <f t="shared" ref="G247:G257" si="27">SUM(B247+C247+E247+F247)</f>
        <v>0</v>
      </c>
      <c r="H247" s="76">
        <f>ROUND(IF(SUM(B246:F246)&lt;(L261*1),IF((SUM(B246:F247))&gt;(L261*2),(((L261*2)-(SUM(B246:F247)-C246))*H245)+((SUM(B247:F247)-C246)*H245),SUM(B247:F247)*H245),IF(SUM(B246:F247)&gt;(L261*2),L261*H245,SUM(B247:F247)*H245)),2)</f>
        <v>0</v>
      </c>
      <c r="I247" s="76">
        <f>ROUND(IF(SUM(B246:F246)&lt;(L262*1),IF((SUM(B246:F247))&gt;(L262*2),(((L262*2)-(SUM(B246:F247)-C246))*I245)+((SUM(B247:F247)-C246)*I245),SUM(B247:F247)*I245),IF(SUM(B246:F247)&gt;(L262*2),L262*I245,SUM(B247:F247)*I245)),2)</f>
        <v>0</v>
      </c>
      <c r="J247" s="76">
        <f>ROUND(IF(SUM(B246:F246)&lt;(L262*1),IF((SUM(B246:F247))&gt;(L262*2),(((L262*2)-(SUM(B246:F247)-C246))*J245)+((SUM(B247:F247)-C246)*J245),SUM(B247:F247)*J245),IF(SUM(B246:F247)&gt;(L262*2),L262*J245,SUM(B247:F247)*J245)),2)</f>
        <v>0</v>
      </c>
      <c r="K247" s="76">
        <f>ROUND(IF(SUM(B246:F246)&lt;(L261*1),IF((SUM(B246:F247))&gt;(L261*2),(((L261*2)-(SUM(B246:F247)-C246))*K245)+((SUM(B247:F247)-C246)*K245),SUM(B247:F247)*K245),IF(SUM(B246:F247)&gt;(L261*2),L261*K245,SUM(B247:F247)*K245)),2)</f>
        <v>0</v>
      </c>
      <c r="L247" s="76">
        <f>ROUND(IF(SUM(B246:F246)&lt;(L262*1),IF((SUM(B246:F247))&gt;(L262*2),(((L262*2)-(SUM(B246:F247)-C247))*L245)+((SUM(B247:F247)-C247)*L245),(SUM(B247:F247)-C247)*L245),IF(SUM(B246:F247)&gt;(L262*2),L262*L245,SUM(B247:F247)*L245)),2)</f>
        <v>0</v>
      </c>
      <c r="M247" s="76">
        <f>ROUND(IF(SUM(B246:F246)&lt;(L262*1),IF((SUM(B246:F247))&gt;(L262*2),(((L262*2)-(SUM(B246:F247)-C247))*M245)+((SUM(B247:F247)-C247)*M245),(SUM(B247:F247)-C247)*M245),IF(SUM(B246:F247)&gt;(L262*2),L262*M245,SUM(B247:F247)*M245)),2)</f>
        <v>0</v>
      </c>
      <c r="N247" s="76">
        <f>ROUND(IF(SUM(B246:F246)&lt;(L262*1),IF((SUM(B246:F247))&gt;(L262*2),(((L262*2)-(SUM(B246:F247)-C246))*N245)+((SUM(B247:F247)-C246)*N245),SUM(B247:F247)*N245),IF(SUM(B246:F247)&gt;(L262*2),L262*N245,SUM(B247:F247)*N245)),2)</f>
        <v>0</v>
      </c>
      <c r="O247" s="23">
        <f>ROUND(SUM(B247+C247+F247)*O245,2)</f>
        <v>0</v>
      </c>
      <c r="P247" s="27">
        <f>SUM(G247:O247)</f>
        <v>0</v>
      </c>
    </row>
    <row r="248" spans="1:16" s="1" customFormat="1" x14ac:dyDescent="0.2">
      <c r="A248" s="100" t="str">
        <f>$A$28</f>
        <v>Mrz 2022</v>
      </c>
      <c r="B248" s="24">
        <f>ROUND(IF(N228=0,0,IFERROR(((LOOKUP(2,1/(A234:A237=A248),G234:G237))*N228*4.348),B247/N228*N228)),2)</f>
        <v>0</v>
      </c>
      <c r="C248" s="23">
        <f>ROUND(IFERROR(((LOOKUP(2,1/(B239=A248),((SUM(B252:B254)+SUM(F252:F254))/3)*C239))),0)+IFERROR(((LOOKUP(2,1/(E239=A248),(B258+F258)*F239))),0),2)</f>
        <v>0</v>
      </c>
      <c r="D248" s="23">
        <f>ROUND(IF(B248=0,0,D245/L227*N228),2)</f>
        <v>0</v>
      </c>
      <c r="E248" s="23">
        <f>ROUND(IF(B248=0,0,E245/N223*N228),2)</f>
        <v>0</v>
      </c>
      <c r="F248" s="24">
        <f>ROUND(IF(N228=0,0,IFERROR(((LOOKUP(2,1/(A234:A237=A248),H234:H237))/N223*N228),F247/N228*N228)),2)</f>
        <v>0</v>
      </c>
      <c r="G248" s="27">
        <f t="shared" si="27"/>
        <v>0</v>
      </c>
      <c r="H248" s="76">
        <f>ROUND(IF(SUM(B246:F247)&lt;(L261*2),IF((SUM(B246:F248))&gt;(L261*3),(((L261*3)-(SUM(B246:F248)-C247))*H245)+((SUM(B248:F248)-C247)*H245),SUM(B248:F248)*H245),IF(SUM(B246:F248)&gt;(L261*3),L261*H245,SUM(B248:F248)*H245)),2)</f>
        <v>0</v>
      </c>
      <c r="I248" s="76">
        <f>ROUND(IF(SUM(B246:F247)&lt;(L262*2),IF((SUM(B246:F248))&gt;(L262*3),(((L262*3)-(SUM(B246:F248)-C247))*I245)+((SUM(B248:F248)-C247)*I245),SUM(B248:F248)*I245),IF(SUM(B246:F248)&gt;(L262*3),L262*I245,SUM(B248:F248)*I245)),2)</f>
        <v>0</v>
      </c>
      <c r="J248" s="76">
        <f>ROUND(IF(SUM(B246:F247)&lt;(L262*2),IF((SUM(B246:F248))&gt;(L262*3),(((L262*3)-(SUM(B246:F248)-C247))*J245)+((SUM(B248:F248)-C247)*J245),SUM(B248:F248)*J245),IF(SUM(B246:F248)&gt;(L262*3),L262*J245,SUM(B248:F248)*J245)),2)</f>
        <v>0</v>
      </c>
      <c r="K248" s="76">
        <f>ROUND(IF(SUM(B246:F247)&lt;(L261*2),IF((SUM(B246:F248))&gt;(L261*3),(((L261*3)-(SUM(B246:F248)-C247))*K245)+((SUM(B248:F248)-C247)*K245),SUM(B248:F248)*K245),IF(SUM(B246:F248)&gt;(L261*3),L261*K245,SUM(B248:F248)*K245)),2)</f>
        <v>0</v>
      </c>
      <c r="L248" s="76">
        <f>ROUND(IF(SUM(B246:F247)&lt;(L262*2),IF((SUM(B246:F248))&gt;(L262*3),(((L262*3)-(SUM(B246:F248)-C248))*L245)+((SUM(B248:F248)-C248)*L245),(SUM(B248:F248)-C248)*L245),IF(SUM(B246:F248)&gt;(L262*3),L262*L245,SUM(B248:F248)*L245)),2)</f>
        <v>0</v>
      </c>
      <c r="M248" s="76">
        <f>ROUND(IF(SUM(B246:F247)&lt;(L262*2),IF((SUM(B246:F248))&gt;(L262*3),(((L262*3)-(SUM(B246:F248)-C248))*M245)+((SUM(B248:F248)-C248)*M245),(SUM(B248:F248)-C248)*M245),IF(SUM(B246:F248)&gt;(L262*3),L262*M245,SUM(B248:F248)*M245)),2)</f>
        <v>0</v>
      </c>
      <c r="N248" s="76">
        <f>ROUND(IF(SUM(B246:F247)&lt;(L262*2),IF((SUM(B246:F248))&gt;(L262*3),(((L262*3)-(SUM(B246:F248)-C247))*N245)+((SUM(B248:F248)-C247)*N245),SUM(B248:F248)*N245),IF(SUM(B246:F248)&gt;(L262*3),L262*N245,SUM(B248:F248)*N245)),2)</f>
        <v>0</v>
      </c>
      <c r="O248" s="23">
        <f>ROUND(SUM(B248+C248+F248)*O245,2)</f>
        <v>0</v>
      </c>
      <c r="P248" s="27">
        <f t="shared" ref="P248:P257" si="28">SUM(G248:O248)</f>
        <v>0</v>
      </c>
    </row>
    <row r="249" spans="1:16" s="1" customFormat="1" x14ac:dyDescent="0.2">
      <c r="A249" s="100" t="str">
        <f>$A$29</f>
        <v>Apr 2022</v>
      </c>
      <c r="B249" s="24">
        <f>ROUND(IF(N229=0,0,IFERROR(((LOOKUP(2,1/(A234:A237=A249),G234:G237))*N229*4.348),B248/N229*N229)),2)</f>
        <v>0</v>
      </c>
      <c r="C249" s="23">
        <f>ROUND(IFERROR(((LOOKUP(2,1/(B239=A249),((SUM(B252:B254)+SUM(F252:F254))/3)*C239))),0)+IFERROR(((LOOKUP(2,1/(E239=A249),(B258+F258)*F239))),0),2)</f>
        <v>0</v>
      </c>
      <c r="D249" s="23">
        <f>ROUND(IF(B249=0,0,D245/L227*N229),2)</f>
        <v>0</v>
      </c>
      <c r="E249" s="23">
        <f>ROUND(IF(B249=0,0,E245/N223*N229),2)</f>
        <v>0</v>
      </c>
      <c r="F249" s="24">
        <f>ROUND(IF(N229=0,0,IFERROR(((LOOKUP(2,1/(A234:A237=A249),H234:H237))/N223*N229),F248/N229*N229)),2)</f>
        <v>0</v>
      </c>
      <c r="G249" s="27">
        <f t="shared" si="27"/>
        <v>0</v>
      </c>
      <c r="H249" s="76">
        <f>ROUND(IF(SUM(B246:F248)&lt;(L261*3),IF((SUM(B246:F249))&gt;(L261*4),(((L261*4)-(SUM(B246:F249)-C248))*H245)+((SUM(B249:F249)-C248)*H245),SUM(B249:F249)*H245),IF(SUM(B246:F249)&gt;(L261*4),L261*H245,SUM(B249:F249)*H245)),2)</f>
        <v>0</v>
      </c>
      <c r="I249" s="76">
        <f>ROUND(IF(SUM(B246:F248)&lt;(L262*3),IF((SUM(B246:F249))&gt;(L262*4),(((L262*4)-(SUM(B246:F249)-C248))*I245)+((SUM(B249:F249)-C248)*I245),SUM(B249:F249)*I245),IF(SUM(B246:F249)&gt;(L262*4),L262*I245,SUM(B249:F249)*I245)),2)</f>
        <v>0</v>
      </c>
      <c r="J249" s="76">
        <f>ROUND(IF(SUM(B246:F248)&lt;(L262*3),IF((SUM(B246:F249))&gt;(L262*4),(((L262*4)-(SUM(B246:F249)-C248))*J245)+((SUM(B249:F249)-C248)*J245),SUM(B249:F249)*J245),IF(SUM(B246:F249)&gt;(L262*4),L262*J245,SUM(B249:F249)*J245)),2)</f>
        <v>0</v>
      </c>
      <c r="K249" s="76">
        <f>ROUND(IF(SUM(B246:F248)&lt;(L261*3),IF((SUM(B246:F249))&gt;(L261*4),(((L261*4)-(SUM(B246:F249)-C248))*K245)+((SUM(B249:F249)-C248)*K245),SUM(B249:F249)*K245),IF(SUM(B246:F249)&gt;(L261*4),L261*K245,SUM(B249:F249)*K245)),2)</f>
        <v>0</v>
      </c>
      <c r="L249" s="76">
        <f>ROUND(IF(SUM(B246:F248)&lt;(L262*3),IF((SUM(B246:F249))&gt;(L262*4),(((L262*4)-(SUM(B246:F249)-C249))*L245)+((SUM(B249:F249)-C249)*L245),(SUM(B249:F249)-C249)*L245),IF(SUM(B246:F249)&gt;(L262*4),L262*L245,SUM(B249:F249)*L245)),2)</f>
        <v>0</v>
      </c>
      <c r="M249" s="76">
        <f>ROUND(IF(SUM(B246:F248)&lt;(L262*3),IF((SUM(B246:F249))&gt;(L262*4),(((L262*4)-(SUM(B246:F249)-C249))*M245)+((SUM(B249:F249)-C249)*M245),(SUM(B249:F249)-C249)*M245),IF(SUM(B246:F249)&gt;(L262*4),L262*M245,SUM(B249:F249)*M245)),2)</f>
        <v>0</v>
      </c>
      <c r="N249" s="76">
        <f>ROUND(IF(SUM(B246:F248)&lt;(L262*3),IF((SUM(B246:F249))&gt;(L262*4),(((L262*4)-(SUM(B246:F249)-C248))*N245)+((SUM(B249:F249)-C248)*N245),SUM(B249:F249)*N245),IF(SUM(B246:F249)&gt;(L262*4),L262*N245,SUM(B249:F249)*N245)),2)</f>
        <v>0</v>
      </c>
      <c r="O249" s="23">
        <f>ROUND(SUM(B249+C249+F249)*O245,2)</f>
        <v>0</v>
      </c>
      <c r="P249" s="27">
        <f t="shared" si="28"/>
        <v>0</v>
      </c>
    </row>
    <row r="250" spans="1:16" s="1" customFormat="1" x14ac:dyDescent="0.2">
      <c r="A250" s="100" t="str">
        <f>$A$30</f>
        <v>Mai 2022</v>
      </c>
      <c r="B250" s="24">
        <f>ROUND(IF(N230=0,0,IFERROR(((LOOKUP(2,1/(A234:A237=A250),G234:G237))*N230*4.348),B249/N230*N230)),2)</f>
        <v>0</v>
      </c>
      <c r="C250" s="23">
        <f>ROUND(IFERROR(((LOOKUP(2,1/(B239=A250),((SUM(B252:B254)+SUM(F252:F254))/3)*C239))),0)+IFERROR(((LOOKUP(2,1/(E239=A250),(B258+F258)*F239))),0),2)</f>
        <v>0</v>
      </c>
      <c r="D250" s="23">
        <f>ROUND(IF(B250=0,0,D245/L227*N230),2)</f>
        <v>0</v>
      </c>
      <c r="E250" s="23">
        <f>ROUND(IF(B250=0,0,E245/N223*N230),2)</f>
        <v>0</v>
      </c>
      <c r="F250" s="24">
        <f>ROUND(IF(N230=0,0,IFERROR(((LOOKUP(2,1/(A234:A237=A250),H234:H237))/N223*N230),F249/N230*N230)),2)</f>
        <v>0</v>
      </c>
      <c r="G250" s="27">
        <f t="shared" si="27"/>
        <v>0</v>
      </c>
      <c r="H250" s="76">
        <f>ROUND(IF(SUM(B246:F249)&lt;(L261*4),IF((SUM(B246:F250))&gt;(L261*5),(((L261*5)-(SUM(B246:F250)-C249))*H245)+((SUM(B250:F250)-C249)*H245),SUM(B250:F250)*H245),IF(SUM(B246:F250)&gt;(L261*5),L261*H245,SUM(B250:F250)*H245)),2)</f>
        <v>0</v>
      </c>
      <c r="I250" s="76">
        <f>ROUND(IF(SUM(B246:F249)&lt;(L262*4),IF((SUM(B246:F250))&gt;(L262*5),(((L262*5)-(SUM(B246:F250)-C249))*I245)+((SUM(B250:F250)-C249)*I245),SUM(B250:F250)*I245),IF(SUM(B246:F250)&gt;(L262*5),L262*I245,SUM(B250:F250)*I245)),2)</f>
        <v>0</v>
      </c>
      <c r="J250" s="76">
        <f>ROUND(IF(SUM(B246:F249)&lt;(L262*4),IF((SUM(B246:F250))&gt;(L262*5),(((L262*5)-(SUM(B246:F250)-C249))*J245)+((SUM(B250:F250)-C249)*J245),SUM(B250:F250)*J245),IF(SUM(B246:F250)&gt;(L262*5),L262*J245,SUM(B250:F250)*J245)),2)</f>
        <v>0</v>
      </c>
      <c r="K250" s="76">
        <f>ROUND(IF(SUM(B246:F249)&lt;(L261*4),IF((SUM(B246:F250))&gt;(L261*5),(((L261*5)-(SUM(B246:F250)-C249))*K245)+((SUM(B250:F250)-C249)*K245),SUM(B250:F250)*K245),IF(SUM(B246:F250)&gt;(L261*5),L261*K245,SUM(B250:F250)*K245)),2)</f>
        <v>0</v>
      </c>
      <c r="L250" s="76">
        <f>ROUND(IF(SUM(B246:F249)&lt;(L262*4),IF((SUM(B246:F250))&gt;(L262*5),(((L262*5)-(SUM(B246:F250)-C250))*L245)+((SUM(B250:F250)-C250)*L245),(SUM(B250:F250)-C250)*L245),IF(SUM(B246:F250)&gt;(L262*5),L262*L245,SUM(B250:F250)*L245)),2)</f>
        <v>0</v>
      </c>
      <c r="M250" s="76">
        <f>ROUND(IF(SUM(B246:F249)&lt;(L262*4),IF((SUM(B246:F250))&gt;(L262*5),(((L262*5)-(SUM(B246:F250)-C250))*M245)+((SUM(B250:F250)-C250)*M245),(SUM(B250:F250)-C250)*M245),IF(SUM(B246:F250)&gt;(L262*5),L262*M245,SUM(B250:F250)*M245)),2)</f>
        <v>0</v>
      </c>
      <c r="N250" s="76">
        <f>ROUND(IF(SUM(B246:F249)&lt;(L262*4),IF((SUM(B246:F250))&gt;(L262*5),(((L262*5)-(SUM(B246:F250)-C249))*N245)+((SUM(B250:F250)-C249)*N245),SUM(B250:F250)*N245),IF(SUM(B246:F250)&gt;(L262*5),L262*N245,SUM(B250:F250)*N245)),2)</f>
        <v>0</v>
      </c>
      <c r="O250" s="23">
        <f>ROUND(SUM(B250+C250+F250)*O245,2)</f>
        <v>0</v>
      </c>
      <c r="P250" s="27">
        <f t="shared" si="28"/>
        <v>0</v>
      </c>
    </row>
    <row r="251" spans="1:16" s="1" customFormat="1" x14ac:dyDescent="0.2">
      <c r="A251" s="100" t="str">
        <f>$A$31</f>
        <v>Jun 2022</v>
      </c>
      <c r="B251" s="24">
        <f>ROUND(IF(N231=0,0,IFERROR(((LOOKUP(2,1/(A234:A237=A251),G234:G237))*N231*4.348),B250/N231*N231)),2)</f>
        <v>0</v>
      </c>
      <c r="C251" s="23">
        <f>ROUND(IFERROR(((LOOKUP(2,1/(B239=A251),((SUM(B252:B254)+SUM(F252:F254))/3)*C239))),0)+IFERROR(((LOOKUP(2,1/(E239=A251),(B258+F258)*F239))),0),2)</f>
        <v>0</v>
      </c>
      <c r="D251" s="23">
        <f>ROUND(IF(B251=0,0,D245/L227*N231),2)</f>
        <v>0</v>
      </c>
      <c r="E251" s="23">
        <f>ROUND(IF(B251=0,0,E245/N223*N231),2)</f>
        <v>0</v>
      </c>
      <c r="F251" s="24">
        <f>ROUND(IF(N231=0,0,IFERROR(((LOOKUP(2,1/(A234:A237=A251),H234:H237))/N223*N231),F250/N231*N231)),2)</f>
        <v>0</v>
      </c>
      <c r="G251" s="27">
        <f t="shared" si="27"/>
        <v>0</v>
      </c>
      <c r="H251" s="76">
        <f>ROUND(IF(SUM(B246:F250)&lt;(L261*5),IF((SUM(B246:F251))&gt;(L261*6),(((L261*6)-(SUM(B246:F251)-C250))*H245)+((SUM(B251:F251)-C250)*H245),SUM(B251:F251)*H245),IF(SUM(B246:F251)&gt;(L261*6),L261*H245,SUM(B251:F251)*H245)),2)</f>
        <v>0</v>
      </c>
      <c r="I251" s="76">
        <f>ROUND(IF(SUM(B246:F250)&lt;(L262*5),IF((SUM(B246:F251))&gt;(L262*6),(((L262*6)-(SUM(B246:F251)-C250))*I245)+((SUM(B251:F251)-C250)*I245),SUM(B251:F251)*I245),IF(SUM(B246:F251)&gt;(L262*6),L262*I245,SUM(B251:F251)*I245)),2)</f>
        <v>0</v>
      </c>
      <c r="J251" s="76">
        <f>ROUND(IF(SUM(B246:F250)&lt;(L262*5),IF((SUM(B246:F251))&gt;(L262*6),(((L262*6)-(SUM(B246:F251)-C250))*J245)+((SUM(B251:F251)-C250)*J245),SUM(B251:F251)*J245),IF(SUM(B246:F251)&gt;(L262*6),L262*J245,SUM(B251:F251)*J245)),2)</f>
        <v>0</v>
      </c>
      <c r="K251" s="76">
        <f>ROUND(IF(SUM(B246:F250)&lt;(L261*5),IF((SUM(B246:F251))&gt;(L261*6),(((L261*6)-(SUM(B246:F251)-C250))*K245)+((SUM(B251:F251)-C250)*K245),SUM(B251:F251)*K245),IF(SUM(B246:F251)&gt;(L261*6),L261*K245,SUM(B251:F251)*K245)),2)</f>
        <v>0</v>
      </c>
      <c r="L251" s="76">
        <f>ROUND(IF(SUM(B246:F250)&lt;(L262*5),IF((SUM(B246:F251))&gt;(L262*6),(((L262*6)-(SUM(B246:F251)-C251))*L245)+((SUM(B251:F251)-C251)*L245),(SUM(B251:F251)-C251)*L245),IF(SUM(B246:F251)&gt;(L262*6),L262*L245,SUM(B251:F251)*L245)),2)</f>
        <v>0</v>
      </c>
      <c r="M251" s="76">
        <f>ROUND(IF(SUM(B246:F250)&lt;(L262*5),IF((SUM(B246:F251))&gt;(L262*6),(((L262*6)-(SUM(B246:F251)-C251))*M245)+((SUM(B251:F251)-C251)*M245),(SUM(B251:F251)-C251)*M245),IF(SUM(B246:F251)&gt;(L262*6),L262*M245,SUM(B251:F251)*M245)),2)</f>
        <v>0</v>
      </c>
      <c r="N251" s="76">
        <f>ROUND(IF(SUM(B246:F250)&lt;(L262*5),IF((SUM(B246:F251))&gt;(L262*6),(((L262*6)-(SUM(B246:F251)-C250))*N245)+((SUM(B251:F251)-C250)*N245),SUM(B251:F251)*N245),IF(SUM(B246:F251)&gt;(L262*6),L262*N245,SUM(B251:F251)*N245)),2)</f>
        <v>0</v>
      </c>
      <c r="O251" s="23">
        <f>ROUND(SUM(B251+C251+F251)*O245,2)</f>
        <v>0</v>
      </c>
      <c r="P251" s="27">
        <f t="shared" si="28"/>
        <v>0</v>
      </c>
    </row>
    <row r="252" spans="1:16" s="1" customFormat="1" x14ac:dyDescent="0.2">
      <c r="A252" s="100" t="str">
        <f>$A$32</f>
        <v>Jul 2022</v>
      </c>
      <c r="B252" s="24">
        <f>ROUND(IF(P226=0,0,IFERROR(((LOOKUP(2,1/(A234:A237=A252),G234:G237))*P226*4.348),B251/P226*P226)),2)</f>
        <v>0</v>
      </c>
      <c r="C252" s="23">
        <f>ROUND(IFERROR(((LOOKUP(2,1/(B239=A252),((SUM(B252:B254)+SUM(F252:F254))/3)*C239))),0)+IFERROR(((LOOKUP(2,1/(E239=A252),(B258+F258)*F239))),0),2)</f>
        <v>0</v>
      </c>
      <c r="D252" s="23">
        <f>ROUND(IF(B252=0,0,D245/L227*P226),2)</f>
        <v>0</v>
      </c>
      <c r="E252" s="23">
        <f>ROUND(IF(B252=0,0,E245/N223*P226),2)</f>
        <v>0</v>
      </c>
      <c r="F252" s="24">
        <f>ROUND(IF(P226=0,0,IFERROR(((LOOKUP(2,1/(A234:A237=A252),H234:H237))/N223*P226),F251/P226*P226)),2)</f>
        <v>0</v>
      </c>
      <c r="G252" s="27">
        <f t="shared" si="27"/>
        <v>0</v>
      </c>
      <c r="H252" s="76">
        <f>ROUND(IF(SUM(B246:F251)&lt;(L261*6),IF((SUM(B246:F252))&gt;(L261*7),(((L261*7)-(SUM(B246:F252)-C251))*H245)+((SUM(B252:F252)-C251)*H245),SUM(B252:F252)*H245),IF(SUM(B246:F252)&gt;(L261*7),L261*H245,SUM(B252:F252)*H245)),2)</f>
        <v>0</v>
      </c>
      <c r="I252" s="76">
        <f>ROUND(IF(SUM(B246:F251)&lt;(L262*6),IF((SUM(B246:F252))&gt;(L262*7),(((L262*7)-(SUM(B246:F252)-C251))*I245)+((SUM(B252:F252)-C251)*I245),SUM(B252:F252)*I245),IF(SUM(B246:F252)&gt;(L262*7),L262*I245,SUM(B252:F252)*I245)),2)</f>
        <v>0</v>
      </c>
      <c r="J252" s="76">
        <f>ROUND(IF(SUM(B246:F251)&lt;(L262*6),IF((SUM(B246:F252))&gt;(L262*7),(((L262*7)-(SUM(B246:F252)-C251))*J245)+((SUM(B252:F252)-C251)*J245),SUM(B252:F252)*J245),IF(SUM(B246:F252)&gt;(L262*7),L262*J245,SUM(B252:F252)*J245)),2)</f>
        <v>0</v>
      </c>
      <c r="K252" s="76">
        <f>ROUND(IF(SUM(B246:F251)&lt;(L261*6),IF((SUM(B246:F252))&gt;(L261*7),(((L261*7)-(SUM(B246:F252)-C251))*K245)+((SUM(B252:F252)-C251)*K245),SUM(B252:F252)*K245),IF(SUM(B246:F252)&gt;(L261*7),L261*K245,SUM(B252:F252)*K245)),2)</f>
        <v>0</v>
      </c>
      <c r="L252" s="76">
        <f>ROUND(IF(SUM(B246:F251)&lt;(L262*6),IF((SUM(B246:F252))&gt;(L262*7),(((L262*7)-(SUM(B246:F252)-C252))*L245)+((SUM(B252:F252)-C252)*L245),(SUM(B252:F252)-C252)*L245),IF(SUM(B246:F252)&gt;(L262*7),L262*L245,SUM(B252:F252)*L245)),2)</f>
        <v>0</v>
      </c>
      <c r="M252" s="76">
        <f>ROUND(IF(SUM(B246:F251)&lt;(L262*6),IF((SUM(B246:F252))&gt;(L262*7),(((L262*7)-(SUM(B246:F252)-C252))*M245)+((SUM(B252:F252)-C252)*M245),(SUM(B252:F252)-C252)*M245),IF(SUM(B246:F252)&gt;(L262*7),L262*M245,SUM(B252:F252)*M245)),2)</f>
        <v>0</v>
      </c>
      <c r="N252" s="76">
        <f>ROUND(IF(SUM(B246:F251)&lt;(L262*6),IF((SUM(B246:F252))&gt;(L262*7),(((L262*7)-(SUM(B246:F252)-C251))*N245)+((SUM(B252:F252)-C251)*N245),SUM(B252:F252)*N245),IF(SUM(B246:F252)&gt;(L262*7),L262*N245,SUM(B252:F252)*N245)),2)</f>
        <v>0</v>
      </c>
      <c r="O252" s="23">
        <f>ROUND(SUM(B252+C252+F252)*O245,2)</f>
        <v>0</v>
      </c>
      <c r="P252" s="27">
        <f t="shared" si="28"/>
        <v>0</v>
      </c>
    </row>
    <row r="253" spans="1:16" s="1" customFormat="1" x14ac:dyDescent="0.2">
      <c r="A253" s="100" t="str">
        <f>$A$33</f>
        <v>Aug 2022</v>
      </c>
      <c r="B253" s="24">
        <f>ROUND(IF(P227=0,0,IFERROR(((LOOKUP(2,1/(A234:A237=A253),G234:G237))*P227*4.348),B252/P227*P227)),2)</f>
        <v>0</v>
      </c>
      <c r="C253" s="23">
        <f>ROUND(IFERROR(((LOOKUP(2,1/(B239=A253),((SUM(B252:B254)+SUM(F252:F254))/3)*C239))),0)+IFERROR(((LOOKUP(2,1/(E239=A253),(B258+F258)*F239))),0),2)</f>
        <v>0</v>
      </c>
      <c r="D253" s="23">
        <f>ROUND(IF(B253=0,0,D245/L227*P227),2)</f>
        <v>0</v>
      </c>
      <c r="E253" s="23">
        <f>ROUND(IF(B253=0,0,E245/N223*P227),2)</f>
        <v>0</v>
      </c>
      <c r="F253" s="24">
        <f>ROUND(IF(P227=0,0,IFERROR(((LOOKUP(2,1/(A234:A237=A253),H234:H237))/N223*P227),F252/P227*P227)),2)</f>
        <v>0</v>
      </c>
      <c r="G253" s="27">
        <f t="shared" si="27"/>
        <v>0</v>
      </c>
      <c r="H253" s="76">
        <f>ROUND(IF(SUM(B246:F252)&lt;(L261*7),IF((SUM(B246:F253))&gt;(L261*8),(((L261*8)-(SUM(B246:F253)-C252))*H245)+((SUM(B253:F253)-C252)*H245),SUM(B253:F253)*H245),IF(SUM(B246:F253)&gt;(L261*8),L261*H245,SUM(B253:F253)*H245)),2)</f>
        <v>0</v>
      </c>
      <c r="I253" s="76">
        <f>ROUND(IF(SUM(B246:F252)&lt;(L262*7),IF((SUM(B246:F253))&gt;(L262*8),(((L262*8)-(SUM(B246:F253)-C252))*I245)+((SUM(B253:F253)-C252)*I245),SUM(B253:F253)*I245),IF(SUM(B246:F253)&gt;(L262*8),L262*I245,SUM(B253:F253)*I245)),2)</f>
        <v>0</v>
      </c>
      <c r="J253" s="76">
        <f>ROUND(IF(SUM(B246:F252)&lt;(L262*7),IF((SUM(B246:F253))&gt;(L262*8),(((L262*8)-(SUM(B246:F253)-C252))*J245)+((SUM(B253:F253)-C252)*J245),SUM(B253:F253)*J245),IF(SUM(B246:F253)&gt;(L262*8),L262*J245,SUM(B253:F253)*J245)),2)</f>
        <v>0</v>
      </c>
      <c r="K253" s="76">
        <f>ROUND(IF(SUM(B246:F252)&lt;(L261*7),IF((SUM(B246:F253))&gt;(L261*8),(((L261*8)-(SUM(B246:F253)-C252))*K245)+((SUM(B253:F253)-C252)*K245),SUM(B253:F253)*K245),IF(SUM(B246:F253)&gt;(L261*8),L261*K245,SUM(B253:F253)*K245)),2)</f>
        <v>0</v>
      </c>
      <c r="L253" s="76">
        <f>ROUND(IF(SUM(B246:F252)&lt;(L262*7),IF((SUM(B246:F253))&gt;(L262*8),(((L262*8)-(SUM(B246:F253)-C253))*L245)+((SUM(B253:F253)-C253)*L245),(SUM(B253:F253)-C253)*L245),IF(SUM(B246:F253)&gt;(L262*8),L262*L245,SUM(B253:F253)*L245)),2)</f>
        <v>0</v>
      </c>
      <c r="M253" s="76">
        <f>ROUND(IF(SUM(B246:F252)&lt;(L262*7),IF((SUM(B246:F253))&gt;(L262*8),(((L262*8)-(SUM(B246:F253)-C253))*M245)+((SUM(B253:F253)-C253)*M245),(SUM(B253:F253)-C253)*M245),IF(SUM(B246:F253)&gt;(L262*8),L262*M245,SUM(B253:F253)*M245)),2)</f>
        <v>0</v>
      </c>
      <c r="N253" s="76">
        <f>ROUND(IF(SUM(B246:F252)&lt;(L262*7),IF((SUM(B246:F253))&gt;(L262*8),(((L262*8)-(SUM(B246:F253)-C252))*N245)+((SUM(B253:F253)-C252)*N245),SUM(B253:F253)*N245),IF(SUM(B246:F253)&gt;(L262*8),L262*N245,SUM(B253:F253)*N245)),2)</f>
        <v>0</v>
      </c>
      <c r="O253" s="23">
        <f>ROUND(SUM(B253+C253+F253)*O245,2)</f>
        <v>0</v>
      </c>
      <c r="P253" s="27">
        <f t="shared" si="28"/>
        <v>0</v>
      </c>
    </row>
    <row r="254" spans="1:16" s="1" customFormat="1" x14ac:dyDescent="0.2">
      <c r="A254" s="100" t="str">
        <f>$A$34</f>
        <v>Sep 2022</v>
      </c>
      <c r="B254" s="24">
        <f>ROUND(IF(P228=0,0,IFERROR(((LOOKUP(2,1/(A234:A237=A254),G234:G237))*P228*4.348),B253/P228*P228)),2)</f>
        <v>0</v>
      </c>
      <c r="C254" s="23">
        <f>ROUND(IFERROR(((LOOKUP(2,1/(B239=A254),((SUM(B252:B254)+SUM(F252:F254))/3)*C239))),0)+IFERROR(((LOOKUP(2,1/(E239=A254),(B258+F258)*F239))),0),2)</f>
        <v>0</v>
      </c>
      <c r="D254" s="23">
        <f>ROUND(IF(B254=0,0,D245/L227*P228),2)</f>
        <v>0</v>
      </c>
      <c r="E254" s="23">
        <f>ROUND(IF(B254=0,0,E245/N223*P228),2)</f>
        <v>0</v>
      </c>
      <c r="F254" s="24">
        <f>ROUND(IF(P228=0,0,IFERROR(((LOOKUP(2,1/(A234:A237=A254),H234:H237))/N223*P228),F253/P228*P228)),2)</f>
        <v>0</v>
      </c>
      <c r="G254" s="27">
        <f t="shared" si="27"/>
        <v>0</v>
      </c>
      <c r="H254" s="76">
        <f>ROUND(IF(SUM(B246:F253)&lt;(L261*8),IF((SUM(B246:F254))&gt;(L261*9),(((L261*9)-(SUM(B246:F254)-C253))*H245)+((SUM(B254:F254)-C253)*H245),SUM(B254:F254)*H245),IF(SUM(B246:F254)&gt;(L261*9),L261*H245,SUM(B254:F254)*H245)),2)</f>
        <v>0</v>
      </c>
      <c r="I254" s="76">
        <f>ROUND(IF(SUM(B246:F253)&lt;(L262*8),IF((SUM(B246:F254))&gt;(L262*9),(((L262*9)-(SUM(B246:F254)-C253))*I245)+((SUM(B254:F254)-C253)*I245),SUM(B254:F254)*I245),IF(SUM(B246:F254)&gt;(L262*9),L262*I245,SUM(B254:F254)*I245)),2)</f>
        <v>0</v>
      </c>
      <c r="J254" s="76">
        <f>ROUND(IF(SUM(B246:F253)&lt;(L262*8),IF((SUM(B246:F254))&gt;(L262*9),(((L262*9)-(SUM(B246:F254)-C253))*J245)+((SUM(B254:F254)-C253)*J245),SUM(B254:F254)*J245),IF(SUM(B246:F254)&gt;(L262*9),L262*J245,SUM(B254:F254)*J245)),2)</f>
        <v>0</v>
      </c>
      <c r="K254" s="76">
        <f>ROUND(IF(SUM(B246:F253)&lt;(L261*8),IF((SUM(B246:F254))&gt;(L261*9),(((L261*9)-(SUM(B246:F254)-C253))*K245)+((SUM(B254:F254)-C253)*K245),SUM(B254:F254)*K245),IF(SUM(B246:F254)&gt;(L261*9),L261*K245,SUM(B254:F254)*K245)),2)</f>
        <v>0</v>
      </c>
      <c r="L254" s="76">
        <f>ROUND(IF(SUM(B246:F253)&lt;(L262*8),IF((SUM(B246:F254))&gt;(L262*9),(((L262*9)-(SUM(B246:F254)-C254))*L245)+((SUM(B254:F254)-C254)*L245),(SUM(B254:F254)-C254)*L245),IF(SUM(B246:F254)&gt;(L262*9),L262*L245,SUM(B254:F254)*L245)),2)</f>
        <v>0</v>
      </c>
      <c r="M254" s="76">
        <f>ROUND(IF(SUM(B246:F253)&lt;(L262*8),IF((SUM(B246:F254))&gt;(L262*9),(((L262*9)-(SUM(B246:F254)-C254))*M245)+((SUM(B254:F254)-C254)*M245),(SUM(B254:F254)-C254)*M245),IF(SUM(B246:F254)&gt;(L262*9),L262*M245,SUM(B254:F254)*M245)),2)</f>
        <v>0</v>
      </c>
      <c r="N254" s="76">
        <f>ROUND(IF(SUM(B246:F253)&lt;(L262*8),IF((SUM(B246:F254))&gt;(L262*9),(((L262*9)-(SUM(B246:F254)-C253))*N245)+((SUM(B254:F254)-C253)*N245),SUM(B254:F254)*N245),IF(SUM(B246:F254)&gt;(L262*9),L262*N245,SUM(B254:F254)*N245)),2)</f>
        <v>0</v>
      </c>
      <c r="O254" s="23">
        <f>ROUND(SUM(B254+C254+F254)*O245,2)</f>
        <v>0</v>
      </c>
      <c r="P254" s="27">
        <f t="shared" si="28"/>
        <v>0</v>
      </c>
    </row>
    <row r="255" spans="1:16" s="1" customFormat="1" x14ac:dyDescent="0.2">
      <c r="A255" s="100" t="str">
        <f>$A$35</f>
        <v>Okt 2022</v>
      </c>
      <c r="B255" s="24">
        <f>ROUND(IF(P229=0,0,IFERROR(((LOOKUP(2,1/(A234:A237=A255),G234:G237))*P229*4.348),B254/P229*P229)),2)</f>
        <v>0</v>
      </c>
      <c r="C255" s="23">
        <f>ROUND(IFERROR(((LOOKUP(2,1/(B239=A255),((SUM(B252:B254)+SUM(F252:F254))/3)*C239))),0)+IFERROR(((LOOKUP(2,1/(E239=A255),(B258+F258)*F239))),0),2)</f>
        <v>0</v>
      </c>
      <c r="D255" s="23">
        <f>ROUND(IF(B255=0,0,D245/L227*P229),2)</f>
        <v>0</v>
      </c>
      <c r="E255" s="23">
        <f>ROUND(IF(B255=0,0,E245/N223*P229),2)</f>
        <v>0</v>
      </c>
      <c r="F255" s="24">
        <f>ROUND(IF(P229=0,0,IFERROR(((LOOKUP(2,1/(A234:A237=A255),H234:H237))/N223*P229),F254/P229*P229)),2)</f>
        <v>0</v>
      </c>
      <c r="G255" s="27">
        <f t="shared" si="27"/>
        <v>0</v>
      </c>
      <c r="H255" s="76">
        <f>ROUND(IF(SUM(B246:F254)&lt;(L261*9),IF((SUM(B246:F255))&gt;(L261*10),(((L261*10)-(SUM(B246:F255)-C254))*H245)+((SUM(B255:F255)-C254)*H245),SUM(B255:F255)*H245),IF(SUM(B246:F255)&gt;(L261*10),L261*H245,SUM(B255:F255)*H245)),2)</f>
        <v>0</v>
      </c>
      <c r="I255" s="76">
        <f>ROUND(IF(SUM(B246:F254)&lt;(L262*9),IF((SUM(B246:F255))&gt;(L262*10),(((L262*10)-(SUM(B246:F255)-C254))*I245)+((SUM(B255:F255)-C254)*I245),SUM(B255:F255)*I245),IF(SUM(B246:F255)&gt;(L262*10),L262*I245,SUM(B255:F255)*I245)),2)</f>
        <v>0</v>
      </c>
      <c r="J255" s="76">
        <f>ROUND(IF(SUM(B246:F254)&lt;(L262*9),IF((SUM(B246:F255))&gt;(L262*10),(((L262*10)-(SUM(B246:F255)-C254))*J245)+((SUM(B255:F255)-C254)*J245),SUM(B255:F255)*J245),IF(SUM(B246:F255)&gt;(L262*10),L262*J245,SUM(B255:F255)*J245)),2)</f>
        <v>0</v>
      </c>
      <c r="K255" s="76">
        <f>ROUND(IF(SUM(B246:F254)&lt;(L261*9),IF((SUM(B246:F255))&gt;(L261*10),(((L261*10)-(SUM(B246:F255)-C254))*K245)+((SUM(B255:F255)-C254)*K245),SUM(B255:F255)*K245),IF(SUM(B246:F255)&gt;(L261*10),L261*K245,SUM(B255:F255)*K245)),2)</f>
        <v>0</v>
      </c>
      <c r="L255" s="76">
        <f>ROUND(IF(SUM(B246:F254)&lt;(L262*9),IF((SUM(B246:F255))&gt;(L262*10),(((L262*10)-(SUM(B246:F255)-C255))*L245)+((SUM(B255:F255)-C255)*L245),(SUM(B255:F255)-C255)*L245),IF(SUM(B246:F255)&gt;(L262*10),L262*L245,SUM(B255:F255)*L245)),2)</f>
        <v>0</v>
      </c>
      <c r="M255" s="76">
        <f>ROUND(IF(SUM(B246:F254)&lt;(L262*9),IF((SUM(B246:F255))&gt;(L262*10),(((L262*10)-(SUM(B246:F255)-C255))*M245)+((SUM(B255:F255)-C255)*M245),(SUM(B255:F255)-C255)*M245),IF(SUM(B246:F255)&gt;(L262*10),L262*M245,SUM(B255:F255)*M245)),2)</f>
        <v>0</v>
      </c>
      <c r="N255" s="76">
        <f>ROUND(IF(SUM(B246:F254)&lt;(L262*9),IF((SUM(B246:F255))&gt;(L262*10),(((L262*10)-(SUM(B246:F255)-C254))*N245)+((SUM(B255:F255)-C254)*N245),SUM(B255:F255)*N245),IF(SUM(B246:F255)&gt;(L262*10),L262*N245,SUM(B255:F255)*N245)),2)</f>
        <v>0</v>
      </c>
      <c r="O255" s="23">
        <f>ROUND(SUM(B255+C255+F255)*O245,2)</f>
        <v>0</v>
      </c>
      <c r="P255" s="27">
        <f t="shared" si="28"/>
        <v>0</v>
      </c>
    </row>
    <row r="256" spans="1:16" s="1" customFormat="1" x14ac:dyDescent="0.2">
      <c r="A256" s="100" t="str">
        <f>$A$36</f>
        <v>Nov 2022</v>
      </c>
      <c r="B256" s="24">
        <f>ROUND(IF(P230=0,0,IFERROR(((LOOKUP(2,1/(A234:A237=A256),G234:G237))*P230*4.348),B255/P230*P230)),2)</f>
        <v>0</v>
      </c>
      <c r="C256" s="23">
        <f>ROUND(IFERROR(((LOOKUP(2,1/(B239=A256),((SUM(B252:B254)+SUM(F252:F254))/3)*C239))),0)+IFERROR(((LOOKUP(2,1/(E239=A256),(B258+F258)*F239))),0),2)</f>
        <v>0</v>
      </c>
      <c r="D256" s="23">
        <f>ROUND(IF(B256=0,0,D245/L227*P230),2)</f>
        <v>0</v>
      </c>
      <c r="E256" s="23">
        <f>ROUND(IF(B256=0,0,E245/N223*P230),2)</f>
        <v>0</v>
      </c>
      <c r="F256" s="24">
        <f>ROUND(IF(P230=0,0,IFERROR(((LOOKUP(2,1/(A234:A237=A256),H234:H237))/N223*P230),F255/P230*P230)),2)</f>
        <v>0</v>
      </c>
      <c r="G256" s="27">
        <f t="shared" si="27"/>
        <v>0</v>
      </c>
      <c r="H256" s="76">
        <f>ROUND(IF(SUM(B246:F255)&lt;(L261*10),IF((SUM(B246:F256))&gt;(L261*11),(((L261*11)-(SUM(B246:F256)-C255))*H245)+((SUM(B256:F256)-C255)*H245),SUM(B256:F256)*H245),IF(SUM(B246:F256)&gt;(L261*11),L261*H245,SUM(B256:F256)*H245)),2)</f>
        <v>0</v>
      </c>
      <c r="I256" s="76">
        <f>ROUND(IF(SUM(B246:F255)&lt;(L262*10),IF((SUM(B246:F256))&gt;(L262*11),(((L262*11)-(SUM(B246:F256)-C255))*I245)+((SUM(B256:F256)-C255)*I245),SUM(B256:F256)*I245),IF(SUM(B246:F256)&gt;(L262*11),L262*I245,SUM(B256:F256)*I245)),2)</f>
        <v>0</v>
      </c>
      <c r="J256" s="76">
        <f>ROUND(IF(SUM(B246:F255)&lt;(L262*10),IF((SUM(B246:F256))&gt;(L262*11),(((L262*11)-(SUM(B246:F256)-C255))*J245)+((SUM(B256:F256)-C255)*J245),SUM(B256:F256)*J245),IF(SUM(B246:F256)&gt;(L262*11),L262*J245,SUM(B256:F256)*J245)),2)</f>
        <v>0</v>
      </c>
      <c r="K256" s="76">
        <f>ROUND(IF(SUM(B246:F255)&lt;(L261*10),IF((SUM(B246:F256))&gt;(L261*11),(((L261*11)-(SUM(B246:F256)-C255))*K245)+((SUM(B256:F256)-C255)*K245),SUM(B256:F256)*K245),IF(SUM(B246:F256)&gt;(L261*11),L261*K245,SUM(B256:F256)*K245)),2)</f>
        <v>0</v>
      </c>
      <c r="L256" s="76">
        <f>ROUND(IF(SUM(B246:F255)&lt;(L262*10),IF((SUM(B246:F256))&gt;(L262*11),(((L262*11)-(SUM(B246:F256)-C256))*L245)+((SUM(B256:F256)-C256)*L245),(SUM(B256:F256)-C256)*L245),IF(SUM(B246:F256)&gt;(L262*11),L262*L245,SUM(B256:F256)*L245)),2)</f>
        <v>0</v>
      </c>
      <c r="M256" s="76">
        <f>ROUND(IF(SUM(B246:F255)&lt;(L262*10),IF((SUM(B246:F256))&gt;(L262*11),(((L262*11)-(SUM(B246:F256)-C256))*M245)+((SUM(B256:F256)-C256)*M245),(SUM(B256:F256)-C256)*M245),IF(SUM(B246:F256)&gt;(L262*11),L262*M245,SUM(B256:F256)*M245)),2)</f>
        <v>0</v>
      </c>
      <c r="N256" s="76">
        <f>ROUND(IF(SUM(B246:F255)&lt;(L262*10),IF((SUM(B246:F256))&gt;(L262*11),(((L262*11)-(SUM(B246:F256)-C255))*N245)+((SUM(B256:F256)-C255)*N245),SUM(B256:F256)*N245),IF(SUM(B246:F256)&gt;(L262*11),L262*N245,SUM(B256:F256)*N245)),2)</f>
        <v>0</v>
      </c>
      <c r="O256" s="23">
        <f>ROUND(SUM(B256+C256+F256)*O245,2)</f>
        <v>0</v>
      </c>
      <c r="P256" s="27">
        <f t="shared" si="28"/>
        <v>0</v>
      </c>
    </row>
    <row r="257" spans="1:16" s="1" customFormat="1" x14ac:dyDescent="0.2">
      <c r="A257" s="100" t="str">
        <f>$A$37</f>
        <v>Dez 2022</v>
      </c>
      <c r="B257" s="24">
        <f>ROUND(IF(P231=0,0,IFERROR(((LOOKUP(2,1/(A234:A237=A257),G234:G237))*P231*4.348),B256/P231*P231)),2)</f>
        <v>0</v>
      </c>
      <c r="C257" s="23">
        <f>ROUND(IFERROR(((LOOKUP(2,1/(B239=A257),((SUM(B252:B254)+SUM(F252:F254))/3)*C239))),0)+IFERROR(((LOOKUP(2,1/(E239=A257),(B258+F258)*F239))),0),2)</f>
        <v>0</v>
      </c>
      <c r="D257" s="23">
        <f>ROUND(IF(B257=0,0,D245/L227*P231),2)</f>
        <v>0</v>
      </c>
      <c r="E257" s="23">
        <f>ROUND(IF(B257=0,0,E245/N223*P231),2)</f>
        <v>0</v>
      </c>
      <c r="F257" s="24">
        <f>ROUND(IF(P231=0,0,IFERROR(((LOOKUP(2,1/(A234:A237=A257),H234:H237))/N223*P231),F256/P231*P231)),2)</f>
        <v>0</v>
      </c>
      <c r="G257" s="27">
        <f t="shared" si="27"/>
        <v>0</v>
      </c>
      <c r="H257" s="76">
        <f>ROUND(IF(SUM(B246:F256)&lt;(L261*11),IF((SUM(B246:F257))&gt;(L261*12),(((L261*12)-(SUM(B246:F257)-C256))*H245)+((SUM(B257:F257)-C256)*H245),SUM(B257:F257)*H245),IF(SUM(B246:F257)&gt;(L261*12),L261*H245,SUM(B257:F257)*H245)),2)</f>
        <v>0</v>
      </c>
      <c r="I257" s="76">
        <f>ROUND(IF(SUM(B246:F256)&lt;(L262*11),IF((SUM(B246:F257))&gt;(L262*12),(((L262*12)-(SUM(B246:F257)-C256))*I245)+((SUM(B257:F257)-C256)*I245),SUM(B257:F257)*I245),IF(SUM(B246:F257)&gt;(L262*12),L262*I245,SUM(B257:F257)*I245)),2)</f>
        <v>0</v>
      </c>
      <c r="J257" s="76">
        <f>ROUND(IF(SUM(B246:F256)&lt;(L262*11),IF((SUM(B246:F257))&gt;(L262*12),(((L262*12)-(SUM(B246:F257)-C256))*J245)+((SUM(B257:F257)-C256)*J245),SUM(B257:F257)*J245),IF(SUM(B246:F257)&gt;(L262*12),L262*J245,SUM(B257:F257)*J245)),2)</f>
        <v>0</v>
      </c>
      <c r="K257" s="76">
        <f>ROUND(IF(SUM(B246:F256)&lt;(L261*11),IF((SUM(B246:F257))&gt;(L261*12),(((L261*12)-(SUM(B246:F257)-C256))*K245)+((SUM(B257:F257)-C256)*K245),SUM(B257:F257)*K245),IF(SUM(B246:F257)&gt;(L261*12),L261*K245,SUM(B257:F257)*K245)),2)</f>
        <v>0</v>
      </c>
      <c r="L257" s="76">
        <f>ROUND(IF(SUM(B246:F256)&lt;(L262*11),IF((SUM(B246:F257))&gt;(L262*12),(((L262*12)-(SUM(B246:F257)-C257))*L245)+((SUM(B257:F257)-C257)*L245),(SUM(B257:F257)-C257)*L245),IF(SUM(B246:F257)&gt;(L262*12),L262*L245,SUM(B257:F257)*L245)),2)</f>
        <v>0</v>
      </c>
      <c r="M257" s="76">
        <f>ROUND(IF(SUM(B246:F256)&lt;(L262*11),IF((SUM(B246:F257))&gt;(L262*12),(((L262*12)-(SUM(B246:F257)-C257))*M245)+((SUM(B257:F257)-C257)*M245),(SUM(B257:F257)-C257)*M245),IF(SUM(B246:F257)&gt;(L262*12),L262*M245,SUM(B257:F257)*M245)),2)</f>
        <v>0</v>
      </c>
      <c r="N257" s="76">
        <f>ROUND(IF(SUM(B246:F256)&lt;(L262*11),IF((SUM(B246:F257))&gt;(L262*12),(((L262*12)-(SUM(B246:F257)-C256))*N245)+((SUM(B257:F257)-C256)*N245),SUM(B257:F257)*N245),IF(SUM(B246:F257)&gt;(L262*12),L262*N245,SUM(B257:F257)*N245)),2)</f>
        <v>0</v>
      </c>
      <c r="O257" s="23">
        <f>ROUND(SUM(B257+C257+F257)*O245,2)</f>
        <v>0</v>
      </c>
      <c r="P257" s="27">
        <f t="shared" si="28"/>
        <v>0</v>
      </c>
    </row>
    <row r="258" spans="1:16" s="14" customFormat="1" ht="15" x14ac:dyDescent="0.25">
      <c r="A258" s="4" t="s">
        <v>2</v>
      </c>
      <c r="B258" s="27">
        <f>SUM(B246:B257)</f>
        <v>0</v>
      </c>
      <c r="C258" s="27">
        <f t="shared" ref="C258:D258" si="29">SUM(C246:C257)</f>
        <v>0</v>
      </c>
      <c r="D258" s="27">
        <f t="shared" si="29"/>
        <v>0</v>
      </c>
      <c r="E258" s="27">
        <f>SUM(E246:E257)</f>
        <v>0</v>
      </c>
      <c r="F258" s="27">
        <f>SUM(F246:F257)</f>
        <v>0</v>
      </c>
      <c r="G258" s="27">
        <f>SUM(G246:G257)</f>
        <v>0</v>
      </c>
      <c r="H258" s="1133">
        <f>SUM(H246:N257)</f>
        <v>0</v>
      </c>
      <c r="I258" s="1134"/>
      <c r="J258" s="1134"/>
      <c r="K258" s="1134"/>
      <c r="L258" s="1134"/>
      <c r="M258" s="1134"/>
      <c r="N258" s="1135"/>
      <c r="O258" s="27">
        <f>SUM(O246:O257)</f>
        <v>0</v>
      </c>
      <c r="P258" s="27">
        <f>SUM(P246:P257)</f>
        <v>0</v>
      </c>
    </row>
    <row r="259" spans="1:16" s="13" customFormat="1" ht="11.25" x14ac:dyDescent="0.2">
      <c r="A259" s="3" t="s">
        <v>1</v>
      </c>
      <c r="B259" s="2"/>
      <c r="C259" s="2"/>
      <c r="D259" s="2"/>
      <c r="E259" s="2"/>
      <c r="F259" s="2"/>
      <c r="G259" s="2"/>
      <c r="H259" s="2"/>
      <c r="I259" s="2"/>
      <c r="J259" s="2"/>
      <c r="K259" s="2"/>
      <c r="L259" s="2"/>
      <c r="M259" s="2"/>
      <c r="N259" s="2"/>
      <c r="O259" s="2"/>
      <c r="P259" s="2"/>
    </row>
    <row r="260" spans="1:16" s="1" customFormat="1" ht="14.25" customHeight="1" x14ac:dyDescent="0.2">
      <c r="A260" s="1136" t="s">
        <v>133</v>
      </c>
      <c r="B260" s="1137"/>
      <c r="C260" s="1137"/>
      <c r="D260" s="1137" t="s">
        <v>134</v>
      </c>
      <c r="E260" s="1137"/>
      <c r="F260" s="94" t="str">
        <f>IF(IF(G258=0,"",'päd.Personal - Leitung'!$F$40)=0,"",IF(G258=0,"",'päd.Personal - Leitung'!$F$40))</f>
        <v/>
      </c>
      <c r="G260" s="77" t="s">
        <v>135</v>
      </c>
      <c r="H260" s="96" t="str">
        <f>IF(IF(G258=0,"",'päd.Personal - Leitung'!$H$40)=0,"",IF(G258=0,"",'päd.Personal - Leitung'!$H$40))</f>
        <v/>
      </c>
      <c r="I260" s="73"/>
      <c r="J260" s="194" t="s">
        <v>160</v>
      </c>
      <c r="K260" s="194" t="str">
        <f>$K$40</f>
        <v>2021</v>
      </c>
      <c r="L260" s="194" t="str">
        <f>$L$40</f>
        <v>anteilig 2021</v>
      </c>
      <c r="M260" s="1138" t="s">
        <v>140</v>
      </c>
      <c r="N260" s="1138"/>
      <c r="O260" s="1139"/>
      <c r="P260" s="27">
        <f>ROUND(IF(F260="",IF(E264="",0,(E264*H264/K264)/L227*L228),G258*F260*H260/1000),2)</f>
        <v>0</v>
      </c>
    </row>
    <row r="261" spans="1:16" s="1" customFormat="1" ht="15" customHeight="1" x14ac:dyDescent="0.2">
      <c r="A261" s="1140" t="s">
        <v>145</v>
      </c>
      <c r="B261" s="1141"/>
      <c r="C261" s="1141"/>
      <c r="D261" s="18"/>
      <c r="E261" s="107" t="s">
        <v>135</v>
      </c>
      <c r="F261" s="95" t="str">
        <f>IF(IF(G258=0,"",'päd.Personal - Leitung'!$F$41)=0,"",IF(G258=0,"",'päd.Personal - Leitung'!$F$41))</f>
        <v/>
      </c>
      <c r="G261" s="48"/>
      <c r="H261" s="47"/>
      <c r="I261" s="48"/>
      <c r="J261" s="195" t="s">
        <v>158</v>
      </c>
      <c r="K261" s="198">
        <f>$K$41</f>
        <v>4837.5</v>
      </c>
      <c r="L261" s="197">
        <f>IF(L227="",K261,K261/L227*L228)</f>
        <v>4837.5</v>
      </c>
      <c r="M261" s="1138" t="s">
        <v>139</v>
      </c>
      <c r="N261" s="1138"/>
      <c r="O261" s="1139"/>
      <c r="P261" s="27">
        <f>ROUND(IF(F261="",0,G258*F261/1000),2)</f>
        <v>0</v>
      </c>
    </row>
    <row r="262" spans="1:16" s="1" customFormat="1" ht="15.75" customHeight="1" x14ac:dyDescent="0.2">
      <c r="A262" s="1142" t="s">
        <v>141</v>
      </c>
      <c r="B262" s="1143"/>
      <c r="C262" s="1143"/>
      <c r="D262" s="1144" t="s">
        <v>143</v>
      </c>
      <c r="E262" s="1144"/>
      <c r="F262" s="1145" t="str">
        <f>IF(IF(G258=0,"",'päd.Personal - Leitung'!$F$42)=0,"",IF(G258=0,"",'päd.Personal - Leitung'!$F$42))</f>
        <v/>
      </c>
      <c r="G262" s="1145"/>
      <c r="H262" s="72"/>
      <c r="I262" s="18"/>
      <c r="J262" s="195" t="s">
        <v>159</v>
      </c>
      <c r="K262" s="197">
        <f>$K$42</f>
        <v>6700</v>
      </c>
      <c r="L262" s="197">
        <f>IF(L227="",K262,K262/L227*L228)</f>
        <v>6700</v>
      </c>
      <c r="M262" s="1138" t="s">
        <v>141</v>
      </c>
      <c r="N262" s="1138"/>
      <c r="O262" s="1139"/>
      <c r="P262" s="23">
        <f>ROUND(IF(F262="",0,IF(G258=0,0,F262/L227*L228)),2)</f>
        <v>0</v>
      </c>
    </row>
    <row r="263" spans="1:16" s="1" customFormat="1" ht="14.25" customHeight="1" x14ac:dyDescent="0.2">
      <c r="A263" s="18"/>
      <c r="B263" s="18"/>
      <c r="C263" s="18"/>
      <c r="D263" s="18"/>
      <c r="E263" s="18"/>
      <c r="F263" s="18"/>
      <c r="G263" s="18"/>
      <c r="H263" s="18"/>
      <c r="I263" s="18"/>
      <c r="J263" s="18"/>
      <c r="K263" s="74"/>
      <c r="L263" s="82"/>
      <c r="M263" s="1127" t="s">
        <v>146</v>
      </c>
      <c r="N263" s="1127"/>
      <c r="O263" s="1128"/>
      <c r="P263" s="23">
        <f>ROUND(IF(G258=0,0,$P$87),2)</f>
        <v>0</v>
      </c>
    </row>
    <row r="264" spans="1:16" s="1" customFormat="1" ht="14.25" customHeight="1" x14ac:dyDescent="0.2">
      <c r="A264" s="1129" t="s">
        <v>142</v>
      </c>
      <c r="B264" s="1130"/>
      <c r="C264" s="126" t="s">
        <v>136</v>
      </c>
      <c r="D264" s="179" t="s">
        <v>137</v>
      </c>
      <c r="E264" s="1131" t="str">
        <f>IF(IF(G258=0,"",'päd.Personal - Leitung'!$E$44)=0,"",IF(G258=0,"",'päd.Personal - Leitung'!$E$44))</f>
        <v/>
      </c>
      <c r="F264" s="1131"/>
      <c r="G264" s="83" t="s">
        <v>138</v>
      </c>
      <c r="H264" s="97" t="str">
        <f>IF(IF(G258=0,"",'päd.Personal - Leitung'!$H$44)=0,"",IF(G258=0,"",'päd.Personal - Leitung'!$H$44))</f>
        <v/>
      </c>
      <c r="I264" s="1132" t="s">
        <v>144</v>
      </c>
      <c r="J264" s="1132"/>
      <c r="K264" s="98" t="str">
        <f>IF(IF(G258=0,"",'päd.Personal - Leitung'!$K$44)=0,"",IF(G258=0,"",'päd.Personal - Leitung'!$K$44))</f>
        <v/>
      </c>
      <c r="L264" s="29"/>
      <c r="M264" s="29"/>
      <c r="N264" s="29"/>
      <c r="O264" s="28" t="s">
        <v>0</v>
      </c>
      <c r="P264" s="27">
        <f>P258+SUM(P260:P263)</f>
        <v>0</v>
      </c>
    </row>
    <row r="265" spans="1:16" s="12" customFormat="1" ht="13.5" customHeight="1" x14ac:dyDescent="0.2">
      <c r="A265" s="1178" t="s">
        <v>18</v>
      </c>
      <c r="B265" s="1178"/>
      <c r="C265" s="1178"/>
      <c r="D265" s="1179" t="str">
        <f>IF($D$1="","",$D$1)</f>
        <v/>
      </c>
      <c r="E265" s="1179"/>
      <c r="F265" s="1179"/>
      <c r="G265" s="1179"/>
      <c r="H265" s="1179"/>
      <c r="I265" s="1179"/>
      <c r="J265" s="1179"/>
      <c r="K265" s="1179"/>
      <c r="L265" s="1179"/>
      <c r="M265" s="1179"/>
      <c r="N265" s="1179"/>
    </row>
    <row r="266" spans="1:16" s="12" customFormat="1" ht="15" customHeight="1" x14ac:dyDescent="0.2">
      <c r="A266" s="1178" t="s">
        <v>17</v>
      </c>
      <c r="B266" s="1178"/>
      <c r="C266" s="1178" t="s">
        <v>15</v>
      </c>
      <c r="D266" s="1179" t="str">
        <f>IF($D$2="","",$D$2)</f>
        <v/>
      </c>
      <c r="E266" s="1179"/>
      <c r="F266" s="1179"/>
      <c r="G266" s="1179"/>
      <c r="H266" s="1179"/>
      <c r="I266" s="1179"/>
      <c r="J266" s="1179"/>
      <c r="K266" s="1179"/>
      <c r="L266" s="1179"/>
      <c r="M266" s="1179"/>
      <c r="N266" s="1179"/>
    </row>
    <row r="267" spans="1:16" s="12" customFormat="1" ht="15" customHeight="1" x14ac:dyDescent="0.2">
      <c r="A267" s="1178" t="s">
        <v>16</v>
      </c>
      <c r="B267" s="1178"/>
      <c r="C267" s="1178" t="s">
        <v>15</v>
      </c>
      <c r="D267" s="1179" t="str">
        <f>IF($D$3="","",$D$3)</f>
        <v/>
      </c>
      <c r="E267" s="1179"/>
      <c r="F267" s="1179"/>
      <c r="G267" s="1179"/>
      <c r="H267" s="1179"/>
      <c r="I267" s="1179"/>
      <c r="J267" s="1179"/>
      <c r="K267" s="1178" t="s">
        <v>103</v>
      </c>
      <c r="L267" s="1178"/>
      <c r="M267" s="1178"/>
      <c r="N267" s="41" t="str">
        <f>IF($N$3="","",$N$3)</f>
        <v/>
      </c>
    </row>
    <row r="268" spans="1:16" s="13" customFormat="1" ht="11.25" x14ac:dyDescent="0.2">
      <c r="A268" s="1182"/>
      <c r="B268" s="1182"/>
      <c r="C268" s="1182"/>
      <c r="D268" s="1183"/>
      <c r="E268" s="1183"/>
      <c r="F268" s="1183"/>
      <c r="G268" s="1183"/>
      <c r="H268" s="1183"/>
      <c r="I268" s="1183"/>
      <c r="J268" s="1183"/>
      <c r="K268" s="11"/>
      <c r="L268" s="11"/>
      <c r="M268" s="11"/>
      <c r="N268" s="11"/>
      <c r="O268" s="11"/>
      <c r="P268" s="11"/>
    </row>
    <row r="269" spans="1:16" s="15" customFormat="1" ht="13.5" customHeight="1" x14ac:dyDescent="0.2">
      <c r="A269" s="1177" t="s">
        <v>166</v>
      </c>
      <c r="B269" s="1177"/>
      <c r="C269" s="1177"/>
      <c r="D269" s="1177"/>
      <c r="E269" s="1177"/>
      <c r="F269" s="1177"/>
      <c r="G269" s="1177"/>
      <c r="H269" s="1177"/>
      <c r="I269" s="1177"/>
      <c r="J269" s="1177"/>
      <c r="K269" s="9"/>
      <c r="L269" s="9"/>
      <c r="M269" s="9"/>
      <c r="N269" s="59" t="s">
        <v>154</v>
      </c>
      <c r="O269" s="191">
        <f>$O$5</f>
        <v>2022</v>
      </c>
      <c r="P269" s="59" t="s">
        <v>154</v>
      </c>
    </row>
    <row r="270" spans="1:16" s="10" customFormat="1" ht="13.5" customHeight="1" x14ac:dyDescent="0.25">
      <c r="B270" s="32"/>
      <c r="C270" s="32"/>
      <c r="D270" s="5" t="s">
        <v>43</v>
      </c>
      <c r="E270" s="31"/>
      <c r="F270" s="31"/>
      <c r="G270" s="31"/>
      <c r="H270" s="31"/>
      <c r="I270" s="26"/>
      <c r="J270" s="1174" t="s">
        <v>14</v>
      </c>
      <c r="K270" s="1174"/>
      <c r="L270" s="180"/>
      <c r="N270" s="84">
        <f>IF(L272="","",L272)</f>
        <v>0</v>
      </c>
      <c r="O270" s="58" t="str">
        <f>$O$6</f>
        <v>Jan                Jul</v>
      </c>
      <c r="P270" s="85">
        <f>IF(N275="","",N275)</f>
        <v>0</v>
      </c>
    </row>
    <row r="271" spans="1:16" s="7" customFormat="1" ht="13.5" customHeight="1" x14ac:dyDescent="0.25">
      <c r="A271" s="1180" t="s">
        <v>71</v>
      </c>
      <c r="B271" s="1180"/>
      <c r="C271" s="1180"/>
      <c r="D271" s="1184"/>
      <c r="E271" s="1184"/>
      <c r="F271" s="1184"/>
      <c r="G271" s="1184"/>
      <c r="H271" s="1184"/>
      <c r="I271" s="1184"/>
      <c r="J271" s="1174" t="s">
        <v>104</v>
      </c>
      <c r="K271" s="1174"/>
      <c r="L271" s="145"/>
      <c r="N271" s="85">
        <f>IF(N270="","",N270)</f>
        <v>0</v>
      </c>
      <c r="O271" s="58" t="str">
        <f>$O$7</f>
        <v>Feb              Aug</v>
      </c>
      <c r="P271" s="85">
        <f>IF(P270="","",P270)</f>
        <v>0</v>
      </c>
    </row>
    <row r="272" spans="1:16" s="1" customFormat="1" ht="13.5" customHeight="1" x14ac:dyDescent="0.2">
      <c r="A272" s="1180" t="s">
        <v>13</v>
      </c>
      <c r="B272" s="1180"/>
      <c r="C272" s="1180"/>
      <c r="D272" s="1181"/>
      <c r="E272" s="1181"/>
      <c r="F272" s="1181"/>
      <c r="G272" s="1181"/>
      <c r="H272" s="1181"/>
      <c r="I272" s="1181"/>
      <c r="J272" s="1174" t="s">
        <v>164</v>
      </c>
      <c r="K272" s="1174"/>
      <c r="L272" s="145">
        <f>IF((L273+L274)&gt;L271,0,L271-L273-L274)</f>
        <v>0</v>
      </c>
      <c r="N272" s="85">
        <f>IF(N271="","",N271)</f>
        <v>0</v>
      </c>
      <c r="O272" s="58" t="str">
        <f>$O$8</f>
        <v>Mrz              Sep</v>
      </c>
      <c r="P272" s="85">
        <f>IF(P271="","",P271)</f>
        <v>0</v>
      </c>
    </row>
    <row r="273" spans="1:16" s="1" customFormat="1" ht="13.5" customHeight="1" x14ac:dyDescent="0.2">
      <c r="A273" s="1180" t="s">
        <v>12</v>
      </c>
      <c r="B273" s="1180"/>
      <c r="C273" s="1180"/>
      <c r="D273" s="1181"/>
      <c r="E273" s="1181"/>
      <c r="F273" s="1181"/>
      <c r="G273" s="1181"/>
      <c r="H273" s="1181"/>
      <c r="I273" s="1181"/>
      <c r="J273" s="1174" t="s">
        <v>165</v>
      </c>
      <c r="K273" s="1174"/>
      <c r="L273" s="145"/>
      <c r="N273" s="85">
        <f>IF(N272="","",N272)</f>
        <v>0</v>
      </c>
      <c r="O273" s="58" t="str">
        <f>$O$9</f>
        <v>Apr               Okt</v>
      </c>
      <c r="P273" s="85">
        <f t="shared" ref="P273:P275" si="30">IF(P272="","",P272)</f>
        <v>0</v>
      </c>
    </row>
    <row r="274" spans="1:16" s="1" customFormat="1" ht="13.5" customHeight="1" x14ac:dyDescent="0.2">
      <c r="A274" s="1180" t="s">
        <v>19</v>
      </c>
      <c r="B274" s="1180"/>
      <c r="C274" s="1180"/>
      <c r="D274" s="1181"/>
      <c r="E274" s="1181"/>
      <c r="F274" s="1181"/>
      <c r="G274" s="1181"/>
      <c r="H274" s="1181"/>
      <c r="I274" s="1181"/>
      <c r="J274" s="1174" t="s">
        <v>252</v>
      </c>
      <c r="K274" s="1174"/>
      <c r="L274" s="145"/>
      <c r="M274" s="92"/>
      <c r="N274" s="85">
        <f>IF(N273="","",N273)</f>
        <v>0</v>
      </c>
      <c r="O274" s="58" t="str">
        <f>$O$10</f>
        <v>Mai               Nov</v>
      </c>
      <c r="P274" s="85">
        <f t="shared" si="30"/>
        <v>0</v>
      </c>
    </row>
    <row r="275" spans="1:16" s="1" customFormat="1" ht="13.5" customHeight="1" x14ac:dyDescent="0.2">
      <c r="B275" s="8"/>
      <c r="C275" s="121" t="s">
        <v>162</v>
      </c>
      <c r="D275" s="1175"/>
      <c r="E275" s="1175"/>
      <c r="F275" s="1176" t="s">
        <v>106</v>
      </c>
      <c r="G275" s="1176"/>
      <c r="H275" s="1186"/>
      <c r="I275" s="1186"/>
      <c r="J275" s="1174" t="s">
        <v>97</v>
      </c>
      <c r="K275" s="1174"/>
      <c r="L275" s="17" t="str">
        <f>IF(IF((COUNTIF(B290:B301,"&gt;0"))=0,0,(COUNTIF(B290:B301,"&gt;0")))&gt;Grundlagen!$C$24,Grundlagen!$C$24,IF((COUNTIF(B290:B301,"&gt;0"))=0,"",(COUNTIF(B290:B301,"&gt;0"))))</f>
        <v/>
      </c>
      <c r="N275" s="85">
        <f>IF(N274="","",N274)</f>
        <v>0</v>
      </c>
      <c r="O275" s="58" t="str">
        <f>'päd.Personal - Leitung'!$O$11</f>
        <v>Jun               Dez</v>
      </c>
      <c r="P275" s="85">
        <f t="shared" si="30"/>
        <v>0</v>
      </c>
    </row>
    <row r="276" spans="1:16" s="1" customFormat="1" ht="13.5" customHeight="1" x14ac:dyDescent="0.2">
      <c r="I276" s="6"/>
      <c r="L276" s="147" t="str">
        <f>IF((SUM(F278:F281))=0,"",IF(P276&gt;L272,L272,IF(L272="","",IF(L275="","",P276))))</f>
        <v/>
      </c>
      <c r="O276" s="174" t="s">
        <v>251</v>
      </c>
      <c r="P276" s="175">
        <f>IF(L275="",0,((IF(SUMIF(B290,"&gt;0"),N270,0))+(IF(SUMIF(B291,"&gt;0"),N271,0))+(IF(SUMIF(B292,"&gt;0"),N272,0))+(IF(SUMIF(B293,"&gt;0"),N273,0))+(IF(SUMIF(B294,"&gt;0"),N274,0))+(IF(SUMIF(B295,"&gt;0"),N275,0))+(IF(SUMIF(B296,"&gt;0"),P270,0))+(IF(SUMIF(B297,"&gt;0"),P271,0))+(IF(SUMIF(B298,"&gt;0"),P272,0))+(IF(SUMIF(B299,"&gt;0"),P273,0))+(IF(SUMIF(B300,"&gt;0"),P274,0))+(IF(SUMIF(B301,"&gt;0"),P275,0)))/Grundlagen!$C$24)</f>
        <v>0</v>
      </c>
    </row>
    <row r="277" spans="1:16" s="52" customFormat="1" ht="13.5" customHeight="1" x14ac:dyDescent="0.2">
      <c r="A277" s="61" t="s">
        <v>148</v>
      </c>
      <c r="B277" s="1168" t="s">
        <v>149</v>
      </c>
      <c r="C277" s="1168"/>
      <c r="D277" s="62" t="s">
        <v>150</v>
      </c>
      <c r="E277" s="63" t="s">
        <v>151</v>
      </c>
      <c r="F277" s="64" t="str">
        <f>CONCATENATE("Entg. ",N267," h/Wo")</f>
        <v>Entg.  h/Wo</v>
      </c>
      <c r="G277" s="65" t="s">
        <v>152</v>
      </c>
      <c r="H277" s="65" t="s">
        <v>153</v>
      </c>
      <c r="K277" s="1169" t="str">
        <f>CONCATENATE("Zuschläge / Zulagen für ",N267,"h/Wo")</f>
        <v>Zuschläge / Zulagen für h/Wo</v>
      </c>
      <c r="L277" s="1169"/>
      <c r="M277" s="66" t="str">
        <f>IF(A278="","",A278)</f>
        <v>Jan 2022</v>
      </c>
      <c r="N277" s="66" t="str">
        <f>IF(A279="","",A279)</f>
        <v/>
      </c>
      <c r="O277" s="66" t="str">
        <f>IF(A280="","",A280)</f>
        <v/>
      </c>
      <c r="P277" s="66" t="str">
        <f>IF(A281="","",A281)</f>
        <v/>
      </c>
    </row>
    <row r="278" spans="1:16" s="52" customFormat="1" ht="13.5" customHeight="1" x14ac:dyDescent="0.25">
      <c r="A278" s="54" t="str">
        <f>A290</f>
        <v>Jan 2022</v>
      </c>
      <c r="B278" s="1170" t="str">
        <f>IF($D$3="","",$D$3)</f>
        <v/>
      </c>
      <c r="C278" s="1171"/>
      <c r="D278" s="181"/>
      <c r="E278" s="181"/>
      <c r="F278" s="87"/>
      <c r="G278" s="56">
        <f>IF(N267="",0,F278/N267/4.348)</f>
        <v>0</v>
      </c>
      <c r="H278" s="53">
        <f>IF(G278=0,0,M283)</f>
        <v>0</v>
      </c>
      <c r="K278" s="1146"/>
      <c r="L278" s="1146"/>
      <c r="M278" s="172"/>
      <c r="N278" s="172"/>
      <c r="O278" s="172"/>
      <c r="P278" s="172"/>
    </row>
    <row r="279" spans="1:16" s="52" customFormat="1" ht="13.5" customHeight="1" x14ac:dyDescent="0.25">
      <c r="A279" s="55"/>
      <c r="B279" s="1172" t="str">
        <f>IF(A279="","",B278)</f>
        <v/>
      </c>
      <c r="C279" s="1173"/>
      <c r="D279" s="181"/>
      <c r="E279" s="181"/>
      <c r="F279" s="87"/>
      <c r="G279" s="56">
        <f>IF(N267="",0,F279/N267/4.348)</f>
        <v>0</v>
      </c>
      <c r="H279" s="53">
        <f>IF(G279=0,0,N283)</f>
        <v>0</v>
      </c>
      <c r="K279" s="1146"/>
      <c r="L279" s="1146"/>
      <c r="M279" s="172"/>
      <c r="N279" s="172"/>
      <c r="O279" s="172"/>
      <c r="P279" s="172"/>
    </row>
    <row r="280" spans="1:16" s="52" customFormat="1" ht="13.5" customHeight="1" x14ac:dyDescent="0.25">
      <c r="A280" s="55"/>
      <c r="B280" s="1172" t="str">
        <f>IF(A280="","",B279)</f>
        <v/>
      </c>
      <c r="C280" s="1173"/>
      <c r="D280" s="181"/>
      <c r="E280" s="181"/>
      <c r="F280" s="87"/>
      <c r="G280" s="56">
        <f>IF(N267="",0,F280/N267/4.348)</f>
        <v>0</v>
      </c>
      <c r="H280" s="53">
        <f>IF(G280=0,0,O283)</f>
        <v>0</v>
      </c>
      <c r="K280" s="1146"/>
      <c r="L280" s="1146"/>
      <c r="M280" s="172"/>
      <c r="N280" s="172"/>
      <c r="O280" s="172"/>
      <c r="P280" s="172"/>
    </row>
    <row r="281" spans="1:16" s="52" customFormat="1" ht="13.5" customHeight="1" x14ac:dyDescent="0.25">
      <c r="A281" s="55"/>
      <c r="B281" s="1172" t="str">
        <f>IF(A281="","",B280)</f>
        <v/>
      </c>
      <c r="C281" s="1173"/>
      <c r="D281" s="181"/>
      <c r="E281" s="181"/>
      <c r="F281" s="87"/>
      <c r="G281" s="56">
        <f>IF(N267="",0,F281/N267/4.348)</f>
        <v>0</v>
      </c>
      <c r="H281" s="53">
        <f>IF(G281=0,0,P283)</f>
        <v>0</v>
      </c>
      <c r="K281" s="1146"/>
      <c r="L281" s="1146"/>
      <c r="M281" s="172"/>
      <c r="N281" s="172"/>
      <c r="O281" s="172"/>
      <c r="P281" s="172"/>
    </row>
    <row r="282" spans="1:16" s="52" customFormat="1" ht="13.5" customHeight="1" x14ac:dyDescent="0.25">
      <c r="B282" s="1167" t="s">
        <v>157</v>
      </c>
      <c r="C282" s="1167"/>
      <c r="E282" s="1167" t="s">
        <v>156</v>
      </c>
      <c r="F282" s="1167"/>
      <c r="J282" s="69"/>
      <c r="K282" s="1146"/>
      <c r="L282" s="1146"/>
      <c r="M282" s="172"/>
      <c r="N282" s="172"/>
      <c r="O282" s="172"/>
      <c r="P282" s="172"/>
    </row>
    <row r="283" spans="1:16" s="52" customFormat="1" ht="13.5" customHeight="1" x14ac:dyDescent="0.25">
      <c r="A283" s="70" t="s">
        <v>167</v>
      </c>
      <c r="B283" s="67"/>
      <c r="C283" s="99" t="str">
        <f>IF(C239="","",C239)</f>
        <v/>
      </c>
      <c r="D283" s="70" t="s">
        <v>167</v>
      </c>
      <c r="E283" s="67"/>
      <c r="F283" s="99" t="str">
        <f>IF(F239="","",F239)</f>
        <v/>
      </c>
      <c r="J283" s="68"/>
      <c r="M283" s="173">
        <f>SUM(M278:M282)</f>
        <v>0</v>
      </c>
      <c r="N283" s="173">
        <f t="shared" ref="N283:P283" si="31">SUM(N278:N282)</f>
        <v>0</v>
      </c>
      <c r="O283" s="173">
        <f t="shared" si="31"/>
        <v>0</v>
      </c>
      <c r="P283" s="173">
        <f t="shared" si="31"/>
        <v>0</v>
      </c>
    </row>
    <row r="284" spans="1:16" s="52" customFormat="1" ht="13.5" customHeight="1" x14ac:dyDescent="0.2">
      <c r="A284" s="60" t="s">
        <v>155</v>
      </c>
    </row>
    <row r="285" spans="1:16" s="1" customFormat="1" ht="14.25" customHeight="1" x14ac:dyDescent="0.2">
      <c r="A285" s="1147"/>
      <c r="B285" s="1149" t="s">
        <v>9</v>
      </c>
      <c r="C285" s="1150"/>
      <c r="D285" s="1150"/>
      <c r="E285" s="1150"/>
      <c r="F285" s="1150"/>
      <c r="G285" s="1151"/>
      <c r="H285" s="1152" t="s">
        <v>119</v>
      </c>
      <c r="I285" s="1153"/>
      <c r="J285" s="1153"/>
      <c r="K285" s="1153"/>
      <c r="L285" s="1153"/>
      <c r="M285" s="1153"/>
      <c r="N285" s="1153"/>
      <c r="O285" s="33"/>
      <c r="P285" s="1154" t="s">
        <v>0</v>
      </c>
    </row>
    <row r="286" spans="1:16" s="1" customFormat="1" ht="14.25" customHeight="1" x14ac:dyDescent="0.2">
      <c r="A286" s="1148"/>
      <c r="B286" s="1157" t="s">
        <v>117</v>
      </c>
      <c r="C286" s="124" t="s">
        <v>115</v>
      </c>
      <c r="D286" s="1159" t="s">
        <v>277</v>
      </c>
      <c r="E286" s="1161" t="s">
        <v>147</v>
      </c>
      <c r="F286" s="127" t="s">
        <v>7</v>
      </c>
      <c r="G286" s="1162" t="s">
        <v>6</v>
      </c>
      <c r="H286" s="1161" t="s">
        <v>129</v>
      </c>
      <c r="I286" s="1161" t="s">
        <v>5</v>
      </c>
      <c r="J286" s="1161" t="s">
        <v>4</v>
      </c>
      <c r="K286" s="1161" t="s">
        <v>3</v>
      </c>
      <c r="L286" s="1161" t="s">
        <v>121</v>
      </c>
      <c r="M286" s="1161" t="s">
        <v>122</v>
      </c>
      <c r="N286" s="1161" t="s">
        <v>123</v>
      </c>
      <c r="O286" s="1160" t="s">
        <v>114</v>
      </c>
      <c r="P286" s="1155"/>
    </row>
    <row r="287" spans="1:16" s="1" customFormat="1" ht="14.25" customHeight="1" x14ac:dyDescent="0.2">
      <c r="A287" s="1148"/>
      <c r="B287" s="1157"/>
      <c r="C287" s="21" t="str">
        <f>IF(C283="","",C283)</f>
        <v/>
      </c>
      <c r="D287" s="1160"/>
      <c r="E287" s="1161"/>
      <c r="F287" s="1165" t="str">
        <f>IF(H278=0,"","siehe Zuschläge / Zulagen")</f>
        <v/>
      </c>
      <c r="G287" s="1162"/>
      <c r="H287" s="1164" t="s">
        <v>127</v>
      </c>
      <c r="I287" s="1164"/>
      <c r="J287" s="1164"/>
      <c r="K287" s="1164"/>
      <c r="L287" s="1164"/>
      <c r="M287" s="1164"/>
      <c r="N287" s="1164"/>
      <c r="O287" s="1160"/>
      <c r="P287" s="1155"/>
    </row>
    <row r="288" spans="1:16" s="1" customFormat="1" x14ac:dyDescent="0.2">
      <c r="A288" s="1148"/>
      <c r="B288" s="1157"/>
      <c r="C288" s="122" t="s">
        <v>70</v>
      </c>
      <c r="D288" s="1160"/>
      <c r="E288" s="1161"/>
      <c r="F288" s="1165"/>
      <c r="G288" s="1162"/>
      <c r="H288" s="43" t="s">
        <v>128</v>
      </c>
      <c r="I288" s="43" t="s">
        <v>255</v>
      </c>
      <c r="J288" s="43" t="s">
        <v>256</v>
      </c>
      <c r="K288" s="43" t="s">
        <v>257</v>
      </c>
      <c r="L288" s="43"/>
      <c r="M288" s="43"/>
      <c r="N288" s="43" t="s">
        <v>254</v>
      </c>
      <c r="O288" s="1160"/>
      <c r="P288" s="1155"/>
    </row>
    <row r="289" spans="1:16" s="1" customFormat="1" x14ac:dyDescent="0.2">
      <c r="A289" s="1148"/>
      <c r="B289" s="1158"/>
      <c r="C289" s="21" t="str">
        <f>IF(F283="","",F283)</f>
        <v/>
      </c>
      <c r="D289" s="51"/>
      <c r="E289" s="51"/>
      <c r="F289" s="1166"/>
      <c r="G289" s="1163"/>
      <c r="H289" s="93"/>
      <c r="I289" s="139">
        <f>$I$69</f>
        <v>0</v>
      </c>
      <c r="J289" s="139">
        <f>$J$69</f>
        <v>0</v>
      </c>
      <c r="K289" s="44">
        <f>$K$69</f>
        <v>0</v>
      </c>
      <c r="L289" s="21"/>
      <c r="M289" s="21"/>
      <c r="N289" s="139">
        <f>$N$69</f>
        <v>0</v>
      </c>
      <c r="O289" s="21">
        <f>O245</f>
        <v>0</v>
      </c>
      <c r="P289" s="1156"/>
    </row>
    <row r="290" spans="1:16" s="1" customFormat="1" x14ac:dyDescent="0.2">
      <c r="A290" s="100" t="str">
        <f>$A$26</f>
        <v>Jan 2022</v>
      </c>
      <c r="B290" s="24">
        <f>ROUND(IF(N270=0,0,(LOOKUP(2,1/(A278:A281=A290),G278:G281))*N270*4.348),2)</f>
        <v>0</v>
      </c>
      <c r="C290" s="23">
        <f>ROUND(IFERROR(((LOOKUP(2,1/(B283=A290),((SUM(B296:B298)+SUM(F296:F298))/3)*C283))),0)+IFERROR(((LOOKUP(2,1/(E283=A290),(B302+F302)*F283))),0),2)</f>
        <v>0</v>
      </c>
      <c r="D290" s="23">
        <f>ROUND(IF(B290=0,0,D289/L271*N270),2)</f>
        <v>0</v>
      </c>
      <c r="E290" s="23">
        <f>ROUND(IF(B290=0,0,E289/N267*N270),2)</f>
        <v>0</v>
      </c>
      <c r="F290" s="24">
        <f>ROUND(IF(N270=0,0,(LOOKUP(2,1/(A278:A281=A290),H278:H281))/N267*N270),2)</f>
        <v>0</v>
      </c>
      <c r="G290" s="27">
        <f>SUM(B290+C290+E290+F290)</f>
        <v>0</v>
      </c>
      <c r="H290" s="76">
        <f>ROUND(IF((SUM(B290:F290))&gt;L305,L305*H289,SUM(B290:F290)*H289),2)</f>
        <v>0</v>
      </c>
      <c r="I290" s="76">
        <f>ROUND(IF((SUM(B290:F290))&gt;L306,L306*I289,SUM(B290:F290)*I289),2)</f>
        <v>0</v>
      </c>
      <c r="J290" s="76">
        <f>ROUND(IF((SUM(B290:F290))&gt;L306,L306*J289,SUM(B290:F290)*J289),2)</f>
        <v>0</v>
      </c>
      <c r="K290" s="76">
        <f>ROUND(IF((SUM(B290:F290))&gt;L305,L305*K289,SUM(B290:F290)*K289),2)</f>
        <v>0</v>
      </c>
      <c r="L290" s="76">
        <f>ROUND(IF((SUM(B290:F290))&gt;L306,L306*L289,(SUM(B290:F290)-C290)*L289),2)</f>
        <v>0</v>
      </c>
      <c r="M290" s="76">
        <f>ROUND(IF((SUM(B290:F290))&gt;L306,L306*M289,(SUM(B290:F290)-C290)*M289),2)</f>
        <v>0</v>
      </c>
      <c r="N290" s="76">
        <f>ROUND(IF((SUM(B290:F290))&gt;L306,L306*N289,SUM(B290:F290)*N289),2)</f>
        <v>0</v>
      </c>
      <c r="O290" s="23">
        <f>ROUND(SUM(B290+C290+F290)*O289,2)</f>
        <v>0</v>
      </c>
      <c r="P290" s="27">
        <f>SUM(G290:O290)</f>
        <v>0</v>
      </c>
    </row>
    <row r="291" spans="1:16" s="1" customFormat="1" x14ac:dyDescent="0.2">
      <c r="A291" s="100" t="str">
        <f>$A$27</f>
        <v>Feb 2022</v>
      </c>
      <c r="B291" s="24">
        <f>ROUND(IF(N271=0,0,IFERROR(((LOOKUP(2,1/(A278:A281=A291),G278:G281))*N271*4.348),B290/N271*N271)),2)</f>
        <v>0</v>
      </c>
      <c r="C291" s="23">
        <f>ROUND(IFERROR(((LOOKUP(2,1/(B283=A291),((SUM(B296:B298)+SUM(F296:F298))/3)*C283))),0)+IFERROR(((LOOKUP(2,1/(E283=A291),(B302+F302)*F283))),0),2)</f>
        <v>0</v>
      </c>
      <c r="D291" s="23">
        <f>ROUND(IF(B291=0,0,D289/L271*N271),2)</f>
        <v>0</v>
      </c>
      <c r="E291" s="23">
        <f>ROUND(IF(B291=0,0,E289/N267*N271),2)</f>
        <v>0</v>
      </c>
      <c r="F291" s="24">
        <f>ROUND(IF(N271=0,0,IFERROR(((LOOKUP(2,1/(A278:A281=A291),H278:H281))/N267*N271),F290/N271*N271)),2)</f>
        <v>0</v>
      </c>
      <c r="G291" s="27">
        <f t="shared" ref="G291:G301" si="32">SUM(B291+C291+E291+F291)</f>
        <v>0</v>
      </c>
      <c r="H291" s="76">
        <f>ROUND(IF(SUM(B290:F290)&lt;(L305*1),IF((SUM(B290:F291))&gt;(L305*2),(((L305*2)-(SUM(B290:F291)-C290))*H289)+((SUM(B291:F291)-C290)*H289),SUM(B291:F291)*H289),IF(SUM(B290:F291)&gt;(L305*2),L305*H289,SUM(B291:F291)*H289)),2)</f>
        <v>0</v>
      </c>
      <c r="I291" s="76">
        <f>ROUND(IF(SUM(B290:F290)&lt;(L306*1),IF((SUM(B290:F291))&gt;(L306*2),(((L306*2)-(SUM(B290:F291)-C290))*I289)+((SUM(B291:F291)-C290)*I289),SUM(B291:F291)*I289),IF(SUM(B290:F291)&gt;(L306*2),L306*I289,SUM(B291:F291)*I289)),2)</f>
        <v>0</v>
      </c>
      <c r="J291" s="76">
        <f>ROUND(IF(SUM(B290:F290)&lt;(L306*1),IF((SUM(B290:F291))&gt;(L306*2),(((L306*2)-(SUM(B290:F291)-C290))*J289)+((SUM(B291:F291)-C290)*J289),SUM(B291:F291)*J289),IF(SUM(B290:F291)&gt;(L306*2),L306*J289,SUM(B291:F291)*J289)),2)</f>
        <v>0</v>
      </c>
      <c r="K291" s="76">
        <f>ROUND(IF(SUM(B290:F290)&lt;(L305*1),IF((SUM(B290:F291))&gt;(L305*2),(((L305*2)-(SUM(B290:F291)-C290))*K289)+((SUM(B291:F291)-C290)*K289),SUM(B291:F291)*K289),IF(SUM(B290:F291)&gt;(L305*2),L305*K289,SUM(B291:F291)*K289)),2)</f>
        <v>0</v>
      </c>
      <c r="L291" s="76">
        <f>ROUND(IF(SUM(B290:F290)&lt;(L306*1),IF((SUM(B290:F291))&gt;(L306*2),(((L306*2)-(SUM(B290:F291)-C291))*L289)+((SUM(B291:F291)-C291)*L289),(SUM(B291:F291)-C291)*L289),IF(SUM(B290:F291)&gt;(L306*2),L306*L289,SUM(B291:F291)*L289)),2)</f>
        <v>0</v>
      </c>
      <c r="M291" s="76">
        <f>ROUND(IF(SUM(B290:F290)&lt;(L306*1),IF((SUM(B290:F291))&gt;(L306*2),(((L306*2)-(SUM(B290:F291)-C291))*M289)+((SUM(B291:F291)-C291)*M289),(SUM(B291:F291)-C291)*M289),IF(SUM(B290:F291)&gt;(L306*2),L306*M289,SUM(B291:F291)*M289)),2)</f>
        <v>0</v>
      </c>
      <c r="N291" s="76">
        <f>ROUND(IF(SUM(B290:F290)&lt;(L306*1),IF((SUM(B290:F291))&gt;(L306*2),(((L306*2)-(SUM(B290:F291)-C290))*N289)+((SUM(B291:F291)-C290)*N289),SUM(B291:F291)*N289),IF(SUM(B290:F291)&gt;(L306*2),L306*N289,SUM(B291:F291)*N289)),2)</f>
        <v>0</v>
      </c>
      <c r="O291" s="23">
        <f>ROUND(SUM(B291+C291+F291)*O289,2)</f>
        <v>0</v>
      </c>
      <c r="P291" s="27">
        <f>SUM(G291:O291)</f>
        <v>0</v>
      </c>
    </row>
    <row r="292" spans="1:16" s="1" customFormat="1" x14ac:dyDescent="0.2">
      <c r="A292" s="100" t="str">
        <f>$A$28</f>
        <v>Mrz 2022</v>
      </c>
      <c r="B292" s="24">
        <f>ROUND(IF(N272=0,0,IFERROR(((LOOKUP(2,1/(A278:A281=A292),G278:G281))*N272*4.348),B291/N272*N272)),2)</f>
        <v>0</v>
      </c>
      <c r="C292" s="23">
        <f>ROUND(IFERROR(((LOOKUP(2,1/(B283=A292),((SUM(B296:B298)+SUM(F296:F298))/3)*C283))),0)+IFERROR(((LOOKUP(2,1/(E283=A292),(B302+F302)*F283))),0),2)</f>
        <v>0</v>
      </c>
      <c r="D292" s="23">
        <f>ROUND(IF(B292=0,0,D289/L271*N272),2)</f>
        <v>0</v>
      </c>
      <c r="E292" s="23">
        <f>ROUND(IF(B292=0,0,E289/N267*N272),2)</f>
        <v>0</v>
      </c>
      <c r="F292" s="24">
        <f>ROUND(IF(N272=0,0,IFERROR(((LOOKUP(2,1/(A278:A281=A292),H278:H281))/N267*N272),F291/N272*N272)),2)</f>
        <v>0</v>
      </c>
      <c r="G292" s="27">
        <f t="shared" si="32"/>
        <v>0</v>
      </c>
      <c r="H292" s="76">
        <f>ROUND(IF(SUM(B290:F291)&lt;(L305*2),IF((SUM(B290:F292))&gt;(L305*3),(((L305*3)-(SUM(B290:F292)-C291))*H289)+((SUM(B292:F292)-C291)*H289),SUM(B292:F292)*H289),IF(SUM(B290:F292)&gt;(L305*3),L305*H289,SUM(B292:F292)*H289)),2)</f>
        <v>0</v>
      </c>
      <c r="I292" s="76">
        <f>ROUND(IF(SUM(B290:F291)&lt;(L306*2),IF((SUM(B290:F292))&gt;(L306*3),(((L306*3)-(SUM(B290:F292)-C291))*I289)+((SUM(B292:F292)-C291)*I289),SUM(B292:F292)*I289),IF(SUM(B290:F292)&gt;(L306*3),L306*I289,SUM(B292:F292)*I289)),2)</f>
        <v>0</v>
      </c>
      <c r="J292" s="76">
        <f>ROUND(IF(SUM(B290:F291)&lt;(L306*2),IF((SUM(B290:F292))&gt;(L306*3),(((L306*3)-(SUM(B290:F292)-C291))*J289)+((SUM(B292:F292)-C291)*J289),SUM(B292:F292)*J289),IF(SUM(B290:F292)&gt;(L306*3),L306*J289,SUM(B292:F292)*J289)),2)</f>
        <v>0</v>
      </c>
      <c r="K292" s="76">
        <f>ROUND(IF(SUM(B290:F291)&lt;(L305*2),IF((SUM(B290:F292))&gt;(L305*3),(((L305*3)-(SUM(B290:F292)-C291))*K289)+((SUM(B292:F292)-C291)*K289),SUM(B292:F292)*K289),IF(SUM(B290:F292)&gt;(L305*3),L305*K289,SUM(B292:F292)*K289)),2)</f>
        <v>0</v>
      </c>
      <c r="L292" s="76">
        <f>ROUND(IF(SUM(B290:F291)&lt;(L306*2),IF((SUM(B290:F292))&gt;(L306*3),(((L306*3)-(SUM(B290:F292)-C292))*L289)+((SUM(B292:F292)-C292)*L289),(SUM(B292:F292)-C292)*L289),IF(SUM(B290:F292)&gt;(L306*3),L306*L289,SUM(B292:F292)*L289)),2)</f>
        <v>0</v>
      </c>
      <c r="M292" s="76">
        <f>ROUND(IF(SUM(B290:F291)&lt;(L306*2),IF((SUM(B290:F292))&gt;(L306*3),(((L306*3)-(SUM(B290:F292)-C292))*M289)+((SUM(B292:F292)-C292)*M289),(SUM(B292:F292)-C292)*M289),IF(SUM(B290:F292)&gt;(L306*3),L306*M289,SUM(B292:F292)*M289)),2)</f>
        <v>0</v>
      </c>
      <c r="N292" s="76">
        <f>ROUND(IF(SUM(B290:F291)&lt;(L306*2),IF((SUM(B290:F292))&gt;(L306*3),(((L306*3)-(SUM(B290:F292)-C291))*N289)+((SUM(B292:F292)-C291)*N289),SUM(B292:F292)*N289),IF(SUM(B290:F292)&gt;(L306*3),L306*N289,SUM(B292:F292)*N289)),2)</f>
        <v>0</v>
      </c>
      <c r="O292" s="23">
        <f>ROUND(SUM(B292+C292+F292)*O289,2)</f>
        <v>0</v>
      </c>
      <c r="P292" s="27">
        <f t="shared" ref="P292:P301" si="33">SUM(G292:O292)</f>
        <v>0</v>
      </c>
    </row>
    <row r="293" spans="1:16" s="1" customFormat="1" x14ac:dyDescent="0.2">
      <c r="A293" s="100" t="str">
        <f>$A$29</f>
        <v>Apr 2022</v>
      </c>
      <c r="B293" s="24">
        <f>ROUND(IF(N273=0,0,IFERROR(((LOOKUP(2,1/(A278:A281=A293),G278:G281))*N273*4.348),B292/N273*N273)),2)</f>
        <v>0</v>
      </c>
      <c r="C293" s="23">
        <f>ROUND(IFERROR(((LOOKUP(2,1/(B283=A293),((SUM(B296:B298)+SUM(F296:F298))/3)*C283))),0)+IFERROR(((LOOKUP(2,1/(E283=A293),(B302+F302)*F283))),0),2)</f>
        <v>0</v>
      </c>
      <c r="D293" s="23">
        <f>ROUND(IF(B293=0,0,D289/L271*N273),2)</f>
        <v>0</v>
      </c>
      <c r="E293" s="23">
        <f>ROUND(IF(B293=0,0,E289/N267*N273),2)</f>
        <v>0</v>
      </c>
      <c r="F293" s="24">
        <f>ROUND(IF(N273=0,0,IFERROR(((LOOKUP(2,1/(A278:A281=A293),H278:H281))/N267*N273),F292/N273*N273)),2)</f>
        <v>0</v>
      </c>
      <c r="G293" s="27">
        <f t="shared" si="32"/>
        <v>0</v>
      </c>
      <c r="H293" s="76">
        <f>ROUND(IF(SUM(B290:F292)&lt;(L305*3),IF((SUM(B290:F293))&gt;(L305*4),(((L305*4)-(SUM(B290:F293)-C292))*H289)+((SUM(B293:F293)-C292)*H289),SUM(B293:F293)*H289),IF(SUM(B290:F293)&gt;(L305*4),L305*H289,SUM(B293:F293)*H289)),2)</f>
        <v>0</v>
      </c>
      <c r="I293" s="76">
        <f>ROUND(IF(SUM(B290:F292)&lt;(L306*3),IF((SUM(B290:F293))&gt;(L306*4),(((L306*4)-(SUM(B290:F293)-C292))*I289)+((SUM(B293:F293)-C292)*I289),SUM(B293:F293)*I289),IF(SUM(B290:F293)&gt;(L306*4),L306*I289,SUM(B293:F293)*I289)),2)</f>
        <v>0</v>
      </c>
      <c r="J293" s="76">
        <f>ROUND(IF(SUM(B290:F292)&lt;(L306*3),IF((SUM(B290:F293))&gt;(L306*4),(((L306*4)-(SUM(B290:F293)-C292))*J289)+((SUM(B293:F293)-C292)*J289),SUM(B293:F293)*J289),IF(SUM(B290:F293)&gt;(L306*4),L306*J289,SUM(B293:F293)*J289)),2)</f>
        <v>0</v>
      </c>
      <c r="K293" s="76">
        <f>ROUND(IF(SUM(B290:F292)&lt;(L305*3),IF((SUM(B290:F293))&gt;(L305*4),(((L305*4)-(SUM(B290:F293)-C292))*K289)+((SUM(B293:F293)-C292)*K289),SUM(B293:F293)*K289),IF(SUM(B290:F293)&gt;(L305*4),L305*K289,SUM(B293:F293)*K289)),2)</f>
        <v>0</v>
      </c>
      <c r="L293" s="76">
        <f>ROUND(IF(SUM(B290:F292)&lt;(L306*3),IF((SUM(B290:F293))&gt;(L306*4),(((L306*4)-(SUM(B290:F293)-C293))*L289)+((SUM(B293:F293)-C293)*L289),(SUM(B293:F293)-C293)*L289),IF(SUM(B290:F293)&gt;(L306*4),L306*L289,SUM(B293:F293)*L289)),2)</f>
        <v>0</v>
      </c>
      <c r="M293" s="76">
        <f>ROUND(IF(SUM(B290:F292)&lt;(L306*3),IF((SUM(B290:F293))&gt;(L306*4),(((L306*4)-(SUM(B290:F293)-C293))*M289)+((SUM(B293:F293)-C293)*M289),(SUM(B293:F293)-C293)*M289),IF(SUM(B290:F293)&gt;(L306*4),L306*M289,SUM(B293:F293)*M289)),2)</f>
        <v>0</v>
      </c>
      <c r="N293" s="76">
        <f>ROUND(IF(SUM(B290:F292)&lt;(L306*3),IF((SUM(B290:F293))&gt;(L306*4),(((L306*4)-(SUM(B290:F293)-C292))*N289)+((SUM(B293:F293)-C292)*N289),SUM(B293:F293)*N289),IF(SUM(B290:F293)&gt;(L306*4),L306*N289,SUM(B293:F293)*N289)),2)</f>
        <v>0</v>
      </c>
      <c r="O293" s="23">
        <f>ROUND(SUM(B293+C293+F293)*O289,2)</f>
        <v>0</v>
      </c>
      <c r="P293" s="27">
        <f t="shared" si="33"/>
        <v>0</v>
      </c>
    </row>
    <row r="294" spans="1:16" s="1" customFormat="1" x14ac:dyDescent="0.2">
      <c r="A294" s="100" t="str">
        <f>$A$30</f>
        <v>Mai 2022</v>
      </c>
      <c r="B294" s="24">
        <f>ROUND(IF(N274=0,0,IFERROR(((LOOKUP(2,1/(A278:A281=A294),G278:G281))*N274*4.348),B293/N274*N274)),2)</f>
        <v>0</v>
      </c>
      <c r="C294" s="23">
        <f>ROUND(IFERROR(((LOOKUP(2,1/(B283=A294),((SUM(B296:B298)+SUM(F296:F298))/3)*C283))),0)+IFERROR(((LOOKUP(2,1/(E283=A294),(B302+F302)*F283))),0),2)</f>
        <v>0</v>
      </c>
      <c r="D294" s="23">
        <f>ROUND(IF(B294=0,0,D289/L271*N274),2)</f>
        <v>0</v>
      </c>
      <c r="E294" s="23">
        <f>ROUND(IF(B294=0,0,E289/N267*N274),2)</f>
        <v>0</v>
      </c>
      <c r="F294" s="24">
        <f>ROUND(IF(N274=0,0,IFERROR(((LOOKUP(2,1/(A278:A281=A294),H278:H281))/N267*N274),F293/N274*N274)),2)</f>
        <v>0</v>
      </c>
      <c r="G294" s="27">
        <f t="shared" si="32"/>
        <v>0</v>
      </c>
      <c r="H294" s="76">
        <f>ROUND(IF(SUM(B290:F293)&lt;(L305*4),IF((SUM(B290:F294))&gt;(L305*5),(((L305*5)-(SUM(B290:F294)-C293))*H289)+((SUM(B294:F294)-C293)*H289),SUM(B294:F294)*H289),IF(SUM(B290:F294)&gt;(L305*5),L305*H289,SUM(B294:F294)*H289)),2)</f>
        <v>0</v>
      </c>
      <c r="I294" s="76">
        <f>ROUND(IF(SUM(B290:F293)&lt;(L306*4),IF((SUM(B290:F294))&gt;(L306*5),(((L306*5)-(SUM(B290:F294)-C293))*I289)+((SUM(B294:F294)-C293)*I289),SUM(B294:F294)*I289),IF(SUM(B290:F294)&gt;(L306*5),L306*I289,SUM(B294:F294)*I289)),2)</f>
        <v>0</v>
      </c>
      <c r="J294" s="76">
        <f>ROUND(IF(SUM(B290:F293)&lt;(L306*4),IF((SUM(B290:F294))&gt;(L306*5),(((L306*5)-(SUM(B290:F294)-C293))*J289)+((SUM(B294:F294)-C293)*J289),SUM(B294:F294)*J289),IF(SUM(B290:F294)&gt;(L306*5),L306*J289,SUM(B294:F294)*J289)),2)</f>
        <v>0</v>
      </c>
      <c r="K294" s="76">
        <f>ROUND(IF(SUM(B290:F293)&lt;(L305*4),IF((SUM(B290:F294))&gt;(L305*5),(((L305*5)-(SUM(B290:F294)-C293))*K289)+((SUM(B294:F294)-C293)*K289),SUM(B294:F294)*K289),IF(SUM(B290:F294)&gt;(L305*5),L305*K289,SUM(B294:F294)*K289)),2)</f>
        <v>0</v>
      </c>
      <c r="L294" s="76">
        <f>ROUND(IF(SUM(B290:F293)&lt;(L306*4),IF((SUM(B290:F294))&gt;(L306*5),(((L306*5)-(SUM(B290:F294)-C294))*L289)+((SUM(B294:F294)-C294)*L289),(SUM(B294:F294)-C294)*L289),IF(SUM(B290:F294)&gt;(L306*5),L306*L289,SUM(B294:F294)*L289)),2)</f>
        <v>0</v>
      </c>
      <c r="M294" s="76">
        <f>ROUND(IF(SUM(B290:F293)&lt;(L306*4),IF((SUM(B290:F294))&gt;(L306*5),(((L306*5)-(SUM(B290:F294)-C294))*M289)+((SUM(B294:F294)-C294)*M289),(SUM(B294:F294)-C294)*M289),IF(SUM(B290:F294)&gt;(L306*5),L306*M289,SUM(B294:F294)*M289)),2)</f>
        <v>0</v>
      </c>
      <c r="N294" s="76">
        <f>ROUND(IF(SUM(B290:F293)&lt;(L306*4),IF((SUM(B290:F294))&gt;(L306*5),(((L306*5)-(SUM(B290:F294)-C293))*N289)+((SUM(B294:F294)-C293)*N289),SUM(B294:F294)*N289),IF(SUM(B290:F294)&gt;(L306*5),L306*N289,SUM(B294:F294)*N289)),2)</f>
        <v>0</v>
      </c>
      <c r="O294" s="23">
        <f>ROUND(SUM(B294+C294+F294)*O289,2)</f>
        <v>0</v>
      </c>
      <c r="P294" s="27">
        <f t="shared" si="33"/>
        <v>0</v>
      </c>
    </row>
    <row r="295" spans="1:16" s="1" customFormat="1" x14ac:dyDescent="0.2">
      <c r="A295" s="100" t="str">
        <f>$A$31</f>
        <v>Jun 2022</v>
      </c>
      <c r="B295" s="24">
        <f>ROUND(IF(N275=0,0,IFERROR(((LOOKUP(2,1/(A278:A281=A295),G278:G281))*N275*4.348),B294/N275*N275)),2)</f>
        <v>0</v>
      </c>
      <c r="C295" s="23">
        <f>ROUND(IFERROR(((LOOKUP(2,1/(B283=A295),((SUM(B296:B298)+SUM(F296:F298))/3)*C283))),0)+IFERROR(((LOOKUP(2,1/(E283=A295),(B302+F302)*F283))),0),2)</f>
        <v>0</v>
      </c>
      <c r="D295" s="23">
        <f>ROUND(IF(B295=0,0,D289/L271*N275),2)</f>
        <v>0</v>
      </c>
      <c r="E295" s="23">
        <f>ROUND(IF(B295=0,0,E289/N267*N275),2)</f>
        <v>0</v>
      </c>
      <c r="F295" s="24">
        <f>ROUND(IF(N275=0,0,IFERROR(((LOOKUP(2,1/(A278:A281=A295),H278:H281))/N267*N275),F294/N275*N275)),2)</f>
        <v>0</v>
      </c>
      <c r="G295" s="27">
        <f t="shared" si="32"/>
        <v>0</v>
      </c>
      <c r="H295" s="76">
        <f>ROUND(IF(SUM(B290:F294)&lt;(L305*5),IF((SUM(B290:F295))&gt;(L305*6),(((L305*6)-(SUM(B290:F295)-C294))*H289)+((SUM(B295:F295)-C294)*H289),SUM(B295:F295)*H289),IF(SUM(B290:F295)&gt;(L305*6),L305*H289,SUM(B295:F295)*H289)),2)</f>
        <v>0</v>
      </c>
      <c r="I295" s="76">
        <f>ROUND(IF(SUM(B290:F294)&lt;(L306*5),IF((SUM(B290:F295))&gt;(L306*6),(((L306*6)-(SUM(B290:F295)-C294))*I289)+((SUM(B295:F295)-C294)*I289),SUM(B295:F295)*I289),IF(SUM(B290:F295)&gt;(L306*6),L306*I289,SUM(B295:F295)*I289)),2)</f>
        <v>0</v>
      </c>
      <c r="J295" s="76">
        <f>ROUND(IF(SUM(B290:F294)&lt;(L306*5),IF((SUM(B290:F295))&gt;(L306*6),(((L306*6)-(SUM(B290:F295)-C294))*J289)+((SUM(B295:F295)-C294)*J289),SUM(B295:F295)*J289),IF(SUM(B290:F295)&gt;(L306*6),L306*J289,SUM(B295:F295)*J289)),2)</f>
        <v>0</v>
      </c>
      <c r="K295" s="76">
        <f>ROUND(IF(SUM(B290:F294)&lt;(L305*5),IF((SUM(B290:F295))&gt;(L305*6),(((L305*6)-(SUM(B290:F295)-C294))*K289)+((SUM(B295:F295)-C294)*K289),SUM(B295:F295)*K289),IF(SUM(B290:F295)&gt;(L305*6),L305*K289,SUM(B295:F295)*K289)),2)</f>
        <v>0</v>
      </c>
      <c r="L295" s="76">
        <f>ROUND(IF(SUM(B290:F294)&lt;(L306*5),IF((SUM(B290:F295))&gt;(L306*6),(((L306*6)-(SUM(B290:F295)-C295))*L289)+((SUM(B295:F295)-C295)*L289),(SUM(B295:F295)-C295)*L289),IF(SUM(B290:F295)&gt;(L306*6),L306*L289,SUM(B295:F295)*L289)),2)</f>
        <v>0</v>
      </c>
      <c r="M295" s="76">
        <f>ROUND(IF(SUM(B290:F294)&lt;(L306*5),IF((SUM(B290:F295))&gt;(L306*6),(((L306*6)-(SUM(B290:F295)-C295))*M289)+((SUM(B295:F295)-C295)*M289),(SUM(B295:F295)-C295)*M289),IF(SUM(B290:F295)&gt;(L306*6),L306*M289,SUM(B295:F295)*M289)),2)</f>
        <v>0</v>
      </c>
      <c r="N295" s="76">
        <f>ROUND(IF(SUM(B290:F294)&lt;(L306*5),IF((SUM(B290:F295))&gt;(L306*6),(((L306*6)-(SUM(B290:F295)-C294))*N289)+((SUM(B295:F295)-C294)*N289),SUM(B295:F295)*N289),IF(SUM(B290:F295)&gt;(L306*6),L306*N289,SUM(B295:F295)*N289)),2)</f>
        <v>0</v>
      </c>
      <c r="O295" s="23">
        <f>ROUND(SUM(B295+C295+F295)*O289,2)</f>
        <v>0</v>
      </c>
      <c r="P295" s="27">
        <f t="shared" si="33"/>
        <v>0</v>
      </c>
    </row>
    <row r="296" spans="1:16" s="1" customFormat="1" x14ac:dyDescent="0.2">
      <c r="A296" s="100" t="str">
        <f>$A$32</f>
        <v>Jul 2022</v>
      </c>
      <c r="B296" s="24">
        <f>ROUND(IF(P270=0,0,IFERROR(((LOOKUP(2,1/(A278:A281=A296),G278:G281))*P270*4.348),B295/P270*P270)),2)</f>
        <v>0</v>
      </c>
      <c r="C296" s="23">
        <f>ROUND(IFERROR(((LOOKUP(2,1/(B283=A296),((SUM(B296:B298)+SUM(F296:F298))/3)*C283))),0)+IFERROR(((LOOKUP(2,1/(E283=A296),(B302+F302)*F283))),0),2)</f>
        <v>0</v>
      </c>
      <c r="D296" s="23">
        <f>ROUND(IF(B296=0,0,D289/L271*P270),2)</f>
        <v>0</v>
      </c>
      <c r="E296" s="23">
        <f>ROUND(IF(B296=0,0,E289/N267*P270),2)</f>
        <v>0</v>
      </c>
      <c r="F296" s="24">
        <f>ROUND(IF(P270=0,0,IFERROR(((LOOKUP(2,1/(A278:A281=A296),H278:H281))/N267*P270),F295/P270*P270)),2)</f>
        <v>0</v>
      </c>
      <c r="G296" s="27">
        <f t="shared" si="32"/>
        <v>0</v>
      </c>
      <c r="H296" s="76">
        <f>ROUND(IF(SUM(B290:F295)&lt;(L305*6),IF((SUM(B290:F296))&gt;(L305*7),(((L305*7)-(SUM(B290:F296)-C295))*H289)+((SUM(B296:F296)-C295)*H289),SUM(B296:F296)*H289),IF(SUM(B290:F296)&gt;(L305*7),L305*H289,SUM(B296:F296)*H289)),2)</f>
        <v>0</v>
      </c>
      <c r="I296" s="76">
        <f>ROUND(IF(SUM(B290:F295)&lt;(L306*6),IF((SUM(B290:F296))&gt;(L306*7),(((L306*7)-(SUM(B290:F296)-C295))*I289)+((SUM(B296:F296)-C295)*I289),SUM(B296:F296)*I289),IF(SUM(B290:F296)&gt;(L306*7),L306*I289,SUM(B296:F296)*I289)),2)</f>
        <v>0</v>
      </c>
      <c r="J296" s="76">
        <f>ROUND(IF(SUM(B290:F295)&lt;(L306*6),IF((SUM(B290:F296))&gt;(L306*7),(((L306*7)-(SUM(B290:F296)-C295))*J289)+((SUM(B296:F296)-C295)*J289),SUM(B296:F296)*J289),IF(SUM(B290:F296)&gt;(L306*7),L306*J289,SUM(B296:F296)*J289)),2)</f>
        <v>0</v>
      </c>
      <c r="K296" s="76">
        <f>ROUND(IF(SUM(B290:F295)&lt;(L305*6),IF((SUM(B290:F296))&gt;(L305*7),(((L305*7)-(SUM(B290:F296)-C295))*K289)+((SUM(B296:F296)-C295)*K289),SUM(B296:F296)*K289),IF(SUM(B290:F296)&gt;(L305*7),L305*K289,SUM(B296:F296)*K289)),2)</f>
        <v>0</v>
      </c>
      <c r="L296" s="76">
        <f>ROUND(IF(SUM(B290:F295)&lt;(L306*6),IF((SUM(B290:F296))&gt;(L306*7),(((L306*7)-(SUM(B290:F296)-C296))*L289)+((SUM(B296:F296)-C296)*L289),(SUM(B296:F296)-C296)*L289),IF(SUM(B290:F296)&gt;(L306*7),L306*L289,SUM(B296:F296)*L289)),2)</f>
        <v>0</v>
      </c>
      <c r="M296" s="76">
        <f>ROUND(IF(SUM(B290:F295)&lt;(L306*6),IF((SUM(B290:F296))&gt;(L306*7),(((L306*7)-(SUM(B290:F296)-C296))*M289)+((SUM(B296:F296)-C296)*M289),(SUM(B296:F296)-C296)*M289),IF(SUM(B290:F296)&gt;(L306*7),L306*M289,SUM(B296:F296)*M289)),2)</f>
        <v>0</v>
      </c>
      <c r="N296" s="76">
        <f>ROUND(IF(SUM(B290:F295)&lt;(L306*6),IF((SUM(B290:F296))&gt;(L306*7),(((L306*7)-(SUM(B290:F296)-C295))*N289)+((SUM(B296:F296)-C295)*N289),SUM(B296:F296)*N289),IF(SUM(B290:F296)&gt;(L306*7),L306*N289,SUM(B296:F296)*N289)),2)</f>
        <v>0</v>
      </c>
      <c r="O296" s="23">
        <f>ROUND(SUM(B296+C296+F296)*O289,2)</f>
        <v>0</v>
      </c>
      <c r="P296" s="27">
        <f t="shared" si="33"/>
        <v>0</v>
      </c>
    </row>
    <row r="297" spans="1:16" s="1" customFormat="1" x14ac:dyDescent="0.2">
      <c r="A297" s="100" t="str">
        <f>$A$33</f>
        <v>Aug 2022</v>
      </c>
      <c r="B297" s="24">
        <f>ROUND(IF(P271=0,0,IFERROR(((LOOKUP(2,1/(A278:A281=A297),G278:G281))*P271*4.348),B296/P271*P271)),2)</f>
        <v>0</v>
      </c>
      <c r="C297" s="23">
        <f>ROUND(IFERROR(((LOOKUP(2,1/(B283=A297),((SUM(B296:B298)+SUM(F296:F298))/3)*C283))),0)+IFERROR(((LOOKUP(2,1/(E283=A297),(B302+F302)*F283))),0),2)</f>
        <v>0</v>
      </c>
      <c r="D297" s="23">
        <f>ROUND(IF(B297=0,0,D289/L271*P271),2)</f>
        <v>0</v>
      </c>
      <c r="E297" s="23">
        <f>ROUND(IF(B297=0,0,E289/N267*P271),2)</f>
        <v>0</v>
      </c>
      <c r="F297" s="24">
        <f>ROUND(IF(P271=0,0,IFERROR(((LOOKUP(2,1/(A278:A281=A297),H278:H281))/N267*P271),F296/P271*P271)),2)</f>
        <v>0</v>
      </c>
      <c r="G297" s="27">
        <f t="shared" si="32"/>
        <v>0</v>
      </c>
      <c r="H297" s="76">
        <f>ROUND(IF(SUM(B290:F296)&lt;(L305*7),IF((SUM(B290:F297))&gt;(L305*8),(((L305*8)-(SUM(B290:F297)-C296))*H289)+((SUM(B297:F297)-C296)*H289),SUM(B297:F297)*H289),IF(SUM(B290:F297)&gt;(L305*8),L305*H289,SUM(B297:F297)*H289)),2)</f>
        <v>0</v>
      </c>
      <c r="I297" s="76">
        <f>ROUND(IF(SUM(B290:F296)&lt;(L306*7),IF((SUM(B290:F297))&gt;(L306*8),(((L306*8)-(SUM(B290:F297)-C296))*I289)+((SUM(B297:F297)-C296)*I289),SUM(B297:F297)*I289),IF(SUM(B290:F297)&gt;(L306*8),L306*I289,SUM(B297:F297)*I289)),2)</f>
        <v>0</v>
      </c>
      <c r="J297" s="76">
        <f>ROUND(IF(SUM(B290:F296)&lt;(L306*7),IF((SUM(B290:F297))&gt;(L306*8),(((L306*8)-(SUM(B290:F297)-C296))*J289)+((SUM(B297:F297)-C296)*J289),SUM(B297:F297)*J289),IF(SUM(B290:F297)&gt;(L306*8),L306*J289,SUM(B297:F297)*J289)),2)</f>
        <v>0</v>
      </c>
      <c r="K297" s="76">
        <f>ROUND(IF(SUM(B290:F296)&lt;(L305*7),IF((SUM(B290:F297))&gt;(L305*8),(((L305*8)-(SUM(B290:F297)-C296))*K289)+((SUM(B297:F297)-C296)*K289),SUM(B297:F297)*K289),IF(SUM(B290:F297)&gt;(L305*8),L305*K289,SUM(B297:F297)*K289)),2)</f>
        <v>0</v>
      </c>
      <c r="L297" s="76">
        <f>ROUND(IF(SUM(B290:F296)&lt;(L306*7),IF((SUM(B290:F297))&gt;(L306*8),(((L306*8)-(SUM(B290:F297)-C297))*L289)+((SUM(B297:F297)-C297)*L289),(SUM(B297:F297)-C297)*L289),IF(SUM(B290:F297)&gt;(L306*8),L306*L289,SUM(B297:F297)*L289)),2)</f>
        <v>0</v>
      </c>
      <c r="M297" s="76">
        <f>ROUND(IF(SUM(B290:F296)&lt;(L306*7),IF((SUM(B290:F297))&gt;(L306*8),(((L306*8)-(SUM(B290:F297)-C297))*M289)+((SUM(B297:F297)-C297)*M289),(SUM(B297:F297)-C297)*M289),IF(SUM(B290:F297)&gt;(L306*8),L306*M289,SUM(B297:F297)*M289)),2)</f>
        <v>0</v>
      </c>
      <c r="N297" s="76">
        <f>ROUND(IF(SUM(B290:F296)&lt;(L306*7),IF((SUM(B290:F297))&gt;(L306*8),(((L306*8)-(SUM(B290:F297)-C296))*N289)+((SUM(B297:F297)-C296)*N289),SUM(B297:F297)*N289),IF(SUM(B290:F297)&gt;(L306*8),L306*N289,SUM(B297:F297)*N289)),2)</f>
        <v>0</v>
      </c>
      <c r="O297" s="23">
        <f>ROUND(SUM(B297+C297+F297)*O289,2)</f>
        <v>0</v>
      </c>
      <c r="P297" s="27">
        <f t="shared" si="33"/>
        <v>0</v>
      </c>
    </row>
    <row r="298" spans="1:16" s="1" customFormat="1" x14ac:dyDescent="0.2">
      <c r="A298" s="100" t="str">
        <f>$A$34</f>
        <v>Sep 2022</v>
      </c>
      <c r="B298" s="24">
        <f>ROUND(IF(P272=0,0,IFERROR(((LOOKUP(2,1/(A278:A281=A298),G278:G281))*P272*4.348),B297/P272*P272)),2)</f>
        <v>0</v>
      </c>
      <c r="C298" s="23">
        <f>ROUND(IFERROR(((LOOKUP(2,1/(B283=A298),((SUM(B296:B298)+SUM(F296:F298))/3)*C283))),0)+IFERROR(((LOOKUP(2,1/(E283=A298),(B302+F302)*F283))),0),2)</f>
        <v>0</v>
      </c>
      <c r="D298" s="23">
        <f>ROUND(IF(B298=0,0,D289/L271*P272),2)</f>
        <v>0</v>
      </c>
      <c r="E298" s="23">
        <f>ROUND(IF(B298=0,0,E289/N267*P272),2)</f>
        <v>0</v>
      </c>
      <c r="F298" s="24">
        <f>ROUND(IF(P272=0,0,IFERROR(((LOOKUP(2,1/(A278:A281=A298),H278:H281))/N267*P272),F297/P272*P272)),2)</f>
        <v>0</v>
      </c>
      <c r="G298" s="27">
        <f t="shared" si="32"/>
        <v>0</v>
      </c>
      <c r="H298" s="76">
        <f>ROUND(IF(SUM(B290:F297)&lt;(L305*8),IF((SUM(B290:F298))&gt;(L305*9),(((L305*9)-(SUM(B290:F298)-C297))*H289)+((SUM(B298:F298)-C297)*H289),SUM(B298:F298)*H289),IF(SUM(B290:F298)&gt;(L305*9),L305*H289,SUM(B298:F298)*H289)),2)</f>
        <v>0</v>
      </c>
      <c r="I298" s="76">
        <f>ROUND(IF(SUM(B290:F297)&lt;(L306*8),IF((SUM(B290:F298))&gt;(L306*9),(((L306*9)-(SUM(B290:F298)-C297))*I289)+((SUM(B298:F298)-C297)*I289),SUM(B298:F298)*I289),IF(SUM(B290:F298)&gt;(L306*9),L306*I289,SUM(B298:F298)*I289)),2)</f>
        <v>0</v>
      </c>
      <c r="J298" s="76">
        <f>ROUND(IF(SUM(B290:F297)&lt;(L306*8),IF((SUM(B290:F298))&gt;(L306*9),(((L306*9)-(SUM(B290:F298)-C297))*J289)+((SUM(B298:F298)-C297)*J289),SUM(B298:F298)*J289),IF(SUM(B290:F298)&gt;(L306*9),L306*J289,SUM(B298:F298)*J289)),2)</f>
        <v>0</v>
      </c>
      <c r="K298" s="76">
        <f>ROUND(IF(SUM(B290:F297)&lt;(L305*8),IF((SUM(B290:F298))&gt;(L305*9),(((L305*9)-(SUM(B290:F298)-C297))*K289)+((SUM(B298:F298)-C297)*K289),SUM(B298:F298)*K289),IF(SUM(B290:F298)&gt;(L305*9),L305*K289,SUM(B298:F298)*K289)),2)</f>
        <v>0</v>
      </c>
      <c r="L298" s="76">
        <f>ROUND(IF(SUM(B290:F297)&lt;(L306*8),IF((SUM(B290:F298))&gt;(L306*9),(((L306*9)-(SUM(B290:F298)-C298))*L289)+((SUM(B298:F298)-C298)*L289),(SUM(B298:F298)-C298)*L289),IF(SUM(B290:F298)&gt;(L306*9),L306*L289,SUM(B298:F298)*L289)),2)</f>
        <v>0</v>
      </c>
      <c r="M298" s="76">
        <f>ROUND(IF(SUM(B290:F297)&lt;(L306*8),IF((SUM(B290:F298))&gt;(L306*9),(((L306*9)-(SUM(B290:F298)-C298))*M289)+((SUM(B298:F298)-C298)*M289),(SUM(B298:F298)-C298)*M289),IF(SUM(B290:F298)&gt;(L306*9),L306*M289,SUM(B298:F298)*M289)),2)</f>
        <v>0</v>
      </c>
      <c r="N298" s="76">
        <f>ROUND(IF(SUM(B290:F297)&lt;(L306*8),IF((SUM(B290:F298))&gt;(L306*9),(((L306*9)-(SUM(B290:F298)-C297))*N289)+((SUM(B298:F298)-C297)*N289),SUM(B298:F298)*N289),IF(SUM(B290:F298)&gt;(L306*9),L306*N289,SUM(B298:F298)*N289)),2)</f>
        <v>0</v>
      </c>
      <c r="O298" s="23">
        <f>ROUND(SUM(B298+C298+F298)*O289,2)</f>
        <v>0</v>
      </c>
      <c r="P298" s="27">
        <f t="shared" si="33"/>
        <v>0</v>
      </c>
    </row>
    <row r="299" spans="1:16" s="1" customFormat="1" x14ac:dyDescent="0.2">
      <c r="A299" s="100" t="str">
        <f>$A$35</f>
        <v>Okt 2022</v>
      </c>
      <c r="B299" s="24">
        <f>ROUND(IF(P273=0,0,IFERROR(((LOOKUP(2,1/(A278:A281=A299),G278:G281))*P273*4.348),B298/P273*P273)),2)</f>
        <v>0</v>
      </c>
      <c r="C299" s="23">
        <f>ROUND(IFERROR(((LOOKUP(2,1/(B283=A299),((SUM(B296:B298)+SUM(F296:F298))/3)*C283))),0)+IFERROR(((LOOKUP(2,1/(E283=A299),(B302+F302)*F283))),0),2)</f>
        <v>0</v>
      </c>
      <c r="D299" s="23">
        <f>ROUND(IF(B299=0,0,D289/L271*P273),2)</f>
        <v>0</v>
      </c>
      <c r="E299" s="23">
        <f>ROUND(IF(B299=0,0,E289/N267*P273),2)</f>
        <v>0</v>
      </c>
      <c r="F299" s="24">
        <f>ROUND(IF(P273=0,0,IFERROR(((LOOKUP(2,1/(A278:A281=A299),H278:H281))/N267*P273),F298/P273*P273)),2)</f>
        <v>0</v>
      </c>
      <c r="G299" s="27">
        <f t="shared" si="32"/>
        <v>0</v>
      </c>
      <c r="H299" s="76">
        <f>ROUND(IF(SUM(B290:F298)&lt;(L305*9),IF((SUM(B290:F299))&gt;(L305*10),(((L305*10)-(SUM(B290:F299)-C298))*H289)+((SUM(B299:F299)-C298)*H289),SUM(B299:F299)*H289),IF(SUM(B290:F299)&gt;(L305*10),L305*H289,SUM(B299:F299)*H289)),2)</f>
        <v>0</v>
      </c>
      <c r="I299" s="76">
        <f>ROUND(IF(SUM(B290:F298)&lt;(L306*9),IF((SUM(B290:F299))&gt;(L306*10),(((L306*10)-(SUM(B290:F299)-C298))*I289)+((SUM(B299:F299)-C298)*I289),SUM(B299:F299)*I289),IF(SUM(B290:F299)&gt;(L306*10),L306*I289,SUM(B299:F299)*I289)),2)</f>
        <v>0</v>
      </c>
      <c r="J299" s="76">
        <f>ROUND(IF(SUM(B290:F298)&lt;(L306*9),IF((SUM(B290:F299))&gt;(L306*10),(((L306*10)-(SUM(B290:F299)-C298))*J289)+((SUM(B299:F299)-C298)*J289),SUM(B299:F299)*J289),IF(SUM(B290:F299)&gt;(L306*10),L306*J289,SUM(B299:F299)*J289)),2)</f>
        <v>0</v>
      </c>
      <c r="K299" s="76">
        <f>ROUND(IF(SUM(B290:F298)&lt;(L305*9),IF((SUM(B290:F299))&gt;(L305*10),(((L305*10)-(SUM(B290:F299)-C298))*K289)+((SUM(B299:F299)-C298)*K289),SUM(B299:F299)*K289),IF(SUM(B290:F299)&gt;(L305*10),L305*K289,SUM(B299:F299)*K289)),2)</f>
        <v>0</v>
      </c>
      <c r="L299" s="76">
        <f>ROUND(IF(SUM(B290:F298)&lt;(L306*9),IF((SUM(B290:F299))&gt;(L306*10),(((L306*10)-(SUM(B290:F299)-C299))*L289)+((SUM(B299:F299)-C299)*L289),(SUM(B299:F299)-C299)*L289),IF(SUM(B290:F299)&gt;(L306*10),L306*L289,SUM(B299:F299)*L289)),2)</f>
        <v>0</v>
      </c>
      <c r="M299" s="76">
        <f>ROUND(IF(SUM(B290:F298)&lt;(L306*9),IF((SUM(B290:F299))&gt;(L306*10),(((L306*10)-(SUM(B290:F299)-C299))*M289)+((SUM(B299:F299)-C299)*M289),(SUM(B299:F299)-C299)*M289),IF(SUM(B290:F299)&gt;(L306*10),L306*M289,SUM(B299:F299)*M289)),2)</f>
        <v>0</v>
      </c>
      <c r="N299" s="76">
        <f>ROUND(IF(SUM(B290:F298)&lt;(L306*9),IF((SUM(B290:F299))&gt;(L306*10),(((L306*10)-(SUM(B290:F299)-C298))*N289)+((SUM(B299:F299)-C298)*N289),SUM(B299:F299)*N289),IF(SUM(B290:F299)&gt;(L306*10),L306*N289,SUM(B299:F299)*N289)),2)</f>
        <v>0</v>
      </c>
      <c r="O299" s="23">
        <f>ROUND(SUM(B299+C299+F299)*O289,2)</f>
        <v>0</v>
      </c>
      <c r="P299" s="27">
        <f t="shared" si="33"/>
        <v>0</v>
      </c>
    </row>
    <row r="300" spans="1:16" s="1" customFormat="1" x14ac:dyDescent="0.2">
      <c r="A300" s="100" t="str">
        <f>$A$36</f>
        <v>Nov 2022</v>
      </c>
      <c r="B300" s="24">
        <f>ROUND(IF(P274=0,0,IFERROR(((LOOKUP(2,1/(A278:A281=A300),G278:G281))*P274*4.348),B299/P274*P274)),2)</f>
        <v>0</v>
      </c>
      <c r="C300" s="23">
        <f>ROUND(IFERROR(((LOOKUP(2,1/(B283=A300),((SUM(B296:B298)+SUM(F296:F298))/3)*C283))),0)+IFERROR(((LOOKUP(2,1/(E283=A300),(B302+F302)*F283))),0),2)</f>
        <v>0</v>
      </c>
      <c r="D300" s="23">
        <f>ROUND(IF(B300=0,0,D289/L271*P274),2)</f>
        <v>0</v>
      </c>
      <c r="E300" s="23">
        <f>ROUND(IF(B300=0,0,E289/N267*P274),2)</f>
        <v>0</v>
      </c>
      <c r="F300" s="24">
        <f>ROUND(IF(P274=0,0,IFERROR(((LOOKUP(2,1/(A278:A281=A300),H278:H281))/N267*P274),F299/P274*P274)),2)</f>
        <v>0</v>
      </c>
      <c r="G300" s="27">
        <f t="shared" si="32"/>
        <v>0</v>
      </c>
      <c r="H300" s="76">
        <f>ROUND(IF(SUM(B290:F299)&lt;(L305*10),IF((SUM(B290:F300))&gt;(L305*11),(((L305*11)-(SUM(B290:F300)-C299))*H289)+((SUM(B300:F300)-C299)*H289),SUM(B300:F300)*H289),IF(SUM(B290:F300)&gt;(L305*11),L305*H289,SUM(B300:F300)*H289)),2)</f>
        <v>0</v>
      </c>
      <c r="I300" s="76">
        <f>ROUND(IF(SUM(B290:F299)&lt;(L306*10),IF((SUM(B290:F300))&gt;(L306*11),(((L306*11)-(SUM(B290:F300)-C299))*I289)+((SUM(B300:F300)-C299)*I289),SUM(B300:F300)*I289),IF(SUM(B290:F300)&gt;(L306*11),L306*I289,SUM(B300:F300)*I289)),2)</f>
        <v>0</v>
      </c>
      <c r="J300" s="76">
        <f>ROUND(IF(SUM(B290:F299)&lt;(L306*10),IF((SUM(B290:F300))&gt;(L306*11),(((L306*11)-(SUM(B290:F300)-C299))*J289)+((SUM(B300:F300)-C299)*J289),SUM(B300:F300)*J289),IF(SUM(B290:F300)&gt;(L306*11),L306*J289,SUM(B300:F300)*J289)),2)</f>
        <v>0</v>
      </c>
      <c r="K300" s="76">
        <f>ROUND(IF(SUM(B290:F299)&lt;(L305*10),IF((SUM(B290:F300))&gt;(L305*11),(((L305*11)-(SUM(B290:F300)-C299))*K289)+((SUM(B300:F300)-C299)*K289),SUM(B300:F300)*K289),IF(SUM(B290:F300)&gt;(L305*11),L305*K289,SUM(B300:F300)*K289)),2)</f>
        <v>0</v>
      </c>
      <c r="L300" s="76">
        <f>ROUND(IF(SUM(B290:F299)&lt;(L306*10),IF((SUM(B290:F300))&gt;(L306*11),(((L306*11)-(SUM(B290:F300)-C300))*L289)+((SUM(B300:F300)-C300)*L289),(SUM(B300:F300)-C300)*L289),IF(SUM(B290:F300)&gt;(L306*11),L306*L289,SUM(B300:F300)*L289)),2)</f>
        <v>0</v>
      </c>
      <c r="M300" s="76">
        <f>ROUND(IF(SUM(B290:F299)&lt;(L306*10),IF((SUM(B290:F300))&gt;(L306*11),(((L306*11)-(SUM(B290:F300)-C300))*M289)+((SUM(B300:F300)-C300)*M289),(SUM(B300:F300)-C300)*M289),IF(SUM(B290:F300)&gt;(L306*11),L306*M289,SUM(B300:F300)*M289)),2)</f>
        <v>0</v>
      </c>
      <c r="N300" s="76">
        <f>ROUND(IF(SUM(B290:F299)&lt;(L306*10),IF((SUM(B290:F300))&gt;(L306*11),(((L306*11)-(SUM(B290:F300)-C299))*N289)+((SUM(B300:F300)-C299)*N289),SUM(B300:F300)*N289),IF(SUM(B290:F300)&gt;(L306*11),L306*N289,SUM(B300:F300)*N289)),2)</f>
        <v>0</v>
      </c>
      <c r="O300" s="23">
        <f>ROUND(SUM(B300+C300+F300)*O289,2)</f>
        <v>0</v>
      </c>
      <c r="P300" s="27">
        <f t="shared" si="33"/>
        <v>0</v>
      </c>
    </row>
    <row r="301" spans="1:16" s="1" customFormat="1" x14ac:dyDescent="0.2">
      <c r="A301" s="100" t="str">
        <f>$A$37</f>
        <v>Dez 2022</v>
      </c>
      <c r="B301" s="24">
        <f>ROUND(IF(P275=0,0,IFERROR(((LOOKUP(2,1/(A278:A281=A301),G278:G281))*P275*4.348),B300/P275*P275)),2)</f>
        <v>0</v>
      </c>
      <c r="C301" s="23">
        <f>ROUND(IFERROR(((LOOKUP(2,1/(B283=A301),((SUM(B296:B298)+SUM(F296:F298))/3)*C283))),0)+IFERROR(((LOOKUP(2,1/(E283=A301),(B302+F302)*F283))),0),2)</f>
        <v>0</v>
      </c>
      <c r="D301" s="23">
        <f>ROUND(IF(B301=0,0,D289/L271*P275),2)</f>
        <v>0</v>
      </c>
      <c r="E301" s="23">
        <f>ROUND(IF(B301=0,0,E289/N267*P275),2)</f>
        <v>0</v>
      </c>
      <c r="F301" s="24">
        <f>ROUND(IF(P275=0,0,IFERROR(((LOOKUP(2,1/(A278:A281=A301),H278:H281))/N267*P275),F300/P275*P275)),2)</f>
        <v>0</v>
      </c>
      <c r="G301" s="27">
        <f t="shared" si="32"/>
        <v>0</v>
      </c>
      <c r="H301" s="76">
        <f>ROUND(IF(SUM(B290:F300)&lt;(L305*11),IF((SUM(B290:F301))&gt;(L305*12),(((L305*12)-(SUM(B290:F301)-C300))*H289)+((SUM(B301:F301)-C300)*H289),SUM(B301:F301)*H289),IF(SUM(B290:F301)&gt;(L305*12),L305*H289,SUM(B301:F301)*H289)),2)</f>
        <v>0</v>
      </c>
      <c r="I301" s="76">
        <f>ROUND(IF(SUM(B290:F300)&lt;(L306*11),IF((SUM(B290:F301))&gt;(L306*12),(((L306*12)-(SUM(B290:F301)-C300))*I289)+((SUM(B301:F301)-C300)*I289),SUM(B301:F301)*I289),IF(SUM(B290:F301)&gt;(L306*12),L306*I289,SUM(B301:F301)*I289)),2)</f>
        <v>0</v>
      </c>
      <c r="J301" s="76">
        <f>ROUND(IF(SUM(B290:F300)&lt;(L306*11),IF((SUM(B290:F301))&gt;(L306*12),(((L306*12)-(SUM(B290:F301)-C300))*J289)+((SUM(B301:F301)-C300)*J289),SUM(B301:F301)*J289),IF(SUM(B290:F301)&gt;(L306*12),L306*J289,SUM(B301:F301)*J289)),2)</f>
        <v>0</v>
      </c>
      <c r="K301" s="76">
        <f>ROUND(IF(SUM(B290:F300)&lt;(L305*11),IF((SUM(B290:F301))&gt;(L305*12),(((L305*12)-(SUM(B290:F301)-C300))*K289)+((SUM(B301:F301)-C300)*K289),SUM(B301:F301)*K289),IF(SUM(B290:F301)&gt;(L305*12),L305*K289,SUM(B301:F301)*K289)),2)</f>
        <v>0</v>
      </c>
      <c r="L301" s="76">
        <f>ROUND(IF(SUM(B290:F300)&lt;(L306*11),IF((SUM(B290:F301))&gt;(L306*12),(((L306*12)-(SUM(B290:F301)-C301))*L289)+((SUM(B301:F301)-C301)*L289),(SUM(B301:F301)-C301)*L289),IF(SUM(B290:F301)&gt;(L306*12),L306*L289,SUM(B301:F301)*L289)),2)</f>
        <v>0</v>
      </c>
      <c r="M301" s="76">
        <f>ROUND(IF(SUM(B290:F300)&lt;(L306*11),IF((SUM(B290:F301))&gt;(L306*12),(((L306*12)-(SUM(B290:F301)-C301))*M289)+((SUM(B301:F301)-C301)*M289),(SUM(B301:F301)-C301)*M289),IF(SUM(B290:F301)&gt;(L306*12),L306*M289,SUM(B301:F301)*M289)),2)</f>
        <v>0</v>
      </c>
      <c r="N301" s="76">
        <f>ROUND(IF(SUM(B290:F300)&lt;(L306*11),IF((SUM(B290:F301))&gt;(L306*12),(((L306*12)-(SUM(B290:F301)-C300))*N289)+((SUM(B301:F301)-C300)*N289),SUM(B301:F301)*N289),IF(SUM(B290:F301)&gt;(L306*12),L306*N289,SUM(B301:F301)*N289)),2)</f>
        <v>0</v>
      </c>
      <c r="O301" s="23">
        <f>ROUND(SUM(B301+C301+F301)*O289,2)</f>
        <v>0</v>
      </c>
      <c r="P301" s="27">
        <f t="shared" si="33"/>
        <v>0</v>
      </c>
    </row>
    <row r="302" spans="1:16" s="14" customFormat="1" ht="15" x14ac:dyDescent="0.25">
      <c r="A302" s="4" t="s">
        <v>2</v>
      </c>
      <c r="B302" s="27">
        <f>SUM(B290:B301)</f>
        <v>0</v>
      </c>
      <c r="C302" s="27">
        <f t="shared" ref="C302:D302" si="34">SUM(C290:C301)</f>
        <v>0</v>
      </c>
      <c r="D302" s="27">
        <f t="shared" si="34"/>
        <v>0</v>
      </c>
      <c r="E302" s="27">
        <f>SUM(E290:E301)</f>
        <v>0</v>
      </c>
      <c r="F302" s="27">
        <f>SUM(F290:F301)</f>
        <v>0</v>
      </c>
      <c r="G302" s="27">
        <f>SUM(G290:G301)</f>
        <v>0</v>
      </c>
      <c r="H302" s="1133">
        <f>SUM(H290:N301)</f>
        <v>0</v>
      </c>
      <c r="I302" s="1134"/>
      <c r="J302" s="1134"/>
      <c r="K302" s="1134"/>
      <c r="L302" s="1134"/>
      <c r="M302" s="1134"/>
      <c r="N302" s="1135"/>
      <c r="O302" s="27">
        <f>SUM(O290:O301)</f>
        <v>0</v>
      </c>
      <c r="P302" s="27">
        <f>SUM(P290:P301)</f>
        <v>0</v>
      </c>
    </row>
    <row r="303" spans="1:16" s="13" customFormat="1" ht="11.25" x14ac:dyDescent="0.2">
      <c r="A303" s="3" t="s">
        <v>1</v>
      </c>
      <c r="B303" s="2"/>
      <c r="C303" s="2"/>
      <c r="D303" s="2"/>
      <c r="E303" s="2"/>
      <c r="F303" s="2"/>
      <c r="G303" s="2"/>
      <c r="H303" s="2"/>
      <c r="I303" s="2"/>
      <c r="J303" s="2"/>
      <c r="K303" s="2"/>
      <c r="L303" s="2"/>
      <c r="M303" s="2"/>
      <c r="N303" s="2"/>
      <c r="O303" s="2"/>
      <c r="P303" s="2"/>
    </row>
    <row r="304" spans="1:16" s="1" customFormat="1" ht="14.25" customHeight="1" x14ac:dyDescent="0.2">
      <c r="A304" s="1136" t="s">
        <v>133</v>
      </c>
      <c r="B304" s="1137"/>
      <c r="C304" s="1137"/>
      <c r="D304" s="1137" t="s">
        <v>134</v>
      </c>
      <c r="E304" s="1137"/>
      <c r="F304" s="94" t="str">
        <f>IF(IF(G302=0,"",'päd.Personal - Leitung'!$F$40)=0,"",IF(G302=0,"",'päd.Personal - Leitung'!$F$40))</f>
        <v/>
      </c>
      <c r="G304" s="77" t="s">
        <v>135</v>
      </c>
      <c r="H304" s="96" t="str">
        <f>IF(IF(G302=0,"",'päd.Personal - Leitung'!$H$40)=0,"",IF(G302=0,"",'päd.Personal - Leitung'!$H$40))</f>
        <v/>
      </c>
      <c r="I304" s="73"/>
      <c r="J304" s="194" t="s">
        <v>160</v>
      </c>
      <c r="K304" s="194" t="str">
        <f>$K$40</f>
        <v>2021</v>
      </c>
      <c r="L304" s="194" t="str">
        <f>$L$40</f>
        <v>anteilig 2021</v>
      </c>
      <c r="M304" s="1138" t="s">
        <v>140</v>
      </c>
      <c r="N304" s="1138"/>
      <c r="O304" s="1139"/>
      <c r="P304" s="27">
        <f>ROUND(IF(F304="",IF(E308="",0,(E308*H308/K308)/L271*L272),G302*F304*H304/1000),2)</f>
        <v>0</v>
      </c>
    </row>
    <row r="305" spans="1:16" s="1" customFormat="1" ht="15" customHeight="1" x14ac:dyDescent="0.2">
      <c r="A305" s="1140" t="s">
        <v>145</v>
      </c>
      <c r="B305" s="1141"/>
      <c r="C305" s="1141"/>
      <c r="D305" s="18"/>
      <c r="E305" s="107" t="s">
        <v>135</v>
      </c>
      <c r="F305" s="95" t="str">
        <f>IF(IF(G302=0,"",'päd.Personal - Leitung'!$F$41)=0,"",IF(G302=0,"",'päd.Personal - Leitung'!$F$41))</f>
        <v/>
      </c>
      <c r="G305" s="48"/>
      <c r="H305" s="47"/>
      <c r="I305" s="48"/>
      <c r="J305" s="195" t="s">
        <v>158</v>
      </c>
      <c r="K305" s="198">
        <f>$K$41</f>
        <v>4837.5</v>
      </c>
      <c r="L305" s="197">
        <f>IF(L271="",K305,K305/L271*L272)</f>
        <v>4837.5</v>
      </c>
      <c r="M305" s="1138" t="s">
        <v>139</v>
      </c>
      <c r="N305" s="1138"/>
      <c r="O305" s="1139"/>
      <c r="P305" s="27">
        <f>ROUND(IF(F305="",0,G302*F305/1000),2)</f>
        <v>0</v>
      </c>
    </row>
    <row r="306" spans="1:16" s="1" customFormat="1" ht="15.75" customHeight="1" x14ac:dyDescent="0.2">
      <c r="A306" s="1142" t="s">
        <v>141</v>
      </c>
      <c r="B306" s="1143"/>
      <c r="C306" s="1143"/>
      <c r="D306" s="1144" t="s">
        <v>143</v>
      </c>
      <c r="E306" s="1144"/>
      <c r="F306" s="1145" t="str">
        <f>IF(IF(G302=0,"",'päd.Personal - Leitung'!$F$42)=0,"",IF(G302=0,"",'päd.Personal - Leitung'!$F$42))</f>
        <v/>
      </c>
      <c r="G306" s="1145"/>
      <c r="H306" s="72"/>
      <c r="I306" s="18"/>
      <c r="J306" s="195" t="s">
        <v>159</v>
      </c>
      <c r="K306" s="197">
        <f>$K$42</f>
        <v>6700</v>
      </c>
      <c r="L306" s="197">
        <f>IF(L271="",K306,K306/L271*L272)</f>
        <v>6700</v>
      </c>
      <c r="M306" s="1138" t="s">
        <v>141</v>
      </c>
      <c r="N306" s="1138"/>
      <c r="O306" s="1139"/>
      <c r="P306" s="23">
        <f>ROUND(IF(F306="",0,IF(G302=0,0,F306/L271*L272)),2)</f>
        <v>0</v>
      </c>
    </row>
    <row r="307" spans="1:16" s="1" customFormat="1" ht="14.25" customHeight="1" x14ac:dyDescent="0.2">
      <c r="A307" s="18"/>
      <c r="B307" s="18"/>
      <c r="C307" s="18"/>
      <c r="D307" s="18"/>
      <c r="E307" s="18"/>
      <c r="F307" s="18"/>
      <c r="G307" s="18"/>
      <c r="H307" s="18"/>
      <c r="I307" s="18"/>
      <c r="J307" s="18"/>
      <c r="K307" s="74"/>
      <c r="L307" s="82"/>
      <c r="M307" s="1127" t="s">
        <v>146</v>
      </c>
      <c r="N307" s="1127"/>
      <c r="O307" s="1128"/>
      <c r="P307" s="23">
        <f>ROUND(IF(G302=0,0,$P$87),2)</f>
        <v>0</v>
      </c>
    </row>
    <row r="308" spans="1:16" s="1" customFormat="1" ht="14.25" customHeight="1" x14ac:dyDescent="0.2">
      <c r="A308" s="1129" t="s">
        <v>142</v>
      </c>
      <c r="B308" s="1130"/>
      <c r="C308" s="126" t="s">
        <v>136</v>
      </c>
      <c r="D308" s="179" t="s">
        <v>137</v>
      </c>
      <c r="E308" s="1131" t="str">
        <f>IF(IF(G302=0,"",'päd.Personal - Leitung'!$E$44)=0,"",IF(G302=0,"",'päd.Personal - Leitung'!$E$44))</f>
        <v/>
      </c>
      <c r="F308" s="1131"/>
      <c r="G308" s="83" t="s">
        <v>138</v>
      </c>
      <c r="H308" s="97" t="str">
        <f>IF(IF(G302=0,"",'päd.Personal - Leitung'!$H$44)=0,"",IF(G302=0,"",'päd.Personal - Leitung'!$H$44))</f>
        <v/>
      </c>
      <c r="I308" s="1132" t="s">
        <v>144</v>
      </c>
      <c r="J308" s="1132"/>
      <c r="K308" s="98" t="str">
        <f>IF(IF(G302=0,"",'päd.Personal - Leitung'!$K$44)=0,"",IF(G302=0,"",'päd.Personal - Leitung'!$K$44))</f>
        <v/>
      </c>
      <c r="L308" s="29"/>
      <c r="M308" s="29"/>
      <c r="N308" s="29"/>
      <c r="O308" s="28" t="s">
        <v>0</v>
      </c>
      <c r="P308" s="27">
        <f>P302+SUM(P304:P307)</f>
        <v>0</v>
      </c>
    </row>
    <row r="309" spans="1:16" s="12" customFormat="1" ht="13.5" customHeight="1" x14ac:dyDescent="0.2">
      <c r="A309" s="1178" t="s">
        <v>18</v>
      </c>
      <c r="B309" s="1178"/>
      <c r="C309" s="1178"/>
      <c r="D309" s="1179" t="str">
        <f>IF($D$1="","",$D$1)</f>
        <v/>
      </c>
      <c r="E309" s="1179"/>
      <c r="F309" s="1179"/>
      <c r="G309" s="1179"/>
      <c r="H309" s="1179"/>
      <c r="I309" s="1179"/>
      <c r="J309" s="1179"/>
      <c r="K309" s="1179"/>
      <c r="L309" s="1179"/>
      <c r="M309" s="1179"/>
      <c r="N309" s="1179"/>
    </row>
    <row r="310" spans="1:16" s="12" customFormat="1" ht="15" customHeight="1" x14ac:dyDescent="0.2">
      <c r="A310" s="1178" t="s">
        <v>17</v>
      </c>
      <c r="B310" s="1178"/>
      <c r="C310" s="1178" t="s">
        <v>15</v>
      </c>
      <c r="D310" s="1179" t="str">
        <f>IF($D$2="","",$D$2)</f>
        <v/>
      </c>
      <c r="E310" s="1179"/>
      <c r="F310" s="1179"/>
      <c r="G310" s="1179"/>
      <c r="H310" s="1179"/>
      <c r="I310" s="1179"/>
      <c r="J310" s="1179"/>
      <c r="K310" s="1179"/>
      <c r="L310" s="1179"/>
      <c r="M310" s="1179"/>
      <c r="N310" s="1179"/>
    </row>
    <row r="311" spans="1:16" s="12" customFormat="1" ht="15" customHeight="1" x14ac:dyDescent="0.2">
      <c r="A311" s="1178" t="s">
        <v>16</v>
      </c>
      <c r="B311" s="1178"/>
      <c r="C311" s="1178" t="s">
        <v>15</v>
      </c>
      <c r="D311" s="1179" t="str">
        <f>IF($D$3="","",$D$3)</f>
        <v/>
      </c>
      <c r="E311" s="1179"/>
      <c r="F311" s="1179"/>
      <c r="G311" s="1179"/>
      <c r="H311" s="1179"/>
      <c r="I311" s="1179"/>
      <c r="J311" s="1179"/>
      <c r="K311" s="1178" t="s">
        <v>103</v>
      </c>
      <c r="L311" s="1178"/>
      <c r="M311" s="1178"/>
      <c r="N311" s="41" t="str">
        <f>IF($N$3="","",$N$3)</f>
        <v/>
      </c>
    </row>
    <row r="312" spans="1:16" s="13" customFormat="1" ht="11.25" x14ac:dyDescent="0.2">
      <c r="A312" s="1182"/>
      <c r="B312" s="1182"/>
      <c r="C312" s="1182"/>
      <c r="D312" s="1183"/>
      <c r="E312" s="1183"/>
      <c r="F312" s="1183"/>
      <c r="G312" s="1183"/>
      <c r="H312" s="1183"/>
      <c r="I312" s="1183"/>
      <c r="J312" s="1183"/>
      <c r="K312" s="11"/>
      <c r="L312" s="11"/>
      <c r="M312" s="11"/>
      <c r="N312" s="11"/>
      <c r="O312" s="11"/>
      <c r="P312" s="11"/>
    </row>
    <row r="313" spans="1:16" s="15" customFormat="1" ht="13.5" customHeight="1" x14ac:dyDescent="0.2">
      <c r="A313" s="1177" t="s">
        <v>166</v>
      </c>
      <c r="B313" s="1177"/>
      <c r="C313" s="1177"/>
      <c r="D313" s="1177"/>
      <c r="E313" s="1177"/>
      <c r="F313" s="1177"/>
      <c r="G313" s="1177"/>
      <c r="H313" s="1177"/>
      <c r="I313" s="1177"/>
      <c r="J313" s="1177"/>
      <c r="K313" s="9"/>
      <c r="L313" s="9"/>
      <c r="M313" s="9"/>
      <c r="N313" s="59" t="s">
        <v>154</v>
      </c>
      <c r="O313" s="191">
        <f>$O$5</f>
        <v>2022</v>
      </c>
      <c r="P313" s="59" t="s">
        <v>154</v>
      </c>
    </row>
    <row r="314" spans="1:16" s="10" customFormat="1" ht="13.5" customHeight="1" x14ac:dyDescent="0.25">
      <c r="B314" s="32"/>
      <c r="C314" s="32"/>
      <c r="D314" s="5" t="s">
        <v>44</v>
      </c>
      <c r="E314" s="31"/>
      <c r="F314" s="31"/>
      <c r="G314" s="31"/>
      <c r="H314" s="31"/>
      <c r="I314" s="26"/>
      <c r="J314" s="1174" t="s">
        <v>14</v>
      </c>
      <c r="K314" s="1174"/>
      <c r="L314" s="180"/>
      <c r="N314" s="84">
        <f>IF(L316="","",L316)</f>
        <v>0</v>
      </c>
      <c r="O314" s="58" t="str">
        <f>$O$6</f>
        <v>Jan                Jul</v>
      </c>
      <c r="P314" s="85">
        <f>IF(N319="","",N319)</f>
        <v>0</v>
      </c>
    </row>
    <row r="315" spans="1:16" s="7" customFormat="1" ht="13.5" customHeight="1" x14ac:dyDescent="0.25">
      <c r="A315" s="1180" t="s">
        <v>71</v>
      </c>
      <c r="B315" s="1180"/>
      <c r="C315" s="1180"/>
      <c r="D315" s="1184"/>
      <c r="E315" s="1184"/>
      <c r="F315" s="1184"/>
      <c r="G315" s="1184"/>
      <c r="H315" s="1184"/>
      <c r="I315" s="1184"/>
      <c r="J315" s="1174" t="s">
        <v>104</v>
      </c>
      <c r="K315" s="1174"/>
      <c r="L315" s="145"/>
      <c r="N315" s="85">
        <f>IF(N314="","",N314)</f>
        <v>0</v>
      </c>
      <c r="O315" s="58" t="str">
        <f>$O$7</f>
        <v>Feb              Aug</v>
      </c>
      <c r="P315" s="85">
        <f>IF(P314="","",P314)</f>
        <v>0</v>
      </c>
    </row>
    <row r="316" spans="1:16" s="1" customFormat="1" ht="13.5" customHeight="1" x14ac:dyDescent="0.2">
      <c r="A316" s="1180" t="s">
        <v>13</v>
      </c>
      <c r="B316" s="1180"/>
      <c r="C316" s="1180"/>
      <c r="D316" s="1181"/>
      <c r="E316" s="1181"/>
      <c r="F316" s="1181"/>
      <c r="G316" s="1181"/>
      <c r="H316" s="1181"/>
      <c r="I316" s="1181"/>
      <c r="J316" s="1174" t="s">
        <v>164</v>
      </c>
      <c r="K316" s="1174"/>
      <c r="L316" s="145">
        <f>IF((L317+L318)&gt;L315,0,L315-L317-L318)</f>
        <v>0</v>
      </c>
      <c r="N316" s="85">
        <f>IF(N315="","",N315)</f>
        <v>0</v>
      </c>
      <c r="O316" s="58" t="str">
        <f>$O$8</f>
        <v>Mrz              Sep</v>
      </c>
      <c r="P316" s="85">
        <f>IF(P315="","",P315)</f>
        <v>0</v>
      </c>
    </row>
    <row r="317" spans="1:16" s="1" customFormat="1" ht="13.5" customHeight="1" x14ac:dyDescent="0.2">
      <c r="A317" s="1180" t="s">
        <v>12</v>
      </c>
      <c r="B317" s="1180"/>
      <c r="C317" s="1180"/>
      <c r="D317" s="1181"/>
      <c r="E317" s="1181"/>
      <c r="F317" s="1181"/>
      <c r="G317" s="1181"/>
      <c r="H317" s="1181"/>
      <c r="I317" s="1181"/>
      <c r="J317" s="1174" t="s">
        <v>165</v>
      </c>
      <c r="K317" s="1174"/>
      <c r="L317" s="145"/>
      <c r="N317" s="85">
        <f>IF(N316="","",N316)</f>
        <v>0</v>
      </c>
      <c r="O317" s="58" t="str">
        <f>$O$9</f>
        <v>Apr               Okt</v>
      </c>
      <c r="P317" s="85">
        <f t="shared" ref="P317:P319" si="35">IF(P316="","",P316)</f>
        <v>0</v>
      </c>
    </row>
    <row r="318" spans="1:16" s="1" customFormat="1" ht="13.5" customHeight="1" x14ac:dyDescent="0.2">
      <c r="A318" s="1180" t="s">
        <v>19</v>
      </c>
      <c r="B318" s="1180"/>
      <c r="C318" s="1180"/>
      <c r="D318" s="1181"/>
      <c r="E318" s="1181"/>
      <c r="F318" s="1181"/>
      <c r="G318" s="1181"/>
      <c r="H318" s="1181"/>
      <c r="I318" s="1181"/>
      <c r="J318" s="1174" t="s">
        <v>252</v>
      </c>
      <c r="K318" s="1174"/>
      <c r="L318" s="145"/>
      <c r="M318" s="92"/>
      <c r="N318" s="85">
        <f>IF(N317="","",N317)</f>
        <v>0</v>
      </c>
      <c r="O318" s="58" t="str">
        <f>$O$10</f>
        <v>Mai               Nov</v>
      </c>
      <c r="P318" s="85">
        <f t="shared" si="35"/>
        <v>0</v>
      </c>
    </row>
    <row r="319" spans="1:16" s="1" customFormat="1" ht="13.5" customHeight="1" x14ac:dyDescent="0.2">
      <c r="B319" s="8"/>
      <c r="C319" s="121" t="s">
        <v>162</v>
      </c>
      <c r="D319" s="1175"/>
      <c r="E319" s="1175"/>
      <c r="F319" s="1176" t="s">
        <v>106</v>
      </c>
      <c r="G319" s="1176"/>
      <c r="H319" s="1186"/>
      <c r="I319" s="1186"/>
      <c r="J319" s="1174" t="s">
        <v>97</v>
      </c>
      <c r="K319" s="1174"/>
      <c r="L319" s="17" t="str">
        <f>IF(IF((COUNTIF(B334:B345,"&gt;0"))=0,0,(COUNTIF(B334:B345,"&gt;0")))&gt;Grundlagen!$C$24,Grundlagen!$C$24,IF((COUNTIF(B334:B345,"&gt;0"))=0,"",(COUNTIF(B334:B345,"&gt;0"))))</f>
        <v/>
      </c>
      <c r="N319" s="85">
        <f>IF(N318="","",N318)</f>
        <v>0</v>
      </c>
      <c r="O319" s="58" t="str">
        <f>'päd.Personal - Leitung'!$O$11</f>
        <v>Jun               Dez</v>
      </c>
      <c r="P319" s="85">
        <f t="shared" si="35"/>
        <v>0</v>
      </c>
    </row>
    <row r="320" spans="1:16" s="1" customFormat="1" ht="13.5" customHeight="1" x14ac:dyDescent="0.2">
      <c r="I320" s="6"/>
      <c r="L320" s="147" t="str">
        <f>IF((SUM(F322:F325))=0,"",IF(P320&gt;L316,L316,IF(L316="","",IF(L319="","",P320))))</f>
        <v/>
      </c>
      <c r="O320" s="174" t="s">
        <v>251</v>
      </c>
      <c r="P320" s="175">
        <f>IF(L319="",0,((IF(SUMIF(B334,"&gt;0"),N314,0))+(IF(SUMIF(B335,"&gt;0"),N315,0))+(IF(SUMIF(B336,"&gt;0"),N316,0))+(IF(SUMIF(B337,"&gt;0"),N317,0))+(IF(SUMIF(B338,"&gt;0"),N318,0))+(IF(SUMIF(B339,"&gt;0"),N319,0))+(IF(SUMIF(B340,"&gt;0"),P314,0))+(IF(SUMIF(B341,"&gt;0"),P315,0))+(IF(SUMIF(B342,"&gt;0"),P316,0))+(IF(SUMIF(B343,"&gt;0"),P317,0))+(IF(SUMIF(B344,"&gt;0"),P318,0))+(IF(SUMIF(B345,"&gt;0"),P319,0)))/Grundlagen!$C$24)</f>
        <v>0</v>
      </c>
    </row>
    <row r="321" spans="1:16" s="52" customFormat="1" ht="13.5" customHeight="1" x14ac:dyDescent="0.2">
      <c r="A321" s="61" t="s">
        <v>148</v>
      </c>
      <c r="B321" s="1168" t="s">
        <v>149</v>
      </c>
      <c r="C321" s="1168"/>
      <c r="D321" s="62" t="s">
        <v>150</v>
      </c>
      <c r="E321" s="63" t="s">
        <v>151</v>
      </c>
      <c r="F321" s="64" t="str">
        <f>CONCATENATE("Entg. ",N311," h/Wo")</f>
        <v>Entg.  h/Wo</v>
      </c>
      <c r="G321" s="65" t="s">
        <v>152</v>
      </c>
      <c r="H321" s="65" t="s">
        <v>153</v>
      </c>
      <c r="K321" s="1169" t="str">
        <f>CONCATENATE("Zuschläge / Zulagen für ",N311,"h/Wo")</f>
        <v>Zuschläge / Zulagen für h/Wo</v>
      </c>
      <c r="L321" s="1169"/>
      <c r="M321" s="66" t="str">
        <f>IF(A322="","",A322)</f>
        <v>Jan 2022</v>
      </c>
      <c r="N321" s="66" t="str">
        <f>IF(A323="","",A323)</f>
        <v/>
      </c>
      <c r="O321" s="66" t="str">
        <f>IF(A324="","",A324)</f>
        <v/>
      </c>
      <c r="P321" s="66" t="str">
        <f>IF(A325="","",A325)</f>
        <v/>
      </c>
    </row>
    <row r="322" spans="1:16" s="52" customFormat="1" ht="13.5" customHeight="1" x14ac:dyDescent="0.25">
      <c r="A322" s="54" t="str">
        <f>A334</f>
        <v>Jan 2022</v>
      </c>
      <c r="B322" s="1170" t="str">
        <f>IF($D$3="","",$D$3)</f>
        <v/>
      </c>
      <c r="C322" s="1171"/>
      <c r="D322" s="181"/>
      <c r="E322" s="181"/>
      <c r="F322" s="87"/>
      <c r="G322" s="56">
        <f>IF(N311="",0,F322/N311/4.348)</f>
        <v>0</v>
      </c>
      <c r="H322" s="53">
        <f>IF(G322=0,0,M327)</f>
        <v>0</v>
      </c>
      <c r="K322" s="1146"/>
      <c r="L322" s="1146"/>
      <c r="M322" s="172"/>
      <c r="N322" s="172"/>
      <c r="O322" s="172"/>
      <c r="P322" s="172"/>
    </row>
    <row r="323" spans="1:16" s="52" customFormat="1" ht="13.5" customHeight="1" x14ac:dyDescent="0.25">
      <c r="A323" s="55"/>
      <c r="B323" s="1172" t="str">
        <f>IF(A323="","",B322)</f>
        <v/>
      </c>
      <c r="C323" s="1173"/>
      <c r="D323" s="181"/>
      <c r="E323" s="181"/>
      <c r="F323" s="87"/>
      <c r="G323" s="56">
        <f>IF(N311="",0,F323/N311/4.348)</f>
        <v>0</v>
      </c>
      <c r="H323" s="53">
        <f>IF(G323=0,0,N327)</f>
        <v>0</v>
      </c>
      <c r="K323" s="1146"/>
      <c r="L323" s="1146"/>
      <c r="M323" s="172"/>
      <c r="N323" s="172"/>
      <c r="O323" s="172"/>
      <c r="P323" s="172"/>
    </row>
    <row r="324" spans="1:16" s="52" customFormat="1" ht="13.5" customHeight="1" x14ac:dyDescent="0.25">
      <c r="A324" s="55"/>
      <c r="B324" s="1172" t="str">
        <f>IF(A324="","",B323)</f>
        <v/>
      </c>
      <c r="C324" s="1173"/>
      <c r="D324" s="181"/>
      <c r="E324" s="181"/>
      <c r="F324" s="87"/>
      <c r="G324" s="56">
        <f>IF(N311="",0,F324/N311/4.348)</f>
        <v>0</v>
      </c>
      <c r="H324" s="53">
        <f>IF(G324=0,0,O327)</f>
        <v>0</v>
      </c>
      <c r="K324" s="1146"/>
      <c r="L324" s="1146"/>
      <c r="M324" s="172"/>
      <c r="N324" s="172"/>
      <c r="O324" s="172"/>
      <c r="P324" s="172"/>
    </row>
    <row r="325" spans="1:16" s="52" customFormat="1" ht="13.5" customHeight="1" x14ac:dyDescent="0.25">
      <c r="A325" s="55"/>
      <c r="B325" s="1172" t="str">
        <f>IF(A325="","",B324)</f>
        <v/>
      </c>
      <c r="C325" s="1173"/>
      <c r="D325" s="181"/>
      <c r="E325" s="181"/>
      <c r="F325" s="87"/>
      <c r="G325" s="56">
        <f>IF(N311="",0,F325/N311/4.348)</f>
        <v>0</v>
      </c>
      <c r="H325" s="53">
        <f>IF(G325=0,0,P327)</f>
        <v>0</v>
      </c>
      <c r="K325" s="1146"/>
      <c r="L325" s="1146"/>
      <c r="M325" s="172"/>
      <c r="N325" s="172"/>
      <c r="O325" s="172"/>
      <c r="P325" s="172"/>
    </row>
    <row r="326" spans="1:16" s="52" customFormat="1" ht="13.5" customHeight="1" x14ac:dyDescent="0.25">
      <c r="B326" s="1167" t="s">
        <v>157</v>
      </c>
      <c r="C326" s="1167"/>
      <c r="E326" s="1167" t="s">
        <v>156</v>
      </c>
      <c r="F326" s="1167"/>
      <c r="J326" s="69"/>
      <c r="K326" s="1146"/>
      <c r="L326" s="1146"/>
      <c r="M326" s="172"/>
      <c r="N326" s="172"/>
      <c r="O326" s="172"/>
      <c r="P326" s="172"/>
    </row>
    <row r="327" spans="1:16" s="52" customFormat="1" ht="13.5" customHeight="1" x14ac:dyDescent="0.25">
      <c r="A327" s="70" t="s">
        <v>167</v>
      </c>
      <c r="B327" s="67"/>
      <c r="C327" s="99" t="str">
        <f>IF(C283="","",C283)</f>
        <v/>
      </c>
      <c r="D327" s="70" t="s">
        <v>167</v>
      </c>
      <c r="E327" s="67"/>
      <c r="F327" s="99" t="str">
        <f>IF(F283="","",F283)</f>
        <v/>
      </c>
      <c r="J327" s="68"/>
      <c r="M327" s="173">
        <f>SUM(M322:M326)</f>
        <v>0</v>
      </c>
      <c r="N327" s="173">
        <f t="shared" ref="N327:P327" si="36">SUM(N322:N326)</f>
        <v>0</v>
      </c>
      <c r="O327" s="173">
        <f t="shared" si="36"/>
        <v>0</v>
      </c>
      <c r="P327" s="173">
        <f t="shared" si="36"/>
        <v>0</v>
      </c>
    </row>
    <row r="328" spans="1:16" s="52" customFormat="1" ht="13.5" customHeight="1" x14ac:dyDescent="0.2">
      <c r="A328" s="60" t="s">
        <v>155</v>
      </c>
    </row>
    <row r="329" spans="1:16" s="1" customFormat="1" ht="14.25" customHeight="1" x14ac:dyDescent="0.2">
      <c r="A329" s="1147"/>
      <c r="B329" s="1149" t="s">
        <v>9</v>
      </c>
      <c r="C329" s="1150"/>
      <c r="D329" s="1150"/>
      <c r="E329" s="1150"/>
      <c r="F329" s="1150"/>
      <c r="G329" s="1151"/>
      <c r="H329" s="1152" t="s">
        <v>119</v>
      </c>
      <c r="I329" s="1153"/>
      <c r="J329" s="1153"/>
      <c r="K329" s="1153"/>
      <c r="L329" s="1153"/>
      <c r="M329" s="1153"/>
      <c r="N329" s="1153"/>
      <c r="O329" s="33"/>
      <c r="P329" s="1154" t="s">
        <v>0</v>
      </c>
    </row>
    <row r="330" spans="1:16" s="1" customFormat="1" ht="14.25" customHeight="1" x14ac:dyDescent="0.2">
      <c r="A330" s="1148"/>
      <c r="B330" s="1157" t="s">
        <v>117</v>
      </c>
      <c r="C330" s="124" t="s">
        <v>115</v>
      </c>
      <c r="D330" s="1159" t="s">
        <v>277</v>
      </c>
      <c r="E330" s="1161" t="s">
        <v>147</v>
      </c>
      <c r="F330" s="127" t="s">
        <v>7</v>
      </c>
      <c r="G330" s="1162" t="s">
        <v>6</v>
      </c>
      <c r="H330" s="1161" t="s">
        <v>129</v>
      </c>
      <c r="I330" s="1161" t="s">
        <v>5</v>
      </c>
      <c r="J330" s="1161" t="s">
        <v>4</v>
      </c>
      <c r="K330" s="1161" t="s">
        <v>3</v>
      </c>
      <c r="L330" s="1161" t="s">
        <v>121</v>
      </c>
      <c r="M330" s="1161" t="s">
        <v>122</v>
      </c>
      <c r="N330" s="1161" t="s">
        <v>123</v>
      </c>
      <c r="O330" s="1160" t="s">
        <v>114</v>
      </c>
      <c r="P330" s="1155"/>
    </row>
    <row r="331" spans="1:16" s="1" customFormat="1" ht="14.25" customHeight="1" x14ac:dyDescent="0.2">
      <c r="A331" s="1148"/>
      <c r="B331" s="1157"/>
      <c r="C331" s="21" t="str">
        <f>IF(C327="","",C327)</f>
        <v/>
      </c>
      <c r="D331" s="1160"/>
      <c r="E331" s="1161"/>
      <c r="F331" s="1165" t="str">
        <f>IF(H322=0,"","siehe Zuschläge / Zulagen")</f>
        <v/>
      </c>
      <c r="G331" s="1162"/>
      <c r="H331" s="1164" t="s">
        <v>127</v>
      </c>
      <c r="I331" s="1164"/>
      <c r="J331" s="1164"/>
      <c r="K331" s="1164"/>
      <c r="L331" s="1164"/>
      <c r="M331" s="1164"/>
      <c r="N331" s="1164"/>
      <c r="O331" s="1160"/>
      <c r="P331" s="1155"/>
    </row>
    <row r="332" spans="1:16" s="1" customFormat="1" x14ac:dyDescent="0.2">
      <c r="A332" s="1148"/>
      <c r="B332" s="1157"/>
      <c r="C332" s="122" t="s">
        <v>70</v>
      </c>
      <c r="D332" s="1160"/>
      <c r="E332" s="1161"/>
      <c r="F332" s="1165"/>
      <c r="G332" s="1162"/>
      <c r="H332" s="43" t="s">
        <v>128</v>
      </c>
      <c r="I332" s="43" t="s">
        <v>255</v>
      </c>
      <c r="J332" s="43" t="s">
        <v>256</v>
      </c>
      <c r="K332" s="43" t="s">
        <v>257</v>
      </c>
      <c r="L332" s="43"/>
      <c r="M332" s="43"/>
      <c r="N332" s="43" t="s">
        <v>254</v>
      </c>
      <c r="O332" s="1160"/>
      <c r="P332" s="1155"/>
    </row>
    <row r="333" spans="1:16" s="1" customFormat="1" x14ac:dyDescent="0.2">
      <c r="A333" s="1148"/>
      <c r="B333" s="1158"/>
      <c r="C333" s="21" t="str">
        <f>IF(F327="","",F327)</f>
        <v/>
      </c>
      <c r="D333" s="51"/>
      <c r="E333" s="51"/>
      <c r="F333" s="1166"/>
      <c r="G333" s="1163"/>
      <c r="H333" s="93"/>
      <c r="I333" s="139">
        <f>$I$69</f>
        <v>0</v>
      </c>
      <c r="J333" s="139">
        <f>$J$69</f>
        <v>0</v>
      </c>
      <c r="K333" s="44">
        <f>$K$69</f>
        <v>0</v>
      </c>
      <c r="L333" s="21"/>
      <c r="M333" s="21"/>
      <c r="N333" s="139">
        <f>$N$69</f>
        <v>0</v>
      </c>
      <c r="O333" s="21">
        <f>O289</f>
        <v>0</v>
      </c>
      <c r="P333" s="1156"/>
    </row>
    <row r="334" spans="1:16" s="1" customFormat="1" x14ac:dyDescent="0.2">
      <c r="A334" s="100" t="str">
        <f>$A$26</f>
        <v>Jan 2022</v>
      </c>
      <c r="B334" s="24">
        <f>ROUND(IF(N314=0,0,(LOOKUP(2,1/(A322:A325=A334),G322:G325))*N314*4.348),2)</f>
        <v>0</v>
      </c>
      <c r="C334" s="23">
        <f>ROUND(IFERROR(((LOOKUP(2,1/(B327=A334),((SUM(B340:B342)+SUM(F340:F342))/3)*C327))),0)+IFERROR(((LOOKUP(2,1/(E327=A334),(B346+F346)*F327))),0),2)</f>
        <v>0</v>
      </c>
      <c r="D334" s="23">
        <f>ROUND(IF(B334=0,0,D333/L315*N314),2)</f>
        <v>0</v>
      </c>
      <c r="E334" s="23">
        <f>ROUND(IF(B334=0,0,E333/N311*N314),2)</f>
        <v>0</v>
      </c>
      <c r="F334" s="24">
        <f>ROUND(IF(N314=0,0,(LOOKUP(2,1/(A322:A325=A334),H322:H325))/N311*N314),2)</f>
        <v>0</v>
      </c>
      <c r="G334" s="27">
        <f>SUM(B334+C334+E334+F334)</f>
        <v>0</v>
      </c>
      <c r="H334" s="76">
        <f>ROUND(IF((SUM(B334:F334))&gt;L349,L349*H333,SUM(B334:F334)*H333),2)</f>
        <v>0</v>
      </c>
      <c r="I334" s="76">
        <f>ROUND(IF((SUM(B334:F334))&gt;L350,L350*I333,SUM(B334:F334)*I333),2)</f>
        <v>0</v>
      </c>
      <c r="J334" s="76">
        <f>ROUND(IF((SUM(B334:F334))&gt;L350,L350*J333,SUM(B334:F334)*J333),2)</f>
        <v>0</v>
      </c>
      <c r="K334" s="76">
        <f>ROUND(IF((SUM(B334:F334))&gt;L349,L349*K333,SUM(B334:F334)*K333),2)</f>
        <v>0</v>
      </c>
      <c r="L334" s="76">
        <f>ROUND(IF((SUM(B334:F334))&gt;L350,L350*L333,(SUM(B334:F334)-C334)*L333),2)</f>
        <v>0</v>
      </c>
      <c r="M334" s="76">
        <f>ROUND(IF((SUM(B334:F334))&gt;L350,L350*M333,(SUM(B334:F334)-C334)*M333),2)</f>
        <v>0</v>
      </c>
      <c r="N334" s="76">
        <f>ROUND(IF((SUM(B334:F334))&gt;L350,L350*N333,SUM(B334:F334)*N333),2)</f>
        <v>0</v>
      </c>
      <c r="O334" s="23">
        <f>ROUND(SUM(B334+C334+F334)*O333,2)</f>
        <v>0</v>
      </c>
      <c r="P334" s="27">
        <f>SUM(G334:O334)</f>
        <v>0</v>
      </c>
    </row>
    <row r="335" spans="1:16" s="1" customFormat="1" x14ac:dyDescent="0.2">
      <c r="A335" s="100" t="str">
        <f>$A$27</f>
        <v>Feb 2022</v>
      </c>
      <c r="B335" s="24">
        <f>ROUND(IF(N315=0,0,IFERROR(((LOOKUP(2,1/(A322:A325=A335),G322:G325))*N315*4.348),B334/N315*N315)),2)</f>
        <v>0</v>
      </c>
      <c r="C335" s="23">
        <f>ROUND(IFERROR(((LOOKUP(2,1/(B327=A335),((SUM(B340:B342)+SUM(F340:F342))/3)*C327))),0)+IFERROR(((LOOKUP(2,1/(E327=A335),(B346+F346)*F327))),0),2)</f>
        <v>0</v>
      </c>
      <c r="D335" s="23">
        <f>ROUND(IF(B335=0,0,D333/L315*N315),2)</f>
        <v>0</v>
      </c>
      <c r="E335" s="23">
        <f>ROUND(IF(B335=0,0,E333/N311*N315),2)</f>
        <v>0</v>
      </c>
      <c r="F335" s="24">
        <f>ROUND(IF(N315=0,0,IFERROR(((LOOKUP(2,1/(A322:A325=A335),H322:H325))/N311*N315),F334/N315*N315)),2)</f>
        <v>0</v>
      </c>
      <c r="G335" s="27">
        <f t="shared" ref="G335:G345" si="37">SUM(B335+C335+E335+F335)</f>
        <v>0</v>
      </c>
      <c r="H335" s="76">
        <f>ROUND(IF(SUM(B334:F334)&lt;(L349*1),IF((SUM(B334:F335))&gt;(L349*2),(((L349*2)-(SUM(B334:F335)-C334))*H333)+((SUM(B335:F335)-C334)*H333),SUM(B335:F335)*H333),IF(SUM(B334:F335)&gt;(L349*2),L349*H333,SUM(B335:F335)*H333)),2)</f>
        <v>0</v>
      </c>
      <c r="I335" s="76">
        <f>ROUND(IF(SUM(B334:F334)&lt;(L350*1),IF((SUM(B334:F335))&gt;(L350*2),(((L350*2)-(SUM(B334:F335)-C334))*I333)+((SUM(B335:F335)-C334)*I333),SUM(B335:F335)*I333),IF(SUM(B334:F335)&gt;(L350*2),L350*I333,SUM(B335:F335)*I333)),2)</f>
        <v>0</v>
      </c>
      <c r="J335" s="76">
        <f>ROUND(IF(SUM(B334:F334)&lt;(L350*1),IF((SUM(B334:F335))&gt;(L350*2),(((L350*2)-(SUM(B334:F335)-C334))*J333)+((SUM(B335:F335)-C334)*J333),SUM(B335:F335)*J333),IF(SUM(B334:F335)&gt;(L350*2),L350*J333,SUM(B335:F335)*J333)),2)</f>
        <v>0</v>
      </c>
      <c r="K335" s="76">
        <f>ROUND(IF(SUM(B334:F334)&lt;(L349*1),IF((SUM(B334:F335))&gt;(L349*2),(((L349*2)-(SUM(B334:F335)-C334))*K333)+((SUM(B335:F335)-C334)*K333),SUM(B335:F335)*K333),IF(SUM(B334:F335)&gt;(L349*2),L349*K333,SUM(B335:F335)*K333)),2)</f>
        <v>0</v>
      </c>
      <c r="L335" s="76">
        <f>ROUND(IF(SUM(B334:F334)&lt;(L350*1),IF((SUM(B334:F335))&gt;(L350*2),(((L350*2)-(SUM(B334:F335)-C335))*L333)+((SUM(B335:F335)-C335)*L333),(SUM(B335:F335)-C335)*L333),IF(SUM(B334:F335)&gt;(L350*2),L350*L333,SUM(B335:F335)*L333)),2)</f>
        <v>0</v>
      </c>
      <c r="M335" s="76">
        <f>ROUND(IF(SUM(B334:F334)&lt;(L350*1),IF((SUM(B334:F335))&gt;(L350*2),(((L350*2)-(SUM(B334:F335)-C335))*M333)+((SUM(B335:F335)-C335)*M333),(SUM(B335:F335)-C335)*M333),IF(SUM(B334:F335)&gt;(L350*2),L350*M333,SUM(B335:F335)*M333)),2)</f>
        <v>0</v>
      </c>
      <c r="N335" s="76">
        <f>ROUND(IF(SUM(B334:F334)&lt;(L350*1),IF((SUM(B334:F335))&gt;(L350*2),(((L350*2)-(SUM(B334:F335)-C334))*N333)+((SUM(B335:F335)-C334)*N333),SUM(B335:F335)*N333),IF(SUM(B334:F335)&gt;(L350*2),L350*N333,SUM(B335:F335)*N333)),2)</f>
        <v>0</v>
      </c>
      <c r="O335" s="23">
        <f>ROUND(SUM(B335+C335+F335)*O333,2)</f>
        <v>0</v>
      </c>
      <c r="P335" s="27">
        <f>SUM(G335:O335)</f>
        <v>0</v>
      </c>
    </row>
    <row r="336" spans="1:16" s="1" customFormat="1" x14ac:dyDescent="0.2">
      <c r="A336" s="100" t="str">
        <f>$A$28</f>
        <v>Mrz 2022</v>
      </c>
      <c r="B336" s="24">
        <f>ROUND(IF(N316=0,0,IFERROR(((LOOKUP(2,1/(A322:A325=A336),G322:G325))*N316*4.348),B335/N316*N316)),2)</f>
        <v>0</v>
      </c>
      <c r="C336" s="23">
        <f>ROUND(IFERROR(((LOOKUP(2,1/(B327=A336),((SUM(B340:B342)+SUM(F340:F342))/3)*C327))),0)+IFERROR(((LOOKUP(2,1/(E327=A336),(B346+F346)*F327))),0),2)</f>
        <v>0</v>
      </c>
      <c r="D336" s="23">
        <f>ROUND(IF(B336=0,0,D333/L315*N316),2)</f>
        <v>0</v>
      </c>
      <c r="E336" s="23">
        <f>ROUND(IF(B336=0,0,E333/N311*N316),2)</f>
        <v>0</v>
      </c>
      <c r="F336" s="24">
        <f>ROUND(IF(N316=0,0,IFERROR(((LOOKUP(2,1/(A322:A325=A336),H322:H325))/N311*N316),F335/N316*N316)),2)</f>
        <v>0</v>
      </c>
      <c r="G336" s="27">
        <f t="shared" si="37"/>
        <v>0</v>
      </c>
      <c r="H336" s="76">
        <f>ROUND(IF(SUM(B334:F335)&lt;(L349*2),IF((SUM(B334:F336))&gt;(L349*3),(((L349*3)-(SUM(B334:F336)-C335))*H333)+((SUM(B336:F336)-C335)*H333),SUM(B336:F336)*H333),IF(SUM(B334:F336)&gt;(L349*3),L349*H333,SUM(B336:F336)*H333)),2)</f>
        <v>0</v>
      </c>
      <c r="I336" s="76">
        <f>ROUND(IF(SUM(B334:F335)&lt;(L350*2),IF((SUM(B334:F336))&gt;(L350*3),(((L350*3)-(SUM(B334:F336)-C335))*I333)+((SUM(B336:F336)-C335)*I333),SUM(B336:F336)*I333),IF(SUM(B334:F336)&gt;(L350*3),L350*I333,SUM(B336:F336)*I333)),2)</f>
        <v>0</v>
      </c>
      <c r="J336" s="76">
        <f>ROUND(IF(SUM(B334:F335)&lt;(L350*2),IF((SUM(B334:F336))&gt;(L350*3),(((L350*3)-(SUM(B334:F336)-C335))*J333)+((SUM(B336:F336)-C335)*J333),SUM(B336:F336)*J333),IF(SUM(B334:F336)&gt;(L350*3),L350*J333,SUM(B336:F336)*J333)),2)</f>
        <v>0</v>
      </c>
      <c r="K336" s="76">
        <f>ROUND(IF(SUM(B334:F335)&lt;(L349*2),IF((SUM(B334:F336))&gt;(L349*3),(((L349*3)-(SUM(B334:F336)-C335))*K333)+((SUM(B336:F336)-C335)*K333),SUM(B336:F336)*K333),IF(SUM(B334:F336)&gt;(L349*3),L349*K333,SUM(B336:F336)*K333)),2)</f>
        <v>0</v>
      </c>
      <c r="L336" s="76">
        <f>ROUND(IF(SUM(B334:F335)&lt;(L350*2),IF((SUM(B334:F336))&gt;(L350*3),(((L350*3)-(SUM(B334:F336)-C336))*L333)+((SUM(B336:F336)-C336)*L333),(SUM(B336:F336)-C336)*L333),IF(SUM(B334:F336)&gt;(L350*3),L350*L333,SUM(B336:F336)*L333)),2)</f>
        <v>0</v>
      </c>
      <c r="M336" s="76">
        <f>ROUND(IF(SUM(B334:F335)&lt;(L350*2),IF((SUM(B334:F336))&gt;(L350*3),(((L350*3)-(SUM(B334:F336)-C336))*M333)+((SUM(B336:F336)-C336)*M333),(SUM(B336:F336)-C336)*M333),IF(SUM(B334:F336)&gt;(L350*3),L350*M333,SUM(B336:F336)*M333)),2)</f>
        <v>0</v>
      </c>
      <c r="N336" s="76">
        <f>ROUND(IF(SUM(B334:F335)&lt;(L350*2),IF((SUM(B334:F336))&gt;(L350*3),(((L350*3)-(SUM(B334:F336)-C335))*N333)+((SUM(B336:F336)-C335)*N333),SUM(B336:F336)*N333),IF(SUM(B334:F336)&gt;(L350*3),L350*N333,SUM(B336:F336)*N333)),2)</f>
        <v>0</v>
      </c>
      <c r="O336" s="23">
        <f>ROUND(SUM(B336+C336+F336)*O333,2)</f>
        <v>0</v>
      </c>
      <c r="P336" s="27">
        <f t="shared" ref="P336:P345" si="38">SUM(G336:O336)</f>
        <v>0</v>
      </c>
    </row>
    <row r="337" spans="1:16" s="1" customFormat="1" x14ac:dyDescent="0.2">
      <c r="A337" s="100" t="str">
        <f>$A$29</f>
        <v>Apr 2022</v>
      </c>
      <c r="B337" s="24">
        <f>ROUND(IF(N317=0,0,IFERROR(((LOOKUP(2,1/(A322:A325=A337),G322:G325))*N317*4.348),B336/N317*N317)),2)</f>
        <v>0</v>
      </c>
      <c r="C337" s="23">
        <f>ROUND(IFERROR(((LOOKUP(2,1/(B327=A337),((SUM(B340:B342)+SUM(F340:F342))/3)*C327))),0)+IFERROR(((LOOKUP(2,1/(E327=A337),(B346+F346)*F327))),0),2)</f>
        <v>0</v>
      </c>
      <c r="D337" s="23">
        <f>ROUND(IF(B337=0,0,D333/L315*N317),2)</f>
        <v>0</v>
      </c>
      <c r="E337" s="23">
        <f>ROUND(IF(B337=0,0,E333/N311*N317),2)</f>
        <v>0</v>
      </c>
      <c r="F337" s="24">
        <f>ROUND(IF(N317=0,0,IFERROR(((LOOKUP(2,1/(A322:A325=A337),H322:H325))/N311*N317),F336/N317*N317)),2)</f>
        <v>0</v>
      </c>
      <c r="G337" s="27">
        <f t="shared" si="37"/>
        <v>0</v>
      </c>
      <c r="H337" s="76">
        <f>ROUND(IF(SUM(B334:F336)&lt;(L349*3),IF((SUM(B334:F337))&gt;(L349*4),(((L349*4)-(SUM(B334:F337)-C336))*H333)+((SUM(B337:F337)-C336)*H333),SUM(B337:F337)*H333),IF(SUM(B334:F337)&gt;(L349*4),L349*H333,SUM(B337:F337)*H333)),2)</f>
        <v>0</v>
      </c>
      <c r="I337" s="76">
        <f>ROUND(IF(SUM(B334:F336)&lt;(L350*3),IF((SUM(B334:F337))&gt;(L350*4),(((L350*4)-(SUM(B334:F337)-C336))*I333)+((SUM(B337:F337)-C336)*I333),SUM(B337:F337)*I333),IF(SUM(B334:F337)&gt;(L350*4),L350*I333,SUM(B337:F337)*I333)),2)</f>
        <v>0</v>
      </c>
      <c r="J337" s="76">
        <f>ROUND(IF(SUM(B334:F336)&lt;(L350*3),IF((SUM(B334:F337))&gt;(L350*4),(((L350*4)-(SUM(B334:F337)-C336))*J333)+((SUM(B337:F337)-C336)*J333),SUM(B337:F337)*J333),IF(SUM(B334:F337)&gt;(L350*4),L350*J333,SUM(B337:F337)*J333)),2)</f>
        <v>0</v>
      </c>
      <c r="K337" s="76">
        <f>ROUND(IF(SUM(B334:F336)&lt;(L349*3),IF((SUM(B334:F337))&gt;(L349*4),(((L349*4)-(SUM(B334:F337)-C336))*K333)+((SUM(B337:F337)-C336)*K333),SUM(B337:F337)*K333),IF(SUM(B334:F337)&gt;(L349*4),L349*K333,SUM(B337:F337)*K333)),2)</f>
        <v>0</v>
      </c>
      <c r="L337" s="76">
        <f>ROUND(IF(SUM(B334:F336)&lt;(L350*3),IF((SUM(B334:F337))&gt;(L350*4),(((L350*4)-(SUM(B334:F337)-C337))*L333)+((SUM(B337:F337)-C337)*L333),(SUM(B337:F337)-C337)*L333),IF(SUM(B334:F337)&gt;(L350*4),L350*L333,SUM(B337:F337)*L333)),2)</f>
        <v>0</v>
      </c>
      <c r="M337" s="76">
        <f>ROUND(IF(SUM(B334:F336)&lt;(L350*3),IF((SUM(B334:F337))&gt;(L350*4),(((L350*4)-(SUM(B334:F337)-C337))*M333)+((SUM(B337:F337)-C337)*M333),(SUM(B337:F337)-C337)*M333),IF(SUM(B334:F337)&gt;(L350*4),L350*M333,SUM(B337:F337)*M333)),2)</f>
        <v>0</v>
      </c>
      <c r="N337" s="76">
        <f>ROUND(IF(SUM(B334:F336)&lt;(L350*3),IF((SUM(B334:F337))&gt;(L350*4),(((L350*4)-(SUM(B334:F337)-C336))*N333)+((SUM(B337:F337)-C336)*N333),SUM(B337:F337)*N333),IF(SUM(B334:F337)&gt;(L350*4),L350*N333,SUM(B337:F337)*N333)),2)</f>
        <v>0</v>
      </c>
      <c r="O337" s="23">
        <f>ROUND(SUM(B337+C337+F337)*O333,2)</f>
        <v>0</v>
      </c>
      <c r="P337" s="27">
        <f t="shared" si="38"/>
        <v>0</v>
      </c>
    </row>
    <row r="338" spans="1:16" s="1" customFormat="1" x14ac:dyDescent="0.2">
      <c r="A338" s="100" t="str">
        <f>$A$30</f>
        <v>Mai 2022</v>
      </c>
      <c r="B338" s="24">
        <f>ROUND(IF(N318=0,0,IFERROR(((LOOKUP(2,1/(A322:A325=A338),G322:G325))*N318*4.348),B337/N318*N318)),2)</f>
        <v>0</v>
      </c>
      <c r="C338" s="23">
        <f>ROUND(IFERROR(((LOOKUP(2,1/(B327=A338),((SUM(B340:B342)+SUM(F340:F342))/3)*C327))),0)+IFERROR(((LOOKUP(2,1/(E327=A338),(B346+F346)*F327))),0),2)</f>
        <v>0</v>
      </c>
      <c r="D338" s="23">
        <f>ROUND(IF(B338=0,0,D333/L315*N318),2)</f>
        <v>0</v>
      </c>
      <c r="E338" s="23">
        <f>ROUND(IF(B338=0,0,E333/N311*N318),2)</f>
        <v>0</v>
      </c>
      <c r="F338" s="24">
        <f>ROUND(IF(N318=0,0,IFERROR(((LOOKUP(2,1/(A322:A325=A338),H322:H325))/N311*N318),F337/N318*N318)),2)</f>
        <v>0</v>
      </c>
      <c r="G338" s="27">
        <f t="shared" si="37"/>
        <v>0</v>
      </c>
      <c r="H338" s="76">
        <f>ROUND(IF(SUM(B334:F337)&lt;(L349*4),IF((SUM(B334:F338))&gt;(L349*5),(((L349*5)-(SUM(B334:F338)-C337))*H333)+((SUM(B338:F338)-C337)*H333),SUM(B338:F338)*H333),IF(SUM(B334:F338)&gt;(L349*5),L349*H333,SUM(B338:F338)*H333)),2)</f>
        <v>0</v>
      </c>
      <c r="I338" s="76">
        <f>ROUND(IF(SUM(B334:F337)&lt;(L350*4),IF((SUM(B334:F338))&gt;(L350*5),(((L350*5)-(SUM(B334:F338)-C337))*I333)+((SUM(B338:F338)-C337)*I333),SUM(B338:F338)*I333),IF(SUM(B334:F338)&gt;(L350*5),L350*I333,SUM(B338:F338)*I333)),2)</f>
        <v>0</v>
      </c>
      <c r="J338" s="76">
        <f>ROUND(IF(SUM(B334:F337)&lt;(L350*4),IF((SUM(B334:F338))&gt;(L350*5),(((L350*5)-(SUM(B334:F338)-C337))*J333)+((SUM(B338:F338)-C337)*J333),SUM(B338:F338)*J333),IF(SUM(B334:F338)&gt;(L350*5),L350*J333,SUM(B338:F338)*J333)),2)</f>
        <v>0</v>
      </c>
      <c r="K338" s="76">
        <f>ROUND(IF(SUM(B334:F337)&lt;(L349*4),IF((SUM(B334:F338))&gt;(L349*5),(((L349*5)-(SUM(B334:F338)-C337))*K333)+((SUM(B338:F338)-C337)*K333),SUM(B338:F338)*K333),IF(SUM(B334:F338)&gt;(L349*5),L349*K333,SUM(B338:F338)*K333)),2)</f>
        <v>0</v>
      </c>
      <c r="L338" s="76">
        <f>ROUND(IF(SUM(B334:F337)&lt;(L350*4),IF((SUM(B334:F338))&gt;(L350*5),(((L350*5)-(SUM(B334:F338)-C338))*L333)+((SUM(B338:F338)-C338)*L333),(SUM(B338:F338)-C338)*L333),IF(SUM(B334:F338)&gt;(L350*5),L350*L333,SUM(B338:F338)*L333)),2)</f>
        <v>0</v>
      </c>
      <c r="M338" s="76">
        <f>ROUND(IF(SUM(B334:F337)&lt;(L350*4),IF((SUM(B334:F338))&gt;(L350*5),(((L350*5)-(SUM(B334:F338)-C338))*M333)+((SUM(B338:F338)-C338)*M333),(SUM(B338:F338)-C338)*M333),IF(SUM(B334:F338)&gt;(L350*5),L350*M333,SUM(B338:F338)*M333)),2)</f>
        <v>0</v>
      </c>
      <c r="N338" s="76">
        <f>ROUND(IF(SUM(B334:F337)&lt;(L350*4),IF((SUM(B334:F338))&gt;(L350*5),(((L350*5)-(SUM(B334:F338)-C337))*N333)+((SUM(B338:F338)-C337)*N333),SUM(B338:F338)*N333),IF(SUM(B334:F338)&gt;(L350*5),L350*N333,SUM(B338:F338)*N333)),2)</f>
        <v>0</v>
      </c>
      <c r="O338" s="23">
        <f>ROUND(SUM(B338+C338+F338)*O333,2)</f>
        <v>0</v>
      </c>
      <c r="P338" s="27">
        <f t="shared" si="38"/>
        <v>0</v>
      </c>
    </row>
    <row r="339" spans="1:16" s="1" customFormat="1" x14ac:dyDescent="0.2">
      <c r="A339" s="100" t="str">
        <f>$A$31</f>
        <v>Jun 2022</v>
      </c>
      <c r="B339" s="24">
        <f>ROUND(IF(N319=0,0,IFERROR(((LOOKUP(2,1/(A322:A325=A339),G322:G325))*N319*4.348),B338/N319*N319)),2)</f>
        <v>0</v>
      </c>
      <c r="C339" s="23">
        <f>ROUND(IFERROR(((LOOKUP(2,1/(B327=A339),((SUM(B340:B342)+SUM(F340:F342))/3)*C327))),0)+IFERROR(((LOOKUP(2,1/(E327=A339),(B346+F346)*F327))),0),2)</f>
        <v>0</v>
      </c>
      <c r="D339" s="23">
        <f>ROUND(IF(B339=0,0,D333/L315*N319),2)</f>
        <v>0</v>
      </c>
      <c r="E339" s="23">
        <f>ROUND(IF(B339=0,0,E333/N311*N319),2)</f>
        <v>0</v>
      </c>
      <c r="F339" s="24">
        <f>ROUND(IF(N319=0,0,IFERROR(((LOOKUP(2,1/(A322:A325=A339),H322:H325))/N311*N319),F338/N319*N319)),2)</f>
        <v>0</v>
      </c>
      <c r="G339" s="27">
        <f t="shared" si="37"/>
        <v>0</v>
      </c>
      <c r="H339" s="76">
        <f>ROUND(IF(SUM(B334:F338)&lt;(L349*5),IF((SUM(B334:F339))&gt;(L349*6),(((L349*6)-(SUM(B334:F339)-C338))*H333)+((SUM(B339:F339)-C338)*H333),SUM(B339:F339)*H333),IF(SUM(B334:F339)&gt;(L349*6),L349*H333,SUM(B339:F339)*H333)),2)</f>
        <v>0</v>
      </c>
      <c r="I339" s="76">
        <f>ROUND(IF(SUM(B334:F338)&lt;(L350*5),IF((SUM(B334:F339))&gt;(L350*6),(((L350*6)-(SUM(B334:F339)-C338))*I333)+((SUM(B339:F339)-C338)*I333),SUM(B339:F339)*I333),IF(SUM(B334:F339)&gt;(L350*6),L350*I333,SUM(B339:F339)*I333)),2)</f>
        <v>0</v>
      </c>
      <c r="J339" s="76">
        <f>ROUND(IF(SUM(B334:F338)&lt;(L350*5),IF((SUM(B334:F339))&gt;(L350*6),(((L350*6)-(SUM(B334:F339)-C338))*J333)+((SUM(B339:F339)-C338)*J333),SUM(B339:F339)*J333),IF(SUM(B334:F339)&gt;(L350*6),L350*J333,SUM(B339:F339)*J333)),2)</f>
        <v>0</v>
      </c>
      <c r="K339" s="76">
        <f>ROUND(IF(SUM(B334:F338)&lt;(L349*5),IF((SUM(B334:F339))&gt;(L349*6),(((L349*6)-(SUM(B334:F339)-C338))*K333)+((SUM(B339:F339)-C338)*K333),SUM(B339:F339)*K333),IF(SUM(B334:F339)&gt;(L349*6),L349*K333,SUM(B339:F339)*K333)),2)</f>
        <v>0</v>
      </c>
      <c r="L339" s="76">
        <f>ROUND(IF(SUM(B334:F338)&lt;(L350*5),IF((SUM(B334:F339))&gt;(L350*6),(((L350*6)-(SUM(B334:F339)-C339))*L333)+((SUM(B339:F339)-C339)*L333),(SUM(B339:F339)-C339)*L333),IF(SUM(B334:F339)&gt;(L350*6),L350*L333,SUM(B339:F339)*L333)),2)</f>
        <v>0</v>
      </c>
      <c r="M339" s="76">
        <f>ROUND(IF(SUM(B334:F338)&lt;(L350*5),IF((SUM(B334:F339))&gt;(L350*6),(((L350*6)-(SUM(B334:F339)-C339))*M333)+((SUM(B339:F339)-C339)*M333),(SUM(B339:F339)-C339)*M333),IF(SUM(B334:F339)&gt;(L350*6),L350*M333,SUM(B339:F339)*M333)),2)</f>
        <v>0</v>
      </c>
      <c r="N339" s="76">
        <f>ROUND(IF(SUM(B334:F338)&lt;(L350*5),IF((SUM(B334:F339))&gt;(L350*6),(((L350*6)-(SUM(B334:F339)-C338))*N333)+((SUM(B339:F339)-C338)*N333),SUM(B339:F339)*N333),IF(SUM(B334:F339)&gt;(L350*6),L350*N333,SUM(B339:F339)*N333)),2)</f>
        <v>0</v>
      </c>
      <c r="O339" s="23">
        <f>ROUND(SUM(B339+C339+F339)*O333,2)</f>
        <v>0</v>
      </c>
      <c r="P339" s="27">
        <f t="shared" si="38"/>
        <v>0</v>
      </c>
    </row>
    <row r="340" spans="1:16" s="1" customFormat="1" x14ac:dyDescent="0.2">
      <c r="A340" s="100" t="str">
        <f>$A$32</f>
        <v>Jul 2022</v>
      </c>
      <c r="B340" s="24">
        <f>ROUND(IF(P314=0,0,IFERROR(((LOOKUP(2,1/(A322:A325=A340),G322:G325))*P314*4.348),B339/P314*P314)),2)</f>
        <v>0</v>
      </c>
      <c r="C340" s="23">
        <f>ROUND(IFERROR(((LOOKUP(2,1/(B327=A340),((SUM(B340:B342)+SUM(F340:F342))/3)*C327))),0)+IFERROR(((LOOKUP(2,1/(E327=A340),(B346+F346)*F327))),0),2)</f>
        <v>0</v>
      </c>
      <c r="D340" s="23">
        <f>ROUND(IF(B340=0,0,D333/L315*P314),2)</f>
        <v>0</v>
      </c>
      <c r="E340" s="23">
        <f>ROUND(IF(B340=0,0,E333/N311*P314),2)</f>
        <v>0</v>
      </c>
      <c r="F340" s="24">
        <f>ROUND(IF(P314=0,0,IFERROR(((LOOKUP(2,1/(A322:A325=A340),H322:H325))/N311*P314),F339/P314*P314)),2)</f>
        <v>0</v>
      </c>
      <c r="G340" s="27">
        <f t="shared" si="37"/>
        <v>0</v>
      </c>
      <c r="H340" s="76">
        <f>ROUND(IF(SUM(B334:F339)&lt;(L349*6),IF((SUM(B334:F340))&gt;(L349*7),(((L349*7)-(SUM(B334:F340)-C339))*H333)+((SUM(B340:F340)-C339)*H333),SUM(B340:F340)*H333),IF(SUM(B334:F340)&gt;(L349*7),L349*H333,SUM(B340:F340)*H333)),2)</f>
        <v>0</v>
      </c>
      <c r="I340" s="76">
        <f>ROUND(IF(SUM(B334:F339)&lt;(L350*6),IF((SUM(B334:F340))&gt;(L350*7),(((L350*7)-(SUM(B334:F340)-C339))*I333)+((SUM(B340:F340)-C339)*I333),SUM(B340:F340)*I333),IF(SUM(B334:F340)&gt;(L350*7),L350*I333,SUM(B340:F340)*I333)),2)</f>
        <v>0</v>
      </c>
      <c r="J340" s="76">
        <f>ROUND(IF(SUM(B334:F339)&lt;(L350*6),IF((SUM(B334:F340))&gt;(L350*7),(((L350*7)-(SUM(B334:F340)-C339))*J333)+((SUM(B340:F340)-C339)*J333),SUM(B340:F340)*J333),IF(SUM(B334:F340)&gt;(L350*7),L350*J333,SUM(B340:F340)*J333)),2)</f>
        <v>0</v>
      </c>
      <c r="K340" s="76">
        <f>ROUND(IF(SUM(B334:F339)&lt;(L349*6),IF((SUM(B334:F340))&gt;(L349*7),(((L349*7)-(SUM(B334:F340)-C339))*K333)+((SUM(B340:F340)-C339)*K333),SUM(B340:F340)*K333),IF(SUM(B334:F340)&gt;(L349*7),L349*K333,SUM(B340:F340)*K333)),2)</f>
        <v>0</v>
      </c>
      <c r="L340" s="76">
        <f>ROUND(IF(SUM(B334:F339)&lt;(L350*6),IF((SUM(B334:F340))&gt;(L350*7),(((L350*7)-(SUM(B334:F340)-C340))*L333)+((SUM(B340:F340)-C340)*L333),(SUM(B340:F340)-C340)*L333),IF(SUM(B334:F340)&gt;(L350*7),L350*L333,SUM(B340:F340)*L333)),2)</f>
        <v>0</v>
      </c>
      <c r="M340" s="76">
        <f>ROUND(IF(SUM(B334:F339)&lt;(L350*6),IF((SUM(B334:F340))&gt;(L350*7),(((L350*7)-(SUM(B334:F340)-C340))*M333)+((SUM(B340:F340)-C340)*M333),(SUM(B340:F340)-C340)*M333),IF(SUM(B334:F340)&gt;(L350*7),L350*M333,SUM(B340:F340)*M333)),2)</f>
        <v>0</v>
      </c>
      <c r="N340" s="76">
        <f>ROUND(IF(SUM(B334:F339)&lt;(L350*6),IF((SUM(B334:F340))&gt;(L350*7),(((L350*7)-(SUM(B334:F340)-C339))*N333)+((SUM(B340:F340)-C339)*N333),SUM(B340:F340)*N333),IF(SUM(B334:F340)&gt;(L350*7),L350*N333,SUM(B340:F340)*N333)),2)</f>
        <v>0</v>
      </c>
      <c r="O340" s="23">
        <f>ROUND(SUM(B340+C340+F340)*O333,2)</f>
        <v>0</v>
      </c>
      <c r="P340" s="27">
        <f t="shared" si="38"/>
        <v>0</v>
      </c>
    </row>
    <row r="341" spans="1:16" s="1" customFormat="1" x14ac:dyDescent="0.2">
      <c r="A341" s="100" t="str">
        <f>$A$33</f>
        <v>Aug 2022</v>
      </c>
      <c r="B341" s="24">
        <f>ROUND(IF(P315=0,0,IFERROR(((LOOKUP(2,1/(A322:A325=A341),G322:G325))*P315*4.348),B340/P315*P315)),2)</f>
        <v>0</v>
      </c>
      <c r="C341" s="23">
        <f>ROUND(IFERROR(((LOOKUP(2,1/(B327=A341),((SUM(B340:B342)+SUM(F340:F342))/3)*C327))),0)+IFERROR(((LOOKUP(2,1/(E327=A341),(B346+F346)*F327))),0),2)</f>
        <v>0</v>
      </c>
      <c r="D341" s="23">
        <f>ROUND(IF(B341=0,0,D333/L315*P315),2)</f>
        <v>0</v>
      </c>
      <c r="E341" s="23">
        <f>ROUND(IF(B341=0,0,E333/N311*P315),2)</f>
        <v>0</v>
      </c>
      <c r="F341" s="24">
        <f>ROUND(IF(P315=0,0,IFERROR(((LOOKUP(2,1/(A322:A325=A341),H322:H325))/N311*P315),F340/P315*P315)),2)</f>
        <v>0</v>
      </c>
      <c r="G341" s="27">
        <f t="shared" si="37"/>
        <v>0</v>
      </c>
      <c r="H341" s="76">
        <f>ROUND(IF(SUM(B334:F340)&lt;(L349*7),IF((SUM(B334:F341))&gt;(L349*8),(((L349*8)-(SUM(B334:F341)-C340))*H333)+((SUM(B341:F341)-C340)*H333),SUM(B341:F341)*H333),IF(SUM(B334:F341)&gt;(L349*8),L349*H333,SUM(B341:F341)*H333)),2)</f>
        <v>0</v>
      </c>
      <c r="I341" s="76">
        <f>ROUND(IF(SUM(B334:F340)&lt;(L350*7),IF((SUM(B334:F341))&gt;(L350*8),(((L350*8)-(SUM(B334:F341)-C340))*I333)+((SUM(B341:F341)-C340)*I333),SUM(B341:F341)*I333),IF(SUM(B334:F341)&gt;(L350*8),L350*I333,SUM(B341:F341)*I333)),2)</f>
        <v>0</v>
      </c>
      <c r="J341" s="76">
        <f>ROUND(IF(SUM(B334:F340)&lt;(L350*7),IF((SUM(B334:F341))&gt;(L350*8),(((L350*8)-(SUM(B334:F341)-C340))*J333)+((SUM(B341:F341)-C340)*J333),SUM(B341:F341)*J333),IF(SUM(B334:F341)&gt;(L350*8),L350*J333,SUM(B341:F341)*J333)),2)</f>
        <v>0</v>
      </c>
      <c r="K341" s="76">
        <f>ROUND(IF(SUM(B334:F340)&lt;(L349*7),IF((SUM(B334:F341))&gt;(L349*8),(((L349*8)-(SUM(B334:F341)-C340))*K333)+((SUM(B341:F341)-C340)*K333),SUM(B341:F341)*K333),IF(SUM(B334:F341)&gt;(L349*8),L349*K333,SUM(B341:F341)*K333)),2)</f>
        <v>0</v>
      </c>
      <c r="L341" s="76">
        <f>ROUND(IF(SUM(B334:F340)&lt;(L350*7),IF((SUM(B334:F341))&gt;(L350*8),(((L350*8)-(SUM(B334:F341)-C341))*L333)+((SUM(B341:F341)-C341)*L333),(SUM(B341:F341)-C341)*L333),IF(SUM(B334:F341)&gt;(L350*8),L350*L333,SUM(B341:F341)*L333)),2)</f>
        <v>0</v>
      </c>
      <c r="M341" s="76">
        <f>ROUND(IF(SUM(B334:F340)&lt;(L350*7),IF((SUM(B334:F341))&gt;(L350*8),(((L350*8)-(SUM(B334:F341)-C341))*M333)+((SUM(B341:F341)-C341)*M333),(SUM(B341:F341)-C341)*M333),IF(SUM(B334:F341)&gt;(L350*8),L350*M333,SUM(B341:F341)*M333)),2)</f>
        <v>0</v>
      </c>
      <c r="N341" s="76">
        <f>ROUND(IF(SUM(B334:F340)&lt;(L350*7),IF((SUM(B334:F341))&gt;(L350*8),(((L350*8)-(SUM(B334:F341)-C340))*N333)+((SUM(B341:F341)-C340)*N333),SUM(B341:F341)*N333),IF(SUM(B334:F341)&gt;(L350*8),L350*N333,SUM(B341:F341)*N333)),2)</f>
        <v>0</v>
      </c>
      <c r="O341" s="23">
        <f>ROUND(SUM(B341+C341+F341)*O333,2)</f>
        <v>0</v>
      </c>
      <c r="P341" s="27">
        <f t="shared" si="38"/>
        <v>0</v>
      </c>
    </row>
    <row r="342" spans="1:16" s="1" customFormat="1" x14ac:dyDescent="0.2">
      <c r="A342" s="100" t="str">
        <f>$A$34</f>
        <v>Sep 2022</v>
      </c>
      <c r="B342" s="24">
        <f>ROUND(IF(P316=0,0,IFERROR(((LOOKUP(2,1/(A322:A325=A342),G322:G325))*P316*4.348),B341/P316*P316)),2)</f>
        <v>0</v>
      </c>
      <c r="C342" s="23">
        <f>ROUND(IFERROR(((LOOKUP(2,1/(B327=A342),((SUM(B340:B342)+SUM(F340:F342))/3)*C327))),0)+IFERROR(((LOOKUP(2,1/(E327=A342),(B346+F346)*F327))),0),2)</f>
        <v>0</v>
      </c>
      <c r="D342" s="23">
        <f>ROUND(IF(B342=0,0,D333/L315*P316),2)</f>
        <v>0</v>
      </c>
      <c r="E342" s="23">
        <f>ROUND(IF(B342=0,0,E333/N311*P316),2)</f>
        <v>0</v>
      </c>
      <c r="F342" s="24">
        <f>ROUND(IF(P316=0,0,IFERROR(((LOOKUP(2,1/(A322:A325=A342),H322:H325))/N311*P316),F341/P316*P316)),2)</f>
        <v>0</v>
      </c>
      <c r="G342" s="27">
        <f t="shared" si="37"/>
        <v>0</v>
      </c>
      <c r="H342" s="76">
        <f>ROUND(IF(SUM(B334:F341)&lt;(L349*8),IF((SUM(B334:F342))&gt;(L349*9),(((L349*9)-(SUM(B334:F342)-C341))*H333)+((SUM(B342:F342)-C341)*H333),SUM(B342:F342)*H333),IF(SUM(B334:F342)&gt;(L349*9),L349*H333,SUM(B342:F342)*H333)),2)</f>
        <v>0</v>
      </c>
      <c r="I342" s="76">
        <f>ROUND(IF(SUM(B334:F341)&lt;(L350*8),IF((SUM(B334:F342))&gt;(L350*9),(((L350*9)-(SUM(B334:F342)-C341))*I333)+((SUM(B342:F342)-C341)*I333),SUM(B342:F342)*I333),IF(SUM(B334:F342)&gt;(L350*9),L350*I333,SUM(B342:F342)*I333)),2)</f>
        <v>0</v>
      </c>
      <c r="J342" s="76">
        <f>ROUND(IF(SUM(B334:F341)&lt;(L350*8),IF((SUM(B334:F342))&gt;(L350*9),(((L350*9)-(SUM(B334:F342)-C341))*J333)+((SUM(B342:F342)-C341)*J333),SUM(B342:F342)*J333),IF(SUM(B334:F342)&gt;(L350*9),L350*J333,SUM(B342:F342)*J333)),2)</f>
        <v>0</v>
      </c>
      <c r="K342" s="76">
        <f>ROUND(IF(SUM(B334:F341)&lt;(L349*8),IF((SUM(B334:F342))&gt;(L349*9),(((L349*9)-(SUM(B334:F342)-C341))*K333)+((SUM(B342:F342)-C341)*K333),SUM(B342:F342)*K333),IF(SUM(B334:F342)&gt;(L349*9),L349*K333,SUM(B342:F342)*K333)),2)</f>
        <v>0</v>
      </c>
      <c r="L342" s="76">
        <f>ROUND(IF(SUM(B334:F341)&lt;(L350*8),IF((SUM(B334:F342))&gt;(L350*9),(((L350*9)-(SUM(B334:F342)-C342))*L333)+((SUM(B342:F342)-C342)*L333),(SUM(B342:F342)-C342)*L333),IF(SUM(B334:F342)&gt;(L350*9),L350*L333,SUM(B342:F342)*L333)),2)</f>
        <v>0</v>
      </c>
      <c r="M342" s="76">
        <f>ROUND(IF(SUM(B334:F341)&lt;(L350*8),IF((SUM(B334:F342))&gt;(L350*9),(((L350*9)-(SUM(B334:F342)-C342))*M333)+((SUM(B342:F342)-C342)*M333),(SUM(B342:F342)-C342)*M333),IF(SUM(B334:F342)&gt;(L350*9),L350*M333,SUM(B342:F342)*M333)),2)</f>
        <v>0</v>
      </c>
      <c r="N342" s="76">
        <f>ROUND(IF(SUM(B334:F341)&lt;(L350*8),IF((SUM(B334:F342))&gt;(L350*9),(((L350*9)-(SUM(B334:F342)-C341))*N333)+((SUM(B342:F342)-C341)*N333),SUM(B342:F342)*N333),IF(SUM(B334:F342)&gt;(L350*9),L350*N333,SUM(B342:F342)*N333)),2)</f>
        <v>0</v>
      </c>
      <c r="O342" s="23">
        <f>ROUND(SUM(B342+C342+F342)*O333,2)</f>
        <v>0</v>
      </c>
      <c r="P342" s="27">
        <f t="shared" si="38"/>
        <v>0</v>
      </c>
    </row>
    <row r="343" spans="1:16" s="1" customFormat="1" x14ac:dyDescent="0.2">
      <c r="A343" s="100" t="str">
        <f>$A$35</f>
        <v>Okt 2022</v>
      </c>
      <c r="B343" s="24">
        <f>ROUND(IF(P317=0,0,IFERROR(((LOOKUP(2,1/(A322:A325=A343),G322:G325))*P317*4.348),B342/P317*P317)),2)</f>
        <v>0</v>
      </c>
      <c r="C343" s="23">
        <f>ROUND(IFERROR(((LOOKUP(2,1/(B327=A343),((SUM(B340:B342)+SUM(F340:F342))/3)*C327))),0)+IFERROR(((LOOKUP(2,1/(E327=A343),(B346+F346)*F327))),0),2)</f>
        <v>0</v>
      </c>
      <c r="D343" s="23">
        <f>ROUND(IF(B343=0,0,D333/L315*P317),2)</f>
        <v>0</v>
      </c>
      <c r="E343" s="23">
        <f>ROUND(IF(B343=0,0,E333/N311*P317),2)</f>
        <v>0</v>
      </c>
      <c r="F343" s="24">
        <f>ROUND(IF(P317=0,0,IFERROR(((LOOKUP(2,1/(A322:A325=A343),H322:H325))/N311*P317),F342/P317*P317)),2)</f>
        <v>0</v>
      </c>
      <c r="G343" s="27">
        <f t="shared" si="37"/>
        <v>0</v>
      </c>
      <c r="H343" s="76">
        <f>ROUND(IF(SUM(B334:F342)&lt;(L349*9),IF((SUM(B334:F343))&gt;(L349*10),(((L349*10)-(SUM(B334:F343)-C342))*H333)+((SUM(B343:F343)-C342)*H333),SUM(B343:F343)*H333),IF(SUM(B334:F343)&gt;(L349*10),L349*H333,SUM(B343:F343)*H333)),2)</f>
        <v>0</v>
      </c>
      <c r="I343" s="76">
        <f>ROUND(IF(SUM(B334:F342)&lt;(L350*9),IF((SUM(B334:F343))&gt;(L350*10),(((L350*10)-(SUM(B334:F343)-C342))*I333)+((SUM(B343:F343)-C342)*I333),SUM(B343:F343)*I333),IF(SUM(B334:F343)&gt;(L350*10),L350*I333,SUM(B343:F343)*I333)),2)</f>
        <v>0</v>
      </c>
      <c r="J343" s="76">
        <f>ROUND(IF(SUM(B334:F342)&lt;(L350*9),IF((SUM(B334:F343))&gt;(L350*10),(((L350*10)-(SUM(B334:F343)-C342))*J333)+((SUM(B343:F343)-C342)*J333),SUM(B343:F343)*J333),IF(SUM(B334:F343)&gt;(L350*10),L350*J333,SUM(B343:F343)*J333)),2)</f>
        <v>0</v>
      </c>
      <c r="K343" s="76">
        <f>ROUND(IF(SUM(B334:F342)&lt;(L349*9),IF((SUM(B334:F343))&gt;(L349*10),(((L349*10)-(SUM(B334:F343)-C342))*K333)+((SUM(B343:F343)-C342)*K333),SUM(B343:F343)*K333),IF(SUM(B334:F343)&gt;(L349*10),L349*K333,SUM(B343:F343)*K333)),2)</f>
        <v>0</v>
      </c>
      <c r="L343" s="76">
        <f>ROUND(IF(SUM(B334:F342)&lt;(L350*9),IF((SUM(B334:F343))&gt;(L350*10),(((L350*10)-(SUM(B334:F343)-C343))*L333)+((SUM(B343:F343)-C343)*L333),(SUM(B343:F343)-C343)*L333),IF(SUM(B334:F343)&gt;(L350*10),L350*L333,SUM(B343:F343)*L333)),2)</f>
        <v>0</v>
      </c>
      <c r="M343" s="76">
        <f>ROUND(IF(SUM(B334:F342)&lt;(L350*9),IF((SUM(B334:F343))&gt;(L350*10),(((L350*10)-(SUM(B334:F343)-C343))*M333)+((SUM(B343:F343)-C343)*M333),(SUM(B343:F343)-C343)*M333),IF(SUM(B334:F343)&gt;(L350*10),L350*M333,SUM(B343:F343)*M333)),2)</f>
        <v>0</v>
      </c>
      <c r="N343" s="76">
        <f>ROUND(IF(SUM(B334:F342)&lt;(L350*9),IF((SUM(B334:F343))&gt;(L350*10),(((L350*10)-(SUM(B334:F343)-C342))*N333)+((SUM(B343:F343)-C342)*N333),SUM(B343:F343)*N333),IF(SUM(B334:F343)&gt;(L350*10),L350*N333,SUM(B343:F343)*N333)),2)</f>
        <v>0</v>
      </c>
      <c r="O343" s="23">
        <f>ROUND(SUM(B343+C343+F343)*O333,2)</f>
        <v>0</v>
      </c>
      <c r="P343" s="27">
        <f t="shared" si="38"/>
        <v>0</v>
      </c>
    </row>
    <row r="344" spans="1:16" s="1" customFormat="1" x14ac:dyDescent="0.2">
      <c r="A344" s="100" t="str">
        <f>$A$36</f>
        <v>Nov 2022</v>
      </c>
      <c r="B344" s="24">
        <f>ROUND(IF(P318=0,0,IFERROR(((LOOKUP(2,1/(A322:A325=A344),G322:G325))*P318*4.348),B343/P318*P318)),2)</f>
        <v>0</v>
      </c>
      <c r="C344" s="23">
        <f>ROUND(IFERROR(((LOOKUP(2,1/(B327=A344),((SUM(B340:B342)+SUM(F340:F342))/3)*C327))),0)+IFERROR(((LOOKUP(2,1/(E327=A344),(B346+F346)*F327))),0),2)</f>
        <v>0</v>
      </c>
      <c r="D344" s="23">
        <f>ROUND(IF(B344=0,0,D333/L315*P318),2)</f>
        <v>0</v>
      </c>
      <c r="E344" s="23">
        <f>ROUND(IF(B344=0,0,E333/N311*P318),2)</f>
        <v>0</v>
      </c>
      <c r="F344" s="24">
        <f>ROUND(IF(P318=0,0,IFERROR(((LOOKUP(2,1/(A322:A325=A344),H322:H325))/N311*P318),F343/P318*P318)),2)</f>
        <v>0</v>
      </c>
      <c r="G344" s="27">
        <f t="shared" si="37"/>
        <v>0</v>
      </c>
      <c r="H344" s="76">
        <f>ROUND(IF(SUM(B334:F343)&lt;(L349*10),IF((SUM(B334:F344))&gt;(L349*11),(((L349*11)-(SUM(B334:F344)-C343))*H333)+((SUM(B344:F344)-C343)*H333),SUM(B344:F344)*H333),IF(SUM(B334:F344)&gt;(L349*11),L349*H333,SUM(B344:F344)*H333)),2)</f>
        <v>0</v>
      </c>
      <c r="I344" s="76">
        <f>ROUND(IF(SUM(B334:F343)&lt;(L350*10),IF((SUM(B334:F344))&gt;(L350*11),(((L350*11)-(SUM(B334:F344)-C343))*I333)+((SUM(B344:F344)-C343)*I333),SUM(B344:F344)*I333),IF(SUM(B334:F344)&gt;(L350*11),L350*I333,SUM(B344:F344)*I333)),2)</f>
        <v>0</v>
      </c>
      <c r="J344" s="76">
        <f>ROUND(IF(SUM(B334:F343)&lt;(L350*10),IF((SUM(B334:F344))&gt;(L350*11),(((L350*11)-(SUM(B334:F344)-C343))*J333)+((SUM(B344:F344)-C343)*J333),SUM(B344:F344)*J333),IF(SUM(B334:F344)&gt;(L350*11),L350*J333,SUM(B344:F344)*J333)),2)</f>
        <v>0</v>
      </c>
      <c r="K344" s="76">
        <f>ROUND(IF(SUM(B334:F343)&lt;(L349*10),IF((SUM(B334:F344))&gt;(L349*11),(((L349*11)-(SUM(B334:F344)-C343))*K333)+((SUM(B344:F344)-C343)*K333),SUM(B344:F344)*K333),IF(SUM(B334:F344)&gt;(L349*11),L349*K333,SUM(B344:F344)*K333)),2)</f>
        <v>0</v>
      </c>
      <c r="L344" s="76">
        <f>ROUND(IF(SUM(B334:F343)&lt;(L350*10),IF((SUM(B334:F344))&gt;(L350*11),(((L350*11)-(SUM(B334:F344)-C344))*L333)+((SUM(B344:F344)-C344)*L333),(SUM(B344:F344)-C344)*L333),IF(SUM(B334:F344)&gt;(L350*11),L350*L333,SUM(B344:F344)*L333)),2)</f>
        <v>0</v>
      </c>
      <c r="M344" s="76">
        <f>ROUND(IF(SUM(B334:F343)&lt;(L350*10),IF((SUM(B334:F344))&gt;(L350*11),(((L350*11)-(SUM(B334:F344)-C344))*M333)+((SUM(B344:F344)-C344)*M333),(SUM(B344:F344)-C344)*M333),IF(SUM(B334:F344)&gt;(L350*11),L350*M333,SUM(B344:F344)*M333)),2)</f>
        <v>0</v>
      </c>
      <c r="N344" s="76">
        <f>ROUND(IF(SUM(B334:F343)&lt;(L350*10),IF((SUM(B334:F344))&gt;(L350*11),(((L350*11)-(SUM(B334:F344)-C343))*N333)+((SUM(B344:F344)-C343)*N333),SUM(B344:F344)*N333),IF(SUM(B334:F344)&gt;(L350*11),L350*N333,SUM(B344:F344)*N333)),2)</f>
        <v>0</v>
      </c>
      <c r="O344" s="23">
        <f>ROUND(SUM(B344+C344+F344)*O333,2)</f>
        <v>0</v>
      </c>
      <c r="P344" s="27">
        <f t="shared" si="38"/>
        <v>0</v>
      </c>
    </row>
    <row r="345" spans="1:16" s="1" customFormat="1" x14ac:dyDescent="0.2">
      <c r="A345" s="100" t="str">
        <f>$A$37</f>
        <v>Dez 2022</v>
      </c>
      <c r="B345" s="24">
        <f>ROUND(IF(P319=0,0,IFERROR(((LOOKUP(2,1/(A322:A325=A345),G322:G325))*P319*4.348),B344/P319*P319)),2)</f>
        <v>0</v>
      </c>
      <c r="C345" s="23">
        <f>ROUND(IFERROR(((LOOKUP(2,1/(B327=A345),((SUM(B340:B342)+SUM(F340:F342))/3)*C327))),0)+IFERROR(((LOOKUP(2,1/(E327=A345),(B346+F346)*F327))),0),2)</f>
        <v>0</v>
      </c>
      <c r="D345" s="23">
        <f>ROUND(IF(B345=0,0,D333/L315*P319),2)</f>
        <v>0</v>
      </c>
      <c r="E345" s="23">
        <f>ROUND(IF(B345=0,0,E333/N311*P319),2)</f>
        <v>0</v>
      </c>
      <c r="F345" s="24">
        <f>ROUND(IF(P319=0,0,IFERROR(((LOOKUP(2,1/(A322:A325=A345),H322:H325))/N311*P319),F344/P319*P319)),2)</f>
        <v>0</v>
      </c>
      <c r="G345" s="27">
        <f t="shared" si="37"/>
        <v>0</v>
      </c>
      <c r="H345" s="76">
        <f>ROUND(IF(SUM(B334:F344)&lt;(L349*11),IF((SUM(B334:F345))&gt;(L349*12),(((L349*12)-(SUM(B334:F345)-C344))*H333)+((SUM(B345:F345)-C344)*H333),SUM(B345:F345)*H333),IF(SUM(B334:F345)&gt;(L349*12),L349*H333,SUM(B345:F345)*H333)),2)</f>
        <v>0</v>
      </c>
      <c r="I345" s="76">
        <f>ROUND(IF(SUM(B334:F344)&lt;(L350*11),IF((SUM(B334:F345))&gt;(L350*12),(((L350*12)-(SUM(B334:F345)-C344))*I333)+((SUM(B345:F345)-C344)*I333),SUM(B345:F345)*I333),IF(SUM(B334:F345)&gt;(L350*12),L350*I333,SUM(B345:F345)*I333)),2)</f>
        <v>0</v>
      </c>
      <c r="J345" s="76">
        <f>ROUND(IF(SUM(B334:F344)&lt;(L350*11),IF((SUM(B334:F345))&gt;(L350*12),(((L350*12)-(SUM(B334:F345)-C344))*J333)+((SUM(B345:F345)-C344)*J333),SUM(B345:F345)*J333),IF(SUM(B334:F345)&gt;(L350*12),L350*J333,SUM(B345:F345)*J333)),2)</f>
        <v>0</v>
      </c>
      <c r="K345" s="76">
        <f>ROUND(IF(SUM(B334:F344)&lt;(L349*11),IF((SUM(B334:F345))&gt;(L349*12),(((L349*12)-(SUM(B334:F345)-C344))*K333)+((SUM(B345:F345)-C344)*K333),SUM(B345:F345)*K333),IF(SUM(B334:F345)&gt;(L349*12),L349*K333,SUM(B345:F345)*K333)),2)</f>
        <v>0</v>
      </c>
      <c r="L345" s="76">
        <f>ROUND(IF(SUM(B334:F344)&lt;(L350*11),IF((SUM(B334:F345))&gt;(L350*12),(((L350*12)-(SUM(B334:F345)-C345))*L333)+((SUM(B345:F345)-C345)*L333),(SUM(B345:F345)-C345)*L333),IF(SUM(B334:F345)&gt;(L350*12),L350*L333,SUM(B345:F345)*L333)),2)</f>
        <v>0</v>
      </c>
      <c r="M345" s="76">
        <f>ROUND(IF(SUM(B334:F344)&lt;(L350*11),IF((SUM(B334:F345))&gt;(L350*12),(((L350*12)-(SUM(B334:F345)-C345))*M333)+((SUM(B345:F345)-C345)*M333),(SUM(B345:F345)-C345)*M333),IF(SUM(B334:F345)&gt;(L350*12),L350*M333,SUM(B345:F345)*M333)),2)</f>
        <v>0</v>
      </c>
      <c r="N345" s="76">
        <f>ROUND(IF(SUM(B334:F344)&lt;(L350*11),IF((SUM(B334:F345))&gt;(L350*12),(((L350*12)-(SUM(B334:F345)-C344))*N333)+((SUM(B345:F345)-C344)*N333),SUM(B345:F345)*N333),IF(SUM(B334:F345)&gt;(L350*12),L350*N333,SUM(B345:F345)*N333)),2)</f>
        <v>0</v>
      </c>
      <c r="O345" s="23">
        <f>ROUND(SUM(B345+C345+F345)*O333,2)</f>
        <v>0</v>
      </c>
      <c r="P345" s="27">
        <f t="shared" si="38"/>
        <v>0</v>
      </c>
    </row>
    <row r="346" spans="1:16" s="14" customFormat="1" ht="15" x14ac:dyDescent="0.25">
      <c r="A346" s="4" t="s">
        <v>2</v>
      </c>
      <c r="B346" s="27">
        <f>SUM(B334:B345)</f>
        <v>0</v>
      </c>
      <c r="C346" s="27">
        <f t="shared" ref="C346:D346" si="39">SUM(C334:C345)</f>
        <v>0</v>
      </c>
      <c r="D346" s="27">
        <f t="shared" si="39"/>
        <v>0</v>
      </c>
      <c r="E346" s="27">
        <f>SUM(E334:E345)</f>
        <v>0</v>
      </c>
      <c r="F346" s="27">
        <f>SUM(F334:F345)</f>
        <v>0</v>
      </c>
      <c r="G346" s="27">
        <f>SUM(G334:G345)</f>
        <v>0</v>
      </c>
      <c r="H346" s="1133">
        <f>SUM(H334:N345)</f>
        <v>0</v>
      </c>
      <c r="I346" s="1134"/>
      <c r="J346" s="1134"/>
      <c r="K346" s="1134"/>
      <c r="L346" s="1134"/>
      <c r="M346" s="1134"/>
      <c r="N346" s="1135"/>
      <c r="O346" s="27">
        <f>SUM(O334:O345)</f>
        <v>0</v>
      </c>
      <c r="P346" s="27">
        <f>SUM(P334:P345)</f>
        <v>0</v>
      </c>
    </row>
    <row r="347" spans="1:16" s="13" customFormat="1" ht="11.25" x14ac:dyDescent="0.2">
      <c r="A347" s="3" t="s">
        <v>1</v>
      </c>
      <c r="B347" s="2"/>
      <c r="C347" s="2"/>
      <c r="D347" s="2"/>
      <c r="E347" s="2"/>
      <c r="F347" s="2"/>
      <c r="G347" s="2"/>
      <c r="H347" s="2"/>
      <c r="I347" s="2"/>
      <c r="J347" s="2"/>
      <c r="K347" s="2"/>
      <c r="L347" s="2"/>
      <c r="M347" s="2"/>
      <c r="N347" s="2"/>
      <c r="O347" s="2"/>
      <c r="P347" s="2"/>
    </row>
    <row r="348" spans="1:16" s="1" customFormat="1" ht="14.25" customHeight="1" x14ac:dyDescent="0.2">
      <c r="A348" s="1136" t="s">
        <v>133</v>
      </c>
      <c r="B348" s="1137"/>
      <c r="C348" s="1137"/>
      <c r="D348" s="1137" t="s">
        <v>134</v>
      </c>
      <c r="E348" s="1137"/>
      <c r="F348" s="94" t="str">
        <f>IF(IF(G346=0,"",'päd.Personal - Leitung'!$F$40)=0,"",IF(G346=0,"",'päd.Personal - Leitung'!$F$40))</f>
        <v/>
      </c>
      <c r="G348" s="77" t="s">
        <v>135</v>
      </c>
      <c r="H348" s="96" t="str">
        <f>IF(IF(G346=0,"",'päd.Personal - Leitung'!$H$40)=0,"",IF(G346=0,"",'päd.Personal - Leitung'!$H$40))</f>
        <v/>
      </c>
      <c r="I348" s="73"/>
      <c r="J348" s="194" t="s">
        <v>160</v>
      </c>
      <c r="K348" s="194" t="str">
        <f>$K$40</f>
        <v>2021</v>
      </c>
      <c r="L348" s="194" t="str">
        <f>$L$40</f>
        <v>anteilig 2021</v>
      </c>
      <c r="M348" s="1138" t="s">
        <v>140</v>
      </c>
      <c r="N348" s="1138"/>
      <c r="O348" s="1139"/>
      <c r="P348" s="27">
        <f>ROUND(IF(F348="",IF(E352="",0,(E352*H352/K352)/L315*L316),G346*F348*H348/1000),2)</f>
        <v>0</v>
      </c>
    </row>
    <row r="349" spans="1:16" s="1" customFormat="1" ht="15" customHeight="1" x14ac:dyDescent="0.2">
      <c r="A349" s="1140" t="s">
        <v>145</v>
      </c>
      <c r="B349" s="1141"/>
      <c r="C349" s="1141"/>
      <c r="D349" s="18"/>
      <c r="E349" s="107" t="s">
        <v>135</v>
      </c>
      <c r="F349" s="95" t="str">
        <f>IF(IF(G346=0,"",'päd.Personal - Leitung'!$F$41)=0,"",IF(G346=0,"",'päd.Personal - Leitung'!$F$41))</f>
        <v/>
      </c>
      <c r="G349" s="48"/>
      <c r="H349" s="47"/>
      <c r="I349" s="48"/>
      <c r="J349" s="195" t="s">
        <v>158</v>
      </c>
      <c r="K349" s="198">
        <f>$K$41</f>
        <v>4837.5</v>
      </c>
      <c r="L349" s="197">
        <f>IF(L315="",K349,K349/L315*L316)</f>
        <v>4837.5</v>
      </c>
      <c r="M349" s="1138" t="s">
        <v>139</v>
      </c>
      <c r="N349" s="1138"/>
      <c r="O349" s="1139"/>
      <c r="P349" s="27">
        <f>ROUND(IF(F349="",0,G346*F349/1000),2)</f>
        <v>0</v>
      </c>
    </row>
    <row r="350" spans="1:16" s="1" customFormat="1" ht="15.75" customHeight="1" x14ac:dyDescent="0.2">
      <c r="A350" s="1142" t="s">
        <v>141</v>
      </c>
      <c r="B350" s="1143"/>
      <c r="C350" s="1143"/>
      <c r="D350" s="1144" t="s">
        <v>143</v>
      </c>
      <c r="E350" s="1144"/>
      <c r="F350" s="1145" t="str">
        <f>IF(IF(G346=0,"",'päd.Personal - Leitung'!$F$42)=0,"",IF(G346=0,"",'päd.Personal - Leitung'!$F$42))</f>
        <v/>
      </c>
      <c r="G350" s="1145"/>
      <c r="H350" s="72"/>
      <c r="I350" s="18"/>
      <c r="J350" s="195" t="s">
        <v>159</v>
      </c>
      <c r="K350" s="197">
        <f>$K$42</f>
        <v>6700</v>
      </c>
      <c r="L350" s="197">
        <f>IF(L315="",K350,K350/L315*L316)</f>
        <v>6700</v>
      </c>
      <c r="M350" s="1138" t="s">
        <v>141</v>
      </c>
      <c r="N350" s="1138"/>
      <c r="O350" s="1139"/>
      <c r="P350" s="23">
        <f>ROUND(IF(F350="",0,IF(G346=0,0,F350/L315*L316)),2)</f>
        <v>0</v>
      </c>
    </row>
    <row r="351" spans="1:16" s="1" customFormat="1" ht="14.25" customHeight="1" x14ac:dyDescent="0.2">
      <c r="A351" s="18"/>
      <c r="B351" s="18"/>
      <c r="C351" s="18"/>
      <c r="D351" s="18"/>
      <c r="E351" s="18"/>
      <c r="F351" s="18"/>
      <c r="G351" s="18"/>
      <c r="H351" s="18"/>
      <c r="I351" s="18"/>
      <c r="J351" s="18"/>
      <c r="K351" s="74"/>
      <c r="L351" s="82"/>
      <c r="M351" s="1127" t="s">
        <v>146</v>
      </c>
      <c r="N351" s="1127"/>
      <c r="O351" s="1128"/>
      <c r="P351" s="23">
        <f>ROUND(IF(G346=0,0,$P$87),2)</f>
        <v>0</v>
      </c>
    </row>
    <row r="352" spans="1:16" s="1" customFormat="1" ht="14.25" customHeight="1" x14ac:dyDescent="0.2">
      <c r="A352" s="1129" t="s">
        <v>142</v>
      </c>
      <c r="B352" s="1130"/>
      <c r="C352" s="126" t="s">
        <v>136</v>
      </c>
      <c r="D352" s="179" t="s">
        <v>137</v>
      </c>
      <c r="E352" s="1131" t="str">
        <f>IF(IF(G346=0,"",'päd.Personal - Leitung'!$E$44)=0,"",IF(G346=0,"",'päd.Personal - Leitung'!$E$44))</f>
        <v/>
      </c>
      <c r="F352" s="1131"/>
      <c r="G352" s="83" t="s">
        <v>138</v>
      </c>
      <c r="H352" s="97" t="str">
        <f>IF(IF(G346=0,"",'päd.Personal - Leitung'!$H$44)=0,"",IF(G346=0,"",'päd.Personal - Leitung'!$H$44))</f>
        <v/>
      </c>
      <c r="I352" s="1132" t="s">
        <v>144</v>
      </c>
      <c r="J352" s="1132"/>
      <c r="K352" s="98" t="str">
        <f>IF(IF(G346=0,"",'päd.Personal - Leitung'!$K$44)=0,"",IF(G346=0,"",'päd.Personal - Leitung'!$K$44))</f>
        <v/>
      </c>
      <c r="L352" s="29"/>
      <c r="M352" s="29"/>
      <c r="N352" s="29"/>
      <c r="O352" s="28" t="s">
        <v>0</v>
      </c>
      <c r="P352" s="27">
        <f>P346+SUM(P348:P351)</f>
        <v>0</v>
      </c>
    </row>
    <row r="353" spans="1:16" s="12" customFormat="1" ht="13.5" customHeight="1" x14ac:dyDescent="0.2">
      <c r="A353" s="1178" t="s">
        <v>18</v>
      </c>
      <c r="B353" s="1178"/>
      <c r="C353" s="1178"/>
      <c r="D353" s="1179" t="str">
        <f>IF($D$1="","",$D$1)</f>
        <v/>
      </c>
      <c r="E353" s="1179"/>
      <c r="F353" s="1179"/>
      <c r="G353" s="1179"/>
      <c r="H353" s="1179"/>
      <c r="I353" s="1179"/>
      <c r="J353" s="1179"/>
      <c r="K353" s="1179"/>
      <c r="L353" s="1179"/>
      <c r="M353" s="1179"/>
      <c r="N353" s="1179"/>
    </row>
    <row r="354" spans="1:16" s="12" customFormat="1" ht="15" customHeight="1" x14ac:dyDescent="0.2">
      <c r="A354" s="1178" t="s">
        <v>17</v>
      </c>
      <c r="B354" s="1178"/>
      <c r="C354" s="1178" t="s">
        <v>15</v>
      </c>
      <c r="D354" s="1179" t="str">
        <f>IF($D$2="","",$D$2)</f>
        <v/>
      </c>
      <c r="E354" s="1179"/>
      <c r="F354" s="1179"/>
      <c r="G354" s="1179"/>
      <c r="H354" s="1179"/>
      <c r="I354" s="1179"/>
      <c r="J354" s="1179"/>
      <c r="K354" s="1179"/>
      <c r="L354" s="1179"/>
      <c r="M354" s="1179"/>
      <c r="N354" s="1179"/>
    </row>
    <row r="355" spans="1:16" s="12" customFormat="1" ht="15" customHeight="1" x14ac:dyDescent="0.2">
      <c r="A355" s="1178" t="s">
        <v>16</v>
      </c>
      <c r="B355" s="1178"/>
      <c r="C355" s="1178" t="s">
        <v>15</v>
      </c>
      <c r="D355" s="1179" t="str">
        <f>IF($D$3="","",$D$3)</f>
        <v/>
      </c>
      <c r="E355" s="1179"/>
      <c r="F355" s="1179"/>
      <c r="G355" s="1179"/>
      <c r="H355" s="1179"/>
      <c r="I355" s="1179"/>
      <c r="J355" s="1179"/>
      <c r="K355" s="1178" t="s">
        <v>103</v>
      </c>
      <c r="L355" s="1178"/>
      <c r="M355" s="1178"/>
      <c r="N355" s="41" t="str">
        <f>IF($N$3="","",$N$3)</f>
        <v/>
      </c>
    </row>
    <row r="356" spans="1:16" s="13" customFormat="1" ht="11.25" x14ac:dyDescent="0.2">
      <c r="A356" s="1182"/>
      <c r="B356" s="1182"/>
      <c r="C356" s="1182"/>
      <c r="D356" s="1183"/>
      <c r="E356" s="1183"/>
      <c r="F356" s="1183"/>
      <c r="G356" s="1183"/>
      <c r="H356" s="1183"/>
      <c r="I356" s="1183"/>
      <c r="J356" s="1183"/>
      <c r="K356" s="11"/>
      <c r="L356" s="11"/>
      <c r="M356" s="11"/>
      <c r="N356" s="11"/>
      <c r="O356" s="11"/>
      <c r="P356" s="11"/>
    </row>
    <row r="357" spans="1:16" s="15" customFormat="1" ht="13.5" customHeight="1" x14ac:dyDescent="0.2">
      <c r="A357" s="1177" t="s">
        <v>166</v>
      </c>
      <c r="B357" s="1177"/>
      <c r="C357" s="1177"/>
      <c r="D357" s="1177"/>
      <c r="E357" s="1177"/>
      <c r="F357" s="1177"/>
      <c r="G357" s="1177"/>
      <c r="H357" s="1177"/>
      <c r="I357" s="1177"/>
      <c r="J357" s="1177"/>
      <c r="K357" s="9"/>
      <c r="L357" s="9"/>
      <c r="M357" s="9"/>
      <c r="N357" s="59" t="s">
        <v>154</v>
      </c>
      <c r="O357" s="191">
        <f>$O$5</f>
        <v>2022</v>
      </c>
      <c r="P357" s="59" t="s">
        <v>154</v>
      </c>
    </row>
    <row r="358" spans="1:16" s="10" customFormat="1" ht="13.5" customHeight="1" x14ac:dyDescent="0.25">
      <c r="B358" s="32"/>
      <c r="C358" s="32"/>
      <c r="D358" s="5" t="s">
        <v>45</v>
      </c>
      <c r="E358" s="31"/>
      <c r="F358" s="31"/>
      <c r="G358" s="31"/>
      <c r="H358" s="31"/>
      <c r="I358" s="26"/>
      <c r="J358" s="1174" t="s">
        <v>14</v>
      </c>
      <c r="K358" s="1174"/>
      <c r="L358" s="180"/>
      <c r="N358" s="84">
        <f>IF(L360="","",L360)</f>
        <v>0</v>
      </c>
      <c r="O358" s="58" t="str">
        <f>$O$6</f>
        <v>Jan                Jul</v>
      </c>
      <c r="P358" s="85">
        <f>IF(N363="","",N363)</f>
        <v>0</v>
      </c>
    </row>
    <row r="359" spans="1:16" s="7" customFormat="1" ht="13.5" customHeight="1" x14ac:dyDescent="0.25">
      <c r="A359" s="1180" t="s">
        <v>71</v>
      </c>
      <c r="B359" s="1180"/>
      <c r="C359" s="1180"/>
      <c r="D359" s="1184"/>
      <c r="E359" s="1184"/>
      <c r="F359" s="1184"/>
      <c r="G359" s="1184"/>
      <c r="H359" s="1184"/>
      <c r="I359" s="1184"/>
      <c r="J359" s="1174" t="s">
        <v>104</v>
      </c>
      <c r="K359" s="1174"/>
      <c r="L359" s="145"/>
      <c r="N359" s="85">
        <f>IF(N358="","",N358)</f>
        <v>0</v>
      </c>
      <c r="O359" s="58" t="str">
        <f>$O$7</f>
        <v>Feb              Aug</v>
      </c>
      <c r="P359" s="85">
        <f>IF(P358="","",P358)</f>
        <v>0</v>
      </c>
    </row>
    <row r="360" spans="1:16" s="1" customFormat="1" ht="13.5" customHeight="1" x14ac:dyDescent="0.2">
      <c r="A360" s="1180" t="s">
        <v>13</v>
      </c>
      <c r="B360" s="1180"/>
      <c r="C360" s="1180"/>
      <c r="D360" s="1181"/>
      <c r="E360" s="1181"/>
      <c r="F360" s="1181"/>
      <c r="G360" s="1181"/>
      <c r="H360" s="1181"/>
      <c r="I360" s="1181"/>
      <c r="J360" s="1174" t="s">
        <v>164</v>
      </c>
      <c r="K360" s="1174"/>
      <c r="L360" s="145">
        <f>IF((L361+L362)&gt;L359,0,L359-L361-L362)</f>
        <v>0</v>
      </c>
      <c r="N360" s="85">
        <f>IF(N359="","",N359)</f>
        <v>0</v>
      </c>
      <c r="O360" s="58" t="str">
        <f>$O$8</f>
        <v>Mrz              Sep</v>
      </c>
      <c r="P360" s="85">
        <f>IF(P359="","",P359)</f>
        <v>0</v>
      </c>
    </row>
    <row r="361" spans="1:16" s="1" customFormat="1" ht="13.5" customHeight="1" x14ac:dyDescent="0.2">
      <c r="A361" s="1180" t="s">
        <v>12</v>
      </c>
      <c r="B361" s="1180"/>
      <c r="C361" s="1180"/>
      <c r="D361" s="1181"/>
      <c r="E361" s="1181"/>
      <c r="F361" s="1181"/>
      <c r="G361" s="1181"/>
      <c r="H361" s="1181"/>
      <c r="I361" s="1181"/>
      <c r="J361" s="1174" t="s">
        <v>165</v>
      </c>
      <c r="K361" s="1174"/>
      <c r="L361" s="145"/>
      <c r="N361" s="85">
        <f>IF(N360="","",N360)</f>
        <v>0</v>
      </c>
      <c r="O361" s="58" t="str">
        <f>$O$9</f>
        <v>Apr               Okt</v>
      </c>
      <c r="P361" s="85">
        <f t="shared" ref="P361:P363" si="40">IF(P360="","",P360)</f>
        <v>0</v>
      </c>
    </row>
    <row r="362" spans="1:16" s="1" customFormat="1" ht="13.5" customHeight="1" x14ac:dyDescent="0.2">
      <c r="A362" s="1180" t="s">
        <v>19</v>
      </c>
      <c r="B362" s="1180"/>
      <c r="C362" s="1180"/>
      <c r="D362" s="1181"/>
      <c r="E362" s="1181"/>
      <c r="F362" s="1181"/>
      <c r="G362" s="1181"/>
      <c r="H362" s="1181"/>
      <c r="I362" s="1181"/>
      <c r="J362" s="1174" t="s">
        <v>252</v>
      </c>
      <c r="K362" s="1174"/>
      <c r="L362" s="145"/>
      <c r="M362" s="92"/>
      <c r="N362" s="85">
        <f>IF(N361="","",N361)</f>
        <v>0</v>
      </c>
      <c r="O362" s="58" t="str">
        <f>$O$10</f>
        <v>Mai               Nov</v>
      </c>
      <c r="P362" s="85">
        <f t="shared" si="40"/>
        <v>0</v>
      </c>
    </row>
    <row r="363" spans="1:16" s="1" customFormat="1" ht="13.5" customHeight="1" x14ac:dyDescent="0.2">
      <c r="B363" s="8"/>
      <c r="C363" s="121" t="s">
        <v>162</v>
      </c>
      <c r="D363" s="1175"/>
      <c r="E363" s="1175"/>
      <c r="F363" s="1176" t="s">
        <v>106</v>
      </c>
      <c r="G363" s="1176"/>
      <c r="H363" s="1186"/>
      <c r="I363" s="1186"/>
      <c r="J363" s="1174" t="s">
        <v>97</v>
      </c>
      <c r="K363" s="1174"/>
      <c r="L363" s="17" t="str">
        <f>IF(IF((COUNTIF(B378:B389,"&gt;0"))=0,0,(COUNTIF(B378:B389,"&gt;0")))&gt;Grundlagen!$C$24,Grundlagen!$C$24,IF((COUNTIF(B378:B389,"&gt;0"))=0,"",(COUNTIF(B378:B389,"&gt;0"))))</f>
        <v/>
      </c>
      <c r="N363" s="85">
        <f>IF(N362="","",N362)</f>
        <v>0</v>
      </c>
      <c r="O363" s="58" t="str">
        <f>'päd.Personal - Leitung'!$O$11</f>
        <v>Jun               Dez</v>
      </c>
      <c r="P363" s="85">
        <f t="shared" si="40"/>
        <v>0</v>
      </c>
    </row>
    <row r="364" spans="1:16" s="1" customFormat="1" ht="13.5" customHeight="1" x14ac:dyDescent="0.2">
      <c r="I364" s="6"/>
      <c r="L364" s="147" t="str">
        <f>IF((SUM(F366:F369))=0,"",IF(P364&gt;L360,L360,IF(L360="","",IF(L363="","",P364))))</f>
        <v/>
      </c>
      <c r="O364" s="174" t="s">
        <v>251</v>
      </c>
      <c r="P364" s="175">
        <f>IF(L363="",0,((IF(SUMIF(B378,"&gt;0"),N358,0))+(IF(SUMIF(B379,"&gt;0"),N359,0))+(IF(SUMIF(B380,"&gt;0"),N360,0))+(IF(SUMIF(B381,"&gt;0"),N361,0))+(IF(SUMIF(B382,"&gt;0"),N362,0))+(IF(SUMIF(B383,"&gt;0"),N363,0))+(IF(SUMIF(B384,"&gt;0"),P358,0))+(IF(SUMIF(B385,"&gt;0"),P359,0))+(IF(SUMIF(B386,"&gt;0"),P360,0))+(IF(SUMIF(B387,"&gt;0"),P361,0))+(IF(SUMIF(B388,"&gt;0"),P362,0))+(IF(SUMIF(B389,"&gt;0"),P363,0)))/Grundlagen!$C$24)</f>
        <v>0</v>
      </c>
    </row>
    <row r="365" spans="1:16" s="52" customFormat="1" ht="13.5" customHeight="1" x14ac:dyDescent="0.2">
      <c r="A365" s="61" t="s">
        <v>148</v>
      </c>
      <c r="B365" s="1168" t="s">
        <v>149</v>
      </c>
      <c r="C365" s="1168"/>
      <c r="D365" s="62" t="s">
        <v>150</v>
      </c>
      <c r="E365" s="63" t="s">
        <v>151</v>
      </c>
      <c r="F365" s="64" t="str">
        <f>CONCATENATE("Entg. ",N355," h/Wo")</f>
        <v>Entg.  h/Wo</v>
      </c>
      <c r="G365" s="65" t="s">
        <v>152</v>
      </c>
      <c r="H365" s="65" t="s">
        <v>153</v>
      </c>
      <c r="K365" s="1169" t="str">
        <f>CONCATENATE("Zuschläge / Zulagen für ",N355,"h/Wo")</f>
        <v>Zuschläge / Zulagen für h/Wo</v>
      </c>
      <c r="L365" s="1169"/>
      <c r="M365" s="66" t="str">
        <f>IF(A366="","",A366)</f>
        <v>Jan 2022</v>
      </c>
      <c r="N365" s="66" t="str">
        <f>IF(A367="","",A367)</f>
        <v/>
      </c>
      <c r="O365" s="66" t="str">
        <f>IF(A368="","",A368)</f>
        <v/>
      </c>
      <c r="P365" s="66" t="str">
        <f>IF(A369="","",A369)</f>
        <v/>
      </c>
    </row>
    <row r="366" spans="1:16" s="52" customFormat="1" ht="13.5" customHeight="1" x14ac:dyDescent="0.25">
      <c r="A366" s="54" t="str">
        <f>A378</f>
        <v>Jan 2022</v>
      </c>
      <c r="B366" s="1170" t="str">
        <f>IF($D$3="","",$D$3)</f>
        <v/>
      </c>
      <c r="C366" s="1171"/>
      <c r="D366" s="181"/>
      <c r="E366" s="181"/>
      <c r="F366" s="87"/>
      <c r="G366" s="56">
        <f>IF(N355="",0,F366/N355/4.348)</f>
        <v>0</v>
      </c>
      <c r="H366" s="53">
        <f>IF(G366=0,0,M371)</f>
        <v>0</v>
      </c>
      <c r="K366" s="1146"/>
      <c r="L366" s="1146"/>
      <c r="M366" s="172"/>
      <c r="N366" s="172"/>
      <c r="O366" s="172"/>
      <c r="P366" s="172"/>
    </row>
    <row r="367" spans="1:16" s="52" customFormat="1" ht="13.5" customHeight="1" x14ac:dyDescent="0.25">
      <c r="A367" s="55"/>
      <c r="B367" s="1172" t="str">
        <f>IF(A367="","",B366)</f>
        <v/>
      </c>
      <c r="C367" s="1173"/>
      <c r="D367" s="181"/>
      <c r="E367" s="181"/>
      <c r="F367" s="87"/>
      <c r="G367" s="56">
        <f>IF(N355="",0,F367/N355/4.348)</f>
        <v>0</v>
      </c>
      <c r="H367" s="53">
        <f>IF(G367=0,0,N371)</f>
        <v>0</v>
      </c>
      <c r="K367" s="1146"/>
      <c r="L367" s="1146"/>
      <c r="M367" s="172"/>
      <c r="N367" s="172"/>
      <c r="O367" s="172"/>
      <c r="P367" s="172"/>
    </row>
    <row r="368" spans="1:16" s="52" customFormat="1" ht="13.5" customHeight="1" x14ac:dyDescent="0.25">
      <c r="A368" s="55"/>
      <c r="B368" s="1172" t="str">
        <f>IF(A368="","",B367)</f>
        <v/>
      </c>
      <c r="C368" s="1173"/>
      <c r="D368" s="181"/>
      <c r="E368" s="181"/>
      <c r="F368" s="87"/>
      <c r="G368" s="56">
        <f>IF(N355="",0,F368/N355/4.348)</f>
        <v>0</v>
      </c>
      <c r="H368" s="53">
        <f>IF(G368=0,0,O371)</f>
        <v>0</v>
      </c>
      <c r="K368" s="1146"/>
      <c r="L368" s="1146"/>
      <c r="M368" s="172"/>
      <c r="N368" s="172"/>
      <c r="O368" s="172"/>
      <c r="P368" s="172"/>
    </row>
    <row r="369" spans="1:16" s="52" customFormat="1" ht="13.5" customHeight="1" x14ac:dyDescent="0.25">
      <c r="A369" s="55"/>
      <c r="B369" s="1172" t="str">
        <f>IF(A369="","",B368)</f>
        <v/>
      </c>
      <c r="C369" s="1173"/>
      <c r="D369" s="181"/>
      <c r="E369" s="181"/>
      <c r="F369" s="87"/>
      <c r="G369" s="56">
        <f>IF(N355="",0,F369/N355/4.348)</f>
        <v>0</v>
      </c>
      <c r="H369" s="53">
        <f>IF(G369=0,0,P371)</f>
        <v>0</v>
      </c>
      <c r="K369" s="1146"/>
      <c r="L369" s="1146"/>
      <c r="M369" s="172"/>
      <c r="N369" s="172"/>
      <c r="O369" s="172"/>
      <c r="P369" s="172"/>
    </row>
    <row r="370" spans="1:16" s="52" customFormat="1" ht="13.5" customHeight="1" x14ac:dyDescent="0.25">
      <c r="B370" s="1167" t="s">
        <v>157</v>
      </c>
      <c r="C370" s="1167"/>
      <c r="E370" s="1167" t="s">
        <v>156</v>
      </c>
      <c r="F370" s="1167"/>
      <c r="J370" s="69"/>
      <c r="K370" s="1146"/>
      <c r="L370" s="1146"/>
      <c r="M370" s="172"/>
      <c r="N370" s="172"/>
      <c r="O370" s="172"/>
      <c r="P370" s="172"/>
    </row>
    <row r="371" spans="1:16" s="52" customFormat="1" ht="13.5" customHeight="1" x14ac:dyDescent="0.25">
      <c r="A371" s="70" t="s">
        <v>167</v>
      </c>
      <c r="B371" s="67"/>
      <c r="C371" s="99" t="str">
        <f>IF(C327="","",C327)</f>
        <v/>
      </c>
      <c r="D371" s="70" t="s">
        <v>167</v>
      </c>
      <c r="E371" s="67"/>
      <c r="F371" s="99" t="str">
        <f>IF(F327="","",F327)</f>
        <v/>
      </c>
      <c r="J371" s="68"/>
      <c r="M371" s="173">
        <f>SUM(M366:M370)</f>
        <v>0</v>
      </c>
      <c r="N371" s="173">
        <f t="shared" ref="N371:P371" si="41">SUM(N366:N370)</f>
        <v>0</v>
      </c>
      <c r="O371" s="173">
        <f t="shared" si="41"/>
        <v>0</v>
      </c>
      <c r="P371" s="173">
        <f t="shared" si="41"/>
        <v>0</v>
      </c>
    </row>
    <row r="372" spans="1:16" s="52" customFormat="1" ht="13.5" customHeight="1" x14ac:dyDescent="0.2">
      <c r="A372" s="60" t="s">
        <v>155</v>
      </c>
    </row>
    <row r="373" spans="1:16" s="1" customFormat="1" ht="14.25" customHeight="1" x14ac:dyDescent="0.2">
      <c r="A373" s="1147"/>
      <c r="B373" s="1149" t="s">
        <v>9</v>
      </c>
      <c r="C373" s="1150"/>
      <c r="D373" s="1150"/>
      <c r="E373" s="1150"/>
      <c r="F373" s="1150"/>
      <c r="G373" s="1151"/>
      <c r="H373" s="1152" t="s">
        <v>119</v>
      </c>
      <c r="I373" s="1153"/>
      <c r="J373" s="1153"/>
      <c r="K373" s="1153"/>
      <c r="L373" s="1153"/>
      <c r="M373" s="1153"/>
      <c r="N373" s="1153"/>
      <c r="O373" s="33"/>
      <c r="P373" s="1154" t="s">
        <v>0</v>
      </c>
    </row>
    <row r="374" spans="1:16" s="1" customFormat="1" ht="14.25" customHeight="1" x14ac:dyDescent="0.2">
      <c r="A374" s="1148"/>
      <c r="B374" s="1157" t="s">
        <v>117</v>
      </c>
      <c r="C374" s="124" t="s">
        <v>115</v>
      </c>
      <c r="D374" s="1159" t="s">
        <v>277</v>
      </c>
      <c r="E374" s="1161" t="s">
        <v>147</v>
      </c>
      <c r="F374" s="127" t="s">
        <v>7</v>
      </c>
      <c r="G374" s="1162" t="s">
        <v>6</v>
      </c>
      <c r="H374" s="1161" t="s">
        <v>129</v>
      </c>
      <c r="I374" s="1161" t="s">
        <v>5</v>
      </c>
      <c r="J374" s="1161" t="s">
        <v>4</v>
      </c>
      <c r="K374" s="1161" t="s">
        <v>3</v>
      </c>
      <c r="L374" s="1161" t="s">
        <v>121</v>
      </c>
      <c r="M374" s="1161" t="s">
        <v>122</v>
      </c>
      <c r="N374" s="1161" t="s">
        <v>123</v>
      </c>
      <c r="O374" s="1160" t="s">
        <v>114</v>
      </c>
      <c r="P374" s="1155"/>
    </row>
    <row r="375" spans="1:16" s="1" customFormat="1" ht="14.25" customHeight="1" x14ac:dyDescent="0.2">
      <c r="A375" s="1148"/>
      <c r="B375" s="1157"/>
      <c r="C375" s="21" t="str">
        <f>IF(C371="","",C371)</f>
        <v/>
      </c>
      <c r="D375" s="1160"/>
      <c r="E375" s="1161"/>
      <c r="F375" s="1165" t="str">
        <f>IF(H366=0,"","siehe Zuschläge / Zulagen")</f>
        <v/>
      </c>
      <c r="G375" s="1162"/>
      <c r="H375" s="1164" t="s">
        <v>127</v>
      </c>
      <c r="I375" s="1164"/>
      <c r="J375" s="1164"/>
      <c r="K375" s="1164"/>
      <c r="L375" s="1164"/>
      <c r="M375" s="1164"/>
      <c r="N375" s="1164"/>
      <c r="O375" s="1160"/>
      <c r="P375" s="1155"/>
    </row>
    <row r="376" spans="1:16" s="1" customFormat="1" x14ac:dyDescent="0.2">
      <c r="A376" s="1148"/>
      <c r="B376" s="1157"/>
      <c r="C376" s="122" t="s">
        <v>70</v>
      </c>
      <c r="D376" s="1160"/>
      <c r="E376" s="1161"/>
      <c r="F376" s="1165"/>
      <c r="G376" s="1162"/>
      <c r="H376" s="43" t="s">
        <v>128</v>
      </c>
      <c r="I376" s="43" t="s">
        <v>255</v>
      </c>
      <c r="J376" s="43" t="s">
        <v>256</v>
      </c>
      <c r="K376" s="43" t="s">
        <v>257</v>
      </c>
      <c r="L376" s="43"/>
      <c r="M376" s="43"/>
      <c r="N376" s="43" t="s">
        <v>254</v>
      </c>
      <c r="O376" s="1160"/>
      <c r="P376" s="1155"/>
    </row>
    <row r="377" spans="1:16" s="1" customFormat="1" x14ac:dyDescent="0.2">
      <c r="A377" s="1148"/>
      <c r="B377" s="1158"/>
      <c r="C377" s="21" t="str">
        <f>IF(F371="","",F371)</f>
        <v/>
      </c>
      <c r="D377" s="51"/>
      <c r="E377" s="51"/>
      <c r="F377" s="1166"/>
      <c r="G377" s="1163"/>
      <c r="H377" s="93"/>
      <c r="I377" s="139">
        <f>$I$69</f>
        <v>0</v>
      </c>
      <c r="J377" s="139">
        <f>$J$69</f>
        <v>0</v>
      </c>
      <c r="K377" s="44">
        <f>$K$69</f>
        <v>0</v>
      </c>
      <c r="L377" s="21"/>
      <c r="M377" s="21"/>
      <c r="N377" s="139">
        <f>$N$69</f>
        <v>0</v>
      </c>
      <c r="O377" s="21">
        <f>O333</f>
        <v>0</v>
      </c>
      <c r="P377" s="1156"/>
    </row>
    <row r="378" spans="1:16" s="1" customFormat="1" x14ac:dyDescent="0.2">
      <c r="A378" s="100" t="str">
        <f>$A$26</f>
        <v>Jan 2022</v>
      </c>
      <c r="B378" s="24">
        <f>ROUND(IF(N358=0,0,(LOOKUP(2,1/(A366:A369=A378),G366:G369))*N358*4.348),2)</f>
        <v>0</v>
      </c>
      <c r="C378" s="23">
        <f>ROUND(IFERROR(((LOOKUP(2,1/(B371=A378),((SUM(B384:B386)+SUM(F384:F386))/3)*C371))),0)+IFERROR(((LOOKUP(2,1/(E371=A378),(B390+F390)*F371))),0),2)</f>
        <v>0</v>
      </c>
      <c r="D378" s="23">
        <f>ROUND(IF(B378=0,0,D377/L359*N358),2)</f>
        <v>0</v>
      </c>
      <c r="E378" s="23">
        <f>ROUND(IF(B378=0,0,E377/N355*N358),2)</f>
        <v>0</v>
      </c>
      <c r="F378" s="24">
        <f>ROUND(IF(N358=0,0,(LOOKUP(2,1/(A366:A369=A378),H366:H369))/N355*N358),2)</f>
        <v>0</v>
      </c>
      <c r="G378" s="27">
        <f>SUM(B378+C378+E378+F378)</f>
        <v>0</v>
      </c>
      <c r="H378" s="76">
        <f>ROUND(IF((SUM(B378:F378))&gt;L393,L393*H377,SUM(B378:F378)*H377),2)</f>
        <v>0</v>
      </c>
      <c r="I378" s="76">
        <f>ROUND(IF((SUM(B378:F378))&gt;L394,L394*I377,SUM(B378:F378)*I377),2)</f>
        <v>0</v>
      </c>
      <c r="J378" s="76">
        <f>ROUND(IF((SUM(B378:F378))&gt;L394,L394*J377,SUM(B378:F378)*J377),2)</f>
        <v>0</v>
      </c>
      <c r="K378" s="76">
        <f>ROUND(IF((SUM(B378:F378))&gt;L393,L393*K377,SUM(B378:F378)*K377),2)</f>
        <v>0</v>
      </c>
      <c r="L378" s="76">
        <f>ROUND(IF((SUM(B378:F378))&gt;L394,L394*L377,(SUM(B378:F378)-C378)*L377),2)</f>
        <v>0</v>
      </c>
      <c r="M378" s="76">
        <f>ROUND(IF((SUM(B378:F378))&gt;L394,L394*M377,(SUM(B378:F378)-C378)*M377),2)</f>
        <v>0</v>
      </c>
      <c r="N378" s="76">
        <f>ROUND(IF((SUM(B378:F378))&gt;L394,L394*N377,SUM(B378:F378)*N377),2)</f>
        <v>0</v>
      </c>
      <c r="O378" s="23">
        <f>ROUND(SUM(B378+C378+F378)*O377,2)</f>
        <v>0</v>
      </c>
      <c r="P378" s="27">
        <f>SUM(G378:O378)</f>
        <v>0</v>
      </c>
    </row>
    <row r="379" spans="1:16" s="1" customFormat="1" x14ac:dyDescent="0.2">
      <c r="A379" s="100" t="str">
        <f>$A$27</f>
        <v>Feb 2022</v>
      </c>
      <c r="B379" s="24">
        <f>ROUND(IF(N359=0,0,IFERROR(((LOOKUP(2,1/(A366:A369=A379),G366:G369))*N359*4.348),B378/N359*N359)),2)</f>
        <v>0</v>
      </c>
      <c r="C379" s="23">
        <f>ROUND(IFERROR(((LOOKUP(2,1/(B371=A379),((SUM(B384:B386)+SUM(F384:F386))/3)*C371))),0)+IFERROR(((LOOKUP(2,1/(E371=A379),(B390+F390)*F371))),0),2)</f>
        <v>0</v>
      </c>
      <c r="D379" s="23">
        <f>ROUND(IF(B379=0,0,D377/L359*N359),2)</f>
        <v>0</v>
      </c>
      <c r="E379" s="23">
        <f>ROUND(IF(B379=0,0,E377/N355*N359),2)</f>
        <v>0</v>
      </c>
      <c r="F379" s="24">
        <f>ROUND(IF(N359=0,0,IFERROR(((LOOKUP(2,1/(A366:A369=A379),H366:H369))/N355*N359),F378/N359*N359)),2)</f>
        <v>0</v>
      </c>
      <c r="G379" s="27">
        <f t="shared" ref="G379:G389" si="42">SUM(B379+C379+E379+F379)</f>
        <v>0</v>
      </c>
      <c r="H379" s="76">
        <f>ROUND(IF(SUM(B378:F378)&lt;(L393*1),IF((SUM(B378:F379))&gt;(L393*2),(((L393*2)-(SUM(B378:F379)-C378))*H377)+((SUM(B379:F379)-C378)*H377),SUM(B379:F379)*H377),IF(SUM(B378:F379)&gt;(L393*2),L393*H377,SUM(B379:F379)*H377)),2)</f>
        <v>0</v>
      </c>
      <c r="I379" s="76">
        <f>ROUND(IF(SUM(B378:F378)&lt;(L394*1),IF((SUM(B378:F379))&gt;(L394*2),(((L394*2)-(SUM(B378:F379)-C378))*I377)+((SUM(B379:F379)-C378)*I377),SUM(B379:F379)*I377),IF(SUM(B378:F379)&gt;(L394*2),L394*I377,SUM(B379:F379)*I377)),2)</f>
        <v>0</v>
      </c>
      <c r="J379" s="76">
        <f>ROUND(IF(SUM(B378:F378)&lt;(L394*1),IF((SUM(B378:F379))&gt;(L394*2),(((L394*2)-(SUM(B378:F379)-C378))*J377)+((SUM(B379:F379)-C378)*J377),SUM(B379:F379)*J377),IF(SUM(B378:F379)&gt;(L394*2),L394*J377,SUM(B379:F379)*J377)),2)</f>
        <v>0</v>
      </c>
      <c r="K379" s="76">
        <f>ROUND(IF(SUM(B378:F378)&lt;(L393*1),IF((SUM(B378:F379))&gt;(L393*2),(((L393*2)-(SUM(B378:F379)-C378))*K377)+((SUM(B379:F379)-C378)*K377),SUM(B379:F379)*K377),IF(SUM(B378:F379)&gt;(L393*2),L393*K377,SUM(B379:F379)*K377)),2)</f>
        <v>0</v>
      </c>
      <c r="L379" s="76">
        <f>ROUND(IF(SUM(B378:F378)&lt;(L394*1),IF((SUM(B378:F379))&gt;(L394*2),(((L394*2)-(SUM(B378:F379)-C379))*L377)+((SUM(B379:F379)-C379)*L377),(SUM(B379:F379)-C379)*L377),IF(SUM(B378:F379)&gt;(L394*2),L394*L377,SUM(B379:F379)*L377)),2)</f>
        <v>0</v>
      </c>
      <c r="M379" s="76">
        <f>ROUND(IF(SUM(B378:F378)&lt;(L394*1),IF((SUM(B378:F379))&gt;(L394*2),(((L394*2)-(SUM(B378:F379)-C379))*M377)+((SUM(B379:F379)-C379)*M377),(SUM(B379:F379)-C379)*M377),IF(SUM(B378:F379)&gt;(L394*2),L394*M377,SUM(B379:F379)*M377)),2)</f>
        <v>0</v>
      </c>
      <c r="N379" s="76">
        <f>ROUND(IF(SUM(B378:F378)&lt;(L394*1),IF((SUM(B378:F379))&gt;(L394*2),(((L394*2)-(SUM(B378:F379)-C378))*N377)+((SUM(B379:F379)-C378)*N377),SUM(B379:F379)*N377),IF(SUM(B378:F379)&gt;(L394*2),L394*N377,SUM(B379:F379)*N377)),2)</f>
        <v>0</v>
      </c>
      <c r="O379" s="23">
        <f>ROUND(SUM(B379+C379+F379)*O377,2)</f>
        <v>0</v>
      </c>
      <c r="P379" s="27">
        <f>SUM(G379:O379)</f>
        <v>0</v>
      </c>
    </row>
    <row r="380" spans="1:16" s="1" customFormat="1" x14ac:dyDescent="0.2">
      <c r="A380" s="100" t="str">
        <f>$A$28</f>
        <v>Mrz 2022</v>
      </c>
      <c r="B380" s="24">
        <f>ROUND(IF(N360=0,0,IFERROR(((LOOKUP(2,1/(A366:A369=A380),G366:G369))*N360*4.348),B379/N360*N360)),2)</f>
        <v>0</v>
      </c>
      <c r="C380" s="23">
        <f>ROUND(IFERROR(((LOOKUP(2,1/(B371=A380),((SUM(B384:B386)+SUM(F384:F386))/3)*C371))),0)+IFERROR(((LOOKUP(2,1/(E371=A380),(B390+F390)*F371))),0),2)</f>
        <v>0</v>
      </c>
      <c r="D380" s="23">
        <f>ROUND(IF(B380=0,0,D377/L359*N360),2)</f>
        <v>0</v>
      </c>
      <c r="E380" s="23">
        <f>ROUND(IF(B380=0,0,E377/N355*N360),2)</f>
        <v>0</v>
      </c>
      <c r="F380" s="24">
        <f>ROUND(IF(N360=0,0,IFERROR(((LOOKUP(2,1/(A366:A369=A380),H366:H369))/N355*N360),F379/N360*N360)),2)</f>
        <v>0</v>
      </c>
      <c r="G380" s="27">
        <f t="shared" si="42"/>
        <v>0</v>
      </c>
      <c r="H380" s="76">
        <f>ROUND(IF(SUM(B378:F379)&lt;(L393*2),IF((SUM(B378:F380))&gt;(L393*3),(((L393*3)-(SUM(B378:F380)-C379))*H377)+((SUM(B380:F380)-C379)*H377),SUM(B380:F380)*H377),IF(SUM(B378:F380)&gt;(L393*3),L393*H377,SUM(B380:F380)*H377)),2)</f>
        <v>0</v>
      </c>
      <c r="I380" s="76">
        <f>ROUND(IF(SUM(B378:F379)&lt;(L394*2),IF((SUM(B378:F380))&gt;(L394*3),(((L394*3)-(SUM(B378:F380)-C379))*I377)+((SUM(B380:F380)-C379)*I377),SUM(B380:F380)*I377),IF(SUM(B378:F380)&gt;(L394*3),L394*I377,SUM(B380:F380)*I377)),2)</f>
        <v>0</v>
      </c>
      <c r="J380" s="76">
        <f>ROUND(IF(SUM(B378:F379)&lt;(L394*2),IF((SUM(B378:F380))&gt;(L394*3),(((L394*3)-(SUM(B378:F380)-C379))*J377)+((SUM(B380:F380)-C379)*J377),SUM(B380:F380)*J377),IF(SUM(B378:F380)&gt;(L394*3),L394*J377,SUM(B380:F380)*J377)),2)</f>
        <v>0</v>
      </c>
      <c r="K380" s="76">
        <f>ROUND(IF(SUM(B378:F379)&lt;(L393*2),IF((SUM(B378:F380))&gt;(L393*3),(((L393*3)-(SUM(B378:F380)-C379))*K377)+((SUM(B380:F380)-C379)*K377),SUM(B380:F380)*K377),IF(SUM(B378:F380)&gt;(L393*3),L393*K377,SUM(B380:F380)*K377)),2)</f>
        <v>0</v>
      </c>
      <c r="L380" s="76">
        <f>ROUND(IF(SUM(B378:F379)&lt;(L394*2),IF((SUM(B378:F380))&gt;(L394*3),(((L394*3)-(SUM(B378:F380)-C380))*L377)+((SUM(B380:F380)-C380)*L377),(SUM(B380:F380)-C380)*L377),IF(SUM(B378:F380)&gt;(L394*3),L394*L377,SUM(B380:F380)*L377)),2)</f>
        <v>0</v>
      </c>
      <c r="M380" s="76">
        <f>ROUND(IF(SUM(B378:F379)&lt;(L394*2),IF((SUM(B378:F380))&gt;(L394*3),(((L394*3)-(SUM(B378:F380)-C380))*M377)+((SUM(B380:F380)-C380)*M377),(SUM(B380:F380)-C380)*M377),IF(SUM(B378:F380)&gt;(L394*3),L394*M377,SUM(B380:F380)*M377)),2)</f>
        <v>0</v>
      </c>
      <c r="N380" s="76">
        <f>ROUND(IF(SUM(B378:F379)&lt;(L394*2),IF((SUM(B378:F380))&gt;(L394*3),(((L394*3)-(SUM(B378:F380)-C379))*N377)+((SUM(B380:F380)-C379)*N377),SUM(B380:F380)*N377),IF(SUM(B378:F380)&gt;(L394*3),L394*N377,SUM(B380:F380)*N377)),2)</f>
        <v>0</v>
      </c>
      <c r="O380" s="23">
        <f>ROUND(SUM(B380+C380+F380)*O377,2)</f>
        <v>0</v>
      </c>
      <c r="P380" s="27">
        <f t="shared" ref="P380:P389" si="43">SUM(G380:O380)</f>
        <v>0</v>
      </c>
    </row>
    <row r="381" spans="1:16" s="1" customFormat="1" x14ac:dyDescent="0.2">
      <c r="A381" s="100" t="str">
        <f>$A$29</f>
        <v>Apr 2022</v>
      </c>
      <c r="B381" s="24">
        <f>ROUND(IF(N361=0,0,IFERROR(((LOOKUP(2,1/(A366:A369=A381),G366:G369))*N361*4.348),B380/N361*N361)),2)</f>
        <v>0</v>
      </c>
      <c r="C381" s="23">
        <f>ROUND(IFERROR(((LOOKUP(2,1/(B371=A381),((SUM(B384:B386)+SUM(F384:F386))/3)*C371))),0)+IFERROR(((LOOKUP(2,1/(E371=A381),(B390+F390)*F371))),0),2)</f>
        <v>0</v>
      </c>
      <c r="D381" s="23">
        <f>ROUND(IF(B381=0,0,D377/L359*N361),2)</f>
        <v>0</v>
      </c>
      <c r="E381" s="23">
        <f>ROUND(IF(B381=0,0,E377/N355*N361),2)</f>
        <v>0</v>
      </c>
      <c r="F381" s="24">
        <f>ROUND(IF(N361=0,0,IFERROR(((LOOKUP(2,1/(A366:A369=A381),H366:H369))/N355*N361),F380/N361*N361)),2)</f>
        <v>0</v>
      </c>
      <c r="G381" s="27">
        <f t="shared" si="42"/>
        <v>0</v>
      </c>
      <c r="H381" s="76">
        <f>ROUND(IF(SUM(B378:F380)&lt;(L393*3),IF((SUM(B378:F381))&gt;(L393*4),(((L393*4)-(SUM(B378:F381)-C380))*H377)+((SUM(B381:F381)-C380)*H377),SUM(B381:F381)*H377),IF(SUM(B378:F381)&gt;(L393*4),L393*H377,SUM(B381:F381)*H377)),2)</f>
        <v>0</v>
      </c>
      <c r="I381" s="76">
        <f>ROUND(IF(SUM(B378:F380)&lt;(L394*3),IF((SUM(B378:F381))&gt;(L394*4),(((L394*4)-(SUM(B378:F381)-C380))*I377)+((SUM(B381:F381)-C380)*I377),SUM(B381:F381)*I377),IF(SUM(B378:F381)&gt;(L394*4),L394*I377,SUM(B381:F381)*I377)),2)</f>
        <v>0</v>
      </c>
      <c r="J381" s="76">
        <f>ROUND(IF(SUM(B378:F380)&lt;(L394*3),IF((SUM(B378:F381))&gt;(L394*4),(((L394*4)-(SUM(B378:F381)-C380))*J377)+((SUM(B381:F381)-C380)*J377),SUM(B381:F381)*J377),IF(SUM(B378:F381)&gt;(L394*4),L394*J377,SUM(B381:F381)*J377)),2)</f>
        <v>0</v>
      </c>
      <c r="K381" s="76">
        <f>ROUND(IF(SUM(B378:F380)&lt;(L393*3),IF((SUM(B378:F381))&gt;(L393*4),(((L393*4)-(SUM(B378:F381)-C380))*K377)+((SUM(B381:F381)-C380)*K377),SUM(B381:F381)*K377),IF(SUM(B378:F381)&gt;(L393*4),L393*K377,SUM(B381:F381)*K377)),2)</f>
        <v>0</v>
      </c>
      <c r="L381" s="76">
        <f>ROUND(IF(SUM(B378:F380)&lt;(L394*3),IF((SUM(B378:F381))&gt;(L394*4),(((L394*4)-(SUM(B378:F381)-C381))*L377)+((SUM(B381:F381)-C381)*L377),(SUM(B381:F381)-C381)*L377),IF(SUM(B378:F381)&gt;(L394*4),L394*L377,SUM(B381:F381)*L377)),2)</f>
        <v>0</v>
      </c>
      <c r="M381" s="76">
        <f>ROUND(IF(SUM(B378:F380)&lt;(L394*3),IF((SUM(B378:F381))&gt;(L394*4),(((L394*4)-(SUM(B378:F381)-C381))*M377)+((SUM(B381:F381)-C381)*M377),(SUM(B381:F381)-C381)*M377),IF(SUM(B378:F381)&gt;(L394*4),L394*M377,SUM(B381:F381)*M377)),2)</f>
        <v>0</v>
      </c>
      <c r="N381" s="76">
        <f>ROUND(IF(SUM(B378:F380)&lt;(L394*3),IF((SUM(B378:F381))&gt;(L394*4),(((L394*4)-(SUM(B378:F381)-C380))*N377)+((SUM(B381:F381)-C380)*N377),SUM(B381:F381)*N377),IF(SUM(B378:F381)&gt;(L394*4),L394*N377,SUM(B381:F381)*N377)),2)</f>
        <v>0</v>
      </c>
      <c r="O381" s="23">
        <f>ROUND(SUM(B381+C381+F381)*O377,2)</f>
        <v>0</v>
      </c>
      <c r="P381" s="27">
        <f t="shared" si="43"/>
        <v>0</v>
      </c>
    </row>
    <row r="382" spans="1:16" s="1" customFormat="1" x14ac:dyDescent="0.2">
      <c r="A382" s="100" t="str">
        <f>$A$30</f>
        <v>Mai 2022</v>
      </c>
      <c r="B382" s="24">
        <f>ROUND(IF(N362=0,0,IFERROR(((LOOKUP(2,1/(A366:A369=A382),G366:G369))*N362*4.348),B381/N362*N362)),2)</f>
        <v>0</v>
      </c>
      <c r="C382" s="23">
        <f>ROUND(IFERROR(((LOOKUP(2,1/(B371=A382),((SUM(B384:B386)+SUM(F384:F386))/3)*C371))),0)+IFERROR(((LOOKUP(2,1/(E371=A382),(B390+F390)*F371))),0),2)</f>
        <v>0</v>
      </c>
      <c r="D382" s="23">
        <f>ROUND(IF(B382=0,0,D377/L359*N362),2)</f>
        <v>0</v>
      </c>
      <c r="E382" s="23">
        <f>ROUND(IF(B382=0,0,E377/N355*N362),2)</f>
        <v>0</v>
      </c>
      <c r="F382" s="24">
        <f>ROUND(IF(N362=0,0,IFERROR(((LOOKUP(2,1/(A366:A369=A382),H366:H369))/N355*N362),F381/N362*N362)),2)</f>
        <v>0</v>
      </c>
      <c r="G382" s="27">
        <f t="shared" si="42"/>
        <v>0</v>
      </c>
      <c r="H382" s="76">
        <f>ROUND(IF(SUM(B378:F381)&lt;(L393*4),IF((SUM(B378:F382))&gt;(L393*5),(((L393*5)-(SUM(B378:F382)-C381))*H377)+((SUM(B382:F382)-C381)*H377),SUM(B382:F382)*H377),IF(SUM(B378:F382)&gt;(L393*5),L393*H377,SUM(B382:F382)*H377)),2)</f>
        <v>0</v>
      </c>
      <c r="I382" s="76">
        <f>ROUND(IF(SUM(B378:F381)&lt;(L394*4),IF((SUM(B378:F382))&gt;(L394*5),(((L394*5)-(SUM(B378:F382)-C381))*I377)+((SUM(B382:F382)-C381)*I377),SUM(B382:F382)*I377),IF(SUM(B378:F382)&gt;(L394*5),L394*I377,SUM(B382:F382)*I377)),2)</f>
        <v>0</v>
      </c>
      <c r="J382" s="76">
        <f>ROUND(IF(SUM(B378:F381)&lt;(L394*4),IF((SUM(B378:F382))&gt;(L394*5),(((L394*5)-(SUM(B378:F382)-C381))*J377)+((SUM(B382:F382)-C381)*J377),SUM(B382:F382)*J377),IF(SUM(B378:F382)&gt;(L394*5),L394*J377,SUM(B382:F382)*J377)),2)</f>
        <v>0</v>
      </c>
      <c r="K382" s="76">
        <f>ROUND(IF(SUM(B378:F381)&lt;(L393*4),IF((SUM(B378:F382))&gt;(L393*5),(((L393*5)-(SUM(B378:F382)-C381))*K377)+((SUM(B382:F382)-C381)*K377),SUM(B382:F382)*K377),IF(SUM(B378:F382)&gt;(L393*5),L393*K377,SUM(B382:F382)*K377)),2)</f>
        <v>0</v>
      </c>
      <c r="L382" s="76">
        <f>ROUND(IF(SUM(B378:F381)&lt;(L394*4),IF((SUM(B378:F382))&gt;(L394*5),(((L394*5)-(SUM(B378:F382)-C382))*L377)+((SUM(B382:F382)-C382)*L377),(SUM(B382:F382)-C382)*L377),IF(SUM(B378:F382)&gt;(L394*5),L394*L377,SUM(B382:F382)*L377)),2)</f>
        <v>0</v>
      </c>
      <c r="M382" s="76">
        <f>ROUND(IF(SUM(B378:F381)&lt;(L394*4),IF((SUM(B378:F382))&gt;(L394*5),(((L394*5)-(SUM(B378:F382)-C382))*M377)+((SUM(B382:F382)-C382)*M377),(SUM(B382:F382)-C382)*M377),IF(SUM(B378:F382)&gt;(L394*5),L394*M377,SUM(B382:F382)*M377)),2)</f>
        <v>0</v>
      </c>
      <c r="N382" s="76">
        <f>ROUND(IF(SUM(B378:F381)&lt;(L394*4),IF((SUM(B378:F382))&gt;(L394*5),(((L394*5)-(SUM(B378:F382)-C381))*N377)+((SUM(B382:F382)-C381)*N377),SUM(B382:F382)*N377),IF(SUM(B378:F382)&gt;(L394*5),L394*N377,SUM(B382:F382)*N377)),2)</f>
        <v>0</v>
      </c>
      <c r="O382" s="23">
        <f>ROUND(SUM(B382+C382+F382)*O377,2)</f>
        <v>0</v>
      </c>
      <c r="P382" s="27">
        <f t="shared" si="43"/>
        <v>0</v>
      </c>
    </row>
    <row r="383" spans="1:16" s="1" customFormat="1" x14ac:dyDescent="0.2">
      <c r="A383" s="100" t="str">
        <f>$A$31</f>
        <v>Jun 2022</v>
      </c>
      <c r="B383" s="24">
        <f>ROUND(IF(N363=0,0,IFERROR(((LOOKUP(2,1/(A366:A369=A383),G366:G369))*N363*4.348),B382/N363*N363)),2)</f>
        <v>0</v>
      </c>
      <c r="C383" s="23">
        <f>ROUND(IFERROR(((LOOKUP(2,1/(B371=A383),((SUM(B384:B386)+SUM(F384:F386))/3)*C371))),0)+IFERROR(((LOOKUP(2,1/(E371=A383),(B390+F390)*F371))),0),2)</f>
        <v>0</v>
      </c>
      <c r="D383" s="23">
        <f>ROUND(IF(B383=0,0,D377/L359*N363),2)</f>
        <v>0</v>
      </c>
      <c r="E383" s="23">
        <f>ROUND(IF(B383=0,0,E377/N355*N363),2)</f>
        <v>0</v>
      </c>
      <c r="F383" s="24">
        <f>ROUND(IF(N363=0,0,IFERROR(((LOOKUP(2,1/(A366:A369=A383),H366:H369))/N355*N363),F382/N363*N363)),2)</f>
        <v>0</v>
      </c>
      <c r="G383" s="27">
        <f t="shared" si="42"/>
        <v>0</v>
      </c>
      <c r="H383" s="76">
        <f>ROUND(IF(SUM(B378:F382)&lt;(L393*5),IF((SUM(B378:F383))&gt;(L393*6),(((L393*6)-(SUM(B378:F383)-C382))*H377)+((SUM(B383:F383)-C382)*H377),SUM(B383:F383)*H377),IF(SUM(B378:F383)&gt;(L393*6),L393*H377,SUM(B383:F383)*H377)),2)</f>
        <v>0</v>
      </c>
      <c r="I383" s="76">
        <f>ROUND(IF(SUM(B378:F382)&lt;(L394*5),IF((SUM(B378:F383))&gt;(L394*6),(((L394*6)-(SUM(B378:F383)-C382))*I377)+((SUM(B383:F383)-C382)*I377),SUM(B383:F383)*I377),IF(SUM(B378:F383)&gt;(L394*6),L394*I377,SUM(B383:F383)*I377)),2)</f>
        <v>0</v>
      </c>
      <c r="J383" s="76">
        <f>ROUND(IF(SUM(B378:F382)&lt;(L394*5),IF((SUM(B378:F383))&gt;(L394*6),(((L394*6)-(SUM(B378:F383)-C382))*J377)+((SUM(B383:F383)-C382)*J377),SUM(B383:F383)*J377),IF(SUM(B378:F383)&gt;(L394*6),L394*J377,SUM(B383:F383)*J377)),2)</f>
        <v>0</v>
      </c>
      <c r="K383" s="76">
        <f>ROUND(IF(SUM(B378:F382)&lt;(L393*5),IF((SUM(B378:F383))&gt;(L393*6),(((L393*6)-(SUM(B378:F383)-C382))*K377)+((SUM(B383:F383)-C382)*K377),SUM(B383:F383)*K377),IF(SUM(B378:F383)&gt;(L393*6),L393*K377,SUM(B383:F383)*K377)),2)</f>
        <v>0</v>
      </c>
      <c r="L383" s="76">
        <f>ROUND(IF(SUM(B378:F382)&lt;(L394*5),IF((SUM(B378:F383))&gt;(L394*6),(((L394*6)-(SUM(B378:F383)-C383))*L377)+((SUM(B383:F383)-C383)*L377),(SUM(B383:F383)-C383)*L377),IF(SUM(B378:F383)&gt;(L394*6),L394*L377,SUM(B383:F383)*L377)),2)</f>
        <v>0</v>
      </c>
      <c r="M383" s="76">
        <f>ROUND(IF(SUM(B378:F382)&lt;(L394*5),IF((SUM(B378:F383))&gt;(L394*6),(((L394*6)-(SUM(B378:F383)-C383))*M377)+((SUM(B383:F383)-C383)*M377),(SUM(B383:F383)-C383)*M377),IF(SUM(B378:F383)&gt;(L394*6),L394*M377,SUM(B383:F383)*M377)),2)</f>
        <v>0</v>
      </c>
      <c r="N383" s="76">
        <f>ROUND(IF(SUM(B378:F382)&lt;(L394*5),IF((SUM(B378:F383))&gt;(L394*6),(((L394*6)-(SUM(B378:F383)-C382))*N377)+((SUM(B383:F383)-C382)*N377),SUM(B383:F383)*N377),IF(SUM(B378:F383)&gt;(L394*6),L394*N377,SUM(B383:F383)*N377)),2)</f>
        <v>0</v>
      </c>
      <c r="O383" s="23">
        <f>ROUND(SUM(B383+C383+F383)*O377,2)</f>
        <v>0</v>
      </c>
      <c r="P383" s="27">
        <f t="shared" si="43"/>
        <v>0</v>
      </c>
    </row>
    <row r="384" spans="1:16" s="1" customFormat="1" x14ac:dyDescent="0.2">
      <c r="A384" s="100" t="str">
        <f>$A$32</f>
        <v>Jul 2022</v>
      </c>
      <c r="B384" s="24">
        <f>ROUND(IF(P358=0,0,IFERROR(((LOOKUP(2,1/(A366:A369=A384),G366:G369))*P358*4.348),B383/P358*P358)),2)</f>
        <v>0</v>
      </c>
      <c r="C384" s="23">
        <f>ROUND(IFERROR(((LOOKUP(2,1/(B371=A384),((SUM(B384:B386)+SUM(F384:F386))/3)*C371))),0)+IFERROR(((LOOKUP(2,1/(E371=A384),(B390+F390)*F371))),0),2)</f>
        <v>0</v>
      </c>
      <c r="D384" s="23">
        <f>ROUND(IF(B384=0,0,D377/L359*P358),2)</f>
        <v>0</v>
      </c>
      <c r="E384" s="23">
        <f>ROUND(IF(B384=0,0,E377/N355*P358),2)</f>
        <v>0</v>
      </c>
      <c r="F384" s="24">
        <f>ROUND(IF(P358=0,0,IFERROR(((LOOKUP(2,1/(A366:A369=A384),H366:H369))/N355*P358),F383/P358*P358)),2)</f>
        <v>0</v>
      </c>
      <c r="G384" s="27">
        <f t="shared" si="42"/>
        <v>0</v>
      </c>
      <c r="H384" s="76">
        <f>ROUND(IF(SUM(B378:F383)&lt;(L393*6),IF((SUM(B378:F384))&gt;(L393*7),(((L393*7)-(SUM(B378:F384)-C383))*H377)+((SUM(B384:F384)-C383)*H377),SUM(B384:F384)*H377),IF(SUM(B378:F384)&gt;(L393*7),L393*H377,SUM(B384:F384)*H377)),2)</f>
        <v>0</v>
      </c>
      <c r="I384" s="76">
        <f>ROUND(IF(SUM(B378:F383)&lt;(L394*6),IF((SUM(B378:F384))&gt;(L394*7),(((L394*7)-(SUM(B378:F384)-C383))*I377)+((SUM(B384:F384)-C383)*I377),SUM(B384:F384)*I377),IF(SUM(B378:F384)&gt;(L394*7),L394*I377,SUM(B384:F384)*I377)),2)</f>
        <v>0</v>
      </c>
      <c r="J384" s="76">
        <f>ROUND(IF(SUM(B378:F383)&lt;(L394*6),IF((SUM(B378:F384))&gt;(L394*7),(((L394*7)-(SUM(B378:F384)-C383))*J377)+((SUM(B384:F384)-C383)*J377),SUM(B384:F384)*J377),IF(SUM(B378:F384)&gt;(L394*7),L394*J377,SUM(B384:F384)*J377)),2)</f>
        <v>0</v>
      </c>
      <c r="K384" s="76">
        <f>ROUND(IF(SUM(B378:F383)&lt;(L393*6),IF((SUM(B378:F384))&gt;(L393*7),(((L393*7)-(SUM(B378:F384)-C383))*K377)+((SUM(B384:F384)-C383)*K377),SUM(B384:F384)*K377),IF(SUM(B378:F384)&gt;(L393*7),L393*K377,SUM(B384:F384)*K377)),2)</f>
        <v>0</v>
      </c>
      <c r="L384" s="76">
        <f>ROUND(IF(SUM(B378:F383)&lt;(L394*6),IF((SUM(B378:F384))&gt;(L394*7),(((L394*7)-(SUM(B378:F384)-C384))*L377)+((SUM(B384:F384)-C384)*L377),(SUM(B384:F384)-C384)*L377),IF(SUM(B378:F384)&gt;(L394*7),L394*L377,SUM(B384:F384)*L377)),2)</f>
        <v>0</v>
      </c>
      <c r="M384" s="76">
        <f>ROUND(IF(SUM(B378:F383)&lt;(L394*6),IF((SUM(B378:F384))&gt;(L394*7),(((L394*7)-(SUM(B378:F384)-C384))*M377)+((SUM(B384:F384)-C384)*M377),(SUM(B384:F384)-C384)*M377),IF(SUM(B378:F384)&gt;(L394*7),L394*M377,SUM(B384:F384)*M377)),2)</f>
        <v>0</v>
      </c>
      <c r="N384" s="76">
        <f>ROUND(IF(SUM(B378:F383)&lt;(L394*6),IF((SUM(B378:F384))&gt;(L394*7),(((L394*7)-(SUM(B378:F384)-C383))*N377)+((SUM(B384:F384)-C383)*N377),SUM(B384:F384)*N377),IF(SUM(B378:F384)&gt;(L394*7),L394*N377,SUM(B384:F384)*N377)),2)</f>
        <v>0</v>
      </c>
      <c r="O384" s="23">
        <f>ROUND(SUM(B384+C384+F384)*O377,2)</f>
        <v>0</v>
      </c>
      <c r="P384" s="27">
        <f t="shared" si="43"/>
        <v>0</v>
      </c>
    </row>
    <row r="385" spans="1:16" s="1" customFormat="1" x14ac:dyDescent="0.2">
      <c r="A385" s="100" t="str">
        <f>$A$33</f>
        <v>Aug 2022</v>
      </c>
      <c r="B385" s="24">
        <f>ROUND(IF(P359=0,0,IFERROR(((LOOKUP(2,1/(A366:A369=A385),G366:G369))*P359*4.348),B384/P359*P359)),2)</f>
        <v>0</v>
      </c>
      <c r="C385" s="23">
        <f>ROUND(IFERROR(((LOOKUP(2,1/(B371=A385),((SUM(B384:B386)+SUM(F384:F386))/3)*C371))),0)+IFERROR(((LOOKUP(2,1/(E371=A385),(B390+F390)*F371))),0),2)</f>
        <v>0</v>
      </c>
      <c r="D385" s="23">
        <f>ROUND(IF(B385=0,0,D377/L359*P359),2)</f>
        <v>0</v>
      </c>
      <c r="E385" s="23">
        <f>ROUND(IF(B385=0,0,E377/N355*P359),2)</f>
        <v>0</v>
      </c>
      <c r="F385" s="24">
        <f>ROUND(IF(P359=0,0,IFERROR(((LOOKUP(2,1/(A366:A369=A385),H366:H369))/N355*P359),F384/P359*P359)),2)</f>
        <v>0</v>
      </c>
      <c r="G385" s="27">
        <f t="shared" si="42"/>
        <v>0</v>
      </c>
      <c r="H385" s="76">
        <f>ROUND(IF(SUM(B378:F384)&lt;(L393*7),IF((SUM(B378:F385))&gt;(L393*8),(((L393*8)-(SUM(B378:F385)-C384))*H377)+((SUM(B385:F385)-C384)*H377),SUM(B385:F385)*H377),IF(SUM(B378:F385)&gt;(L393*8),L393*H377,SUM(B385:F385)*H377)),2)</f>
        <v>0</v>
      </c>
      <c r="I385" s="76">
        <f>ROUND(IF(SUM(B378:F384)&lt;(L394*7),IF((SUM(B378:F385))&gt;(L394*8),(((L394*8)-(SUM(B378:F385)-C384))*I377)+((SUM(B385:F385)-C384)*I377),SUM(B385:F385)*I377),IF(SUM(B378:F385)&gt;(L394*8),L394*I377,SUM(B385:F385)*I377)),2)</f>
        <v>0</v>
      </c>
      <c r="J385" s="76">
        <f>ROUND(IF(SUM(B378:F384)&lt;(L394*7),IF((SUM(B378:F385))&gt;(L394*8),(((L394*8)-(SUM(B378:F385)-C384))*J377)+((SUM(B385:F385)-C384)*J377),SUM(B385:F385)*J377),IF(SUM(B378:F385)&gt;(L394*8),L394*J377,SUM(B385:F385)*J377)),2)</f>
        <v>0</v>
      </c>
      <c r="K385" s="76">
        <f>ROUND(IF(SUM(B378:F384)&lt;(L393*7),IF((SUM(B378:F385))&gt;(L393*8),(((L393*8)-(SUM(B378:F385)-C384))*K377)+((SUM(B385:F385)-C384)*K377),SUM(B385:F385)*K377),IF(SUM(B378:F385)&gt;(L393*8),L393*K377,SUM(B385:F385)*K377)),2)</f>
        <v>0</v>
      </c>
      <c r="L385" s="76">
        <f>ROUND(IF(SUM(B378:F384)&lt;(L394*7),IF((SUM(B378:F385))&gt;(L394*8),(((L394*8)-(SUM(B378:F385)-C385))*L377)+((SUM(B385:F385)-C385)*L377),(SUM(B385:F385)-C385)*L377),IF(SUM(B378:F385)&gt;(L394*8),L394*L377,SUM(B385:F385)*L377)),2)</f>
        <v>0</v>
      </c>
      <c r="M385" s="76">
        <f>ROUND(IF(SUM(B378:F384)&lt;(L394*7),IF((SUM(B378:F385))&gt;(L394*8),(((L394*8)-(SUM(B378:F385)-C385))*M377)+((SUM(B385:F385)-C385)*M377),(SUM(B385:F385)-C385)*M377),IF(SUM(B378:F385)&gt;(L394*8),L394*M377,SUM(B385:F385)*M377)),2)</f>
        <v>0</v>
      </c>
      <c r="N385" s="76">
        <f>ROUND(IF(SUM(B378:F384)&lt;(L394*7),IF((SUM(B378:F385))&gt;(L394*8),(((L394*8)-(SUM(B378:F385)-C384))*N377)+((SUM(B385:F385)-C384)*N377),SUM(B385:F385)*N377),IF(SUM(B378:F385)&gt;(L394*8),L394*N377,SUM(B385:F385)*N377)),2)</f>
        <v>0</v>
      </c>
      <c r="O385" s="23">
        <f>ROUND(SUM(B385+C385+F385)*O377,2)</f>
        <v>0</v>
      </c>
      <c r="P385" s="27">
        <f t="shared" si="43"/>
        <v>0</v>
      </c>
    </row>
    <row r="386" spans="1:16" s="1" customFormat="1" x14ac:dyDescent="0.2">
      <c r="A386" s="100" t="str">
        <f>$A$34</f>
        <v>Sep 2022</v>
      </c>
      <c r="B386" s="24">
        <f>ROUND(IF(P360=0,0,IFERROR(((LOOKUP(2,1/(A366:A369=A386),G366:G369))*P360*4.348),B385/P360*P360)),2)</f>
        <v>0</v>
      </c>
      <c r="C386" s="23">
        <f>ROUND(IFERROR(((LOOKUP(2,1/(B371=A386),((SUM(B384:B386)+SUM(F384:F386))/3)*C371))),0)+IFERROR(((LOOKUP(2,1/(E371=A386),(B390+F390)*F371))),0),2)</f>
        <v>0</v>
      </c>
      <c r="D386" s="23">
        <f>ROUND(IF(B386=0,0,D377/L359*P360),2)</f>
        <v>0</v>
      </c>
      <c r="E386" s="23">
        <f>ROUND(IF(B386=0,0,E377/N355*P360),2)</f>
        <v>0</v>
      </c>
      <c r="F386" s="24">
        <f>ROUND(IF(P360=0,0,IFERROR(((LOOKUP(2,1/(A366:A369=A386),H366:H369))/N355*P360),F385/P360*P360)),2)</f>
        <v>0</v>
      </c>
      <c r="G386" s="27">
        <f t="shared" si="42"/>
        <v>0</v>
      </c>
      <c r="H386" s="76">
        <f>ROUND(IF(SUM(B378:F385)&lt;(L393*8),IF((SUM(B378:F386))&gt;(L393*9),(((L393*9)-(SUM(B378:F386)-C385))*H377)+((SUM(B386:F386)-C385)*H377),SUM(B386:F386)*H377),IF(SUM(B378:F386)&gt;(L393*9),L393*H377,SUM(B386:F386)*H377)),2)</f>
        <v>0</v>
      </c>
      <c r="I386" s="76">
        <f>ROUND(IF(SUM(B378:F385)&lt;(L394*8),IF((SUM(B378:F386))&gt;(L394*9),(((L394*9)-(SUM(B378:F386)-C385))*I377)+((SUM(B386:F386)-C385)*I377),SUM(B386:F386)*I377),IF(SUM(B378:F386)&gt;(L394*9),L394*I377,SUM(B386:F386)*I377)),2)</f>
        <v>0</v>
      </c>
      <c r="J386" s="76">
        <f>ROUND(IF(SUM(B378:F385)&lt;(L394*8),IF((SUM(B378:F386))&gt;(L394*9),(((L394*9)-(SUM(B378:F386)-C385))*J377)+((SUM(B386:F386)-C385)*J377),SUM(B386:F386)*J377),IF(SUM(B378:F386)&gt;(L394*9),L394*J377,SUM(B386:F386)*J377)),2)</f>
        <v>0</v>
      </c>
      <c r="K386" s="76">
        <f>ROUND(IF(SUM(B378:F385)&lt;(L393*8),IF((SUM(B378:F386))&gt;(L393*9),(((L393*9)-(SUM(B378:F386)-C385))*K377)+((SUM(B386:F386)-C385)*K377),SUM(B386:F386)*K377),IF(SUM(B378:F386)&gt;(L393*9),L393*K377,SUM(B386:F386)*K377)),2)</f>
        <v>0</v>
      </c>
      <c r="L386" s="76">
        <f>ROUND(IF(SUM(B378:F385)&lt;(L394*8),IF((SUM(B378:F386))&gt;(L394*9),(((L394*9)-(SUM(B378:F386)-C386))*L377)+((SUM(B386:F386)-C386)*L377),(SUM(B386:F386)-C386)*L377),IF(SUM(B378:F386)&gt;(L394*9),L394*L377,SUM(B386:F386)*L377)),2)</f>
        <v>0</v>
      </c>
      <c r="M386" s="76">
        <f>ROUND(IF(SUM(B378:F385)&lt;(L394*8),IF((SUM(B378:F386))&gt;(L394*9),(((L394*9)-(SUM(B378:F386)-C386))*M377)+((SUM(B386:F386)-C386)*M377),(SUM(B386:F386)-C386)*M377),IF(SUM(B378:F386)&gt;(L394*9),L394*M377,SUM(B386:F386)*M377)),2)</f>
        <v>0</v>
      </c>
      <c r="N386" s="76">
        <f>ROUND(IF(SUM(B378:F385)&lt;(L394*8),IF((SUM(B378:F386))&gt;(L394*9),(((L394*9)-(SUM(B378:F386)-C385))*N377)+((SUM(B386:F386)-C385)*N377),SUM(B386:F386)*N377),IF(SUM(B378:F386)&gt;(L394*9),L394*N377,SUM(B386:F386)*N377)),2)</f>
        <v>0</v>
      </c>
      <c r="O386" s="23">
        <f>ROUND(SUM(B386+C386+F386)*O377,2)</f>
        <v>0</v>
      </c>
      <c r="P386" s="27">
        <f t="shared" si="43"/>
        <v>0</v>
      </c>
    </row>
    <row r="387" spans="1:16" s="1" customFormat="1" x14ac:dyDescent="0.2">
      <c r="A387" s="100" t="str">
        <f>$A$35</f>
        <v>Okt 2022</v>
      </c>
      <c r="B387" s="24">
        <f>ROUND(IF(P361=0,0,IFERROR(((LOOKUP(2,1/(A366:A369=A387),G366:G369))*P361*4.348),B386/P361*P361)),2)</f>
        <v>0</v>
      </c>
      <c r="C387" s="23">
        <f>ROUND(IFERROR(((LOOKUP(2,1/(B371=A387),((SUM(B384:B386)+SUM(F384:F386))/3)*C371))),0)+IFERROR(((LOOKUP(2,1/(E371=A387),(B390+F390)*F371))),0),2)</f>
        <v>0</v>
      </c>
      <c r="D387" s="23">
        <f>ROUND(IF(B387=0,0,D377/L359*P361),2)</f>
        <v>0</v>
      </c>
      <c r="E387" s="23">
        <f>ROUND(IF(B387=0,0,E377/N355*P361),2)</f>
        <v>0</v>
      </c>
      <c r="F387" s="24">
        <f>ROUND(IF(P361=0,0,IFERROR(((LOOKUP(2,1/(A366:A369=A387),H366:H369))/N355*P361),F386/P361*P361)),2)</f>
        <v>0</v>
      </c>
      <c r="G387" s="27">
        <f t="shared" si="42"/>
        <v>0</v>
      </c>
      <c r="H387" s="76">
        <f>ROUND(IF(SUM(B378:F386)&lt;(L393*9),IF((SUM(B378:F387))&gt;(L393*10),(((L393*10)-(SUM(B378:F387)-C386))*H377)+((SUM(B387:F387)-C386)*H377),SUM(B387:F387)*H377),IF(SUM(B378:F387)&gt;(L393*10),L393*H377,SUM(B387:F387)*H377)),2)</f>
        <v>0</v>
      </c>
      <c r="I387" s="76">
        <f>ROUND(IF(SUM(B378:F386)&lt;(L394*9),IF((SUM(B378:F387))&gt;(L394*10),(((L394*10)-(SUM(B378:F387)-C386))*I377)+((SUM(B387:F387)-C386)*I377),SUM(B387:F387)*I377),IF(SUM(B378:F387)&gt;(L394*10),L394*I377,SUM(B387:F387)*I377)),2)</f>
        <v>0</v>
      </c>
      <c r="J387" s="76">
        <f>ROUND(IF(SUM(B378:F386)&lt;(L394*9),IF((SUM(B378:F387))&gt;(L394*10),(((L394*10)-(SUM(B378:F387)-C386))*J377)+((SUM(B387:F387)-C386)*J377),SUM(B387:F387)*J377),IF(SUM(B378:F387)&gt;(L394*10),L394*J377,SUM(B387:F387)*J377)),2)</f>
        <v>0</v>
      </c>
      <c r="K387" s="76">
        <f>ROUND(IF(SUM(B378:F386)&lt;(L393*9),IF((SUM(B378:F387))&gt;(L393*10),(((L393*10)-(SUM(B378:F387)-C386))*K377)+((SUM(B387:F387)-C386)*K377),SUM(B387:F387)*K377),IF(SUM(B378:F387)&gt;(L393*10),L393*K377,SUM(B387:F387)*K377)),2)</f>
        <v>0</v>
      </c>
      <c r="L387" s="76">
        <f>ROUND(IF(SUM(B378:F386)&lt;(L394*9),IF((SUM(B378:F387))&gt;(L394*10),(((L394*10)-(SUM(B378:F387)-C387))*L377)+((SUM(B387:F387)-C387)*L377),(SUM(B387:F387)-C387)*L377),IF(SUM(B378:F387)&gt;(L394*10),L394*L377,SUM(B387:F387)*L377)),2)</f>
        <v>0</v>
      </c>
      <c r="M387" s="76">
        <f>ROUND(IF(SUM(B378:F386)&lt;(L394*9),IF((SUM(B378:F387))&gt;(L394*10),(((L394*10)-(SUM(B378:F387)-C387))*M377)+((SUM(B387:F387)-C387)*M377),(SUM(B387:F387)-C387)*M377),IF(SUM(B378:F387)&gt;(L394*10),L394*M377,SUM(B387:F387)*M377)),2)</f>
        <v>0</v>
      </c>
      <c r="N387" s="76">
        <f>ROUND(IF(SUM(B378:F386)&lt;(L394*9),IF((SUM(B378:F387))&gt;(L394*10),(((L394*10)-(SUM(B378:F387)-C386))*N377)+((SUM(B387:F387)-C386)*N377),SUM(B387:F387)*N377),IF(SUM(B378:F387)&gt;(L394*10),L394*N377,SUM(B387:F387)*N377)),2)</f>
        <v>0</v>
      </c>
      <c r="O387" s="23">
        <f>ROUND(SUM(B387+C387+F387)*O377,2)</f>
        <v>0</v>
      </c>
      <c r="P387" s="27">
        <f t="shared" si="43"/>
        <v>0</v>
      </c>
    </row>
    <row r="388" spans="1:16" s="1" customFormat="1" x14ac:dyDescent="0.2">
      <c r="A388" s="100" t="str">
        <f>$A$36</f>
        <v>Nov 2022</v>
      </c>
      <c r="B388" s="24">
        <f>ROUND(IF(P362=0,0,IFERROR(((LOOKUP(2,1/(A366:A369=A388),G366:G369))*P362*4.348),B387/P362*P362)),2)</f>
        <v>0</v>
      </c>
      <c r="C388" s="23">
        <f>ROUND(IFERROR(((LOOKUP(2,1/(B371=A388),((SUM(B384:B386)+SUM(F384:F386))/3)*C371))),0)+IFERROR(((LOOKUP(2,1/(E371=A388),(B390+F390)*F371))),0),2)</f>
        <v>0</v>
      </c>
      <c r="D388" s="23">
        <f>ROUND(IF(B388=0,0,D377/L359*P362),2)</f>
        <v>0</v>
      </c>
      <c r="E388" s="23">
        <f>ROUND(IF(B388=0,0,E377/N355*P362),2)</f>
        <v>0</v>
      </c>
      <c r="F388" s="24">
        <f>ROUND(IF(P362=0,0,IFERROR(((LOOKUP(2,1/(A366:A369=A388),H366:H369))/N355*P362),F387/P362*P362)),2)</f>
        <v>0</v>
      </c>
      <c r="G388" s="27">
        <f t="shared" si="42"/>
        <v>0</v>
      </c>
      <c r="H388" s="76">
        <f>ROUND(IF(SUM(B378:F387)&lt;(L393*10),IF((SUM(B378:F388))&gt;(L393*11),(((L393*11)-(SUM(B378:F388)-C387))*H377)+((SUM(B388:F388)-C387)*H377),SUM(B388:F388)*H377),IF(SUM(B378:F388)&gt;(L393*11),L393*H377,SUM(B388:F388)*H377)),2)</f>
        <v>0</v>
      </c>
      <c r="I388" s="76">
        <f>ROUND(IF(SUM(B378:F387)&lt;(L394*10),IF((SUM(B378:F388))&gt;(L394*11),(((L394*11)-(SUM(B378:F388)-C387))*I377)+((SUM(B388:F388)-C387)*I377),SUM(B388:F388)*I377),IF(SUM(B378:F388)&gt;(L394*11),L394*I377,SUM(B388:F388)*I377)),2)</f>
        <v>0</v>
      </c>
      <c r="J388" s="76">
        <f>ROUND(IF(SUM(B378:F387)&lt;(L394*10),IF((SUM(B378:F388))&gt;(L394*11),(((L394*11)-(SUM(B378:F388)-C387))*J377)+((SUM(B388:F388)-C387)*J377),SUM(B388:F388)*J377),IF(SUM(B378:F388)&gt;(L394*11),L394*J377,SUM(B388:F388)*J377)),2)</f>
        <v>0</v>
      </c>
      <c r="K388" s="76">
        <f>ROUND(IF(SUM(B378:F387)&lt;(L393*10),IF((SUM(B378:F388))&gt;(L393*11),(((L393*11)-(SUM(B378:F388)-C387))*K377)+((SUM(B388:F388)-C387)*K377),SUM(B388:F388)*K377),IF(SUM(B378:F388)&gt;(L393*11),L393*K377,SUM(B388:F388)*K377)),2)</f>
        <v>0</v>
      </c>
      <c r="L388" s="76">
        <f>ROUND(IF(SUM(B378:F387)&lt;(L394*10),IF((SUM(B378:F388))&gt;(L394*11),(((L394*11)-(SUM(B378:F388)-C388))*L377)+((SUM(B388:F388)-C388)*L377),(SUM(B388:F388)-C388)*L377),IF(SUM(B378:F388)&gt;(L394*11),L394*L377,SUM(B388:F388)*L377)),2)</f>
        <v>0</v>
      </c>
      <c r="M388" s="76">
        <f>ROUND(IF(SUM(B378:F387)&lt;(L394*10),IF((SUM(B378:F388))&gt;(L394*11),(((L394*11)-(SUM(B378:F388)-C388))*M377)+((SUM(B388:F388)-C388)*M377),(SUM(B388:F388)-C388)*M377),IF(SUM(B378:F388)&gt;(L394*11),L394*M377,SUM(B388:F388)*M377)),2)</f>
        <v>0</v>
      </c>
      <c r="N388" s="76">
        <f>ROUND(IF(SUM(B378:F387)&lt;(L394*10),IF((SUM(B378:F388))&gt;(L394*11),(((L394*11)-(SUM(B378:F388)-C387))*N377)+((SUM(B388:F388)-C387)*N377),SUM(B388:F388)*N377),IF(SUM(B378:F388)&gt;(L394*11),L394*N377,SUM(B388:F388)*N377)),2)</f>
        <v>0</v>
      </c>
      <c r="O388" s="23">
        <f>ROUND(SUM(B388+C388+F388)*O377,2)</f>
        <v>0</v>
      </c>
      <c r="P388" s="27">
        <f t="shared" si="43"/>
        <v>0</v>
      </c>
    </row>
    <row r="389" spans="1:16" s="1" customFormat="1" x14ac:dyDescent="0.2">
      <c r="A389" s="100" t="str">
        <f>$A$37</f>
        <v>Dez 2022</v>
      </c>
      <c r="B389" s="24">
        <f>ROUND(IF(P363=0,0,IFERROR(((LOOKUP(2,1/(A366:A369=A389),G366:G369))*P363*4.348),B388/P363*P363)),2)</f>
        <v>0</v>
      </c>
      <c r="C389" s="23">
        <f>ROUND(IFERROR(((LOOKUP(2,1/(B371=A389),((SUM(B384:B386)+SUM(F384:F386))/3)*C371))),0)+IFERROR(((LOOKUP(2,1/(E371=A389),(B390+F390)*F371))),0),2)</f>
        <v>0</v>
      </c>
      <c r="D389" s="23">
        <f>ROUND(IF(B389=0,0,D377/L359*P363),2)</f>
        <v>0</v>
      </c>
      <c r="E389" s="23">
        <f>ROUND(IF(B389=0,0,E377/N355*P363),2)</f>
        <v>0</v>
      </c>
      <c r="F389" s="24">
        <f>ROUND(IF(P363=0,0,IFERROR(((LOOKUP(2,1/(A366:A369=A389),H366:H369))/N355*P363),F388/P363*P363)),2)</f>
        <v>0</v>
      </c>
      <c r="G389" s="27">
        <f t="shared" si="42"/>
        <v>0</v>
      </c>
      <c r="H389" s="76">
        <f>ROUND(IF(SUM(B378:F388)&lt;(L393*11),IF((SUM(B378:F389))&gt;(L393*12),(((L393*12)-(SUM(B378:F389)-C388))*H377)+((SUM(B389:F389)-C388)*H377),SUM(B389:F389)*H377),IF(SUM(B378:F389)&gt;(L393*12),L393*H377,SUM(B389:F389)*H377)),2)</f>
        <v>0</v>
      </c>
      <c r="I389" s="76">
        <f>ROUND(IF(SUM(B378:F388)&lt;(L394*11),IF((SUM(B378:F389))&gt;(L394*12),(((L394*12)-(SUM(B378:F389)-C388))*I377)+((SUM(B389:F389)-C388)*I377),SUM(B389:F389)*I377),IF(SUM(B378:F389)&gt;(L394*12),L394*I377,SUM(B389:F389)*I377)),2)</f>
        <v>0</v>
      </c>
      <c r="J389" s="76">
        <f>ROUND(IF(SUM(B378:F388)&lt;(L394*11),IF((SUM(B378:F389))&gt;(L394*12),(((L394*12)-(SUM(B378:F389)-C388))*J377)+((SUM(B389:F389)-C388)*J377),SUM(B389:F389)*J377),IF(SUM(B378:F389)&gt;(L394*12),L394*J377,SUM(B389:F389)*J377)),2)</f>
        <v>0</v>
      </c>
      <c r="K389" s="76">
        <f>ROUND(IF(SUM(B378:F388)&lt;(L393*11),IF((SUM(B378:F389))&gt;(L393*12),(((L393*12)-(SUM(B378:F389)-C388))*K377)+((SUM(B389:F389)-C388)*K377),SUM(B389:F389)*K377),IF(SUM(B378:F389)&gt;(L393*12),L393*K377,SUM(B389:F389)*K377)),2)</f>
        <v>0</v>
      </c>
      <c r="L389" s="76">
        <f>ROUND(IF(SUM(B378:F388)&lt;(L394*11),IF((SUM(B378:F389))&gt;(L394*12),(((L394*12)-(SUM(B378:F389)-C389))*L377)+((SUM(B389:F389)-C389)*L377),(SUM(B389:F389)-C389)*L377),IF(SUM(B378:F389)&gt;(L394*12),L394*L377,SUM(B389:F389)*L377)),2)</f>
        <v>0</v>
      </c>
      <c r="M389" s="76">
        <f>ROUND(IF(SUM(B378:F388)&lt;(L394*11),IF((SUM(B378:F389))&gt;(L394*12),(((L394*12)-(SUM(B378:F389)-C389))*M377)+((SUM(B389:F389)-C389)*M377),(SUM(B389:F389)-C389)*M377),IF(SUM(B378:F389)&gt;(L394*12),L394*M377,SUM(B389:F389)*M377)),2)</f>
        <v>0</v>
      </c>
      <c r="N389" s="76">
        <f>ROUND(IF(SUM(B378:F388)&lt;(L394*11),IF((SUM(B378:F389))&gt;(L394*12),(((L394*12)-(SUM(B378:F389)-C388))*N377)+((SUM(B389:F389)-C388)*N377),SUM(B389:F389)*N377),IF(SUM(B378:F389)&gt;(L394*12),L394*N377,SUM(B389:F389)*N377)),2)</f>
        <v>0</v>
      </c>
      <c r="O389" s="23">
        <f>ROUND(SUM(B389+C389+F389)*O377,2)</f>
        <v>0</v>
      </c>
      <c r="P389" s="27">
        <f t="shared" si="43"/>
        <v>0</v>
      </c>
    </row>
    <row r="390" spans="1:16" s="14" customFormat="1" ht="15" x14ac:dyDescent="0.25">
      <c r="A390" s="4" t="s">
        <v>2</v>
      </c>
      <c r="B390" s="27">
        <f>SUM(B378:B389)</f>
        <v>0</v>
      </c>
      <c r="C390" s="27">
        <f t="shared" ref="C390:D390" si="44">SUM(C378:C389)</f>
        <v>0</v>
      </c>
      <c r="D390" s="27">
        <f t="shared" si="44"/>
        <v>0</v>
      </c>
      <c r="E390" s="27">
        <f>SUM(E378:E389)</f>
        <v>0</v>
      </c>
      <c r="F390" s="27">
        <f>SUM(F378:F389)</f>
        <v>0</v>
      </c>
      <c r="G390" s="27">
        <f>SUM(G378:G389)</f>
        <v>0</v>
      </c>
      <c r="H390" s="1133">
        <f>SUM(H378:N389)</f>
        <v>0</v>
      </c>
      <c r="I390" s="1134"/>
      <c r="J390" s="1134"/>
      <c r="K390" s="1134"/>
      <c r="L390" s="1134"/>
      <c r="M390" s="1134"/>
      <c r="N390" s="1135"/>
      <c r="O390" s="27">
        <f>SUM(O378:O389)</f>
        <v>0</v>
      </c>
      <c r="P390" s="27">
        <f>SUM(P378:P389)</f>
        <v>0</v>
      </c>
    </row>
    <row r="391" spans="1:16" s="13" customFormat="1" ht="11.25" x14ac:dyDescent="0.2">
      <c r="A391" s="3" t="s">
        <v>1</v>
      </c>
      <c r="B391" s="2"/>
      <c r="C391" s="2"/>
      <c r="D391" s="2"/>
      <c r="E391" s="2"/>
      <c r="F391" s="2"/>
      <c r="G391" s="2"/>
      <c r="H391" s="2"/>
      <c r="I391" s="2"/>
      <c r="J391" s="2"/>
      <c r="K391" s="2"/>
      <c r="L391" s="2"/>
      <c r="M391" s="2"/>
      <c r="N391" s="2"/>
      <c r="O391" s="2"/>
      <c r="P391" s="2"/>
    </row>
    <row r="392" spans="1:16" s="1" customFormat="1" ht="14.25" customHeight="1" x14ac:dyDescent="0.2">
      <c r="A392" s="1136" t="s">
        <v>133</v>
      </c>
      <c r="B392" s="1137"/>
      <c r="C392" s="1137"/>
      <c r="D392" s="1137" t="s">
        <v>134</v>
      </c>
      <c r="E392" s="1137"/>
      <c r="F392" s="94" t="str">
        <f>IF(IF(G390=0,"",'päd.Personal - Leitung'!$F$40)=0,"",IF(G390=0,"",'päd.Personal - Leitung'!$F$40))</f>
        <v/>
      </c>
      <c r="G392" s="77" t="s">
        <v>135</v>
      </c>
      <c r="H392" s="96" t="str">
        <f>IF(IF(G390=0,"",'päd.Personal - Leitung'!$H$40)=0,"",IF(G390=0,"",'päd.Personal - Leitung'!$H$40))</f>
        <v/>
      </c>
      <c r="I392" s="73"/>
      <c r="J392" s="194" t="s">
        <v>160</v>
      </c>
      <c r="K392" s="194" t="str">
        <f>$K$40</f>
        <v>2021</v>
      </c>
      <c r="L392" s="194" t="str">
        <f>$L$40</f>
        <v>anteilig 2021</v>
      </c>
      <c r="M392" s="1138" t="s">
        <v>140</v>
      </c>
      <c r="N392" s="1138"/>
      <c r="O392" s="1139"/>
      <c r="P392" s="27">
        <f>ROUND(IF(F392="",IF(E396="",0,(E396*H396/K396)/L359*L360),G390*F392*H392/1000),2)</f>
        <v>0</v>
      </c>
    </row>
    <row r="393" spans="1:16" s="1" customFormat="1" ht="15" customHeight="1" x14ac:dyDescent="0.2">
      <c r="A393" s="1140" t="s">
        <v>145</v>
      </c>
      <c r="B393" s="1141"/>
      <c r="C393" s="1141"/>
      <c r="D393" s="18"/>
      <c r="E393" s="107" t="s">
        <v>135</v>
      </c>
      <c r="F393" s="95" t="str">
        <f>IF(IF(G390=0,"",'päd.Personal - Leitung'!$F$41)=0,"",IF(G390=0,"",'päd.Personal - Leitung'!$F$41))</f>
        <v/>
      </c>
      <c r="G393" s="48"/>
      <c r="H393" s="47"/>
      <c r="I393" s="48"/>
      <c r="J393" s="195" t="s">
        <v>158</v>
      </c>
      <c r="K393" s="198">
        <f>$K$41</f>
        <v>4837.5</v>
      </c>
      <c r="L393" s="197">
        <f>IF(L359="",K393,K393/L359*L360)</f>
        <v>4837.5</v>
      </c>
      <c r="M393" s="1138" t="s">
        <v>139</v>
      </c>
      <c r="N393" s="1138"/>
      <c r="O393" s="1139"/>
      <c r="P393" s="27">
        <f>ROUND(IF(F393="",0,G390*F393/1000),2)</f>
        <v>0</v>
      </c>
    </row>
    <row r="394" spans="1:16" s="1" customFormat="1" ht="15.75" customHeight="1" x14ac:dyDescent="0.2">
      <c r="A394" s="1142" t="s">
        <v>141</v>
      </c>
      <c r="B394" s="1143"/>
      <c r="C394" s="1143"/>
      <c r="D394" s="1144" t="s">
        <v>143</v>
      </c>
      <c r="E394" s="1144"/>
      <c r="F394" s="1145" t="str">
        <f>IF(IF(G390=0,"",'päd.Personal - Leitung'!$F$42)=0,"",IF(G390=0,"",'päd.Personal - Leitung'!$F$42))</f>
        <v/>
      </c>
      <c r="G394" s="1145"/>
      <c r="H394" s="72"/>
      <c r="I394" s="18"/>
      <c r="J394" s="195" t="s">
        <v>159</v>
      </c>
      <c r="K394" s="197">
        <f>$K$42</f>
        <v>6700</v>
      </c>
      <c r="L394" s="197">
        <f>IF(L359="",K394,K394/L359*L360)</f>
        <v>6700</v>
      </c>
      <c r="M394" s="1138" t="s">
        <v>141</v>
      </c>
      <c r="N394" s="1138"/>
      <c r="O394" s="1139"/>
      <c r="P394" s="23">
        <f>ROUND(IF(F394="",0,IF(G390=0,0,F394/L359*L360)),2)</f>
        <v>0</v>
      </c>
    </row>
    <row r="395" spans="1:16" s="1" customFormat="1" ht="14.25" customHeight="1" x14ac:dyDescent="0.2">
      <c r="A395" s="18"/>
      <c r="B395" s="18"/>
      <c r="C395" s="18"/>
      <c r="D395" s="18"/>
      <c r="E395" s="18"/>
      <c r="F395" s="18"/>
      <c r="G395" s="18"/>
      <c r="H395" s="18"/>
      <c r="I395" s="18"/>
      <c r="J395" s="18"/>
      <c r="K395" s="74"/>
      <c r="L395" s="82"/>
      <c r="M395" s="1127" t="s">
        <v>146</v>
      </c>
      <c r="N395" s="1127"/>
      <c r="O395" s="1128"/>
      <c r="P395" s="23">
        <f>ROUND(IF(G390=0,0,$P$87),2)</f>
        <v>0</v>
      </c>
    </row>
    <row r="396" spans="1:16" s="1" customFormat="1" ht="14.25" customHeight="1" x14ac:dyDescent="0.2">
      <c r="A396" s="1129" t="s">
        <v>142</v>
      </c>
      <c r="B396" s="1130"/>
      <c r="C396" s="126" t="s">
        <v>136</v>
      </c>
      <c r="D396" s="179" t="s">
        <v>137</v>
      </c>
      <c r="E396" s="1131" t="str">
        <f>IF(IF(G390=0,"",'päd.Personal - Leitung'!$E$44)=0,"",IF(G390=0,"",'päd.Personal - Leitung'!$E$44))</f>
        <v/>
      </c>
      <c r="F396" s="1131"/>
      <c r="G396" s="83" t="s">
        <v>138</v>
      </c>
      <c r="H396" s="97" t="str">
        <f>IF(IF(G390=0,"",'päd.Personal - Leitung'!$H$44)=0,"",IF(G390=0,"",'päd.Personal - Leitung'!$H$44))</f>
        <v/>
      </c>
      <c r="I396" s="1132" t="s">
        <v>144</v>
      </c>
      <c r="J396" s="1132"/>
      <c r="K396" s="98" t="str">
        <f>IF(IF(G390=0,"",'päd.Personal - Leitung'!$K$44)=0,"",IF(G390=0,"",'päd.Personal - Leitung'!$K$44))</f>
        <v/>
      </c>
      <c r="L396" s="29"/>
      <c r="M396" s="29"/>
      <c r="N396" s="29"/>
      <c r="O396" s="28" t="s">
        <v>0</v>
      </c>
      <c r="P396" s="27">
        <f>P390+SUM(P392:P395)</f>
        <v>0</v>
      </c>
    </row>
    <row r="397" spans="1:16" s="12" customFormat="1" ht="13.5" customHeight="1" x14ac:dyDescent="0.2">
      <c r="A397" s="1178" t="s">
        <v>18</v>
      </c>
      <c r="B397" s="1178"/>
      <c r="C397" s="1178"/>
      <c r="D397" s="1179" t="str">
        <f>IF($D$1="","",$D$1)</f>
        <v/>
      </c>
      <c r="E397" s="1179"/>
      <c r="F397" s="1179"/>
      <c r="G397" s="1179"/>
      <c r="H397" s="1179"/>
      <c r="I397" s="1179"/>
      <c r="J397" s="1179"/>
      <c r="K397" s="1179"/>
      <c r="L397" s="1179"/>
      <c r="M397" s="1179"/>
      <c r="N397" s="1179"/>
    </row>
    <row r="398" spans="1:16" s="12" customFormat="1" ht="15" customHeight="1" x14ac:dyDescent="0.2">
      <c r="A398" s="1178" t="s">
        <v>17</v>
      </c>
      <c r="B398" s="1178"/>
      <c r="C398" s="1178" t="s">
        <v>15</v>
      </c>
      <c r="D398" s="1179" t="str">
        <f>IF($D$2="","",$D$2)</f>
        <v/>
      </c>
      <c r="E398" s="1179"/>
      <c r="F398" s="1179"/>
      <c r="G398" s="1179"/>
      <c r="H398" s="1179"/>
      <c r="I398" s="1179"/>
      <c r="J398" s="1179"/>
      <c r="K398" s="1179"/>
      <c r="L398" s="1179"/>
      <c r="M398" s="1179"/>
      <c r="N398" s="1179"/>
    </row>
    <row r="399" spans="1:16" s="12" customFormat="1" ht="15" customHeight="1" x14ac:dyDescent="0.2">
      <c r="A399" s="1178" t="s">
        <v>16</v>
      </c>
      <c r="B399" s="1178"/>
      <c r="C399" s="1178" t="s">
        <v>15</v>
      </c>
      <c r="D399" s="1179" t="str">
        <f>IF($D$3="","",$D$3)</f>
        <v/>
      </c>
      <c r="E399" s="1179"/>
      <c r="F399" s="1179"/>
      <c r="G399" s="1179"/>
      <c r="H399" s="1179"/>
      <c r="I399" s="1179"/>
      <c r="J399" s="1179"/>
      <c r="K399" s="1178" t="s">
        <v>103</v>
      </c>
      <c r="L399" s="1178"/>
      <c r="M399" s="1178"/>
      <c r="N399" s="41" t="str">
        <f>IF($N$3="","",$N$3)</f>
        <v/>
      </c>
    </row>
    <row r="400" spans="1:16" s="13" customFormat="1" ht="11.25" x14ac:dyDescent="0.2">
      <c r="A400" s="1182"/>
      <c r="B400" s="1182"/>
      <c r="C400" s="1182"/>
      <c r="D400" s="1183"/>
      <c r="E400" s="1183"/>
      <c r="F400" s="1183"/>
      <c r="G400" s="1183"/>
      <c r="H400" s="1183"/>
      <c r="I400" s="1183"/>
      <c r="J400" s="1183"/>
      <c r="K400" s="11"/>
      <c r="L400" s="11"/>
      <c r="M400" s="11"/>
      <c r="N400" s="11"/>
      <c r="O400" s="11"/>
      <c r="P400" s="11"/>
    </row>
    <row r="401" spans="1:16" s="15" customFormat="1" ht="13.5" customHeight="1" x14ac:dyDescent="0.2">
      <c r="A401" s="1177" t="s">
        <v>166</v>
      </c>
      <c r="B401" s="1177"/>
      <c r="C401" s="1177"/>
      <c r="D401" s="1177"/>
      <c r="E401" s="1177"/>
      <c r="F401" s="1177"/>
      <c r="G401" s="1177"/>
      <c r="H401" s="1177"/>
      <c r="I401" s="1177"/>
      <c r="J401" s="1177"/>
      <c r="K401" s="9"/>
      <c r="L401" s="9"/>
      <c r="M401" s="9"/>
      <c r="N401" s="59" t="s">
        <v>154</v>
      </c>
      <c r="O401" s="191">
        <f>$O$5</f>
        <v>2022</v>
      </c>
      <c r="P401" s="59" t="s">
        <v>154</v>
      </c>
    </row>
    <row r="402" spans="1:16" s="10" customFormat="1" ht="13.5" customHeight="1" x14ac:dyDescent="0.25">
      <c r="B402" s="32"/>
      <c r="C402" s="32"/>
      <c r="D402" s="5" t="s">
        <v>46</v>
      </c>
      <c r="E402" s="31"/>
      <c r="F402" s="31"/>
      <c r="G402" s="31"/>
      <c r="H402" s="31"/>
      <c r="I402" s="26"/>
      <c r="J402" s="1174" t="s">
        <v>14</v>
      </c>
      <c r="K402" s="1174"/>
      <c r="L402" s="180"/>
      <c r="N402" s="84">
        <f>IF(L404="","",L404)</f>
        <v>0</v>
      </c>
      <c r="O402" s="58" t="str">
        <f>$O$6</f>
        <v>Jan                Jul</v>
      </c>
      <c r="P402" s="85">
        <f>IF(N407="","",N407)</f>
        <v>0</v>
      </c>
    </row>
    <row r="403" spans="1:16" s="7" customFormat="1" ht="13.5" customHeight="1" x14ac:dyDescent="0.25">
      <c r="A403" s="1180" t="s">
        <v>71</v>
      </c>
      <c r="B403" s="1180"/>
      <c r="C403" s="1180"/>
      <c r="D403" s="1184"/>
      <c r="E403" s="1184"/>
      <c r="F403" s="1184"/>
      <c r="G403" s="1184"/>
      <c r="H403" s="1184"/>
      <c r="I403" s="1184"/>
      <c r="J403" s="1174" t="s">
        <v>104</v>
      </c>
      <c r="K403" s="1174"/>
      <c r="L403" s="145"/>
      <c r="N403" s="85">
        <f>IF(N402="","",N402)</f>
        <v>0</v>
      </c>
      <c r="O403" s="58" t="str">
        <f>$O$7</f>
        <v>Feb              Aug</v>
      </c>
      <c r="P403" s="85">
        <f>IF(P402="","",P402)</f>
        <v>0</v>
      </c>
    </row>
    <row r="404" spans="1:16" s="1" customFormat="1" ht="13.5" customHeight="1" x14ac:dyDescent="0.2">
      <c r="A404" s="1180" t="s">
        <v>13</v>
      </c>
      <c r="B404" s="1180"/>
      <c r="C404" s="1180"/>
      <c r="D404" s="1181"/>
      <c r="E404" s="1181"/>
      <c r="F404" s="1181"/>
      <c r="G404" s="1181"/>
      <c r="H404" s="1181"/>
      <c r="I404" s="1181"/>
      <c r="J404" s="1174" t="s">
        <v>164</v>
      </c>
      <c r="K404" s="1174"/>
      <c r="L404" s="145">
        <f>IF((L405+L406)&gt;L403,0,L403-L405-L406)</f>
        <v>0</v>
      </c>
      <c r="N404" s="85">
        <f>IF(N403="","",N403)</f>
        <v>0</v>
      </c>
      <c r="O404" s="58" t="str">
        <f>$O$8</f>
        <v>Mrz              Sep</v>
      </c>
      <c r="P404" s="85">
        <f>IF(P403="","",P403)</f>
        <v>0</v>
      </c>
    </row>
    <row r="405" spans="1:16" s="1" customFormat="1" ht="13.5" customHeight="1" x14ac:dyDescent="0.2">
      <c r="A405" s="1180" t="s">
        <v>12</v>
      </c>
      <c r="B405" s="1180"/>
      <c r="C405" s="1180"/>
      <c r="D405" s="1181"/>
      <c r="E405" s="1181"/>
      <c r="F405" s="1181"/>
      <c r="G405" s="1181"/>
      <c r="H405" s="1181"/>
      <c r="I405" s="1181"/>
      <c r="J405" s="1174" t="s">
        <v>165</v>
      </c>
      <c r="K405" s="1174"/>
      <c r="L405" s="145"/>
      <c r="N405" s="85">
        <f>IF(N404="","",N404)</f>
        <v>0</v>
      </c>
      <c r="O405" s="58" t="str">
        <f>$O$9</f>
        <v>Apr               Okt</v>
      </c>
      <c r="P405" s="85">
        <f t="shared" ref="P405:P407" si="45">IF(P404="","",P404)</f>
        <v>0</v>
      </c>
    </row>
    <row r="406" spans="1:16" s="1" customFormat="1" ht="13.5" customHeight="1" x14ac:dyDescent="0.2">
      <c r="A406" s="1180" t="s">
        <v>19</v>
      </c>
      <c r="B406" s="1180"/>
      <c r="C406" s="1180"/>
      <c r="D406" s="1181"/>
      <c r="E406" s="1181"/>
      <c r="F406" s="1181"/>
      <c r="G406" s="1181"/>
      <c r="H406" s="1181"/>
      <c r="I406" s="1181"/>
      <c r="J406" s="1174" t="s">
        <v>252</v>
      </c>
      <c r="K406" s="1174"/>
      <c r="L406" s="145"/>
      <c r="M406" s="92"/>
      <c r="N406" s="85">
        <f>IF(N405="","",N405)</f>
        <v>0</v>
      </c>
      <c r="O406" s="58" t="str">
        <f>$O$10</f>
        <v>Mai               Nov</v>
      </c>
      <c r="P406" s="85">
        <f t="shared" si="45"/>
        <v>0</v>
      </c>
    </row>
    <row r="407" spans="1:16" s="1" customFormat="1" ht="13.5" customHeight="1" x14ac:dyDescent="0.2">
      <c r="B407" s="8"/>
      <c r="C407" s="121" t="s">
        <v>162</v>
      </c>
      <c r="D407" s="1175"/>
      <c r="E407" s="1175"/>
      <c r="F407" s="1176" t="s">
        <v>106</v>
      </c>
      <c r="G407" s="1176"/>
      <c r="H407" s="1186"/>
      <c r="I407" s="1186"/>
      <c r="J407" s="1174" t="s">
        <v>97</v>
      </c>
      <c r="K407" s="1174"/>
      <c r="L407" s="17" t="str">
        <f>IF(IF((COUNTIF(B422:B433,"&gt;0"))=0,0,(COUNTIF(B422:B433,"&gt;0")))&gt;Grundlagen!$C$24,Grundlagen!$C$24,IF((COUNTIF(B422:B433,"&gt;0"))=0,"",(COUNTIF(B422:B433,"&gt;0"))))</f>
        <v/>
      </c>
      <c r="N407" s="85">
        <f>IF(N406="","",N406)</f>
        <v>0</v>
      </c>
      <c r="O407" s="58" t="str">
        <f>'päd.Personal - Leitung'!$O$11</f>
        <v>Jun               Dez</v>
      </c>
      <c r="P407" s="85">
        <f t="shared" si="45"/>
        <v>0</v>
      </c>
    </row>
    <row r="408" spans="1:16" s="1" customFormat="1" ht="13.5" customHeight="1" x14ac:dyDescent="0.2">
      <c r="I408" s="6"/>
      <c r="L408" s="147" t="str">
        <f>IF((SUM(F410:F413))=0,"",IF(P408&gt;L404,L404,IF(L404="","",IF(L407="","",P408))))</f>
        <v/>
      </c>
      <c r="O408" s="174" t="s">
        <v>251</v>
      </c>
      <c r="P408" s="175">
        <f>IF(L407="",0,((IF(SUMIF(B422,"&gt;0"),N402,0))+(IF(SUMIF(B423,"&gt;0"),N403,0))+(IF(SUMIF(B424,"&gt;0"),N404,0))+(IF(SUMIF(B425,"&gt;0"),N405,0))+(IF(SUMIF(B426,"&gt;0"),N406,0))+(IF(SUMIF(B427,"&gt;0"),N407,0))+(IF(SUMIF(B428,"&gt;0"),P402,0))+(IF(SUMIF(B429,"&gt;0"),P403,0))+(IF(SUMIF(B430,"&gt;0"),P404,0))+(IF(SUMIF(B431,"&gt;0"),P405,0))+(IF(SUMIF(B432,"&gt;0"),P406,0))+(IF(SUMIF(B433,"&gt;0"),P407,0)))/Grundlagen!$C$24)</f>
        <v>0</v>
      </c>
    </row>
    <row r="409" spans="1:16" s="52" customFormat="1" ht="13.5" customHeight="1" x14ac:dyDescent="0.2">
      <c r="A409" s="61" t="s">
        <v>148</v>
      </c>
      <c r="B409" s="1168" t="s">
        <v>149</v>
      </c>
      <c r="C409" s="1168"/>
      <c r="D409" s="62" t="s">
        <v>150</v>
      </c>
      <c r="E409" s="63" t="s">
        <v>151</v>
      </c>
      <c r="F409" s="64" t="str">
        <f>CONCATENATE("Entg. ",N399," h/Wo")</f>
        <v>Entg.  h/Wo</v>
      </c>
      <c r="G409" s="65" t="s">
        <v>152</v>
      </c>
      <c r="H409" s="65" t="s">
        <v>153</v>
      </c>
      <c r="K409" s="1169" t="str">
        <f>CONCATENATE("Zuschläge / Zulagen für ",N399,"h/Wo")</f>
        <v>Zuschläge / Zulagen für h/Wo</v>
      </c>
      <c r="L409" s="1169"/>
      <c r="M409" s="66" t="str">
        <f>IF(A410="","",A410)</f>
        <v>Jan 2022</v>
      </c>
      <c r="N409" s="66" t="str">
        <f>IF(A411="","",A411)</f>
        <v/>
      </c>
      <c r="O409" s="66" t="str">
        <f>IF(A412="","",A412)</f>
        <v/>
      </c>
      <c r="P409" s="66" t="str">
        <f>IF(A413="","",A413)</f>
        <v/>
      </c>
    </row>
    <row r="410" spans="1:16" s="52" customFormat="1" ht="13.5" customHeight="1" x14ac:dyDescent="0.25">
      <c r="A410" s="54" t="str">
        <f>A422</f>
        <v>Jan 2022</v>
      </c>
      <c r="B410" s="1170" t="str">
        <f>IF($D$3="","",$D$3)</f>
        <v/>
      </c>
      <c r="C410" s="1171"/>
      <c r="D410" s="181"/>
      <c r="E410" s="181"/>
      <c r="F410" s="87"/>
      <c r="G410" s="56">
        <f>IF(N399="",0,F410/N399/4.348)</f>
        <v>0</v>
      </c>
      <c r="H410" s="53">
        <f>IF(G410=0,0,M415)</f>
        <v>0</v>
      </c>
      <c r="K410" s="1146"/>
      <c r="L410" s="1146"/>
      <c r="M410" s="172"/>
      <c r="N410" s="172"/>
      <c r="O410" s="172"/>
      <c r="P410" s="172"/>
    </row>
    <row r="411" spans="1:16" s="52" customFormat="1" ht="13.5" customHeight="1" x14ac:dyDescent="0.25">
      <c r="A411" s="55"/>
      <c r="B411" s="1172" t="str">
        <f>IF(A411="","",B410)</f>
        <v/>
      </c>
      <c r="C411" s="1173"/>
      <c r="D411" s="181"/>
      <c r="E411" s="181"/>
      <c r="F411" s="87"/>
      <c r="G411" s="56">
        <f>IF(N399="",0,F411/N399/4.348)</f>
        <v>0</v>
      </c>
      <c r="H411" s="53">
        <f>IF(G411=0,0,N415)</f>
        <v>0</v>
      </c>
      <c r="K411" s="1146"/>
      <c r="L411" s="1146"/>
      <c r="M411" s="172"/>
      <c r="N411" s="172"/>
      <c r="O411" s="172"/>
      <c r="P411" s="172"/>
    </row>
    <row r="412" spans="1:16" s="52" customFormat="1" ht="13.5" customHeight="1" x14ac:dyDescent="0.25">
      <c r="A412" s="55"/>
      <c r="B412" s="1172" t="str">
        <f>IF(A412="","",B411)</f>
        <v/>
      </c>
      <c r="C412" s="1173"/>
      <c r="D412" s="181"/>
      <c r="E412" s="181"/>
      <c r="F412" s="87"/>
      <c r="G412" s="56">
        <f>IF(N399="",0,F412/N399/4.348)</f>
        <v>0</v>
      </c>
      <c r="H412" s="53">
        <f>IF(G412=0,0,O415)</f>
        <v>0</v>
      </c>
      <c r="K412" s="1146"/>
      <c r="L412" s="1146"/>
      <c r="M412" s="172"/>
      <c r="N412" s="172"/>
      <c r="O412" s="172"/>
      <c r="P412" s="172"/>
    </row>
    <row r="413" spans="1:16" s="52" customFormat="1" ht="13.5" customHeight="1" x14ac:dyDescent="0.25">
      <c r="A413" s="55"/>
      <c r="B413" s="1172" t="str">
        <f>IF(A413="","",B412)</f>
        <v/>
      </c>
      <c r="C413" s="1173"/>
      <c r="D413" s="181"/>
      <c r="E413" s="181"/>
      <c r="F413" s="87"/>
      <c r="G413" s="56">
        <f>IF(N399="",0,F413/N399/4.348)</f>
        <v>0</v>
      </c>
      <c r="H413" s="53">
        <f>IF(G413=0,0,P415)</f>
        <v>0</v>
      </c>
      <c r="K413" s="1146"/>
      <c r="L413" s="1146"/>
      <c r="M413" s="172"/>
      <c r="N413" s="172"/>
      <c r="O413" s="172"/>
      <c r="P413" s="172"/>
    </row>
    <row r="414" spans="1:16" s="52" customFormat="1" ht="13.5" customHeight="1" x14ac:dyDescent="0.25">
      <c r="B414" s="1167" t="s">
        <v>157</v>
      </c>
      <c r="C414" s="1167"/>
      <c r="E414" s="1167" t="s">
        <v>156</v>
      </c>
      <c r="F414" s="1167"/>
      <c r="J414" s="69"/>
      <c r="K414" s="1146"/>
      <c r="L414" s="1146"/>
      <c r="M414" s="172"/>
      <c r="N414" s="172"/>
      <c r="O414" s="172"/>
      <c r="P414" s="172"/>
    </row>
    <row r="415" spans="1:16" s="52" customFormat="1" ht="13.5" customHeight="1" x14ac:dyDescent="0.25">
      <c r="A415" s="70" t="s">
        <v>167</v>
      </c>
      <c r="B415" s="67"/>
      <c r="C415" s="99" t="str">
        <f>IF(C371="","",C371)</f>
        <v/>
      </c>
      <c r="D415" s="70" t="s">
        <v>167</v>
      </c>
      <c r="E415" s="67"/>
      <c r="F415" s="99" t="str">
        <f>IF(F371="","",F371)</f>
        <v/>
      </c>
      <c r="J415" s="68"/>
      <c r="M415" s="173">
        <f>SUM(M410:M414)</f>
        <v>0</v>
      </c>
      <c r="N415" s="173">
        <f t="shared" ref="N415:P415" si="46">SUM(N410:N414)</f>
        <v>0</v>
      </c>
      <c r="O415" s="173">
        <f t="shared" si="46"/>
        <v>0</v>
      </c>
      <c r="P415" s="173">
        <f t="shared" si="46"/>
        <v>0</v>
      </c>
    </row>
    <row r="416" spans="1:16" s="52" customFormat="1" ht="13.5" customHeight="1" x14ac:dyDescent="0.2">
      <c r="A416" s="60" t="s">
        <v>155</v>
      </c>
    </row>
    <row r="417" spans="1:16" s="1" customFormat="1" ht="14.25" customHeight="1" x14ac:dyDescent="0.2">
      <c r="A417" s="1147"/>
      <c r="B417" s="1149" t="s">
        <v>9</v>
      </c>
      <c r="C417" s="1150"/>
      <c r="D417" s="1150"/>
      <c r="E417" s="1150"/>
      <c r="F417" s="1150"/>
      <c r="G417" s="1151"/>
      <c r="H417" s="1152" t="s">
        <v>119</v>
      </c>
      <c r="I417" s="1153"/>
      <c r="J417" s="1153"/>
      <c r="K417" s="1153"/>
      <c r="L417" s="1153"/>
      <c r="M417" s="1153"/>
      <c r="N417" s="1153"/>
      <c r="O417" s="33"/>
      <c r="P417" s="1154" t="s">
        <v>0</v>
      </c>
    </row>
    <row r="418" spans="1:16" s="1" customFormat="1" ht="14.25" customHeight="1" x14ac:dyDescent="0.2">
      <c r="A418" s="1148"/>
      <c r="B418" s="1157" t="s">
        <v>117</v>
      </c>
      <c r="C418" s="124" t="s">
        <v>115</v>
      </c>
      <c r="D418" s="1159" t="s">
        <v>277</v>
      </c>
      <c r="E418" s="1161" t="s">
        <v>147</v>
      </c>
      <c r="F418" s="127" t="s">
        <v>7</v>
      </c>
      <c r="G418" s="1162" t="s">
        <v>6</v>
      </c>
      <c r="H418" s="1161" t="s">
        <v>129</v>
      </c>
      <c r="I418" s="1161" t="s">
        <v>5</v>
      </c>
      <c r="J418" s="1161" t="s">
        <v>4</v>
      </c>
      <c r="K418" s="1161" t="s">
        <v>3</v>
      </c>
      <c r="L418" s="1161" t="s">
        <v>121</v>
      </c>
      <c r="M418" s="1161" t="s">
        <v>122</v>
      </c>
      <c r="N418" s="1161" t="s">
        <v>123</v>
      </c>
      <c r="O418" s="1160" t="s">
        <v>114</v>
      </c>
      <c r="P418" s="1155"/>
    </row>
    <row r="419" spans="1:16" s="1" customFormat="1" ht="14.25" customHeight="1" x14ac:dyDescent="0.2">
      <c r="A419" s="1148"/>
      <c r="B419" s="1157"/>
      <c r="C419" s="21" t="str">
        <f>IF(C415="","",C415)</f>
        <v/>
      </c>
      <c r="D419" s="1160"/>
      <c r="E419" s="1161"/>
      <c r="F419" s="1165" t="str">
        <f>IF(H410=0,"","siehe Zuschläge / Zulagen")</f>
        <v/>
      </c>
      <c r="G419" s="1162"/>
      <c r="H419" s="1164" t="s">
        <v>127</v>
      </c>
      <c r="I419" s="1164"/>
      <c r="J419" s="1164"/>
      <c r="K419" s="1164"/>
      <c r="L419" s="1164"/>
      <c r="M419" s="1164"/>
      <c r="N419" s="1164"/>
      <c r="O419" s="1160"/>
      <c r="P419" s="1155"/>
    </row>
    <row r="420" spans="1:16" s="1" customFormat="1" x14ac:dyDescent="0.2">
      <c r="A420" s="1148"/>
      <c r="B420" s="1157"/>
      <c r="C420" s="122" t="s">
        <v>70</v>
      </c>
      <c r="D420" s="1160"/>
      <c r="E420" s="1161"/>
      <c r="F420" s="1165"/>
      <c r="G420" s="1162"/>
      <c r="H420" s="43" t="s">
        <v>128</v>
      </c>
      <c r="I420" s="43" t="s">
        <v>255</v>
      </c>
      <c r="J420" s="43" t="s">
        <v>256</v>
      </c>
      <c r="K420" s="43" t="s">
        <v>257</v>
      </c>
      <c r="L420" s="43"/>
      <c r="M420" s="43"/>
      <c r="N420" s="43" t="s">
        <v>254</v>
      </c>
      <c r="O420" s="1160"/>
      <c r="P420" s="1155"/>
    </row>
    <row r="421" spans="1:16" s="1" customFormat="1" x14ac:dyDescent="0.2">
      <c r="A421" s="1148"/>
      <c r="B421" s="1158"/>
      <c r="C421" s="21" t="str">
        <f>IF(F415="","",F415)</f>
        <v/>
      </c>
      <c r="D421" s="51"/>
      <c r="E421" s="51"/>
      <c r="F421" s="1166"/>
      <c r="G421" s="1163"/>
      <c r="H421" s="93"/>
      <c r="I421" s="139">
        <f>$I$69</f>
        <v>0</v>
      </c>
      <c r="J421" s="139">
        <f>$J$69</f>
        <v>0</v>
      </c>
      <c r="K421" s="44">
        <f>$K$69</f>
        <v>0</v>
      </c>
      <c r="L421" s="21"/>
      <c r="M421" s="21"/>
      <c r="N421" s="139">
        <f>$N$69</f>
        <v>0</v>
      </c>
      <c r="O421" s="21">
        <f>O377</f>
        <v>0</v>
      </c>
      <c r="P421" s="1156"/>
    </row>
    <row r="422" spans="1:16" s="1" customFormat="1" x14ac:dyDescent="0.2">
      <c r="A422" s="100" t="str">
        <f>$A$26</f>
        <v>Jan 2022</v>
      </c>
      <c r="B422" s="24">
        <f>ROUND(IF(N402=0,0,(LOOKUP(2,1/(A410:A413=A422),G410:G413))*N402*4.348),2)</f>
        <v>0</v>
      </c>
      <c r="C422" s="23">
        <f>ROUND(IFERROR(((LOOKUP(2,1/(B415=A422),((SUM(B428:B430)+SUM(F428:F430))/3)*C415))),0)+IFERROR(((LOOKUP(2,1/(E415=A422),(B434+F434)*F415))),0),2)</f>
        <v>0</v>
      </c>
      <c r="D422" s="23">
        <f>ROUND(IF(B422=0,0,D421/L403*N402),2)</f>
        <v>0</v>
      </c>
      <c r="E422" s="23">
        <f>ROUND(IF(B422=0,0,E421/N399*N402),2)</f>
        <v>0</v>
      </c>
      <c r="F422" s="24">
        <f>ROUND(IF(N402=0,0,(LOOKUP(2,1/(A410:A413=A422),H410:H413))/N399*N402),2)</f>
        <v>0</v>
      </c>
      <c r="G422" s="27">
        <f>SUM(B422+C422+E422+F422)</f>
        <v>0</v>
      </c>
      <c r="H422" s="76">
        <f>ROUND(IF((SUM(B422:F422))&gt;L437,L437*H421,SUM(B422:F422)*H421),2)</f>
        <v>0</v>
      </c>
      <c r="I422" s="76">
        <f>ROUND(IF((SUM(B422:F422))&gt;L438,L438*I421,SUM(B422:F422)*I421),2)</f>
        <v>0</v>
      </c>
      <c r="J422" s="76">
        <f>ROUND(IF((SUM(B422:F422))&gt;L438,L438*J421,SUM(B422:F422)*J421),2)</f>
        <v>0</v>
      </c>
      <c r="K422" s="76">
        <f>ROUND(IF((SUM(B422:F422))&gt;L437,L437*K421,SUM(B422:F422)*K421),2)</f>
        <v>0</v>
      </c>
      <c r="L422" s="76">
        <f>ROUND(IF((SUM(B422:F422))&gt;L438,L438*L421,(SUM(B422:F422)-C422)*L421),2)</f>
        <v>0</v>
      </c>
      <c r="M422" s="76">
        <f>ROUND(IF((SUM(B422:F422))&gt;L438,L438*M421,(SUM(B422:F422)-C422)*M421),2)</f>
        <v>0</v>
      </c>
      <c r="N422" s="76">
        <f>ROUND(IF((SUM(B422:F422))&gt;L438,L438*N421,SUM(B422:F422)*N421),2)</f>
        <v>0</v>
      </c>
      <c r="O422" s="23">
        <f>ROUND(SUM(B422+C422+F422)*O421,2)</f>
        <v>0</v>
      </c>
      <c r="P422" s="27">
        <f>SUM(G422:O422)</f>
        <v>0</v>
      </c>
    </row>
    <row r="423" spans="1:16" s="1" customFormat="1" x14ac:dyDescent="0.2">
      <c r="A423" s="100" t="str">
        <f>$A$27</f>
        <v>Feb 2022</v>
      </c>
      <c r="B423" s="24">
        <f>ROUND(IF(N403=0,0,IFERROR(((LOOKUP(2,1/(A410:A413=A423),G410:G413))*N403*4.348),B422/N403*N403)),2)</f>
        <v>0</v>
      </c>
      <c r="C423" s="23">
        <f>ROUND(IFERROR(((LOOKUP(2,1/(B415=A423),((SUM(B428:B430)+SUM(F428:F430))/3)*C415))),0)+IFERROR(((LOOKUP(2,1/(E415=A423),(B434+F434)*F415))),0),2)</f>
        <v>0</v>
      </c>
      <c r="D423" s="23">
        <f>ROUND(IF(B423=0,0,D421/L403*N403),2)</f>
        <v>0</v>
      </c>
      <c r="E423" s="23">
        <f>ROUND(IF(B423=0,0,E421/N399*N403),2)</f>
        <v>0</v>
      </c>
      <c r="F423" s="24">
        <f>ROUND(IF(N403=0,0,IFERROR(((LOOKUP(2,1/(A410:A413=A423),H410:H413))/N399*N403),F422/N403*N403)),2)</f>
        <v>0</v>
      </c>
      <c r="G423" s="27">
        <f t="shared" ref="G423:G433" si="47">SUM(B423+C423+E423+F423)</f>
        <v>0</v>
      </c>
      <c r="H423" s="76">
        <f>ROUND(IF(SUM(B422:F422)&lt;(L437*1),IF((SUM(B422:F423))&gt;(L437*2),(((L437*2)-(SUM(B422:F423)-C422))*H421)+((SUM(B423:F423)-C422)*H421),SUM(B423:F423)*H421),IF(SUM(B422:F423)&gt;(L437*2),L437*H421,SUM(B423:F423)*H421)),2)</f>
        <v>0</v>
      </c>
      <c r="I423" s="76">
        <f>ROUND(IF(SUM(B422:F422)&lt;(L438*1),IF((SUM(B422:F423))&gt;(L438*2),(((L438*2)-(SUM(B422:F423)-C422))*I421)+((SUM(B423:F423)-C422)*I421),SUM(B423:F423)*I421),IF(SUM(B422:F423)&gt;(L438*2),L438*I421,SUM(B423:F423)*I421)),2)</f>
        <v>0</v>
      </c>
      <c r="J423" s="76">
        <f>ROUND(IF(SUM(B422:F422)&lt;(L438*1),IF((SUM(B422:F423))&gt;(L438*2),(((L438*2)-(SUM(B422:F423)-C422))*J421)+((SUM(B423:F423)-C422)*J421),SUM(B423:F423)*J421),IF(SUM(B422:F423)&gt;(L438*2),L438*J421,SUM(B423:F423)*J421)),2)</f>
        <v>0</v>
      </c>
      <c r="K423" s="76">
        <f>ROUND(IF(SUM(B422:F422)&lt;(L437*1),IF((SUM(B422:F423))&gt;(L437*2),(((L437*2)-(SUM(B422:F423)-C422))*K421)+((SUM(B423:F423)-C422)*K421),SUM(B423:F423)*K421),IF(SUM(B422:F423)&gt;(L437*2),L437*K421,SUM(B423:F423)*K421)),2)</f>
        <v>0</v>
      </c>
      <c r="L423" s="76">
        <f>ROUND(IF(SUM(B422:F422)&lt;(L438*1),IF((SUM(B422:F423))&gt;(L438*2),(((L438*2)-(SUM(B422:F423)-C423))*L421)+((SUM(B423:F423)-C423)*L421),(SUM(B423:F423)-C423)*L421),IF(SUM(B422:F423)&gt;(L438*2),L438*L421,SUM(B423:F423)*L421)),2)</f>
        <v>0</v>
      </c>
      <c r="M423" s="76">
        <f>ROUND(IF(SUM(B422:F422)&lt;(L438*1),IF((SUM(B422:F423))&gt;(L438*2),(((L438*2)-(SUM(B422:F423)-C423))*M421)+((SUM(B423:F423)-C423)*M421),(SUM(B423:F423)-C423)*M421),IF(SUM(B422:F423)&gt;(L438*2),L438*M421,SUM(B423:F423)*M421)),2)</f>
        <v>0</v>
      </c>
      <c r="N423" s="76">
        <f>ROUND(IF(SUM(B422:F422)&lt;(L438*1),IF((SUM(B422:F423))&gt;(L438*2),(((L438*2)-(SUM(B422:F423)-C422))*N421)+((SUM(B423:F423)-C422)*N421),SUM(B423:F423)*N421),IF(SUM(B422:F423)&gt;(L438*2),L438*N421,SUM(B423:F423)*N421)),2)</f>
        <v>0</v>
      </c>
      <c r="O423" s="23">
        <f>ROUND(SUM(B423+C423+F423)*O421,2)</f>
        <v>0</v>
      </c>
      <c r="P423" s="27">
        <f>SUM(G423:O423)</f>
        <v>0</v>
      </c>
    </row>
    <row r="424" spans="1:16" s="1" customFormat="1" x14ac:dyDescent="0.2">
      <c r="A424" s="100" t="str">
        <f>$A$28</f>
        <v>Mrz 2022</v>
      </c>
      <c r="B424" s="24">
        <f>ROUND(IF(N404=0,0,IFERROR(((LOOKUP(2,1/(A410:A413=A424),G410:G413))*N404*4.348),B423/N404*N404)),2)</f>
        <v>0</v>
      </c>
      <c r="C424" s="23">
        <f>ROUND(IFERROR(((LOOKUP(2,1/(B415=A424),((SUM(B428:B430)+SUM(F428:F430))/3)*C415))),0)+IFERROR(((LOOKUP(2,1/(E415=A424),(B434+F434)*F415))),0),2)</f>
        <v>0</v>
      </c>
      <c r="D424" s="23">
        <f>ROUND(IF(B424=0,0,D421/L403*N404),2)</f>
        <v>0</v>
      </c>
      <c r="E424" s="23">
        <f>ROUND(IF(B424=0,0,E421/N399*N404),2)</f>
        <v>0</v>
      </c>
      <c r="F424" s="24">
        <f>ROUND(IF(N404=0,0,IFERROR(((LOOKUP(2,1/(A410:A413=A424),H410:H413))/N399*N404),F423/N404*N404)),2)</f>
        <v>0</v>
      </c>
      <c r="G424" s="27">
        <f t="shared" si="47"/>
        <v>0</v>
      </c>
      <c r="H424" s="76">
        <f>ROUND(IF(SUM(B422:F423)&lt;(L437*2),IF((SUM(B422:F424))&gt;(L437*3),(((L437*3)-(SUM(B422:F424)-C423))*H421)+((SUM(B424:F424)-C423)*H421),SUM(B424:F424)*H421),IF(SUM(B422:F424)&gt;(L437*3),L437*H421,SUM(B424:F424)*H421)),2)</f>
        <v>0</v>
      </c>
      <c r="I424" s="76">
        <f>ROUND(IF(SUM(B422:F423)&lt;(L438*2),IF((SUM(B422:F424))&gt;(L438*3),(((L438*3)-(SUM(B422:F424)-C423))*I421)+((SUM(B424:F424)-C423)*I421),SUM(B424:F424)*I421),IF(SUM(B422:F424)&gt;(L438*3),L438*I421,SUM(B424:F424)*I421)),2)</f>
        <v>0</v>
      </c>
      <c r="J424" s="76">
        <f>ROUND(IF(SUM(B422:F423)&lt;(L438*2),IF((SUM(B422:F424))&gt;(L438*3),(((L438*3)-(SUM(B422:F424)-C423))*J421)+((SUM(B424:F424)-C423)*J421),SUM(B424:F424)*J421),IF(SUM(B422:F424)&gt;(L438*3),L438*J421,SUM(B424:F424)*J421)),2)</f>
        <v>0</v>
      </c>
      <c r="K424" s="76">
        <f>ROUND(IF(SUM(B422:F423)&lt;(L437*2),IF((SUM(B422:F424))&gt;(L437*3),(((L437*3)-(SUM(B422:F424)-C423))*K421)+((SUM(B424:F424)-C423)*K421),SUM(B424:F424)*K421),IF(SUM(B422:F424)&gt;(L437*3),L437*K421,SUM(B424:F424)*K421)),2)</f>
        <v>0</v>
      </c>
      <c r="L424" s="76">
        <f>ROUND(IF(SUM(B422:F423)&lt;(L438*2),IF((SUM(B422:F424))&gt;(L438*3),(((L438*3)-(SUM(B422:F424)-C424))*L421)+((SUM(B424:F424)-C424)*L421),(SUM(B424:F424)-C424)*L421),IF(SUM(B422:F424)&gt;(L438*3),L438*L421,SUM(B424:F424)*L421)),2)</f>
        <v>0</v>
      </c>
      <c r="M424" s="76">
        <f>ROUND(IF(SUM(B422:F423)&lt;(L438*2),IF((SUM(B422:F424))&gt;(L438*3),(((L438*3)-(SUM(B422:F424)-C424))*M421)+((SUM(B424:F424)-C424)*M421),(SUM(B424:F424)-C424)*M421),IF(SUM(B422:F424)&gt;(L438*3),L438*M421,SUM(B424:F424)*M421)),2)</f>
        <v>0</v>
      </c>
      <c r="N424" s="76">
        <f>ROUND(IF(SUM(B422:F423)&lt;(L438*2),IF((SUM(B422:F424))&gt;(L438*3),(((L438*3)-(SUM(B422:F424)-C423))*N421)+((SUM(B424:F424)-C423)*N421),SUM(B424:F424)*N421),IF(SUM(B422:F424)&gt;(L438*3),L438*N421,SUM(B424:F424)*N421)),2)</f>
        <v>0</v>
      </c>
      <c r="O424" s="23">
        <f>ROUND(SUM(B424+C424+F424)*O421,2)</f>
        <v>0</v>
      </c>
      <c r="P424" s="27">
        <f t="shared" ref="P424:P433" si="48">SUM(G424:O424)</f>
        <v>0</v>
      </c>
    </row>
    <row r="425" spans="1:16" s="1" customFormat="1" x14ac:dyDescent="0.2">
      <c r="A425" s="100" t="str">
        <f>$A$29</f>
        <v>Apr 2022</v>
      </c>
      <c r="B425" s="24">
        <f>ROUND(IF(N405=0,0,IFERROR(((LOOKUP(2,1/(A410:A413=A425),G410:G413))*N405*4.348),B424/N405*N405)),2)</f>
        <v>0</v>
      </c>
      <c r="C425" s="23">
        <f>ROUND(IFERROR(((LOOKUP(2,1/(B415=A425),((SUM(B428:B430)+SUM(F428:F430))/3)*C415))),0)+IFERROR(((LOOKUP(2,1/(E415=A425),(B434+F434)*F415))),0),2)</f>
        <v>0</v>
      </c>
      <c r="D425" s="23">
        <f>ROUND(IF(B425=0,0,D421/L403*N405),2)</f>
        <v>0</v>
      </c>
      <c r="E425" s="23">
        <f>ROUND(IF(B425=0,0,E421/N399*N405),2)</f>
        <v>0</v>
      </c>
      <c r="F425" s="24">
        <f>ROUND(IF(N405=0,0,IFERROR(((LOOKUP(2,1/(A410:A413=A425),H410:H413))/N399*N405),F424/N405*N405)),2)</f>
        <v>0</v>
      </c>
      <c r="G425" s="27">
        <f t="shared" si="47"/>
        <v>0</v>
      </c>
      <c r="H425" s="76">
        <f>ROUND(IF(SUM(B422:F424)&lt;(L437*3),IF((SUM(B422:F425))&gt;(L437*4),(((L437*4)-(SUM(B422:F425)-C424))*H421)+((SUM(B425:F425)-C424)*H421),SUM(B425:F425)*H421),IF(SUM(B422:F425)&gt;(L437*4),L437*H421,SUM(B425:F425)*H421)),2)</f>
        <v>0</v>
      </c>
      <c r="I425" s="76">
        <f>ROUND(IF(SUM(B422:F424)&lt;(L438*3),IF((SUM(B422:F425))&gt;(L438*4),(((L438*4)-(SUM(B422:F425)-C424))*I421)+((SUM(B425:F425)-C424)*I421),SUM(B425:F425)*I421),IF(SUM(B422:F425)&gt;(L438*4),L438*I421,SUM(B425:F425)*I421)),2)</f>
        <v>0</v>
      </c>
      <c r="J425" s="76">
        <f>ROUND(IF(SUM(B422:F424)&lt;(L438*3),IF((SUM(B422:F425))&gt;(L438*4),(((L438*4)-(SUM(B422:F425)-C424))*J421)+((SUM(B425:F425)-C424)*J421),SUM(B425:F425)*J421),IF(SUM(B422:F425)&gt;(L438*4),L438*J421,SUM(B425:F425)*J421)),2)</f>
        <v>0</v>
      </c>
      <c r="K425" s="76">
        <f>ROUND(IF(SUM(B422:F424)&lt;(L437*3),IF((SUM(B422:F425))&gt;(L437*4),(((L437*4)-(SUM(B422:F425)-C424))*K421)+((SUM(B425:F425)-C424)*K421),SUM(B425:F425)*K421),IF(SUM(B422:F425)&gt;(L437*4),L437*K421,SUM(B425:F425)*K421)),2)</f>
        <v>0</v>
      </c>
      <c r="L425" s="76">
        <f>ROUND(IF(SUM(B422:F424)&lt;(L438*3),IF((SUM(B422:F425))&gt;(L438*4),(((L438*4)-(SUM(B422:F425)-C425))*L421)+((SUM(B425:F425)-C425)*L421),(SUM(B425:F425)-C425)*L421),IF(SUM(B422:F425)&gt;(L438*4),L438*L421,SUM(B425:F425)*L421)),2)</f>
        <v>0</v>
      </c>
      <c r="M425" s="76">
        <f>ROUND(IF(SUM(B422:F424)&lt;(L438*3),IF((SUM(B422:F425))&gt;(L438*4),(((L438*4)-(SUM(B422:F425)-C425))*M421)+((SUM(B425:F425)-C425)*M421),(SUM(B425:F425)-C425)*M421),IF(SUM(B422:F425)&gt;(L438*4),L438*M421,SUM(B425:F425)*M421)),2)</f>
        <v>0</v>
      </c>
      <c r="N425" s="76">
        <f>ROUND(IF(SUM(B422:F424)&lt;(L438*3),IF((SUM(B422:F425))&gt;(L438*4),(((L438*4)-(SUM(B422:F425)-C424))*N421)+((SUM(B425:F425)-C424)*N421),SUM(B425:F425)*N421),IF(SUM(B422:F425)&gt;(L438*4),L438*N421,SUM(B425:F425)*N421)),2)</f>
        <v>0</v>
      </c>
      <c r="O425" s="23">
        <f>ROUND(SUM(B425+C425+F425)*O421,2)</f>
        <v>0</v>
      </c>
      <c r="P425" s="27">
        <f t="shared" si="48"/>
        <v>0</v>
      </c>
    </row>
    <row r="426" spans="1:16" s="1" customFormat="1" x14ac:dyDescent="0.2">
      <c r="A426" s="100" t="str">
        <f>$A$30</f>
        <v>Mai 2022</v>
      </c>
      <c r="B426" s="24">
        <f>ROUND(IF(N406=0,0,IFERROR(((LOOKUP(2,1/(A410:A413=A426),G410:G413))*N406*4.348),B425/N406*N406)),2)</f>
        <v>0</v>
      </c>
      <c r="C426" s="23">
        <f>ROUND(IFERROR(((LOOKUP(2,1/(B415=A426),((SUM(B428:B430)+SUM(F428:F430))/3)*C415))),0)+IFERROR(((LOOKUP(2,1/(E415=A426),(B434+F434)*F415))),0),2)</f>
        <v>0</v>
      </c>
      <c r="D426" s="23">
        <f>ROUND(IF(B426=0,0,D421/L403*N406),2)</f>
        <v>0</v>
      </c>
      <c r="E426" s="23">
        <f>ROUND(IF(B426=0,0,E421/N399*N406),2)</f>
        <v>0</v>
      </c>
      <c r="F426" s="24">
        <f>ROUND(IF(N406=0,0,IFERROR(((LOOKUP(2,1/(A410:A413=A426),H410:H413))/N399*N406),F425/N406*N406)),2)</f>
        <v>0</v>
      </c>
      <c r="G426" s="27">
        <f t="shared" si="47"/>
        <v>0</v>
      </c>
      <c r="H426" s="76">
        <f>ROUND(IF(SUM(B422:F425)&lt;(L437*4),IF((SUM(B422:F426))&gt;(L437*5),(((L437*5)-(SUM(B422:F426)-C425))*H421)+((SUM(B426:F426)-C425)*H421),SUM(B426:F426)*H421),IF(SUM(B422:F426)&gt;(L437*5),L437*H421,SUM(B426:F426)*H421)),2)</f>
        <v>0</v>
      </c>
      <c r="I426" s="76">
        <f>ROUND(IF(SUM(B422:F425)&lt;(L438*4),IF((SUM(B422:F426))&gt;(L438*5),(((L438*5)-(SUM(B422:F426)-C425))*I421)+((SUM(B426:F426)-C425)*I421),SUM(B426:F426)*I421),IF(SUM(B422:F426)&gt;(L438*5),L438*I421,SUM(B426:F426)*I421)),2)</f>
        <v>0</v>
      </c>
      <c r="J426" s="76">
        <f>ROUND(IF(SUM(B422:F425)&lt;(L438*4),IF((SUM(B422:F426))&gt;(L438*5),(((L438*5)-(SUM(B422:F426)-C425))*J421)+((SUM(B426:F426)-C425)*J421),SUM(B426:F426)*J421),IF(SUM(B422:F426)&gt;(L438*5),L438*J421,SUM(B426:F426)*J421)),2)</f>
        <v>0</v>
      </c>
      <c r="K426" s="76">
        <f>ROUND(IF(SUM(B422:F425)&lt;(L437*4),IF((SUM(B422:F426))&gt;(L437*5),(((L437*5)-(SUM(B422:F426)-C425))*K421)+((SUM(B426:F426)-C425)*K421),SUM(B426:F426)*K421),IF(SUM(B422:F426)&gt;(L437*5),L437*K421,SUM(B426:F426)*K421)),2)</f>
        <v>0</v>
      </c>
      <c r="L426" s="76">
        <f>ROUND(IF(SUM(B422:F425)&lt;(L438*4),IF((SUM(B422:F426))&gt;(L438*5),(((L438*5)-(SUM(B422:F426)-C426))*L421)+((SUM(B426:F426)-C426)*L421),(SUM(B426:F426)-C426)*L421),IF(SUM(B422:F426)&gt;(L438*5),L438*L421,SUM(B426:F426)*L421)),2)</f>
        <v>0</v>
      </c>
      <c r="M426" s="76">
        <f>ROUND(IF(SUM(B422:F425)&lt;(L438*4),IF((SUM(B422:F426))&gt;(L438*5),(((L438*5)-(SUM(B422:F426)-C426))*M421)+((SUM(B426:F426)-C426)*M421),(SUM(B426:F426)-C426)*M421),IF(SUM(B422:F426)&gt;(L438*5),L438*M421,SUM(B426:F426)*M421)),2)</f>
        <v>0</v>
      </c>
      <c r="N426" s="76">
        <f>ROUND(IF(SUM(B422:F425)&lt;(L438*4),IF((SUM(B422:F426))&gt;(L438*5),(((L438*5)-(SUM(B422:F426)-C425))*N421)+((SUM(B426:F426)-C425)*N421),SUM(B426:F426)*N421),IF(SUM(B422:F426)&gt;(L438*5),L438*N421,SUM(B426:F426)*N421)),2)</f>
        <v>0</v>
      </c>
      <c r="O426" s="23">
        <f>ROUND(SUM(B426+C426+F426)*O421,2)</f>
        <v>0</v>
      </c>
      <c r="P426" s="27">
        <f t="shared" si="48"/>
        <v>0</v>
      </c>
    </row>
    <row r="427" spans="1:16" s="1" customFormat="1" x14ac:dyDescent="0.2">
      <c r="A427" s="100" t="str">
        <f>$A$31</f>
        <v>Jun 2022</v>
      </c>
      <c r="B427" s="24">
        <f>ROUND(IF(N407=0,0,IFERROR(((LOOKUP(2,1/(A410:A413=A427),G410:G413))*N407*4.348),B426/N407*N407)),2)</f>
        <v>0</v>
      </c>
      <c r="C427" s="23">
        <f>ROUND(IFERROR(((LOOKUP(2,1/(B415=A427),((SUM(B428:B430)+SUM(F428:F430))/3)*C415))),0)+IFERROR(((LOOKUP(2,1/(E415=A427),(B434+F434)*F415))),0),2)</f>
        <v>0</v>
      </c>
      <c r="D427" s="23">
        <f>ROUND(IF(B427=0,0,D421/L403*N407),2)</f>
        <v>0</v>
      </c>
      <c r="E427" s="23">
        <f>ROUND(IF(B427=0,0,E421/N399*N407),2)</f>
        <v>0</v>
      </c>
      <c r="F427" s="24">
        <f>ROUND(IF(N407=0,0,IFERROR(((LOOKUP(2,1/(A410:A413=A427),H410:H413))/N399*N407),F426/N407*N407)),2)</f>
        <v>0</v>
      </c>
      <c r="G427" s="27">
        <f t="shared" si="47"/>
        <v>0</v>
      </c>
      <c r="H427" s="76">
        <f>ROUND(IF(SUM(B422:F426)&lt;(L437*5),IF((SUM(B422:F427))&gt;(L437*6),(((L437*6)-(SUM(B422:F427)-C426))*H421)+((SUM(B427:F427)-C426)*H421),SUM(B427:F427)*H421),IF(SUM(B422:F427)&gt;(L437*6),L437*H421,SUM(B427:F427)*H421)),2)</f>
        <v>0</v>
      </c>
      <c r="I427" s="76">
        <f>ROUND(IF(SUM(B422:F426)&lt;(L438*5),IF((SUM(B422:F427))&gt;(L438*6),(((L438*6)-(SUM(B422:F427)-C426))*I421)+((SUM(B427:F427)-C426)*I421),SUM(B427:F427)*I421),IF(SUM(B422:F427)&gt;(L438*6),L438*I421,SUM(B427:F427)*I421)),2)</f>
        <v>0</v>
      </c>
      <c r="J427" s="76">
        <f>ROUND(IF(SUM(B422:F426)&lt;(L438*5),IF((SUM(B422:F427))&gt;(L438*6),(((L438*6)-(SUM(B422:F427)-C426))*J421)+((SUM(B427:F427)-C426)*J421),SUM(B427:F427)*J421),IF(SUM(B422:F427)&gt;(L438*6),L438*J421,SUM(B427:F427)*J421)),2)</f>
        <v>0</v>
      </c>
      <c r="K427" s="76">
        <f>ROUND(IF(SUM(B422:F426)&lt;(L437*5),IF((SUM(B422:F427))&gt;(L437*6),(((L437*6)-(SUM(B422:F427)-C426))*K421)+((SUM(B427:F427)-C426)*K421),SUM(B427:F427)*K421),IF(SUM(B422:F427)&gt;(L437*6),L437*K421,SUM(B427:F427)*K421)),2)</f>
        <v>0</v>
      </c>
      <c r="L427" s="76">
        <f>ROUND(IF(SUM(B422:F426)&lt;(L438*5),IF((SUM(B422:F427))&gt;(L438*6),(((L438*6)-(SUM(B422:F427)-C427))*L421)+((SUM(B427:F427)-C427)*L421),(SUM(B427:F427)-C427)*L421),IF(SUM(B422:F427)&gt;(L438*6),L438*L421,SUM(B427:F427)*L421)),2)</f>
        <v>0</v>
      </c>
      <c r="M427" s="76">
        <f>ROUND(IF(SUM(B422:F426)&lt;(L438*5),IF((SUM(B422:F427))&gt;(L438*6),(((L438*6)-(SUM(B422:F427)-C427))*M421)+((SUM(B427:F427)-C427)*M421),(SUM(B427:F427)-C427)*M421),IF(SUM(B422:F427)&gt;(L438*6),L438*M421,SUM(B427:F427)*M421)),2)</f>
        <v>0</v>
      </c>
      <c r="N427" s="76">
        <f>ROUND(IF(SUM(B422:F426)&lt;(L438*5),IF((SUM(B422:F427))&gt;(L438*6),(((L438*6)-(SUM(B422:F427)-C426))*N421)+((SUM(B427:F427)-C426)*N421),SUM(B427:F427)*N421),IF(SUM(B422:F427)&gt;(L438*6),L438*N421,SUM(B427:F427)*N421)),2)</f>
        <v>0</v>
      </c>
      <c r="O427" s="23">
        <f>ROUND(SUM(B427+C427+F427)*O421,2)</f>
        <v>0</v>
      </c>
      <c r="P427" s="27">
        <f t="shared" si="48"/>
        <v>0</v>
      </c>
    </row>
    <row r="428" spans="1:16" s="1" customFormat="1" x14ac:dyDescent="0.2">
      <c r="A428" s="100" t="str">
        <f>$A$32</f>
        <v>Jul 2022</v>
      </c>
      <c r="B428" s="24">
        <f>ROUND(IF(P402=0,0,IFERROR(((LOOKUP(2,1/(A410:A413=A428),G410:G413))*P402*4.348),B427/P402*P402)),2)</f>
        <v>0</v>
      </c>
      <c r="C428" s="23">
        <f>ROUND(IFERROR(((LOOKUP(2,1/(B415=A428),((SUM(B428:B430)+SUM(F428:F430))/3)*C415))),0)+IFERROR(((LOOKUP(2,1/(E415=A428),(B434+F434)*F415))),0),2)</f>
        <v>0</v>
      </c>
      <c r="D428" s="23">
        <f>ROUND(IF(B428=0,0,D421/L403*P402),2)</f>
        <v>0</v>
      </c>
      <c r="E428" s="23">
        <f>ROUND(IF(B428=0,0,E421/N399*P402),2)</f>
        <v>0</v>
      </c>
      <c r="F428" s="24">
        <f>ROUND(IF(P402=0,0,IFERROR(((LOOKUP(2,1/(A410:A413=A428),H410:H413))/N399*P402),F427/P402*P402)),2)</f>
        <v>0</v>
      </c>
      <c r="G428" s="27">
        <f t="shared" si="47"/>
        <v>0</v>
      </c>
      <c r="H428" s="76">
        <f>ROUND(IF(SUM(B422:F427)&lt;(L437*6),IF((SUM(B422:F428))&gt;(L437*7),(((L437*7)-(SUM(B422:F428)-C427))*H421)+((SUM(B428:F428)-C427)*H421),SUM(B428:F428)*H421),IF(SUM(B422:F428)&gt;(L437*7),L437*H421,SUM(B428:F428)*H421)),2)</f>
        <v>0</v>
      </c>
      <c r="I428" s="76">
        <f>ROUND(IF(SUM(B422:F427)&lt;(L438*6),IF((SUM(B422:F428))&gt;(L438*7),(((L438*7)-(SUM(B422:F428)-C427))*I421)+((SUM(B428:F428)-C427)*I421),SUM(B428:F428)*I421),IF(SUM(B422:F428)&gt;(L438*7),L438*I421,SUM(B428:F428)*I421)),2)</f>
        <v>0</v>
      </c>
      <c r="J428" s="76">
        <f>ROUND(IF(SUM(B422:F427)&lt;(L438*6),IF((SUM(B422:F428))&gt;(L438*7),(((L438*7)-(SUM(B422:F428)-C427))*J421)+((SUM(B428:F428)-C427)*J421),SUM(B428:F428)*J421),IF(SUM(B422:F428)&gt;(L438*7),L438*J421,SUM(B428:F428)*J421)),2)</f>
        <v>0</v>
      </c>
      <c r="K428" s="76">
        <f>ROUND(IF(SUM(B422:F427)&lt;(L437*6),IF((SUM(B422:F428))&gt;(L437*7),(((L437*7)-(SUM(B422:F428)-C427))*K421)+((SUM(B428:F428)-C427)*K421),SUM(B428:F428)*K421),IF(SUM(B422:F428)&gt;(L437*7),L437*K421,SUM(B428:F428)*K421)),2)</f>
        <v>0</v>
      </c>
      <c r="L428" s="76">
        <f>ROUND(IF(SUM(B422:F427)&lt;(L438*6),IF((SUM(B422:F428))&gt;(L438*7),(((L438*7)-(SUM(B422:F428)-C428))*L421)+((SUM(B428:F428)-C428)*L421),(SUM(B428:F428)-C428)*L421),IF(SUM(B422:F428)&gt;(L438*7),L438*L421,SUM(B428:F428)*L421)),2)</f>
        <v>0</v>
      </c>
      <c r="M428" s="76">
        <f>ROUND(IF(SUM(B422:F427)&lt;(L438*6),IF((SUM(B422:F428))&gt;(L438*7),(((L438*7)-(SUM(B422:F428)-C428))*M421)+((SUM(B428:F428)-C428)*M421),(SUM(B428:F428)-C428)*M421),IF(SUM(B422:F428)&gt;(L438*7),L438*M421,SUM(B428:F428)*M421)),2)</f>
        <v>0</v>
      </c>
      <c r="N428" s="76">
        <f>ROUND(IF(SUM(B422:F427)&lt;(L438*6),IF((SUM(B422:F428))&gt;(L438*7),(((L438*7)-(SUM(B422:F428)-C427))*N421)+((SUM(B428:F428)-C427)*N421),SUM(B428:F428)*N421),IF(SUM(B422:F428)&gt;(L438*7),L438*N421,SUM(B428:F428)*N421)),2)</f>
        <v>0</v>
      </c>
      <c r="O428" s="23">
        <f>ROUND(SUM(B428+C428+F428)*O421,2)</f>
        <v>0</v>
      </c>
      <c r="P428" s="27">
        <f t="shared" si="48"/>
        <v>0</v>
      </c>
    </row>
    <row r="429" spans="1:16" s="1" customFormat="1" x14ac:dyDescent="0.2">
      <c r="A429" s="100" t="str">
        <f>$A$33</f>
        <v>Aug 2022</v>
      </c>
      <c r="B429" s="24">
        <f>ROUND(IF(P403=0,0,IFERROR(((LOOKUP(2,1/(A410:A413=A429),G410:G413))*P403*4.348),B428/P403*P403)),2)</f>
        <v>0</v>
      </c>
      <c r="C429" s="23">
        <f>ROUND(IFERROR(((LOOKUP(2,1/(B415=A429),((SUM(B428:B430)+SUM(F428:F430))/3)*C415))),0)+IFERROR(((LOOKUP(2,1/(E415=A429),(B434+F434)*F415))),0),2)</f>
        <v>0</v>
      </c>
      <c r="D429" s="23">
        <f>ROUND(IF(B429=0,0,D421/L403*P403),2)</f>
        <v>0</v>
      </c>
      <c r="E429" s="23">
        <f>ROUND(IF(B429=0,0,E421/N399*P403),2)</f>
        <v>0</v>
      </c>
      <c r="F429" s="24">
        <f>ROUND(IF(P403=0,0,IFERROR(((LOOKUP(2,1/(A410:A413=A429),H410:H413))/N399*P403),F428/P403*P403)),2)</f>
        <v>0</v>
      </c>
      <c r="G429" s="27">
        <f t="shared" si="47"/>
        <v>0</v>
      </c>
      <c r="H429" s="76">
        <f>ROUND(IF(SUM(B422:F428)&lt;(L437*7),IF((SUM(B422:F429))&gt;(L437*8),(((L437*8)-(SUM(B422:F429)-C428))*H421)+((SUM(B429:F429)-C428)*H421),SUM(B429:F429)*H421),IF(SUM(B422:F429)&gt;(L437*8),L437*H421,SUM(B429:F429)*H421)),2)</f>
        <v>0</v>
      </c>
      <c r="I429" s="76">
        <f>ROUND(IF(SUM(B422:F428)&lt;(L438*7),IF((SUM(B422:F429))&gt;(L438*8),(((L438*8)-(SUM(B422:F429)-C428))*I421)+((SUM(B429:F429)-C428)*I421),SUM(B429:F429)*I421),IF(SUM(B422:F429)&gt;(L438*8),L438*I421,SUM(B429:F429)*I421)),2)</f>
        <v>0</v>
      </c>
      <c r="J429" s="76">
        <f>ROUND(IF(SUM(B422:F428)&lt;(L438*7),IF((SUM(B422:F429))&gt;(L438*8),(((L438*8)-(SUM(B422:F429)-C428))*J421)+((SUM(B429:F429)-C428)*J421),SUM(B429:F429)*J421),IF(SUM(B422:F429)&gt;(L438*8),L438*J421,SUM(B429:F429)*J421)),2)</f>
        <v>0</v>
      </c>
      <c r="K429" s="76">
        <f>ROUND(IF(SUM(B422:F428)&lt;(L437*7),IF((SUM(B422:F429))&gt;(L437*8),(((L437*8)-(SUM(B422:F429)-C428))*K421)+((SUM(B429:F429)-C428)*K421),SUM(B429:F429)*K421),IF(SUM(B422:F429)&gt;(L437*8),L437*K421,SUM(B429:F429)*K421)),2)</f>
        <v>0</v>
      </c>
      <c r="L429" s="76">
        <f>ROUND(IF(SUM(B422:F428)&lt;(L438*7),IF((SUM(B422:F429))&gt;(L438*8),(((L438*8)-(SUM(B422:F429)-C429))*L421)+((SUM(B429:F429)-C429)*L421),(SUM(B429:F429)-C429)*L421),IF(SUM(B422:F429)&gt;(L438*8),L438*L421,SUM(B429:F429)*L421)),2)</f>
        <v>0</v>
      </c>
      <c r="M429" s="76">
        <f>ROUND(IF(SUM(B422:F428)&lt;(L438*7),IF((SUM(B422:F429))&gt;(L438*8),(((L438*8)-(SUM(B422:F429)-C429))*M421)+((SUM(B429:F429)-C429)*M421),(SUM(B429:F429)-C429)*M421),IF(SUM(B422:F429)&gt;(L438*8),L438*M421,SUM(B429:F429)*M421)),2)</f>
        <v>0</v>
      </c>
      <c r="N429" s="76">
        <f>ROUND(IF(SUM(B422:F428)&lt;(L438*7),IF((SUM(B422:F429))&gt;(L438*8),(((L438*8)-(SUM(B422:F429)-C428))*N421)+((SUM(B429:F429)-C428)*N421),SUM(B429:F429)*N421),IF(SUM(B422:F429)&gt;(L438*8),L438*N421,SUM(B429:F429)*N421)),2)</f>
        <v>0</v>
      </c>
      <c r="O429" s="23">
        <f>ROUND(SUM(B429+C429+F429)*O421,2)</f>
        <v>0</v>
      </c>
      <c r="P429" s="27">
        <f t="shared" si="48"/>
        <v>0</v>
      </c>
    </row>
    <row r="430" spans="1:16" s="1" customFormat="1" x14ac:dyDescent="0.2">
      <c r="A430" s="100" t="str">
        <f>$A$34</f>
        <v>Sep 2022</v>
      </c>
      <c r="B430" s="24">
        <f>ROUND(IF(P404=0,0,IFERROR(((LOOKUP(2,1/(A410:A413=A430),G410:G413))*P404*4.348),B429/P404*P404)),2)</f>
        <v>0</v>
      </c>
      <c r="C430" s="23">
        <f>ROUND(IFERROR(((LOOKUP(2,1/(B415=A430),((SUM(B428:B430)+SUM(F428:F430))/3)*C415))),0)+IFERROR(((LOOKUP(2,1/(E415=A430),(B434+F434)*F415))),0),2)</f>
        <v>0</v>
      </c>
      <c r="D430" s="23">
        <f>ROUND(IF(B430=0,0,D421/L403*P404),2)</f>
        <v>0</v>
      </c>
      <c r="E430" s="23">
        <f>ROUND(IF(B430=0,0,E421/N399*P404),2)</f>
        <v>0</v>
      </c>
      <c r="F430" s="24">
        <f>ROUND(IF(P404=0,0,IFERROR(((LOOKUP(2,1/(A410:A413=A430),H410:H413))/N399*P404),F429/P404*P404)),2)</f>
        <v>0</v>
      </c>
      <c r="G430" s="27">
        <f t="shared" si="47"/>
        <v>0</v>
      </c>
      <c r="H430" s="76">
        <f>ROUND(IF(SUM(B422:F429)&lt;(L437*8),IF((SUM(B422:F430))&gt;(L437*9),(((L437*9)-(SUM(B422:F430)-C429))*H421)+((SUM(B430:F430)-C429)*H421),SUM(B430:F430)*H421),IF(SUM(B422:F430)&gt;(L437*9),L437*H421,SUM(B430:F430)*H421)),2)</f>
        <v>0</v>
      </c>
      <c r="I430" s="76">
        <f>ROUND(IF(SUM(B422:F429)&lt;(L438*8),IF((SUM(B422:F430))&gt;(L438*9),(((L438*9)-(SUM(B422:F430)-C429))*I421)+((SUM(B430:F430)-C429)*I421),SUM(B430:F430)*I421),IF(SUM(B422:F430)&gt;(L438*9),L438*I421,SUM(B430:F430)*I421)),2)</f>
        <v>0</v>
      </c>
      <c r="J430" s="76">
        <f>ROUND(IF(SUM(B422:F429)&lt;(L438*8),IF((SUM(B422:F430))&gt;(L438*9),(((L438*9)-(SUM(B422:F430)-C429))*J421)+((SUM(B430:F430)-C429)*J421),SUM(B430:F430)*J421),IF(SUM(B422:F430)&gt;(L438*9),L438*J421,SUM(B430:F430)*J421)),2)</f>
        <v>0</v>
      </c>
      <c r="K430" s="76">
        <f>ROUND(IF(SUM(B422:F429)&lt;(L437*8),IF((SUM(B422:F430))&gt;(L437*9),(((L437*9)-(SUM(B422:F430)-C429))*K421)+((SUM(B430:F430)-C429)*K421),SUM(B430:F430)*K421),IF(SUM(B422:F430)&gt;(L437*9),L437*K421,SUM(B430:F430)*K421)),2)</f>
        <v>0</v>
      </c>
      <c r="L430" s="76">
        <f>ROUND(IF(SUM(B422:F429)&lt;(L438*8),IF((SUM(B422:F430))&gt;(L438*9),(((L438*9)-(SUM(B422:F430)-C430))*L421)+((SUM(B430:F430)-C430)*L421),(SUM(B430:F430)-C430)*L421),IF(SUM(B422:F430)&gt;(L438*9),L438*L421,SUM(B430:F430)*L421)),2)</f>
        <v>0</v>
      </c>
      <c r="M430" s="76">
        <f>ROUND(IF(SUM(B422:F429)&lt;(L438*8),IF((SUM(B422:F430))&gt;(L438*9),(((L438*9)-(SUM(B422:F430)-C430))*M421)+((SUM(B430:F430)-C430)*M421),(SUM(B430:F430)-C430)*M421),IF(SUM(B422:F430)&gt;(L438*9),L438*M421,SUM(B430:F430)*M421)),2)</f>
        <v>0</v>
      </c>
      <c r="N430" s="76">
        <f>ROUND(IF(SUM(B422:F429)&lt;(L438*8),IF((SUM(B422:F430))&gt;(L438*9),(((L438*9)-(SUM(B422:F430)-C429))*N421)+((SUM(B430:F430)-C429)*N421),SUM(B430:F430)*N421),IF(SUM(B422:F430)&gt;(L438*9),L438*N421,SUM(B430:F430)*N421)),2)</f>
        <v>0</v>
      </c>
      <c r="O430" s="23">
        <f>ROUND(SUM(B430+C430+F430)*O421,2)</f>
        <v>0</v>
      </c>
      <c r="P430" s="27">
        <f t="shared" si="48"/>
        <v>0</v>
      </c>
    </row>
    <row r="431" spans="1:16" s="1" customFormat="1" x14ac:dyDescent="0.2">
      <c r="A431" s="100" t="str">
        <f>$A$35</f>
        <v>Okt 2022</v>
      </c>
      <c r="B431" s="24">
        <f>ROUND(IF(P405=0,0,IFERROR(((LOOKUP(2,1/(A410:A413=A431),G410:G413))*P405*4.348),B430/P405*P405)),2)</f>
        <v>0</v>
      </c>
      <c r="C431" s="23">
        <f>ROUND(IFERROR(((LOOKUP(2,1/(B415=A431),((SUM(B428:B430)+SUM(F428:F430))/3)*C415))),0)+IFERROR(((LOOKUP(2,1/(E415=A431),(B434+F434)*F415))),0),2)</f>
        <v>0</v>
      </c>
      <c r="D431" s="23">
        <f>ROUND(IF(B431=0,0,D421/L403*P405),2)</f>
        <v>0</v>
      </c>
      <c r="E431" s="23">
        <f>ROUND(IF(B431=0,0,E421/N399*P405),2)</f>
        <v>0</v>
      </c>
      <c r="F431" s="24">
        <f>ROUND(IF(P405=0,0,IFERROR(((LOOKUP(2,1/(A410:A413=A431),H410:H413))/N399*P405),F430/P405*P405)),2)</f>
        <v>0</v>
      </c>
      <c r="G431" s="27">
        <f t="shared" si="47"/>
        <v>0</v>
      </c>
      <c r="H431" s="76">
        <f>ROUND(IF(SUM(B422:F430)&lt;(L437*9),IF((SUM(B422:F431))&gt;(L437*10),(((L437*10)-(SUM(B422:F431)-C430))*H421)+((SUM(B431:F431)-C430)*H421),SUM(B431:F431)*H421),IF(SUM(B422:F431)&gt;(L437*10),L437*H421,SUM(B431:F431)*H421)),2)</f>
        <v>0</v>
      </c>
      <c r="I431" s="76">
        <f>ROUND(IF(SUM(B422:F430)&lt;(L438*9),IF((SUM(B422:F431))&gt;(L438*10),(((L438*10)-(SUM(B422:F431)-C430))*I421)+((SUM(B431:F431)-C430)*I421),SUM(B431:F431)*I421),IF(SUM(B422:F431)&gt;(L438*10),L438*I421,SUM(B431:F431)*I421)),2)</f>
        <v>0</v>
      </c>
      <c r="J431" s="76">
        <f>ROUND(IF(SUM(B422:F430)&lt;(L438*9),IF((SUM(B422:F431))&gt;(L438*10),(((L438*10)-(SUM(B422:F431)-C430))*J421)+((SUM(B431:F431)-C430)*J421),SUM(B431:F431)*J421),IF(SUM(B422:F431)&gt;(L438*10),L438*J421,SUM(B431:F431)*J421)),2)</f>
        <v>0</v>
      </c>
      <c r="K431" s="76">
        <f>ROUND(IF(SUM(B422:F430)&lt;(L437*9),IF((SUM(B422:F431))&gt;(L437*10),(((L437*10)-(SUM(B422:F431)-C430))*K421)+((SUM(B431:F431)-C430)*K421),SUM(B431:F431)*K421),IF(SUM(B422:F431)&gt;(L437*10),L437*K421,SUM(B431:F431)*K421)),2)</f>
        <v>0</v>
      </c>
      <c r="L431" s="76">
        <f>ROUND(IF(SUM(B422:F430)&lt;(L438*9),IF((SUM(B422:F431))&gt;(L438*10),(((L438*10)-(SUM(B422:F431)-C431))*L421)+((SUM(B431:F431)-C431)*L421),(SUM(B431:F431)-C431)*L421),IF(SUM(B422:F431)&gt;(L438*10),L438*L421,SUM(B431:F431)*L421)),2)</f>
        <v>0</v>
      </c>
      <c r="M431" s="76">
        <f>ROUND(IF(SUM(B422:F430)&lt;(L438*9),IF((SUM(B422:F431))&gt;(L438*10),(((L438*10)-(SUM(B422:F431)-C431))*M421)+((SUM(B431:F431)-C431)*M421),(SUM(B431:F431)-C431)*M421),IF(SUM(B422:F431)&gt;(L438*10),L438*M421,SUM(B431:F431)*M421)),2)</f>
        <v>0</v>
      </c>
      <c r="N431" s="76">
        <f>ROUND(IF(SUM(B422:F430)&lt;(L438*9),IF((SUM(B422:F431))&gt;(L438*10),(((L438*10)-(SUM(B422:F431)-C430))*N421)+((SUM(B431:F431)-C430)*N421),SUM(B431:F431)*N421),IF(SUM(B422:F431)&gt;(L438*10),L438*N421,SUM(B431:F431)*N421)),2)</f>
        <v>0</v>
      </c>
      <c r="O431" s="23">
        <f>ROUND(SUM(B431+C431+F431)*O421,2)</f>
        <v>0</v>
      </c>
      <c r="P431" s="27">
        <f t="shared" si="48"/>
        <v>0</v>
      </c>
    </row>
    <row r="432" spans="1:16" s="1" customFormat="1" x14ac:dyDescent="0.2">
      <c r="A432" s="100" t="str">
        <f>$A$36</f>
        <v>Nov 2022</v>
      </c>
      <c r="B432" s="24">
        <f>ROUND(IF(P406=0,0,IFERROR(((LOOKUP(2,1/(A410:A413=A432),G410:G413))*P406*4.348),B431/P406*P406)),2)</f>
        <v>0</v>
      </c>
      <c r="C432" s="23">
        <f>ROUND(IFERROR(((LOOKUP(2,1/(B415=A432),((SUM(B428:B430)+SUM(F428:F430))/3)*C415))),0)+IFERROR(((LOOKUP(2,1/(E415=A432),(B434+F434)*F415))),0),2)</f>
        <v>0</v>
      </c>
      <c r="D432" s="23">
        <f>ROUND(IF(B432=0,0,D421/L403*P406),2)</f>
        <v>0</v>
      </c>
      <c r="E432" s="23">
        <f>ROUND(IF(B432=0,0,E421/N399*P406),2)</f>
        <v>0</v>
      </c>
      <c r="F432" s="24">
        <f>ROUND(IF(P406=0,0,IFERROR(((LOOKUP(2,1/(A410:A413=A432),H410:H413))/N399*P406),F431/P406*P406)),2)</f>
        <v>0</v>
      </c>
      <c r="G432" s="27">
        <f t="shared" si="47"/>
        <v>0</v>
      </c>
      <c r="H432" s="76">
        <f>ROUND(IF(SUM(B422:F431)&lt;(L437*10),IF((SUM(B422:F432))&gt;(L437*11),(((L437*11)-(SUM(B422:F432)-C431))*H421)+((SUM(B432:F432)-C431)*H421),SUM(B432:F432)*H421),IF(SUM(B422:F432)&gt;(L437*11),L437*H421,SUM(B432:F432)*H421)),2)</f>
        <v>0</v>
      </c>
      <c r="I432" s="76">
        <f>ROUND(IF(SUM(B422:F431)&lt;(L438*10),IF((SUM(B422:F432))&gt;(L438*11),(((L438*11)-(SUM(B422:F432)-C431))*I421)+((SUM(B432:F432)-C431)*I421),SUM(B432:F432)*I421),IF(SUM(B422:F432)&gt;(L438*11),L438*I421,SUM(B432:F432)*I421)),2)</f>
        <v>0</v>
      </c>
      <c r="J432" s="76">
        <f>ROUND(IF(SUM(B422:F431)&lt;(L438*10),IF((SUM(B422:F432))&gt;(L438*11),(((L438*11)-(SUM(B422:F432)-C431))*J421)+((SUM(B432:F432)-C431)*J421),SUM(B432:F432)*J421),IF(SUM(B422:F432)&gt;(L438*11),L438*J421,SUM(B432:F432)*J421)),2)</f>
        <v>0</v>
      </c>
      <c r="K432" s="76">
        <f>ROUND(IF(SUM(B422:F431)&lt;(L437*10),IF((SUM(B422:F432))&gt;(L437*11),(((L437*11)-(SUM(B422:F432)-C431))*K421)+((SUM(B432:F432)-C431)*K421),SUM(B432:F432)*K421),IF(SUM(B422:F432)&gt;(L437*11),L437*K421,SUM(B432:F432)*K421)),2)</f>
        <v>0</v>
      </c>
      <c r="L432" s="76">
        <f>ROUND(IF(SUM(B422:F431)&lt;(L438*10),IF((SUM(B422:F432))&gt;(L438*11),(((L438*11)-(SUM(B422:F432)-C432))*L421)+((SUM(B432:F432)-C432)*L421),(SUM(B432:F432)-C432)*L421),IF(SUM(B422:F432)&gt;(L438*11),L438*L421,SUM(B432:F432)*L421)),2)</f>
        <v>0</v>
      </c>
      <c r="M432" s="76">
        <f>ROUND(IF(SUM(B422:F431)&lt;(L438*10),IF((SUM(B422:F432))&gt;(L438*11),(((L438*11)-(SUM(B422:F432)-C432))*M421)+((SUM(B432:F432)-C432)*M421),(SUM(B432:F432)-C432)*M421),IF(SUM(B422:F432)&gt;(L438*11),L438*M421,SUM(B432:F432)*M421)),2)</f>
        <v>0</v>
      </c>
      <c r="N432" s="76">
        <f>ROUND(IF(SUM(B422:F431)&lt;(L438*10),IF((SUM(B422:F432))&gt;(L438*11),(((L438*11)-(SUM(B422:F432)-C431))*N421)+((SUM(B432:F432)-C431)*N421),SUM(B432:F432)*N421),IF(SUM(B422:F432)&gt;(L438*11),L438*N421,SUM(B432:F432)*N421)),2)</f>
        <v>0</v>
      </c>
      <c r="O432" s="23">
        <f>ROUND(SUM(B432+C432+F432)*O421,2)</f>
        <v>0</v>
      </c>
      <c r="P432" s="27">
        <f t="shared" si="48"/>
        <v>0</v>
      </c>
    </row>
    <row r="433" spans="1:16" s="1" customFormat="1" x14ac:dyDescent="0.2">
      <c r="A433" s="100" t="str">
        <f>$A$37</f>
        <v>Dez 2022</v>
      </c>
      <c r="B433" s="24">
        <f>ROUND(IF(P407=0,0,IFERROR(((LOOKUP(2,1/(A410:A413=A433),G410:G413))*P407*4.348),B432/P407*P407)),2)</f>
        <v>0</v>
      </c>
      <c r="C433" s="23">
        <f>ROUND(IFERROR(((LOOKUP(2,1/(B415=A433),((SUM(B428:B430)+SUM(F428:F430))/3)*C415))),0)+IFERROR(((LOOKUP(2,1/(E415=A433),(B434+F434)*F415))),0),2)</f>
        <v>0</v>
      </c>
      <c r="D433" s="23">
        <f>ROUND(IF(B433=0,0,D421/L403*P407),2)</f>
        <v>0</v>
      </c>
      <c r="E433" s="23">
        <f>ROUND(IF(B433=0,0,E421/N399*P407),2)</f>
        <v>0</v>
      </c>
      <c r="F433" s="24">
        <f>ROUND(IF(P407=0,0,IFERROR(((LOOKUP(2,1/(A410:A413=A433),H410:H413))/N399*P407),F432/P407*P407)),2)</f>
        <v>0</v>
      </c>
      <c r="G433" s="27">
        <f t="shared" si="47"/>
        <v>0</v>
      </c>
      <c r="H433" s="76">
        <f>ROUND(IF(SUM(B422:F432)&lt;(L437*11),IF((SUM(B422:F433))&gt;(L437*12),(((L437*12)-(SUM(B422:F433)-C432))*H421)+((SUM(B433:F433)-C432)*H421),SUM(B433:F433)*H421),IF(SUM(B422:F433)&gt;(L437*12),L437*H421,SUM(B433:F433)*H421)),2)</f>
        <v>0</v>
      </c>
      <c r="I433" s="76">
        <f>ROUND(IF(SUM(B422:F432)&lt;(L438*11),IF((SUM(B422:F433))&gt;(L438*12),(((L438*12)-(SUM(B422:F433)-C432))*I421)+((SUM(B433:F433)-C432)*I421),SUM(B433:F433)*I421),IF(SUM(B422:F433)&gt;(L438*12),L438*I421,SUM(B433:F433)*I421)),2)</f>
        <v>0</v>
      </c>
      <c r="J433" s="76">
        <f>ROUND(IF(SUM(B422:F432)&lt;(L438*11),IF((SUM(B422:F433))&gt;(L438*12),(((L438*12)-(SUM(B422:F433)-C432))*J421)+((SUM(B433:F433)-C432)*J421),SUM(B433:F433)*J421),IF(SUM(B422:F433)&gt;(L438*12),L438*J421,SUM(B433:F433)*J421)),2)</f>
        <v>0</v>
      </c>
      <c r="K433" s="76">
        <f>ROUND(IF(SUM(B422:F432)&lt;(L437*11),IF((SUM(B422:F433))&gt;(L437*12),(((L437*12)-(SUM(B422:F433)-C432))*K421)+((SUM(B433:F433)-C432)*K421),SUM(B433:F433)*K421),IF(SUM(B422:F433)&gt;(L437*12),L437*K421,SUM(B433:F433)*K421)),2)</f>
        <v>0</v>
      </c>
      <c r="L433" s="76">
        <f>ROUND(IF(SUM(B422:F432)&lt;(L438*11),IF((SUM(B422:F433))&gt;(L438*12),(((L438*12)-(SUM(B422:F433)-C433))*L421)+((SUM(B433:F433)-C433)*L421),(SUM(B433:F433)-C433)*L421),IF(SUM(B422:F433)&gt;(L438*12),L438*L421,SUM(B433:F433)*L421)),2)</f>
        <v>0</v>
      </c>
      <c r="M433" s="76">
        <f>ROUND(IF(SUM(B422:F432)&lt;(L438*11),IF((SUM(B422:F433))&gt;(L438*12),(((L438*12)-(SUM(B422:F433)-C433))*M421)+((SUM(B433:F433)-C433)*M421),(SUM(B433:F433)-C433)*M421),IF(SUM(B422:F433)&gt;(L438*12),L438*M421,SUM(B433:F433)*M421)),2)</f>
        <v>0</v>
      </c>
      <c r="N433" s="76">
        <f>ROUND(IF(SUM(B422:F432)&lt;(L438*11),IF((SUM(B422:F433))&gt;(L438*12),(((L438*12)-(SUM(B422:F433)-C432))*N421)+((SUM(B433:F433)-C432)*N421),SUM(B433:F433)*N421),IF(SUM(B422:F433)&gt;(L438*12),L438*N421,SUM(B433:F433)*N421)),2)</f>
        <v>0</v>
      </c>
      <c r="O433" s="23">
        <f>ROUND(SUM(B433+C433+F433)*O421,2)</f>
        <v>0</v>
      </c>
      <c r="P433" s="27">
        <f t="shared" si="48"/>
        <v>0</v>
      </c>
    </row>
    <row r="434" spans="1:16" s="14" customFormat="1" ht="15" x14ac:dyDescent="0.25">
      <c r="A434" s="4" t="s">
        <v>2</v>
      </c>
      <c r="B434" s="27">
        <f>SUM(B422:B433)</f>
        <v>0</v>
      </c>
      <c r="C434" s="27">
        <f t="shared" ref="C434:D434" si="49">SUM(C422:C433)</f>
        <v>0</v>
      </c>
      <c r="D434" s="27">
        <f t="shared" si="49"/>
        <v>0</v>
      </c>
      <c r="E434" s="27">
        <f>SUM(E422:E433)</f>
        <v>0</v>
      </c>
      <c r="F434" s="27">
        <f>SUM(F422:F433)</f>
        <v>0</v>
      </c>
      <c r="G434" s="27">
        <f>SUM(G422:G433)</f>
        <v>0</v>
      </c>
      <c r="H434" s="1133">
        <f>SUM(H422:N433)</f>
        <v>0</v>
      </c>
      <c r="I434" s="1134"/>
      <c r="J434" s="1134"/>
      <c r="K434" s="1134"/>
      <c r="L434" s="1134"/>
      <c r="M434" s="1134"/>
      <c r="N434" s="1135"/>
      <c r="O434" s="27">
        <f>SUM(O422:O433)</f>
        <v>0</v>
      </c>
      <c r="P434" s="27">
        <f>SUM(P422:P433)</f>
        <v>0</v>
      </c>
    </row>
    <row r="435" spans="1:16" s="13" customFormat="1" ht="11.25" x14ac:dyDescent="0.2">
      <c r="A435" s="3" t="s">
        <v>1</v>
      </c>
      <c r="B435" s="2"/>
      <c r="C435" s="2"/>
      <c r="D435" s="2"/>
      <c r="E435" s="2"/>
      <c r="F435" s="2"/>
      <c r="G435" s="2"/>
      <c r="H435" s="2"/>
      <c r="I435" s="2"/>
      <c r="J435" s="2"/>
      <c r="K435" s="2"/>
      <c r="L435" s="2"/>
      <c r="M435" s="2"/>
      <c r="N435" s="2"/>
      <c r="O435" s="2"/>
      <c r="P435" s="2"/>
    </row>
    <row r="436" spans="1:16" s="1" customFormat="1" ht="14.25" customHeight="1" x14ac:dyDescent="0.2">
      <c r="A436" s="1136" t="s">
        <v>133</v>
      </c>
      <c r="B436" s="1137"/>
      <c r="C436" s="1137"/>
      <c r="D436" s="1137" t="s">
        <v>134</v>
      </c>
      <c r="E436" s="1137"/>
      <c r="F436" s="94" t="str">
        <f>IF(IF(G434=0,"",'päd.Personal - Leitung'!$F$40)=0,"",IF(G434=0,"",'päd.Personal - Leitung'!$F$40))</f>
        <v/>
      </c>
      <c r="G436" s="77" t="s">
        <v>135</v>
      </c>
      <c r="H436" s="96" t="str">
        <f>IF(IF(G434=0,"",'päd.Personal - Leitung'!$H$40)=0,"",IF(G434=0,"",'päd.Personal - Leitung'!$H$40))</f>
        <v/>
      </c>
      <c r="I436" s="73"/>
      <c r="J436" s="194" t="s">
        <v>160</v>
      </c>
      <c r="K436" s="194" t="str">
        <f>$K$40</f>
        <v>2021</v>
      </c>
      <c r="L436" s="194" t="str">
        <f>$L$40</f>
        <v>anteilig 2021</v>
      </c>
      <c r="M436" s="1138" t="s">
        <v>140</v>
      </c>
      <c r="N436" s="1138"/>
      <c r="O436" s="1139"/>
      <c r="P436" s="27">
        <f>ROUND(IF(F436="",IF(E440="",0,(E440*H440/K440)/L403*L404),G434*F436*H436/1000),2)</f>
        <v>0</v>
      </c>
    </row>
    <row r="437" spans="1:16" s="1" customFormat="1" ht="15" customHeight="1" x14ac:dyDescent="0.2">
      <c r="A437" s="1140" t="s">
        <v>145</v>
      </c>
      <c r="B437" s="1141"/>
      <c r="C437" s="1141"/>
      <c r="D437" s="18"/>
      <c r="E437" s="107" t="s">
        <v>135</v>
      </c>
      <c r="F437" s="95" t="str">
        <f>IF(IF(G434=0,"",'päd.Personal - Leitung'!$F$41)=0,"",IF(G434=0,"",'päd.Personal - Leitung'!$F$41))</f>
        <v/>
      </c>
      <c r="G437" s="48"/>
      <c r="H437" s="47"/>
      <c r="I437" s="48"/>
      <c r="J437" s="195" t="s">
        <v>158</v>
      </c>
      <c r="K437" s="198">
        <f>$K$41</f>
        <v>4837.5</v>
      </c>
      <c r="L437" s="197">
        <f>IF(L403="",K437,K437/L403*L404)</f>
        <v>4837.5</v>
      </c>
      <c r="M437" s="1138" t="s">
        <v>139</v>
      </c>
      <c r="N437" s="1138"/>
      <c r="O437" s="1139"/>
      <c r="P437" s="27">
        <f>ROUND(IF(F437="",0,G434*F437/1000),2)</f>
        <v>0</v>
      </c>
    </row>
    <row r="438" spans="1:16" s="1" customFormat="1" ht="15.75" customHeight="1" x14ac:dyDescent="0.2">
      <c r="A438" s="1142" t="s">
        <v>141</v>
      </c>
      <c r="B438" s="1143"/>
      <c r="C438" s="1143"/>
      <c r="D438" s="1144" t="s">
        <v>143</v>
      </c>
      <c r="E438" s="1144"/>
      <c r="F438" s="1145" t="str">
        <f>IF(IF(G434=0,"",'päd.Personal - Leitung'!$F$42)=0,"",IF(G434=0,"",'päd.Personal - Leitung'!$F$42))</f>
        <v/>
      </c>
      <c r="G438" s="1145"/>
      <c r="H438" s="72"/>
      <c r="I438" s="18"/>
      <c r="J438" s="195" t="s">
        <v>159</v>
      </c>
      <c r="K438" s="197">
        <f>$K$42</f>
        <v>6700</v>
      </c>
      <c r="L438" s="197">
        <f>IF(L403="",K438,K438/L403*L404)</f>
        <v>6700</v>
      </c>
      <c r="M438" s="1138" t="s">
        <v>141</v>
      </c>
      <c r="N438" s="1138"/>
      <c r="O438" s="1139"/>
      <c r="P438" s="23">
        <f>ROUND(IF(F438="",0,IF(G434=0,0,F438/L403*L404)),2)</f>
        <v>0</v>
      </c>
    </row>
    <row r="439" spans="1:16" s="1" customFormat="1" ht="14.25" customHeight="1" x14ac:dyDescent="0.2">
      <c r="A439" s="18"/>
      <c r="B439" s="18"/>
      <c r="C439" s="18"/>
      <c r="D439" s="18"/>
      <c r="E439" s="18"/>
      <c r="F439" s="18"/>
      <c r="G439" s="18"/>
      <c r="H439" s="18"/>
      <c r="I439" s="18"/>
      <c r="J439" s="18"/>
      <c r="K439" s="74"/>
      <c r="L439" s="82"/>
      <c r="M439" s="1127" t="s">
        <v>146</v>
      </c>
      <c r="N439" s="1127"/>
      <c r="O439" s="1128"/>
      <c r="P439" s="23">
        <f>ROUND(IF(G434=0,0,$P$87),2)</f>
        <v>0</v>
      </c>
    </row>
    <row r="440" spans="1:16" s="1" customFormat="1" ht="14.25" customHeight="1" x14ac:dyDescent="0.2">
      <c r="A440" s="1129" t="s">
        <v>142</v>
      </c>
      <c r="B440" s="1130"/>
      <c r="C440" s="126" t="s">
        <v>136</v>
      </c>
      <c r="D440" s="179" t="s">
        <v>137</v>
      </c>
      <c r="E440" s="1131" t="str">
        <f>IF(IF(G434=0,"",'päd.Personal - Leitung'!$E$44)=0,"",IF(G434=0,"",'päd.Personal - Leitung'!$E$44))</f>
        <v/>
      </c>
      <c r="F440" s="1131"/>
      <c r="G440" s="83" t="s">
        <v>138</v>
      </c>
      <c r="H440" s="97" t="str">
        <f>IF(IF(G434=0,"",'päd.Personal - Leitung'!$H$44)=0,"",IF(G434=0,"",'päd.Personal - Leitung'!$H$44))</f>
        <v/>
      </c>
      <c r="I440" s="1132" t="s">
        <v>144</v>
      </c>
      <c r="J440" s="1132"/>
      <c r="K440" s="98" t="str">
        <f>IF(IF(G434=0,"",'päd.Personal - Leitung'!$K$44)=0,"",IF(G434=0,"",'päd.Personal - Leitung'!$K$44))</f>
        <v/>
      </c>
      <c r="L440" s="29"/>
      <c r="M440" s="29"/>
      <c r="N440" s="29"/>
      <c r="O440" s="28" t="s">
        <v>0</v>
      </c>
      <c r="P440" s="27">
        <f>P434+SUM(P436:P439)</f>
        <v>0</v>
      </c>
    </row>
    <row r="441" spans="1:16" s="12" customFormat="1" ht="13.5" customHeight="1" x14ac:dyDescent="0.2">
      <c r="A441" s="1178" t="s">
        <v>18</v>
      </c>
      <c r="B441" s="1178"/>
      <c r="C441" s="1178"/>
      <c r="D441" s="1179" t="str">
        <f>IF($D$1="","",$D$1)</f>
        <v/>
      </c>
      <c r="E441" s="1179"/>
      <c r="F441" s="1179"/>
      <c r="G441" s="1179"/>
      <c r="H441" s="1179"/>
      <c r="I441" s="1179"/>
      <c r="J441" s="1179"/>
      <c r="K441" s="1179"/>
      <c r="L441" s="1179"/>
      <c r="M441" s="1179"/>
      <c r="N441" s="1179"/>
    </row>
    <row r="442" spans="1:16" s="12" customFormat="1" ht="15" customHeight="1" x14ac:dyDescent="0.2">
      <c r="A442" s="1178" t="s">
        <v>17</v>
      </c>
      <c r="B442" s="1178"/>
      <c r="C442" s="1178" t="s">
        <v>15</v>
      </c>
      <c r="D442" s="1179" t="str">
        <f>IF($D$2="","",$D$2)</f>
        <v/>
      </c>
      <c r="E442" s="1179"/>
      <c r="F442" s="1179"/>
      <c r="G442" s="1179"/>
      <c r="H442" s="1179"/>
      <c r="I442" s="1179"/>
      <c r="J442" s="1179"/>
      <c r="K442" s="1179"/>
      <c r="L442" s="1179"/>
      <c r="M442" s="1179"/>
      <c r="N442" s="1179"/>
    </row>
    <row r="443" spans="1:16" s="12" customFormat="1" ht="15" customHeight="1" x14ac:dyDescent="0.2">
      <c r="A443" s="1178" t="s">
        <v>16</v>
      </c>
      <c r="B443" s="1178"/>
      <c r="C443" s="1178" t="s">
        <v>15</v>
      </c>
      <c r="D443" s="1179" t="str">
        <f>IF($D$3="","",$D$3)</f>
        <v/>
      </c>
      <c r="E443" s="1179"/>
      <c r="F443" s="1179"/>
      <c r="G443" s="1179"/>
      <c r="H443" s="1179"/>
      <c r="I443" s="1179"/>
      <c r="J443" s="1179"/>
      <c r="K443" s="1178" t="s">
        <v>103</v>
      </c>
      <c r="L443" s="1178"/>
      <c r="M443" s="1178"/>
      <c r="N443" s="41" t="str">
        <f>IF($N$3="","",$N$3)</f>
        <v/>
      </c>
    </row>
    <row r="444" spans="1:16" s="13" customFormat="1" ht="11.25" x14ac:dyDescent="0.2">
      <c r="A444" s="1182"/>
      <c r="B444" s="1182"/>
      <c r="C444" s="1182"/>
      <c r="D444" s="1183"/>
      <c r="E444" s="1183"/>
      <c r="F444" s="1183"/>
      <c r="G444" s="1183"/>
      <c r="H444" s="1183"/>
      <c r="I444" s="1183"/>
      <c r="J444" s="1183"/>
      <c r="K444" s="11"/>
      <c r="L444" s="11"/>
      <c r="M444" s="11"/>
      <c r="N444" s="11"/>
      <c r="O444" s="11"/>
      <c r="P444" s="11"/>
    </row>
    <row r="445" spans="1:16" s="15" customFormat="1" ht="13.5" customHeight="1" x14ac:dyDescent="0.2">
      <c r="A445" s="1177" t="s">
        <v>166</v>
      </c>
      <c r="B445" s="1177"/>
      <c r="C445" s="1177"/>
      <c r="D445" s="1177"/>
      <c r="E445" s="1177"/>
      <c r="F445" s="1177"/>
      <c r="G445" s="1177"/>
      <c r="H445" s="1177"/>
      <c r="I445" s="1177"/>
      <c r="J445" s="1177"/>
      <c r="K445" s="9"/>
      <c r="L445" s="9"/>
      <c r="M445" s="9"/>
      <c r="N445" s="59" t="s">
        <v>154</v>
      </c>
      <c r="O445" s="191">
        <f>$O$5</f>
        <v>2022</v>
      </c>
      <c r="P445" s="59" t="s">
        <v>154</v>
      </c>
    </row>
    <row r="446" spans="1:16" s="10" customFormat="1" ht="13.5" customHeight="1" x14ac:dyDescent="0.25">
      <c r="B446" s="32"/>
      <c r="C446" s="32"/>
      <c r="D446" s="5" t="s">
        <v>47</v>
      </c>
      <c r="E446" s="31"/>
      <c r="F446" s="31"/>
      <c r="G446" s="31"/>
      <c r="H446" s="31"/>
      <c r="I446" s="26"/>
      <c r="J446" s="1174" t="s">
        <v>14</v>
      </c>
      <c r="K446" s="1174"/>
      <c r="L446" s="180"/>
      <c r="N446" s="84">
        <f>IF(L448="","",L448)</f>
        <v>0</v>
      </c>
      <c r="O446" s="58" t="str">
        <f>$O$6</f>
        <v>Jan                Jul</v>
      </c>
      <c r="P446" s="85">
        <f>IF(N451="","",N451)</f>
        <v>0</v>
      </c>
    </row>
    <row r="447" spans="1:16" s="7" customFormat="1" ht="13.5" customHeight="1" x14ac:dyDescent="0.25">
      <c r="A447" s="1180" t="s">
        <v>71</v>
      </c>
      <c r="B447" s="1180"/>
      <c r="C447" s="1180"/>
      <c r="D447" s="1184"/>
      <c r="E447" s="1184"/>
      <c r="F447" s="1184"/>
      <c r="G447" s="1184"/>
      <c r="H447" s="1184"/>
      <c r="I447" s="1184"/>
      <c r="J447" s="1174" t="s">
        <v>104</v>
      </c>
      <c r="K447" s="1174"/>
      <c r="L447" s="145"/>
      <c r="N447" s="85">
        <f>IF(N446="","",N446)</f>
        <v>0</v>
      </c>
      <c r="O447" s="58" t="str">
        <f>$O$7</f>
        <v>Feb              Aug</v>
      </c>
      <c r="P447" s="85">
        <f>IF(P446="","",P446)</f>
        <v>0</v>
      </c>
    </row>
    <row r="448" spans="1:16" s="1" customFormat="1" ht="13.5" customHeight="1" x14ac:dyDescent="0.2">
      <c r="A448" s="1180" t="s">
        <v>13</v>
      </c>
      <c r="B448" s="1180"/>
      <c r="C448" s="1180"/>
      <c r="D448" s="1181"/>
      <c r="E448" s="1181"/>
      <c r="F448" s="1181"/>
      <c r="G448" s="1181"/>
      <c r="H448" s="1181"/>
      <c r="I448" s="1181"/>
      <c r="J448" s="1174" t="s">
        <v>164</v>
      </c>
      <c r="K448" s="1174"/>
      <c r="L448" s="145">
        <f>IF((L449+L450)&gt;L447,0,L447-L449-L450)</f>
        <v>0</v>
      </c>
      <c r="N448" s="85">
        <f>IF(N447="","",N447)</f>
        <v>0</v>
      </c>
      <c r="O448" s="58" t="str">
        <f>$O$8</f>
        <v>Mrz              Sep</v>
      </c>
      <c r="P448" s="85">
        <f>IF(P447="","",P447)</f>
        <v>0</v>
      </c>
    </row>
    <row r="449" spans="1:16" s="1" customFormat="1" ht="13.5" customHeight="1" x14ac:dyDescent="0.2">
      <c r="A449" s="1180" t="s">
        <v>12</v>
      </c>
      <c r="B449" s="1180"/>
      <c r="C449" s="1180"/>
      <c r="D449" s="1181"/>
      <c r="E449" s="1181"/>
      <c r="F449" s="1181"/>
      <c r="G449" s="1181"/>
      <c r="H449" s="1181"/>
      <c r="I449" s="1181"/>
      <c r="J449" s="1174" t="s">
        <v>165</v>
      </c>
      <c r="K449" s="1174"/>
      <c r="L449" s="145"/>
      <c r="N449" s="85">
        <f>IF(N448="","",N448)</f>
        <v>0</v>
      </c>
      <c r="O449" s="58" t="str">
        <f>$O$9</f>
        <v>Apr               Okt</v>
      </c>
      <c r="P449" s="85">
        <f t="shared" ref="P449:P451" si="50">IF(P448="","",P448)</f>
        <v>0</v>
      </c>
    </row>
    <row r="450" spans="1:16" s="1" customFormat="1" ht="13.5" customHeight="1" x14ac:dyDescent="0.2">
      <c r="A450" s="1180" t="s">
        <v>19</v>
      </c>
      <c r="B450" s="1180"/>
      <c r="C450" s="1180"/>
      <c r="D450" s="1181"/>
      <c r="E450" s="1181"/>
      <c r="F450" s="1181"/>
      <c r="G450" s="1181"/>
      <c r="H450" s="1181"/>
      <c r="I450" s="1181"/>
      <c r="J450" s="1174" t="s">
        <v>252</v>
      </c>
      <c r="K450" s="1174"/>
      <c r="L450" s="145"/>
      <c r="M450" s="92"/>
      <c r="N450" s="85">
        <f>IF(N449="","",N449)</f>
        <v>0</v>
      </c>
      <c r="O450" s="58" t="str">
        <f>$O$10</f>
        <v>Mai               Nov</v>
      </c>
      <c r="P450" s="85">
        <f t="shared" si="50"/>
        <v>0</v>
      </c>
    </row>
    <row r="451" spans="1:16" s="1" customFormat="1" ht="13.5" customHeight="1" x14ac:dyDescent="0.2">
      <c r="B451" s="8"/>
      <c r="C451" s="121" t="s">
        <v>162</v>
      </c>
      <c r="D451" s="1175"/>
      <c r="E451" s="1175"/>
      <c r="F451" s="1176" t="s">
        <v>106</v>
      </c>
      <c r="G451" s="1176"/>
      <c r="H451" s="1186"/>
      <c r="I451" s="1186"/>
      <c r="J451" s="1174" t="s">
        <v>97</v>
      </c>
      <c r="K451" s="1174"/>
      <c r="L451" s="17" t="str">
        <f>IF(IF((COUNTIF(B466:B477,"&gt;0"))=0,0,(COUNTIF(B466:B477,"&gt;0")))&gt;Grundlagen!$C$24,Grundlagen!$C$24,IF((COUNTIF(B466:B477,"&gt;0"))=0,"",(COUNTIF(B466:B477,"&gt;0"))))</f>
        <v/>
      </c>
      <c r="N451" s="85">
        <f>IF(N450="","",N450)</f>
        <v>0</v>
      </c>
      <c r="O451" s="58" t="str">
        <f>'päd.Personal - Leitung'!$O$11</f>
        <v>Jun               Dez</v>
      </c>
      <c r="P451" s="85">
        <f t="shared" si="50"/>
        <v>0</v>
      </c>
    </row>
    <row r="452" spans="1:16" s="1" customFormat="1" ht="13.5" customHeight="1" x14ac:dyDescent="0.2">
      <c r="I452" s="6"/>
      <c r="L452" s="147" t="str">
        <f>IF((SUM(F454:F457))=0,"",IF(P452&gt;L448,L448,IF(L448="","",IF(L451="","",P452))))</f>
        <v/>
      </c>
      <c r="O452" s="174" t="s">
        <v>251</v>
      </c>
      <c r="P452" s="175">
        <f>IF(L451="",0,((IF(SUMIF(B466,"&gt;0"),N446,0))+(IF(SUMIF(B467,"&gt;0"),N447,0))+(IF(SUMIF(B468,"&gt;0"),N448,0))+(IF(SUMIF(B469,"&gt;0"),N449,0))+(IF(SUMIF(B470,"&gt;0"),N450,0))+(IF(SUMIF(B471,"&gt;0"),N451,0))+(IF(SUMIF(B472,"&gt;0"),P446,0))+(IF(SUMIF(B473,"&gt;0"),P447,0))+(IF(SUMIF(B474,"&gt;0"),P448,0))+(IF(SUMIF(B475,"&gt;0"),P449,0))+(IF(SUMIF(B476,"&gt;0"),P450,0))+(IF(SUMIF(B477,"&gt;0"),P451,0)))/Grundlagen!$C$24)</f>
        <v>0</v>
      </c>
    </row>
    <row r="453" spans="1:16" s="52" customFormat="1" ht="13.5" customHeight="1" x14ac:dyDescent="0.2">
      <c r="A453" s="61" t="s">
        <v>148</v>
      </c>
      <c r="B453" s="1168" t="s">
        <v>149</v>
      </c>
      <c r="C453" s="1168"/>
      <c r="D453" s="62" t="s">
        <v>150</v>
      </c>
      <c r="E453" s="63" t="s">
        <v>151</v>
      </c>
      <c r="F453" s="64" t="str">
        <f>CONCATENATE("Entg. ",N443," h/Wo")</f>
        <v>Entg.  h/Wo</v>
      </c>
      <c r="G453" s="65" t="s">
        <v>152</v>
      </c>
      <c r="H453" s="65" t="s">
        <v>153</v>
      </c>
      <c r="K453" s="1169" t="str">
        <f>CONCATENATE("Zuschläge / Zulagen für ",N443,"h/Wo")</f>
        <v>Zuschläge / Zulagen für h/Wo</v>
      </c>
      <c r="L453" s="1169"/>
      <c r="M453" s="66" t="str">
        <f>IF(A454="","",A454)</f>
        <v>Jan 2022</v>
      </c>
      <c r="N453" s="66" t="str">
        <f>IF(A455="","",A455)</f>
        <v/>
      </c>
      <c r="O453" s="66" t="str">
        <f>IF(A456="","",A456)</f>
        <v/>
      </c>
      <c r="P453" s="66" t="str">
        <f>IF(A457="","",A457)</f>
        <v/>
      </c>
    </row>
    <row r="454" spans="1:16" s="52" customFormat="1" ht="13.5" customHeight="1" x14ac:dyDescent="0.25">
      <c r="A454" s="54" t="str">
        <f>A466</f>
        <v>Jan 2022</v>
      </c>
      <c r="B454" s="1170" t="str">
        <f>IF($D$3="","",$D$3)</f>
        <v/>
      </c>
      <c r="C454" s="1171"/>
      <c r="D454" s="181"/>
      <c r="E454" s="181"/>
      <c r="F454" s="87"/>
      <c r="G454" s="56">
        <f>IF(N443="",0,F454/N443/4.348)</f>
        <v>0</v>
      </c>
      <c r="H454" s="53">
        <f>IF(G454=0,0,M459)</f>
        <v>0</v>
      </c>
      <c r="K454" s="1146"/>
      <c r="L454" s="1146"/>
      <c r="M454" s="172"/>
      <c r="N454" s="172"/>
      <c r="O454" s="172"/>
      <c r="P454" s="172"/>
    </row>
    <row r="455" spans="1:16" s="52" customFormat="1" ht="13.5" customHeight="1" x14ac:dyDescent="0.25">
      <c r="A455" s="55"/>
      <c r="B455" s="1172" t="str">
        <f>IF(A455="","",B454)</f>
        <v/>
      </c>
      <c r="C455" s="1173"/>
      <c r="D455" s="181"/>
      <c r="E455" s="181"/>
      <c r="F455" s="87"/>
      <c r="G455" s="56">
        <f>IF(N443="",0,F455/N443/4.348)</f>
        <v>0</v>
      </c>
      <c r="H455" s="53">
        <f>IF(G455=0,0,N459)</f>
        <v>0</v>
      </c>
      <c r="K455" s="1146"/>
      <c r="L455" s="1146"/>
      <c r="M455" s="172"/>
      <c r="N455" s="172"/>
      <c r="O455" s="172"/>
      <c r="P455" s="172"/>
    </row>
    <row r="456" spans="1:16" s="52" customFormat="1" ht="13.5" customHeight="1" x14ac:dyDescent="0.25">
      <c r="A456" s="55"/>
      <c r="B456" s="1172" t="str">
        <f>IF(A456="","",B455)</f>
        <v/>
      </c>
      <c r="C456" s="1173"/>
      <c r="D456" s="181"/>
      <c r="E456" s="181"/>
      <c r="F456" s="87"/>
      <c r="G456" s="56">
        <f>IF(N443="",0,F456/N443/4.348)</f>
        <v>0</v>
      </c>
      <c r="H456" s="53">
        <f>IF(G456=0,0,O459)</f>
        <v>0</v>
      </c>
      <c r="K456" s="1146"/>
      <c r="L456" s="1146"/>
      <c r="M456" s="172"/>
      <c r="N456" s="172"/>
      <c r="O456" s="172"/>
      <c r="P456" s="172"/>
    </row>
    <row r="457" spans="1:16" s="52" customFormat="1" ht="13.5" customHeight="1" x14ac:dyDescent="0.25">
      <c r="A457" s="55"/>
      <c r="B457" s="1172" t="str">
        <f>IF(A457="","",B456)</f>
        <v/>
      </c>
      <c r="C457" s="1173"/>
      <c r="D457" s="181"/>
      <c r="E457" s="181"/>
      <c r="F457" s="87"/>
      <c r="G457" s="56">
        <f>IF(N443="",0,F457/N443/4.348)</f>
        <v>0</v>
      </c>
      <c r="H457" s="53">
        <f>IF(G457=0,0,P459)</f>
        <v>0</v>
      </c>
      <c r="K457" s="1146"/>
      <c r="L457" s="1146"/>
      <c r="M457" s="172"/>
      <c r="N457" s="172"/>
      <c r="O457" s="172"/>
      <c r="P457" s="172"/>
    </row>
    <row r="458" spans="1:16" s="52" customFormat="1" ht="13.5" customHeight="1" x14ac:dyDescent="0.25">
      <c r="B458" s="1167" t="s">
        <v>157</v>
      </c>
      <c r="C458" s="1167"/>
      <c r="E458" s="1167" t="s">
        <v>156</v>
      </c>
      <c r="F458" s="1167"/>
      <c r="J458" s="69"/>
      <c r="K458" s="1146"/>
      <c r="L458" s="1146"/>
      <c r="M458" s="172"/>
      <c r="N458" s="172"/>
      <c r="O458" s="172"/>
      <c r="P458" s="172"/>
    </row>
    <row r="459" spans="1:16" s="52" customFormat="1" ht="13.5" customHeight="1" x14ac:dyDescent="0.25">
      <c r="A459" s="70" t="s">
        <v>167</v>
      </c>
      <c r="B459" s="67"/>
      <c r="C459" s="99" t="str">
        <f>IF(C415="","",C415)</f>
        <v/>
      </c>
      <c r="D459" s="70" t="s">
        <v>167</v>
      </c>
      <c r="E459" s="67"/>
      <c r="F459" s="99" t="str">
        <f>IF(F415="","",F415)</f>
        <v/>
      </c>
      <c r="J459" s="68"/>
      <c r="M459" s="173">
        <f>SUM(M454:M458)</f>
        <v>0</v>
      </c>
      <c r="N459" s="173">
        <f t="shared" ref="N459:P459" si="51">SUM(N454:N458)</f>
        <v>0</v>
      </c>
      <c r="O459" s="173">
        <f t="shared" si="51"/>
        <v>0</v>
      </c>
      <c r="P459" s="173">
        <f t="shared" si="51"/>
        <v>0</v>
      </c>
    </row>
    <row r="460" spans="1:16" s="52" customFormat="1" ht="13.5" customHeight="1" x14ac:dyDescent="0.2">
      <c r="A460" s="60" t="s">
        <v>155</v>
      </c>
    </row>
    <row r="461" spans="1:16" s="1" customFormat="1" ht="14.25" customHeight="1" x14ac:dyDescent="0.2">
      <c r="A461" s="1147"/>
      <c r="B461" s="1149" t="s">
        <v>9</v>
      </c>
      <c r="C461" s="1150"/>
      <c r="D461" s="1150"/>
      <c r="E461" s="1150"/>
      <c r="F461" s="1150"/>
      <c r="G461" s="1151"/>
      <c r="H461" s="1152" t="s">
        <v>119</v>
      </c>
      <c r="I461" s="1153"/>
      <c r="J461" s="1153"/>
      <c r="K461" s="1153"/>
      <c r="L461" s="1153"/>
      <c r="M461" s="1153"/>
      <c r="N461" s="1153"/>
      <c r="O461" s="33"/>
      <c r="P461" s="1154" t="s">
        <v>0</v>
      </c>
    </row>
    <row r="462" spans="1:16" s="1" customFormat="1" ht="14.25" customHeight="1" x14ac:dyDescent="0.2">
      <c r="A462" s="1148"/>
      <c r="B462" s="1157" t="s">
        <v>117</v>
      </c>
      <c r="C462" s="124" t="s">
        <v>115</v>
      </c>
      <c r="D462" s="1159" t="s">
        <v>277</v>
      </c>
      <c r="E462" s="1161" t="s">
        <v>147</v>
      </c>
      <c r="F462" s="127" t="s">
        <v>7</v>
      </c>
      <c r="G462" s="1162" t="s">
        <v>6</v>
      </c>
      <c r="H462" s="1161" t="s">
        <v>129</v>
      </c>
      <c r="I462" s="1161" t="s">
        <v>5</v>
      </c>
      <c r="J462" s="1161" t="s">
        <v>4</v>
      </c>
      <c r="K462" s="1161" t="s">
        <v>3</v>
      </c>
      <c r="L462" s="1161" t="s">
        <v>121</v>
      </c>
      <c r="M462" s="1161" t="s">
        <v>122</v>
      </c>
      <c r="N462" s="1161" t="s">
        <v>123</v>
      </c>
      <c r="O462" s="1160" t="s">
        <v>114</v>
      </c>
      <c r="P462" s="1155"/>
    </row>
    <row r="463" spans="1:16" s="1" customFormat="1" ht="14.25" customHeight="1" x14ac:dyDescent="0.2">
      <c r="A463" s="1148"/>
      <c r="B463" s="1157"/>
      <c r="C463" s="21" t="str">
        <f>IF(C459="","",C459)</f>
        <v/>
      </c>
      <c r="D463" s="1160"/>
      <c r="E463" s="1161"/>
      <c r="F463" s="1165" t="str">
        <f>IF(H454=0,"","siehe Zuschläge / Zulagen")</f>
        <v/>
      </c>
      <c r="G463" s="1162"/>
      <c r="H463" s="1164" t="s">
        <v>127</v>
      </c>
      <c r="I463" s="1164"/>
      <c r="J463" s="1164"/>
      <c r="K463" s="1164"/>
      <c r="L463" s="1164"/>
      <c r="M463" s="1164"/>
      <c r="N463" s="1164"/>
      <c r="O463" s="1160"/>
      <c r="P463" s="1155"/>
    </row>
    <row r="464" spans="1:16" s="1" customFormat="1" x14ac:dyDescent="0.2">
      <c r="A464" s="1148"/>
      <c r="B464" s="1157"/>
      <c r="C464" s="122" t="s">
        <v>70</v>
      </c>
      <c r="D464" s="1160"/>
      <c r="E464" s="1161"/>
      <c r="F464" s="1165"/>
      <c r="G464" s="1162"/>
      <c r="H464" s="43" t="s">
        <v>128</v>
      </c>
      <c r="I464" s="43" t="s">
        <v>255</v>
      </c>
      <c r="J464" s="43" t="s">
        <v>256</v>
      </c>
      <c r="K464" s="43" t="s">
        <v>257</v>
      </c>
      <c r="L464" s="43"/>
      <c r="M464" s="43"/>
      <c r="N464" s="43" t="s">
        <v>254</v>
      </c>
      <c r="O464" s="1160"/>
      <c r="P464" s="1155"/>
    </row>
    <row r="465" spans="1:16" s="1" customFormat="1" x14ac:dyDescent="0.2">
      <c r="A465" s="1148"/>
      <c r="B465" s="1158"/>
      <c r="C465" s="21" t="str">
        <f>IF(F459="","",F459)</f>
        <v/>
      </c>
      <c r="D465" s="51"/>
      <c r="E465" s="51"/>
      <c r="F465" s="1166"/>
      <c r="G465" s="1163"/>
      <c r="H465" s="93"/>
      <c r="I465" s="139">
        <f>$I$69</f>
        <v>0</v>
      </c>
      <c r="J465" s="139">
        <f>$J$69</f>
        <v>0</v>
      </c>
      <c r="K465" s="44">
        <f>$K$69</f>
        <v>0</v>
      </c>
      <c r="L465" s="21"/>
      <c r="M465" s="21"/>
      <c r="N465" s="139">
        <f>$N$69</f>
        <v>0</v>
      </c>
      <c r="O465" s="21">
        <f>O421</f>
        <v>0</v>
      </c>
      <c r="P465" s="1156"/>
    </row>
    <row r="466" spans="1:16" s="1" customFormat="1" x14ac:dyDescent="0.2">
      <c r="A466" s="100" t="str">
        <f>$A$26</f>
        <v>Jan 2022</v>
      </c>
      <c r="B466" s="24">
        <f>ROUND(IF(N446=0,0,(LOOKUP(2,1/(A454:A457=A466),G454:G457))*N446*4.348),2)</f>
        <v>0</v>
      </c>
      <c r="C466" s="23">
        <f>ROUND(IFERROR(((LOOKUP(2,1/(B459=A466),((SUM(B472:B474)+SUM(F472:F474))/3)*C459))),0)+IFERROR(((LOOKUP(2,1/(E459=A466),(B478+F478)*F459))),0),2)</f>
        <v>0</v>
      </c>
      <c r="D466" s="23">
        <f>ROUND(IF(B466=0,0,D465/L447*N446),2)</f>
        <v>0</v>
      </c>
      <c r="E466" s="23">
        <f>ROUND(IF(B466=0,0,E465/N443*N446),2)</f>
        <v>0</v>
      </c>
      <c r="F466" s="24">
        <f>ROUND(IF(N446=0,0,(LOOKUP(2,1/(A454:A457=A466),H454:H457))/N443*N446),2)</f>
        <v>0</v>
      </c>
      <c r="G466" s="27">
        <f>SUM(B466+C466+E466+F466)</f>
        <v>0</v>
      </c>
      <c r="H466" s="76">
        <f>ROUND(IF((SUM(B466:F466))&gt;L481,L481*H465,SUM(B466:F466)*H465),2)</f>
        <v>0</v>
      </c>
      <c r="I466" s="76">
        <f>ROUND(IF((SUM(B466:F466))&gt;L482,L482*I465,SUM(B466:F466)*I465),2)</f>
        <v>0</v>
      </c>
      <c r="J466" s="76">
        <f>ROUND(IF((SUM(B466:F466))&gt;L482,L482*J465,SUM(B466:F466)*J465),2)</f>
        <v>0</v>
      </c>
      <c r="K466" s="76">
        <f>ROUND(IF((SUM(B466:F466))&gt;L481,L481*K465,SUM(B466:F466)*K465),2)</f>
        <v>0</v>
      </c>
      <c r="L466" s="76">
        <f>ROUND(IF((SUM(B466:F466))&gt;L482,L482*L465,(SUM(B466:F466)-C466)*L465),2)</f>
        <v>0</v>
      </c>
      <c r="M466" s="76">
        <f>ROUND(IF((SUM(B466:F466))&gt;L482,L482*M465,(SUM(B466:F466)-C466)*M465),2)</f>
        <v>0</v>
      </c>
      <c r="N466" s="76">
        <f>ROUND(IF((SUM(B466:F466))&gt;L482,L482*N465,SUM(B466:F466)*N465),2)</f>
        <v>0</v>
      </c>
      <c r="O466" s="23">
        <f>ROUND(SUM(B466+C466+F466)*O465,2)</f>
        <v>0</v>
      </c>
      <c r="P466" s="27">
        <f>SUM(G466:O466)</f>
        <v>0</v>
      </c>
    </row>
    <row r="467" spans="1:16" s="1" customFormat="1" x14ac:dyDescent="0.2">
      <c r="A467" s="100" t="str">
        <f>$A$27</f>
        <v>Feb 2022</v>
      </c>
      <c r="B467" s="24">
        <f>ROUND(IF(N447=0,0,IFERROR(((LOOKUP(2,1/(A454:A457=A467),G454:G457))*N447*4.348),B466/N447*N447)),2)</f>
        <v>0</v>
      </c>
      <c r="C467" s="23">
        <f>ROUND(IFERROR(((LOOKUP(2,1/(B459=A467),((SUM(B472:B474)+SUM(F472:F474))/3)*C459))),0)+IFERROR(((LOOKUP(2,1/(E459=A467),(B478+F478)*F459))),0),2)</f>
        <v>0</v>
      </c>
      <c r="D467" s="23">
        <f>ROUND(IF(B467=0,0,D465/L447*N447),2)</f>
        <v>0</v>
      </c>
      <c r="E467" s="23">
        <f>ROUND(IF(B467=0,0,E465/N443*N447),2)</f>
        <v>0</v>
      </c>
      <c r="F467" s="24">
        <f>ROUND(IF(N447=0,0,IFERROR(((LOOKUP(2,1/(A454:A457=A467),H454:H457))/N443*N447),F466/N447*N447)),2)</f>
        <v>0</v>
      </c>
      <c r="G467" s="27">
        <f t="shared" ref="G467:G477" si="52">SUM(B467+C467+E467+F467)</f>
        <v>0</v>
      </c>
      <c r="H467" s="76">
        <f>ROUND(IF(SUM(B466:F466)&lt;(L481*1),IF((SUM(B466:F467))&gt;(L481*2),(((L481*2)-(SUM(B466:F467)-C466))*H465)+((SUM(B467:F467)-C466)*H465),SUM(B467:F467)*H465),IF(SUM(B466:F467)&gt;(L481*2),L481*H465,SUM(B467:F467)*H465)),2)</f>
        <v>0</v>
      </c>
      <c r="I467" s="76">
        <f>ROUND(IF(SUM(B466:F466)&lt;(L482*1),IF((SUM(B466:F467))&gt;(L482*2),(((L482*2)-(SUM(B466:F467)-C466))*I465)+((SUM(B467:F467)-C466)*I465),SUM(B467:F467)*I465),IF(SUM(B466:F467)&gt;(L482*2),L482*I465,SUM(B467:F467)*I465)),2)</f>
        <v>0</v>
      </c>
      <c r="J467" s="76">
        <f>ROUND(IF(SUM(B466:F466)&lt;(L482*1),IF((SUM(B466:F467))&gt;(L482*2),(((L482*2)-(SUM(B466:F467)-C466))*J465)+((SUM(B467:F467)-C466)*J465),SUM(B467:F467)*J465),IF(SUM(B466:F467)&gt;(L482*2),L482*J465,SUM(B467:F467)*J465)),2)</f>
        <v>0</v>
      </c>
      <c r="K467" s="76">
        <f>ROUND(IF(SUM(B466:F466)&lt;(L481*1),IF((SUM(B466:F467))&gt;(L481*2),(((L481*2)-(SUM(B466:F467)-C466))*K465)+((SUM(B467:F467)-C466)*K465),SUM(B467:F467)*K465),IF(SUM(B466:F467)&gt;(L481*2),L481*K465,SUM(B467:F467)*K465)),2)</f>
        <v>0</v>
      </c>
      <c r="L467" s="76">
        <f>ROUND(IF(SUM(B466:F466)&lt;(L482*1),IF((SUM(B466:F467))&gt;(L482*2),(((L482*2)-(SUM(B466:F467)-C467))*L465)+((SUM(B467:F467)-C467)*L465),(SUM(B467:F467)-C467)*L465),IF(SUM(B466:F467)&gt;(L482*2),L482*L465,SUM(B467:F467)*L465)),2)</f>
        <v>0</v>
      </c>
      <c r="M467" s="76">
        <f>ROUND(IF(SUM(B466:F466)&lt;(L482*1),IF((SUM(B466:F467))&gt;(L482*2),(((L482*2)-(SUM(B466:F467)-C467))*M465)+((SUM(B467:F467)-C467)*M465),(SUM(B467:F467)-C467)*M465),IF(SUM(B466:F467)&gt;(L482*2),L482*M465,SUM(B467:F467)*M465)),2)</f>
        <v>0</v>
      </c>
      <c r="N467" s="76">
        <f>ROUND(IF(SUM(B466:F466)&lt;(L482*1),IF((SUM(B466:F467))&gt;(L482*2),(((L482*2)-(SUM(B466:F467)-C466))*N465)+((SUM(B467:F467)-C466)*N465),SUM(B467:F467)*N465),IF(SUM(B466:F467)&gt;(L482*2),L482*N465,SUM(B467:F467)*N465)),2)</f>
        <v>0</v>
      </c>
      <c r="O467" s="23">
        <f>ROUND(SUM(B467+C467+F467)*O465,2)</f>
        <v>0</v>
      </c>
      <c r="P467" s="27">
        <f>SUM(G467:O467)</f>
        <v>0</v>
      </c>
    </row>
    <row r="468" spans="1:16" s="1" customFormat="1" x14ac:dyDescent="0.2">
      <c r="A468" s="100" t="str">
        <f>$A$28</f>
        <v>Mrz 2022</v>
      </c>
      <c r="B468" s="24">
        <f>ROUND(IF(N448=0,0,IFERROR(((LOOKUP(2,1/(A454:A457=A468),G454:G457))*N448*4.348),B467/N448*N448)),2)</f>
        <v>0</v>
      </c>
      <c r="C468" s="23">
        <f>ROUND(IFERROR(((LOOKUP(2,1/(B459=A468),((SUM(B472:B474)+SUM(F472:F474))/3)*C459))),0)+IFERROR(((LOOKUP(2,1/(E459=A468),(B478+F478)*F459))),0),2)</f>
        <v>0</v>
      </c>
      <c r="D468" s="23">
        <f>ROUND(IF(B468=0,0,D465/L447*N448),2)</f>
        <v>0</v>
      </c>
      <c r="E468" s="23">
        <f>ROUND(IF(B468=0,0,E465/N443*N448),2)</f>
        <v>0</v>
      </c>
      <c r="F468" s="24">
        <f>ROUND(IF(N448=0,0,IFERROR(((LOOKUP(2,1/(A454:A457=A468),H454:H457))/N443*N448),F467/N448*N448)),2)</f>
        <v>0</v>
      </c>
      <c r="G468" s="27">
        <f t="shared" si="52"/>
        <v>0</v>
      </c>
      <c r="H468" s="76">
        <f>ROUND(IF(SUM(B466:F467)&lt;(L481*2),IF((SUM(B466:F468))&gt;(L481*3),(((L481*3)-(SUM(B466:F468)-C467))*H465)+((SUM(B468:F468)-C467)*H465),SUM(B468:F468)*H465),IF(SUM(B466:F468)&gt;(L481*3),L481*H465,SUM(B468:F468)*H465)),2)</f>
        <v>0</v>
      </c>
      <c r="I468" s="76">
        <f>ROUND(IF(SUM(B466:F467)&lt;(L482*2),IF((SUM(B466:F468))&gt;(L482*3),(((L482*3)-(SUM(B466:F468)-C467))*I465)+((SUM(B468:F468)-C467)*I465),SUM(B468:F468)*I465),IF(SUM(B466:F468)&gt;(L482*3),L482*I465,SUM(B468:F468)*I465)),2)</f>
        <v>0</v>
      </c>
      <c r="J468" s="76">
        <f>ROUND(IF(SUM(B466:F467)&lt;(L482*2),IF((SUM(B466:F468))&gt;(L482*3),(((L482*3)-(SUM(B466:F468)-C467))*J465)+((SUM(B468:F468)-C467)*J465),SUM(B468:F468)*J465),IF(SUM(B466:F468)&gt;(L482*3),L482*J465,SUM(B468:F468)*J465)),2)</f>
        <v>0</v>
      </c>
      <c r="K468" s="76">
        <f>ROUND(IF(SUM(B466:F467)&lt;(L481*2),IF((SUM(B466:F468))&gt;(L481*3),(((L481*3)-(SUM(B466:F468)-C467))*K465)+((SUM(B468:F468)-C467)*K465),SUM(B468:F468)*K465),IF(SUM(B466:F468)&gt;(L481*3),L481*K465,SUM(B468:F468)*K465)),2)</f>
        <v>0</v>
      </c>
      <c r="L468" s="76">
        <f>ROUND(IF(SUM(B466:F467)&lt;(L482*2),IF((SUM(B466:F468))&gt;(L482*3),(((L482*3)-(SUM(B466:F468)-C468))*L465)+((SUM(B468:F468)-C468)*L465),(SUM(B468:F468)-C468)*L465),IF(SUM(B466:F468)&gt;(L482*3),L482*L465,SUM(B468:F468)*L465)),2)</f>
        <v>0</v>
      </c>
      <c r="M468" s="76">
        <f>ROUND(IF(SUM(B466:F467)&lt;(L482*2),IF((SUM(B466:F468))&gt;(L482*3),(((L482*3)-(SUM(B466:F468)-C468))*M465)+((SUM(B468:F468)-C468)*M465),(SUM(B468:F468)-C468)*M465),IF(SUM(B466:F468)&gt;(L482*3),L482*M465,SUM(B468:F468)*M465)),2)</f>
        <v>0</v>
      </c>
      <c r="N468" s="76">
        <f>ROUND(IF(SUM(B466:F467)&lt;(L482*2),IF((SUM(B466:F468))&gt;(L482*3),(((L482*3)-(SUM(B466:F468)-C467))*N465)+((SUM(B468:F468)-C467)*N465),SUM(B468:F468)*N465),IF(SUM(B466:F468)&gt;(L482*3),L482*N465,SUM(B468:F468)*N465)),2)</f>
        <v>0</v>
      </c>
      <c r="O468" s="23">
        <f>ROUND(SUM(B468+C468+F468)*O465,2)</f>
        <v>0</v>
      </c>
      <c r="P468" s="27">
        <f t="shared" ref="P468:P477" si="53">SUM(G468:O468)</f>
        <v>0</v>
      </c>
    </row>
    <row r="469" spans="1:16" s="1" customFormat="1" x14ac:dyDescent="0.2">
      <c r="A469" s="100" t="str">
        <f>$A$29</f>
        <v>Apr 2022</v>
      </c>
      <c r="B469" s="24">
        <f>ROUND(IF(N449=0,0,IFERROR(((LOOKUP(2,1/(A454:A457=A469),G454:G457))*N449*4.348),B468/N449*N449)),2)</f>
        <v>0</v>
      </c>
      <c r="C469" s="23">
        <f>ROUND(IFERROR(((LOOKUP(2,1/(B459=A469),((SUM(B472:B474)+SUM(F472:F474))/3)*C459))),0)+IFERROR(((LOOKUP(2,1/(E459=A469),(B478+F478)*F459))),0),2)</f>
        <v>0</v>
      </c>
      <c r="D469" s="23">
        <f>ROUND(IF(B469=0,0,D465/L447*N449),2)</f>
        <v>0</v>
      </c>
      <c r="E469" s="23">
        <f>ROUND(IF(B469=0,0,E465/N443*N449),2)</f>
        <v>0</v>
      </c>
      <c r="F469" s="24">
        <f>ROUND(IF(N449=0,0,IFERROR(((LOOKUP(2,1/(A454:A457=A469),H454:H457))/N443*N449),F468/N449*N449)),2)</f>
        <v>0</v>
      </c>
      <c r="G469" s="27">
        <f t="shared" si="52"/>
        <v>0</v>
      </c>
      <c r="H469" s="76">
        <f>ROUND(IF(SUM(B466:F468)&lt;(L481*3),IF((SUM(B466:F469))&gt;(L481*4),(((L481*4)-(SUM(B466:F469)-C468))*H465)+((SUM(B469:F469)-C468)*H465),SUM(B469:F469)*H465),IF(SUM(B466:F469)&gt;(L481*4),L481*H465,SUM(B469:F469)*H465)),2)</f>
        <v>0</v>
      </c>
      <c r="I469" s="76">
        <f>ROUND(IF(SUM(B466:F468)&lt;(L482*3),IF((SUM(B466:F469))&gt;(L482*4),(((L482*4)-(SUM(B466:F469)-C468))*I465)+((SUM(B469:F469)-C468)*I465),SUM(B469:F469)*I465),IF(SUM(B466:F469)&gt;(L482*4),L482*I465,SUM(B469:F469)*I465)),2)</f>
        <v>0</v>
      </c>
      <c r="J469" s="76">
        <f>ROUND(IF(SUM(B466:F468)&lt;(L482*3),IF((SUM(B466:F469))&gt;(L482*4),(((L482*4)-(SUM(B466:F469)-C468))*J465)+((SUM(B469:F469)-C468)*J465),SUM(B469:F469)*J465),IF(SUM(B466:F469)&gt;(L482*4),L482*J465,SUM(B469:F469)*J465)),2)</f>
        <v>0</v>
      </c>
      <c r="K469" s="76">
        <f>ROUND(IF(SUM(B466:F468)&lt;(L481*3),IF((SUM(B466:F469))&gt;(L481*4),(((L481*4)-(SUM(B466:F469)-C468))*K465)+((SUM(B469:F469)-C468)*K465),SUM(B469:F469)*K465),IF(SUM(B466:F469)&gt;(L481*4),L481*K465,SUM(B469:F469)*K465)),2)</f>
        <v>0</v>
      </c>
      <c r="L469" s="76">
        <f>ROUND(IF(SUM(B466:F468)&lt;(L482*3),IF((SUM(B466:F469))&gt;(L482*4),(((L482*4)-(SUM(B466:F469)-C469))*L465)+((SUM(B469:F469)-C469)*L465),(SUM(B469:F469)-C469)*L465),IF(SUM(B466:F469)&gt;(L482*4),L482*L465,SUM(B469:F469)*L465)),2)</f>
        <v>0</v>
      </c>
      <c r="M469" s="76">
        <f>ROUND(IF(SUM(B466:F468)&lt;(L482*3),IF((SUM(B466:F469))&gt;(L482*4),(((L482*4)-(SUM(B466:F469)-C469))*M465)+((SUM(B469:F469)-C469)*M465),(SUM(B469:F469)-C469)*M465),IF(SUM(B466:F469)&gt;(L482*4),L482*M465,SUM(B469:F469)*M465)),2)</f>
        <v>0</v>
      </c>
      <c r="N469" s="76">
        <f>ROUND(IF(SUM(B466:F468)&lt;(L482*3),IF((SUM(B466:F469))&gt;(L482*4),(((L482*4)-(SUM(B466:F469)-C468))*N465)+((SUM(B469:F469)-C468)*N465),SUM(B469:F469)*N465),IF(SUM(B466:F469)&gt;(L482*4),L482*N465,SUM(B469:F469)*N465)),2)</f>
        <v>0</v>
      </c>
      <c r="O469" s="23">
        <f>ROUND(SUM(B469+C469+F469)*O465,2)</f>
        <v>0</v>
      </c>
      <c r="P469" s="27">
        <f t="shared" si="53"/>
        <v>0</v>
      </c>
    </row>
    <row r="470" spans="1:16" s="1" customFormat="1" x14ac:dyDescent="0.2">
      <c r="A470" s="100" t="str">
        <f>$A$30</f>
        <v>Mai 2022</v>
      </c>
      <c r="B470" s="24">
        <f>ROUND(IF(N450=0,0,IFERROR(((LOOKUP(2,1/(A454:A457=A470),G454:G457))*N450*4.348),B469/N450*N450)),2)</f>
        <v>0</v>
      </c>
      <c r="C470" s="23">
        <f>ROUND(IFERROR(((LOOKUP(2,1/(B459=A470),((SUM(B472:B474)+SUM(F472:F474))/3)*C459))),0)+IFERROR(((LOOKUP(2,1/(E459=A470),(B478+F478)*F459))),0),2)</f>
        <v>0</v>
      </c>
      <c r="D470" s="23">
        <f>ROUND(IF(B470=0,0,D465/L447*N450),2)</f>
        <v>0</v>
      </c>
      <c r="E470" s="23">
        <f>ROUND(IF(B470=0,0,E465/N443*N450),2)</f>
        <v>0</v>
      </c>
      <c r="F470" s="24">
        <f>ROUND(IF(N450=0,0,IFERROR(((LOOKUP(2,1/(A454:A457=A470),H454:H457))/N443*N450),F469/N450*N450)),2)</f>
        <v>0</v>
      </c>
      <c r="G470" s="27">
        <f t="shared" si="52"/>
        <v>0</v>
      </c>
      <c r="H470" s="76">
        <f>ROUND(IF(SUM(B466:F469)&lt;(L481*4),IF((SUM(B466:F470))&gt;(L481*5),(((L481*5)-(SUM(B466:F470)-C469))*H465)+((SUM(B470:F470)-C469)*H465),SUM(B470:F470)*H465),IF(SUM(B466:F470)&gt;(L481*5),L481*H465,SUM(B470:F470)*H465)),2)</f>
        <v>0</v>
      </c>
      <c r="I470" s="76">
        <f>ROUND(IF(SUM(B466:F469)&lt;(L482*4),IF((SUM(B466:F470))&gt;(L482*5),(((L482*5)-(SUM(B466:F470)-C469))*I465)+((SUM(B470:F470)-C469)*I465),SUM(B470:F470)*I465),IF(SUM(B466:F470)&gt;(L482*5),L482*I465,SUM(B470:F470)*I465)),2)</f>
        <v>0</v>
      </c>
      <c r="J470" s="76">
        <f>ROUND(IF(SUM(B466:F469)&lt;(L482*4),IF((SUM(B466:F470))&gt;(L482*5),(((L482*5)-(SUM(B466:F470)-C469))*J465)+((SUM(B470:F470)-C469)*J465),SUM(B470:F470)*J465),IF(SUM(B466:F470)&gt;(L482*5),L482*J465,SUM(B470:F470)*J465)),2)</f>
        <v>0</v>
      </c>
      <c r="K470" s="76">
        <f>ROUND(IF(SUM(B466:F469)&lt;(L481*4),IF((SUM(B466:F470))&gt;(L481*5),(((L481*5)-(SUM(B466:F470)-C469))*K465)+((SUM(B470:F470)-C469)*K465),SUM(B470:F470)*K465),IF(SUM(B466:F470)&gt;(L481*5),L481*K465,SUM(B470:F470)*K465)),2)</f>
        <v>0</v>
      </c>
      <c r="L470" s="76">
        <f>ROUND(IF(SUM(B466:F469)&lt;(L482*4),IF((SUM(B466:F470))&gt;(L482*5),(((L482*5)-(SUM(B466:F470)-C470))*L465)+((SUM(B470:F470)-C470)*L465),(SUM(B470:F470)-C470)*L465),IF(SUM(B466:F470)&gt;(L482*5),L482*L465,SUM(B470:F470)*L465)),2)</f>
        <v>0</v>
      </c>
      <c r="M470" s="76">
        <f>ROUND(IF(SUM(B466:F469)&lt;(L482*4),IF((SUM(B466:F470))&gt;(L482*5),(((L482*5)-(SUM(B466:F470)-C470))*M465)+((SUM(B470:F470)-C470)*M465),(SUM(B470:F470)-C470)*M465),IF(SUM(B466:F470)&gt;(L482*5),L482*M465,SUM(B470:F470)*M465)),2)</f>
        <v>0</v>
      </c>
      <c r="N470" s="76">
        <f>ROUND(IF(SUM(B466:F469)&lt;(L482*4),IF((SUM(B466:F470))&gt;(L482*5),(((L482*5)-(SUM(B466:F470)-C469))*N465)+((SUM(B470:F470)-C469)*N465),SUM(B470:F470)*N465),IF(SUM(B466:F470)&gt;(L482*5),L482*N465,SUM(B470:F470)*N465)),2)</f>
        <v>0</v>
      </c>
      <c r="O470" s="23">
        <f>ROUND(SUM(B470+C470+F470)*O465,2)</f>
        <v>0</v>
      </c>
      <c r="P470" s="27">
        <f t="shared" si="53"/>
        <v>0</v>
      </c>
    </row>
    <row r="471" spans="1:16" s="1" customFormat="1" x14ac:dyDescent="0.2">
      <c r="A471" s="100" t="str">
        <f>$A$31</f>
        <v>Jun 2022</v>
      </c>
      <c r="B471" s="24">
        <f>ROUND(IF(N451=0,0,IFERROR(((LOOKUP(2,1/(A454:A457=A471),G454:G457))*N451*4.348),B470/N451*N451)),2)</f>
        <v>0</v>
      </c>
      <c r="C471" s="23">
        <f>ROUND(IFERROR(((LOOKUP(2,1/(B459=A471),((SUM(B472:B474)+SUM(F472:F474))/3)*C459))),0)+IFERROR(((LOOKUP(2,1/(E459=A471),(B478+F478)*F459))),0),2)</f>
        <v>0</v>
      </c>
      <c r="D471" s="23">
        <f>ROUND(IF(B471=0,0,D465/L447*N451),2)</f>
        <v>0</v>
      </c>
      <c r="E471" s="23">
        <f>ROUND(IF(B471=0,0,E465/N443*N451),2)</f>
        <v>0</v>
      </c>
      <c r="F471" s="24">
        <f>ROUND(IF(N451=0,0,IFERROR(((LOOKUP(2,1/(A454:A457=A471),H454:H457))/N443*N451),F470/N451*N451)),2)</f>
        <v>0</v>
      </c>
      <c r="G471" s="27">
        <f t="shared" si="52"/>
        <v>0</v>
      </c>
      <c r="H471" s="76">
        <f>ROUND(IF(SUM(B466:F470)&lt;(L481*5),IF((SUM(B466:F471))&gt;(L481*6),(((L481*6)-(SUM(B466:F471)-C470))*H465)+((SUM(B471:F471)-C470)*H465),SUM(B471:F471)*H465),IF(SUM(B466:F471)&gt;(L481*6),L481*H465,SUM(B471:F471)*H465)),2)</f>
        <v>0</v>
      </c>
      <c r="I471" s="76">
        <f>ROUND(IF(SUM(B466:F470)&lt;(L482*5),IF((SUM(B466:F471))&gt;(L482*6),(((L482*6)-(SUM(B466:F471)-C470))*I465)+((SUM(B471:F471)-C470)*I465),SUM(B471:F471)*I465),IF(SUM(B466:F471)&gt;(L482*6),L482*I465,SUM(B471:F471)*I465)),2)</f>
        <v>0</v>
      </c>
      <c r="J471" s="76">
        <f>ROUND(IF(SUM(B466:F470)&lt;(L482*5),IF((SUM(B466:F471))&gt;(L482*6),(((L482*6)-(SUM(B466:F471)-C470))*J465)+((SUM(B471:F471)-C470)*J465),SUM(B471:F471)*J465),IF(SUM(B466:F471)&gt;(L482*6),L482*J465,SUM(B471:F471)*J465)),2)</f>
        <v>0</v>
      </c>
      <c r="K471" s="76">
        <f>ROUND(IF(SUM(B466:F470)&lt;(L481*5),IF((SUM(B466:F471))&gt;(L481*6),(((L481*6)-(SUM(B466:F471)-C470))*K465)+((SUM(B471:F471)-C470)*K465),SUM(B471:F471)*K465),IF(SUM(B466:F471)&gt;(L481*6),L481*K465,SUM(B471:F471)*K465)),2)</f>
        <v>0</v>
      </c>
      <c r="L471" s="76">
        <f>ROUND(IF(SUM(B466:F470)&lt;(L482*5),IF((SUM(B466:F471))&gt;(L482*6),(((L482*6)-(SUM(B466:F471)-C471))*L465)+((SUM(B471:F471)-C471)*L465),(SUM(B471:F471)-C471)*L465),IF(SUM(B466:F471)&gt;(L482*6),L482*L465,SUM(B471:F471)*L465)),2)</f>
        <v>0</v>
      </c>
      <c r="M471" s="76">
        <f>ROUND(IF(SUM(B466:F470)&lt;(L482*5),IF((SUM(B466:F471))&gt;(L482*6),(((L482*6)-(SUM(B466:F471)-C471))*M465)+((SUM(B471:F471)-C471)*M465),(SUM(B471:F471)-C471)*M465),IF(SUM(B466:F471)&gt;(L482*6),L482*M465,SUM(B471:F471)*M465)),2)</f>
        <v>0</v>
      </c>
      <c r="N471" s="76">
        <f>ROUND(IF(SUM(B466:F470)&lt;(L482*5),IF((SUM(B466:F471))&gt;(L482*6),(((L482*6)-(SUM(B466:F471)-C470))*N465)+((SUM(B471:F471)-C470)*N465),SUM(B471:F471)*N465),IF(SUM(B466:F471)&gt;(L482*6),L482*N465,SUM(B471:F471)*N465)),2)</f>
        <v>0</v>
      </c>
      <c r="O471" s="23">
        <f>ROUND(SUM(B471+C471+F471)*O465,2)</f>
        <v>0</v>
      </c>
      <c r="P471" s="27">
        <f t="shared" si="53"/>
        <v>0</v>
      </c>
    </row>
    <row r="472" spans="1:16" s="1" customFormat="1" x14ac:dyDescent="0.2">
      <c r="A472" s="100" t="str">
        <f>$A$32</f>
        <v>Jul 2022</v>
      </c>
      <c r="B472" s="24">
        <f>ROUND(IF(P446=0,0,IFERROR(((LOOKUP(2,1/(A454:A457=A472),G454:G457))*P446*4.348),B471/P446*P446)),2)</f>
        <v>0</v>
      </c>
      <c r="C472" s="23">
        <f>ROUND(IFERROR(((LOOKUP(2,1/(B459=A472),((SUM(B472:B474)+SUM(F472:F474))/3)*C459))),0)+IFERROR(((LOOKUP(2,1/(E459=A472),(B478+F478)*F459))),0),2)</f>
        <v>0</v>
      </c>
      <c r="D472" s="23">
        <f>ROUND(IF(B472=0,0,D465/L447*P446),2)</f>
        <v>0</v>
      </c>
      <c r="E472" s="23">
        <f>ROUND(IF(B472=0,0,E465/N443*P446),2)</f>
        <v>0</v>
      </c>
      <c r="F472" s="24">
        <f>ROUND(IF(P446=0,0,IFERROR(((LOOKUP(2,1/(A454:A457=A472),H454:H457))/N443*P446),F471/P446*P446)),2)</f>
        <v>0</v>
      </c>
      <c r="G472" s="27">
        <f t="shared" si="52"/>
        <v>0</v>
      </c>
      <c r="H472" s="76">
        <f>ROUND(IF(SUM(B466:F471)&lt;(L481*6),IF((SUM(B466:F472))&gt;(L481*7),(((L481*7)-(SUM(B466:F472)-C471))*H465)+((SUM(B472:F472)-C471)*H465),SUM(B472:F472)*H465),IF(SUM(B466:F472)&gt;(L481*7),L481*H465,SUM(B472:F472)*H465)),2)</f>
        <v>0</v>
      </c>
      <c r="I472" s="76">
        <f>ROUND(IF(SUM(B466:F471)&lt;(L482*6),IF((SUM(B466:F472))&gt;(L482*7),(((L482*7)-(SUM(B466:F472)-C471))*I465)+((SUM(B472:F472)-C471)*I465),SUM(B472:F472)*I465),IF(SUM(B466:F472)&gt;(L482*7),L482*I465,SUM(B472:F472)*I465)),2)</f>
        <v>0</v>
      </c>
      <c r="J472" s="76">
        <f>ROUND(IF(SUM(B466:F471)&lt;(L482*6),IF((SUM(B466:F472))&gt;(L482*7),(((L482*7)-(SUM(B466:F472)-C471))*J465)+((SUM(B472:F472)-C471)*J465),SUM(B472:F472)*J465),IF(SUM(B466:F472)&gt;(L482*7),L482*J465,SUM(B472:F472)*J465)),2)</f>
        <v>0</v>
      </c>
      <c r="K472" s="76">
        <f>ROUND(IF(SUM(B466:F471)&lt;(L481*6),IF((SUM(B466:F472))&gt;(L481*7),(((L481*7)-(SUM(B466:F472)-C471))*K465)+((SUM(B472:F472)-C471)*K465),SUM(B472:F472)*K465),IF(SUM(B466:F472)&gt;(L481*7),L481*K465,SUM(B472:F472)*K465)),2)</f>
        <v>0</v>
      </c>
      <c r="L472" s="76">
        <f>ROUND(IF(SUM(B466:F471)&lt;(L482*6),IF((SUM(B466:F472))&gt;(L482*7),(((L482*7)-(SUM(B466:F472)-C472))*L465)+((SUM(B472:F472)-C472)*L465),(SUM(B472:F472)-C472)*L465),IF(SUM(B466:F472)&gt;(L482*7),L482*L465,SUM(B472:F472)*L465)),2)</f>
        <v>0</v>
      </c>
      <c r="M472" s="76">
        <f>ROUND(IF(SUM(B466:F471)&lt;(L482*6),IF((SUM(B466:F472))&gt;(L482*7),(((L482*7)-(SUM(B466:F472)-C472))*M465)+((SUM(B472:F472)-C472)*M465),(SUM(B472:F472)-C472)*M465),IF(SUM(B466:F472)&gt;(L482*7),L482*M465,SUM(B472:F472)*M465)),2)</f>
        <v>0</v>
      </c>
      <c r="N472" s="76">
        <f>ROUND(IF(SUM(B466:F471)&lt;(L482*6),IF((SUM(B466:F472))&gt;(L482*7),(((L482*7)-(SUM(B466:F472)-C471))*N465)+((SUM(B472:F472)-C471)*N465),SUM(B472:F472)*N465),IF(SUM(B466:F472)&gt;(L482*7),L482*N465,SUM(B472:F472)*N465)),2)</f>
        <v>0</v>
      </c>
      <c r="O472" s="23">
        <f>ROUND(SUM(B472+C472+F472)*O465,2)</f>
        <v>0</v>
      </c>
      <c r="P472" s="27">
        <f t="shared" si="53"/>
        <v>0</v>
      </c>
    </row>
    <row r="473" spans="1:16" s="1" customFormat="1" x14ac:dyDescent="0.2">
      <c r="A473" s="100" t="str">
        <f>$A$33</f>
        <v>Aug 2022</v>
      </c>
      <c r="B473" s="24">
        <f>ROUND(IF(P447=0,0,IFERROR(((LOOKUP(2,1/(A454:A457=A473),G454:G457))*P447*4.348),B472/P447*P447)),2)</f>
        <v>0</v>
      </c>
      <c r="C473" s="23">
        <f>ROUND(IFERROR(((LOOKUP(2,1/(B459=A473),((SUM(B472:B474)+SUM(F472:F474))/3)*C459))),0)+IFERROR(((LOOKUP(2,1/(E459=A473),(B478+F478)*F459))),0),2)</f>
        <v>0</v>
      </c>
      <c r="D473" s="23">
        <f>ROUND(IF(B473=0,0,D465/L447*P447),2)</f>
        <v>0</v>
      </c>
      <c r="E473" s="23">
        <f>ROUND(IF(B473=0,0,E465/N443*P447),2)</f>
        <v>0</v>
      </c>
      <c r="F473" s="24">
        <f>ROUND(IF(P447=0,0,IFERROR(((LOOKUP(2,1/(A454:A457=A473),H454:H457))/N443*P447),F472/P447*P447)),2)</f>
        <v>0</v>
      </c>
      <c r="G473" s="27">
        <f t="shared" si="52"/>
        <v>0</v>
      </c>
      <c r="H473" s="76">
        <f>ROUND(IF(SUM(B466:F472)&lt;(L481*7),IF((SUM(B466:F473))&gt;(L481*8),(((L481*8)-(SUM(B466:F473)-C472))*H465)+((SUM(B473:F473)-C472)*H465),SUM(B473:F473)*H465),IF(SUM(B466:F473)&gt;(L481*8),L481*H465,SUM(B473:F473)*H465)),2)</f>
        <v>0</v>
      </c>
      <c r="I473" s="76">
        <f>ROUND(IF(SUM(B466:F472)&lt;(L482*7),IF((SUM(B466:F473))&gt;(L482*8),(((L482*8)-(SUM(B466:F473)-C472))*I465)+((SUM(B473:F473)-C472)*I465),SUM(B473:F473)*I465),IF(SUM(B466:F473)&gt;(L482*8),L482*I465,SUM(B473:F473)*I465)),2)</f>
        <v>0</v>
      </c>
      <c r="J473" s="76">
        <f>ROUND(IF(SUM(B466:F472)&lt;(L482*7),IF((SUM(B466:F473))&gt;(L482*8),(((L482*8)-(SUM(B466:F473)-C472))*J465)+((SUM(B473:F473)-C472)*J465),SUM(B473:F473)*J465),IF(SUM(B466:F473)&gt;(L482*8),L482*J465,SUM(B473:F473)*J465)),2)</f>
        <v>0</v>
      </c>
      <c r="K473" s="76">
        <f>ROUND(IF(SUM(B466:F472)&lt;(L481*7),IF((SUM(B466:F473))&gt;(L481*8),(((L481*8)-(SUM(B466:F473)-C472))*K465)+((SUM(B473:F473)-C472)*K465),SUM(B473:F473)*K465),IF(SUM(B466:F473)&gt;(L481*8),L481*K465,SUM(B473:F473)*K465)),2)</f>
        <v>0</v>
      </c>
      <c r="L473" s="76">
        <f>ROUND(IF(SUM(B466:F472)&lt;(L482*7),IF((SUM(B466:F473))&gt;(L482*8),(((L482*8)-(SUM(B466:F473)-C473))*L465)+((SUM(B473:F473)-C473)*L465),(SUM(B473:F473)-C473)*L465),IF(SUM(B466:F473)&gt;(L482*8),L482*L465,SUM(B473:F473)*L465)),2)</f>
        <v>0</v>
      </c>
      <c r="M473" s="76">
        <f>ROUND(IF(SUM(B466:F472)&lt;(L482*7),IF((SUM(B466:F473))&gt;(L482*8),(((L482*8)-(SUM(B466:F473)-C473))*M465)+((SUM(B473:F473)-C473)*M465),(SUM(B473:F473)-C473)*M465),IF(SUM(B466:F473)&gt;(L482*8),L482*M465,SUM(B473:F473)*M465)),2)</f>
        <v>0</v>
      </c>
      <c r="N473" s="76">
        <f>ROUND(IF(SUM(B466:F472)&lt;(L482*7),IF((SUM(B466:F473))&gt;(L482*8),(((L482*8)-(SUM(B466:F473)-C472))*N465)+((SUM(B473:F473)-C472)*N465),SUM(B473:F473)*N465),IF(SUM(B466:F473)&gt;(L482*8),L482*N465,SUM(B473:F473)*N465)),2)</f>
        <v>0</v>
      </c>
      <c r="O473" s="23">
        <f>ROUND(SUM(B473+C473+F473)*O465,2)</f>
        <v>0</v>
      </c>
      <c r="P473" s="27">
        <f t="shared" si="53"/>
        <v>0</v>
      </c>
    </row>
    <row r="474" spans="1:16" s="1" customFormat="1" x14ac:dyDescent="0.2">
      <c r="A474" s="100" t="str">
        <f>$A$34</f>
        <v>Sep 2022</v>
      </c>
      <c r="B474" s="24">
        <f>ROUND(IF(P448=0,0,IFERROR(((LOOKUP(2,1/(A454:A457=A474),G454:G457))*P448*4.348),B473/P448*P448)),2)</f>
        <v>0</v>
      </c>
      <c r="C474" s="23">
        <f>ROUND(IFERROR(((LOOKUP(2,1/(B459=A474),((SUM(B472:B474)+SUM(F472:F474))/3)*C459))),0)+IFERROR(((LOOKUP(2,1/(E459=A474),(B478+F478)*F459))),0),2)</f>
        <v>0</v>
      </c>
      <c r="D474" s="23">
        <f>ROUND(IF(B474=0,0,D465/L447*P448),2)</f>
        <v>0</v>
      </c>
      <c r="E474" s="23">
        <f>ROUND(IF(B474=0,0,E465/N443*P448),2)</f>
        <v>0</v>
      </c>
      <c r="F474" s="24">
        <f>ROUND(IF(P448=0,0,IFERROR(((LOOKUP(2,1/(A454:A457=A474),H454:H457))/N443*P448),F473/P448*P448)),2)</f>
        <v>0</v>
      </c>
      <c r="G474" s="27">
        <f t="shared" si="52"/>
        <v>0</v>
      </c>
      <c r="H474" s="76">
        <f>ROUND(IF(SUM(B466:F473)&lt;(L481*8),IF((SUM(B466:F474))&gt;(L481*9),(((L481*9)-(SUM(B466:F474)-C473))*H465)+((SUM(B474:F474)-C473)*H465),SUM(B474:F474)*H465),IF(SUM(B466:F474)&gt;(L481*9),L481*H465,SUM(B474:F474)*H465)),2)</f>
        <v>0</v>
      </c>
      <c r="I474" s="76">
        <f>ROUND(IF(SUM(B466:F473)&lt;(L482*8),IF((SUM(B466:F474))&gt;(L482*9),(((L482*9)-(SUM(B466:F474)-C473))*I465)+((SUM(B474:F474)-C473)*I465),SUM(B474:F474)*I465),IF(SUM(B466:F474)&gt;(L482*9),L482*I465,SUM(B474:F474)*I465)),2)</f>
        <v>0</v>
      </c>
      <c r="J474" s="76">
        <f>ROUND(IF(SUM(B466:F473)&lt;(L482*8),IF((SUM(B466:F474))&gt;(L482*9),(((L482*9)-(SUM(B466:F474)-C473))*J465)+((SUM(B474:F474)-C473)*J465),SUM(B474:F474)*J465),IF(SUM(B466:F474)&gt;(L482*9),L482*J465,SUM(B474:F474)*J465)),2)</f>
        <v>0</v>
      </c>
      <c r="K474" s="76">
        <f>ROUND(IF(SUM(B466:F473)&lt;(L481*8),IF((SUM(B466:F474))&gt;(L481*9),(((L481*9)-(SUM(B466:F474)-C473))*K465)+((SUM(B474:F474)-C473)*K465),SUM(B474:F474)*K465),IF(SUM(B466:F474)&gt;(L481*9),L481*K465,SUM(B474:F474)*K465)),2)</f>
        <v>0</v>
      </c>
      <c r="L474" s="76">
        <f>ROUND(IF(SUM(B466:F473)&lt;(L482*8),IF((SUM(B466:F474))&gt;(L482*9),(((L482*9)-(SUM(B466:F474)-C474))*L465)+((SUM(B474:F474)-C474)*L465),(SUM(B474:F474)-C474)*L465),IF(SUM(B466:F474)&gt;(L482*9),L482*L465,SUM(B474:F474)*L465)),2)</f>
        <v>0</v>
      </c>
      <c r="M474" s="76">
        <f>ROUND(IF(SUM(B466:F473)&lt;(L482*8),IF((SUM(B466:F474))&gt;(L482*9),(((L482*9)-(SUM(B466:F474)-C474))*M465)+((SUM(B474:F474)-C474)*M465),(SUM(B474:F474)-C474)*M465),IF(SUM(B466:F474)&gt;(L482*9),L482*M465,SUM(B474:F474)*M465)),2)</f>
        <v>0</v>
      </c>
      <c r="N474" s="76">
        <f>ROUND(IF(SUM(B466:F473)&lt;(L482*8),IF((SUM(B466:F474))&gt;(L482*9),(((L482*9)-(SUM(B466:F474)-C473))*N465)+((SUM(B474:F474)-C473)*N465),SUM(B474:F474)*N465),IF(SUM(B466:F474)&gt;(L482*9),L482*N465,SUM(B474:F474)*N465)),2)</f>
        <v>0</v>
      </c>
      <c r="O474" s="23">
        <f>ROUND(SUM(B474+C474+F474)*O465,2)</f>
        <v>0</v>
      </c>
      <c r="P474" s="27">
        <f t="shared" si="53"/>
        <v>0</v>
      </c>
    </row>
    <row r="475" spans="1:16" s="1" customFormat="1" x14ac:dyDescent="0.2">
      <c r="A475" s="100" t="str">
        <f>$A$35</f>
        <v>Okt 2022</v>
      </c>
      <c r="B475" s="24">
        <f>ROUND(IF(P449=0,0,IFERROR(((LOOKUP(2,1/(A454:A457=A475),G454:G457))*P449*4.348),B474/P449*P449)),2)</f>
        <v>0</v>
      </c>
      <c r="C475" s="23">
        <f>ROUND(IFERROR(((LOOKUP(2,1/(B459=A475),((SUM(B472:B474)+SUM(F472:F474))/3)*C459))),0)+IFERROR(((LOOKUP(2,1/(E459=A475),(B478+F478)*F459))),0),2)</f>
        <v>0</v>
      </c>
      <c r="D475" s="23">
        <f>ROUND(IF(B475=0,0,D465/L447*P449),2)</f>
        <v>0</v>
      </c>
      <c r="E475" s="23">
        <f>ROUND(IF(B475=0,0,E465/N443*P449),2)</f>
        <v>0</v>
      </c>
      <c r="F475" s="24">
        <f>ROUND(IF(P449=0,0,IFERROR(((LOOKUP(2,1/(A454:A457=A475),H454:H457))/N443*P449),F474/P449*P449)),2)</f>
        <v>0</v>
      </c>
      <c r="G475" s="27">
        <f t="shared" si="52"/>
        <v>0</v>
      </c>
      <c r="H475" s="76">
        <f>ROUND(IF(SUM(B466:F474)&lt;(L481*9),IF((SUM(B466:F475))&gt;(L481*10),(((L481*10)-(SUM(B466:F475)-C474))*H465)+((SUM(B475:F475)-C474)*H465),SUM(B475:F475)*H465),IF(SUM(B466:F475)&gt;(L481*10),L481*H465,SUM(B475:F475)*H465)),2)</f>
        <v>0</v>
      </c>
      <c r="I475" s="76">
        <f>ROUND(IF(SUM(B466:F474)&lt;(L482*9),IF((SUM(B466:F475))&gt;(L482*10),(((L482*10)-(SUM(B466:F475)-C474))*I465)+((SUM(B475:F475)-C474)*I465),SUM(B475:F475)*I465),IF(SUM(B466:F475)&gt;(L482*10),L482*I465,SUM(B475:F475)*I465)),2)</f>
        <v>0</v>
      </c>
      <c r="J475" s="76">
        <f>ROUND(IF(SUM(B466:F474)&lt;(L482*9),IF((SUM(B466:F475))&gt;(L482*10),(((L482*10)-(SUM(B466:F475)-C474))*J465)+((SUM(B475:F475)-C474)*J465),SUM(B475:F475)*J465),IF(SUM(B466:F475)&gt;(L482*10),L482*J465,SUM(B475:F475)*J465)),2)</f>
        <v>0</v>
      </c>
      <c r="K475" s="76">
        <f>ROUND(IF(SUM(B466:F474)&lt;(L481*9),IF((SUM(B466:F475))&gt;(L481*10),(((L481*10)-(SUM(B466:F475)-C474))*K465)+((SUM(B475:F475)-C474)*K465),SUM(B475:F475)*K465),IF(SUM(B466:F475)&gt;(L481*10),L481*K465,SUM(B475:F475)*K465)),2)</f>
        <v>0</v>
      </c>
      <c r="L475" s="76">
        <f>ROUND(IF(SUM(B466:F474)&lt;(L482*9),IF((SUM(B466:F475))&gt;(L482*10),(((L482*10)-(SUM(B466:F475)-C475))*L465)+((SUM(B475:F475)-C475)*L465),(SUM(B475:F475)-C475)*L465),IF(SUM(B466:F475)&gt;(L482*10),L482*L465,SUM(B475:F475)*L465)),2)</f>
        <v>0</v>
      </c>
      <c r="M475" s="76">
        <f>ROUND(IF(SUM(B466:F474)&lt;(L482*9),IF((SUM(B466:F475))&gt;(L482*10),(((L482*10)-(SUM(B466:F475)-C475))*M465)+((SUM(B475:F475)-C475)*M465),(SUM(B475:F475)-C475)*M465),IF(SUM(B466:F475)&gt;(L482*10),L482*M465,SUM(B475:F475)*M465)),2)</f>
        <v>0</v>
      </c>
      <c r="N475" s="76">
        <f>ROUND(IF(SUM(B466:F474)&lt;(L482*9),IF((SUM(B466:F475))&gt;(L482*10),(((L482*10)-(SUM(B466:F475)-C474))*N465)+((SUM(B475:F475)-C474)*N465),SUM(B475:F475)*N465),IF(SUM(B466:F475)&gt;(L482*10),L482*N465,SUM(B475:F475)*N465)),2)</f>
        <v>0</v>
      </c>
      <c r="O475" s="23">
        <f>ROUND(SUM(B475+C475+F475)*O465,2)</f>
        <v>0</v>
      </c>
      <c r="P475" s="27">
        <f t="shared" si="53"/>
        <v>0</v>
      </c>
    </row>
    <row r="476" spans="1:16" s="1" customFormat="1" x14ac:dyDescent="0.2">
      <c r="A476" s="100" t="str">
        <f>$A$36</f>
        <v>Nov 2022</v>
      </c>
      <c r="B476" s="24">
        <f>ROUND(IF(P450=0,0,IFERROR(((LOOKUP(2,1/(A454:A457=A476),G454:G457))*P450*4.348),B475/P450*P450)),2)</f>
        <v>0</v>
      </c>
      <c r="C476" s="23">
        <f>ROUND(IFERROR(((LOOKUP(2,1/(B459=A476),((SUM(B472:B474)+SUM(F472:F474))/3)*C459))),0)+IFERROR(((LOOKUP(2,1/(E459=A476),(B478+F478)*F459))),0),2)</f>
        <v>0</v>
      </c>
      <c r="D476" s="23">
        <f>ROUND(IF(B476=0,0,D465/L447*P450),2)</f>
        <v>0</v>
      </c>
      <c r="E476" s="23">
        <f>ROUND(IF(B476=0,0,E465/N443*P450),2)</f>
        <v>0</v>
      </c>
      <c r="F476" s="24">
        <f>ROUND(IF(P450=0,0,IFERROR(((LOOKUP(2,1/(A454:A457=A476),H454:H457))/N443*P450),F475/P450*P450)),2)</f>
        <v>0</v>
      </c>
      <c r="G476" s="27">
        <f t="shared" si="52"/>
        <v>0</v>
      </c>
      <c r="H476" s="76">
        <f>ROUND(IF(SUM(B466:F475)&lt;(L481*10),IF((SUM(B466:F476))&gt;(L481*11),(((L481*11)-(SUM(B466:F476)-C475))*H465)+((SUM(B476:F476)-C475)*H465),SUM(B476:F476)*H465),IF(SUM(B466:F476)&gt;(L481*11),L481*H465,SUM(B476:F476)*H465)),2)</f>
        <v>0</v>
      </c>
      <c r="I476" s="76">
        <f>ROUND(IF(SUM(B466:F475)&lt;(L482*10),IF((SUM(B466:F476))&gt;(L482*11),(((L482*11)-(SUM(B466:F476)-C475))*I465)+((SUM(B476:F476)-C475)*I465),SUM(B476:F476)*I465),IF(SUM(B466:F476)&gt;(L482*11),L482*I465,SUM(B476:F476)*I465)),2)</f>
        <v>0</v>
      </c>
      <c r="J476" s="76">
        <f>ROUND(IF(SUM(B466:F475)&lt;(L482*10),IF((SUM(B466:F476))&gt;(L482*11),(((L482*11)-(SUM(B466:F476)-C475))*J465)+((SUM(B476:F476)-C475)*J465),SUM(B476:F476)*J465),IF(SUM(B466:F476)&gt;(L482*11),L482*J465,SUM(B476:F476)*J465)),2)</f>
        <v>0</v>
      </c>
      <c r="K476" s="76">
        <f>ROUND(IF(SUM(B466:F475)&lt;(L481*10),IF((SUM(B466:F476))&gt;(L481*11),(((L481*11)-(SUM(B466:F476)-C475))*K465)+((SUM(B476:F476)-C475)*K465),SUM(B476:F476)*K465),IF(SUM(B466:F476)&gt;(L481*11),L481*K465,SUM(B476:F476)*K465)),2)</f>
        <v>0</v>
      </c>
      <c r="L476" s="76">
        <f>ROUND(IF(SUM(B466:F475)&lt;(L482*10),IF((SUM(B466:F476))&gt;(L482*11),(((L482*11)-(SUM(B466:F476)-C476))*L465)+((SUM(B476:F476)-C476)*L465),(SUM(B476:F476)-C476)*L465),IF(SUM(B466:F476)&gt;(L482*11),L482*L465,SUM(B476:F476)*L465)),2)</f>
        <v>0</v>
      </c>
      <c r="M476" s="76">
        <f>ROUND(IF(SUM(B466:F475)&lt;(L482*10),IF((SUM(B466:F476))&gt;(L482*11),(((L482*11)-(SUM(B466:F476)-C476))*M465)+((SUM(B476:F476)-C476)*M465),(SUM(B476:F476)-C476)*M465),IF(SUM(B466:F476)&gt;(L482*11),L482*M465,SUM(B476:F476)*M465)),2)</f>
        <v>0</v>
      </c>
      <c r="N476" s="76">
        <f>ROUND(IF(SUM(B466:F475)&lt;(L482*10),IF((SUM(B466:F476))&gt;(L482*11),(((L482*11)-(SUM(B466:F476)-C475))*N465)+((SUM(B476:F476)-C475)*N465),SUM(B476:F476)*N465),IF(SUM(B466:F476)&gt;(L482*11),L482*N465,SUM(B476:F476)*N465)),2)</f>
        <v>0</v>
      </c>
      <c r="O476" s="23">
        <f>ROUND(SUM(B476+C476+F476)*O465,2)</f>
        <v>0</v>
      </c>
      <c r="P476" s="27">
        <f t="shared" si="53"/>
        <v>0</v>
      </c>
    </row>
    <row r="477" spans="1:16" s="1" customFormat="1" x14ac:dyDescent="0.2">
      <c r="A477" s="100" t="str">
        <f>$A$37</f>
        <v>Dez 2022</v>
      </c>
      <c r="B477" s="24">
        <f>ROUND(IF(P451=0,0,IFERROR(((LOOKUP(2,1/(A454:A457=A477),G454:G457))*P451*4.348),B476/P451*P451)),2)</f>
        <v>0</v>
      </c>
      <c r="C477" s="23">
        <f>ROUND(IFERROR(((LOOKUP(2,1/(B459=A477),((SUM(B472:B474)+SUM(F472:F474))/3)*C459))),0)+IFERROR(((LOOKUP(2,1/(E459=A477),(B478+F478)*F459))),0),2)</f>
        <v>0</v>
      </c>
      <c r="D477" s="23">
        <f>ROUND(IF(B477=0,0,D465/L447*P451),2)</f>
        <v>0</v>
      </c>
      <c r="E477" s="23">
        <f>ROUND(IF(B477=0,0,E465/N443*P451),2)</f>
        <v>0</v>
      </c>
      <c r="F477" s="24">
        <f>ROUND(IF(P451=0,0,IFERROR(((LOOKUP(2,1/(A454:A457=A477),H454:H457))/N443*P451),F476/P451*P451)),2)</f>
        <v>0</v>
      </c>
      <c r="G477" s="27">
        <f t="shared" si="52"/>
        <v>0</v>
      </c>
      <c r="H477" s="76">
        <f>ROUND(IF(SUM(B466:F476)&lt;(L481*11),IF((SUM(B466:F477))&gt;(L481*12),(((L481*12)-(SUM(B466:F477)-C476))*H465)+((SUM(B477:F477)-C476)*H465),SUM(B477:F477)*H465),IF(SUM(B466:F477)&gt;(L481*12),L481*H465,SUM(B477:F477)*H465)),2)</f>
        <v>0</v>
      </c>
      <c r="I477" s="76">
        <f>ROUND(IF(SUM(B466:F476)&lt;(L482*11),IF((SUM(B466:F477))&gt;(L482*12),(((L482*12)-(SUM(B466:F477)-C476))*I465)+((SUM(B477:F477)-C476)*I465),SUM(B477:F477)*I465),IF(SUM(B466:F477)&gt;(L482*12),L482*I465,SUM(B477:F477)*I465)),2)</f>
        <v>0</v>
      </c>
      <c r="J477" s="76">
        <f>ROUND(IF(SUM(B466:F476)&lt;(L482*11),IF((SUM(B466:F477))&gt;(L482*12),(((L482*12)-(SUM(B466:F477)-C476))*J465)+((SUM(B477:F477)-C476)*J465),SUM(B477:F477)*J465),IF(SUM(B466:F477)&gt;(L482*12),L482*J465,SUM(B477:F477)*J465)),2)</f>
        <v>0</v>
      </c>
      <c r="K477" s="76">
        <f>ROUND(IF(SUM(B466:F476)&lt;(L481*11),IF((SUM(B466:F477))&gt;(L481*12),(((L481*12)-(SUM(B466:F477)-C476))*K465)+((SUM(B477:F477)-C476)*K465),SUM(B477:F477)*K465),IF(SUM(B466:F477)&gt;(L481*12),L481*K465,SUM(B477:F477)*K465)),2)</f>
        <v>0</v>
      </c>
      <c r="L477" s="76">
        <f>ROUND(IF(SUM(B466:F476)&lt;(L482*11),IF((SUM(B466:F477))&gt;(L482*12),(((L482*12)-(SUM(B466:F477)-C477))*L465)+((SUM(B477:F477)-C477)*L465),(SUM(B477:F477)-C477)*L465),IF(SUM(B466:F477)&gt;(L482*12),L482*L465,SUM(B477:F477)*L465)),2)</f>
        <v>0</v>
      </c>
      <c r="M477" s="76">
        <f>ROUND(IF(SUM(B466:F476)&lt;(L482*11),IF((SUM(B466:F477))&gt;(L482*12),(((L482*12)-(SUM(B466:F477)-C477))*M465)+((SUM(B477:F477)-C477)*M465),(SUM(B477:F477)-C477)*M465),IF(SUM(B466:F477)&gt;(L482*12),L482*M465,SUM(B477:F477)*M465)),2)</f>
        <v>0</v>
      </c>
      <c r="N477" s="76">
        <f>ROUND(IF(SUM(B466:F476)&lt;(L482*11),IF((SUM(B466:F477))&gt;(L482*12),(((L482*12)-(SUM(B466:F477)-C476))*N465)+((SUM(B477:F477)-C476)*N465),SUM(B477:F477)*N465),IF(SUM(B466:F477)&gt;(L482*12),L482*N465,SUM(B477:F477)*N465)),2)</f>
        <v>0</v>
      </c>
      <c r="O477" s="23">
        <f>ROUND(SUM(B477+C477+F477)*O465,2)</f>
        <v>0</v>
      </c>
      <c r="P477" s="27">
        <f t="shared" si="53"/>
        <v>0</v>
      </c>
    </row>
    <row r="478" spans="1:16" s="14" customFormat="1" ht="15" x14ac:dyDescent="0.25">
      <c r="A478" s="4" t="s">
        <v>2</v>
      </c>
      <c r="B478" s="27">
        <f>SUM(B466:B477)</f>
        <v>0</v>
      </c>
      <c r="C478" s="27">
        <f t="shared" ref="C478:D478" si="54">SUM(C466:C477)</f>
        <v>0</v>
      </c>
      <c r="D478" s="27">
        <f t="shared" si="54"/>
        <v>0</v>
      </c>
      <c r="E478" s="27">
        <f>SUM(E466:E477)</f>
        <v>0</v>
      </c>
      <c r="F478" s="27">
        <f>SUM(F466:F477)</f>
        <v>0</v>
      </c>
      <c r="G478" s="27">
        <f>SUM(G466:G477)</f>
        <v>0</v>
      </c>
      <c r="H478" s="1133">
        <f>SUM(H466:N477)</f>
        <v>0</v>
      </c>
      <c r="I478" s="1134"/>
      <c r="J478" s="1134"/>
      <c r="K478" s="1134"/>
      <c r="L478" s="1134"/>
      <c r="M478" s="1134"/>
      <c r="N478" s="1135"/>
      <c r="O478" s="27">
        <f>SUM(O466:O477)</f>
        <v>0</v>
      </c>
      <c r="P478" s="27">
        <f>SUM(P466:P477)</f>
        <v>0</v>
      </c>
    </row>
    <row r="479" spans="1:16" s="13" customFormat="1" ht="11.25" x14ac:dyDescent="0.2">
      <c r="A479" s="3" t="s">
        <v>1</v>
      </c>
      <c r="B479" s="2"/>
      <c r="C479" s="2"/>
      <c r="D479" s="2"/>
      <c r="E479" s="2"/>
      <c r="F479" s="2"/>
      <c r="G479" s="2"/>
      <c r="H479" s="2"/>
      <c r="I479" s="2"/>
      <c r="J479" s="2"/>
      <c r="K479" s="2"/>
      <c r="L479" s="2"/>
      <c r="M479" s="2"/>
      <c r="N479" s="2"/>
      <c r="O479" s="2"/>
      <c r="P479" s="2"/>
    </row>
    <row r="480" spans="1:16" s="1" customFormat="1" ht="14.25" customHeight="1" x14ac:dyDescent="0.2">
      <c r="A480" s="1136" t="s">
        <v>133</v>
      </c>
      <c r="B480" s="1137"/>
      <c r="C480" s="1137"/>
      <c r="D480" s="1137" t="s">
        <v>134</v>
      </c>
      <c r="E480" s="1137"/>
      <c r="F480" s="94" t="str">
        <f>IF(IF(G478=0,"",'päd.Personal - Leitung'!$F$40)=0,"",IF(G478=0,"",'päd.Personal - Leitung'!$F$40))</f>
        <v/>
      </c>
      <c r="G480" s="77" t="s">
        <v>135</v>
      </c>
      <c r="H480" s="96" t="str">
        <f>IF(IF(G478=0,"",'päd.Personal - Leitung'!$H$40)=0,"",IF(G478=0,"",'päd.Personal - Leitung'!$H$40))</f>
        <v/>
      </c>
      <c r="I480" s="73"/>
      <c r="J480" s="194" t="s">
        <v>160</v>
      </c>
      <c r="K480" s="194" t="str">
        <f>$K$40</f>
        <v>2021</v>
      </c>
      <c r="L480" s="194" t="str">
        <f>$L$40</f>
        <v>anteilig 2021</v>
      </c>
      <c r="M480" s="1138" t="s">
        <v>140</v>
      </c>
      <c r="N480" s="1138"/>
      <c r="O480" s="1139"/>
      <c r="P480" s="27">
        <f>ROUND(IF(F480="",IF(E484="",0,(E484*H484/K484)/L447*L448),G478*F480*H480/1000),2)</f>
        <v>0</v>
      </c>
    </row>
    <row r="481" spans="1:16" s="1" customFormat="1" ht="15" customHeight="1" x14ac:dyDescent="0.2">
      <c r="A481" s="1140" t="s">
        <v>145</v>
      </c>
      <c r="B481" s="1141"/>
      <c r="C481" s="1141"/>
      <c r="D481" s="18"/>
      <c r="E481" s="107" t="s">
        <v>135</v>
      </c>
      <c r="F481" s="95" t="str">
        <f>IF(IF(G478=0,"",'päd.Personal - Leitung'!$F$41)=0,"",IF(G478=0,"",'päd.Personal - Leitung'!$F$41))</f>
        <v/>
      </c>
      <c r="G481" s="48"/>
      <c r="H481" s="47"/>
      <c r="I481" s="48"/>
      <c r="J481" s="195" t="s">
        <v>158</v>
      </c>
      <c r="K481" s="198">
        <f>$K$41</f>
        <v>4837.5</v>
      </c>
      <c r="L481" s="197">
        <f>IF(L447="",K481,K481/L447*L448)</f>
        <v>4837.5</v>
      </c>
      <c r="M481" s="1138" t="s">
        <v>139</v>
      </c>
      <c r="N481" s="1138"/>
      <c r="O481" s="1139"/>
      <c r="P481" s="27">
        <f>ROUND(IF(F481="",0,G478*F481/1000),2)</f>
        <v>0</v>
      </c>
    </row>
    <row r="482" spans="1:16" s="1" customFormat="1" ht="15.75" customHeight="1" x14ac:dyDescent="0.2">
      <c r="A482" s="1142" t="s">
        <v>141</v>
      </c>
      <c r="B482" s="1143"/>
      <c r="C482" s="1143"/>
      <c r="D482" s="1144" t="s">
        <v>143</v>
      </c>
      <c r="E482" s="1144"/>
      <c r="F482" s="1145" t="str">
        <f>IF(IF(G478=0,"",'päd.Personal - Leitung'!$F$42)=0,"",IF(G478=0,"",'päd.Personal - Leitung'!$F$42))</f>
        <v/>
      </c>
      <c r="G482" s="1145"/>
      <c r="H482" s="72"/>
      <c r="I482" s="18"/>
      <c r="J482" s="195" t="s">
        <v>159</v>
      </c>
      <c r="K482" s="197">
        <f>$K$42</f>
        <v>6700</v>
      </c>
      <c r="L482" s="197">
        <f>IF(L447="",K482,K482/L447*L448)</f>
        <v>6700</v>
      </c>
      <c r="M482" s="1138" t="s">
        <v>141</v>
      </c>
      <c r="N482" s="1138"/>
      <c r="O482" s="1139"/>
      <c r="P482" s="23">
        <f>ROUND(IF(F482="",0,IF(G478=0,0,F482/L447*L448)),2)</f>
        <v>0</v>
      </c>
    </row>
    <row r="483" spans="1:16" s="1" customFormat="1" ht="14.25" customHeight="1" x14ac:dyDescent="0.2">
      <c r="A483" s="18"/>
      <c r="B483" s="18"/>
      <c r="C483" s="18"/>
      <c r="D483" s="18"/>
      <c r="E483" s="18"/>
      <c r="F483" s="18"/>
      <c r="G483" s="18"/>
      <c r="H483" s="18"/>
      <c r="I483" s="18"/>
      <c r="J483" s="18"/>
      <c r="K483" s="74"/>
      <c r="L483" s="82"/>
      <c r="M483" s="1127" t="s">
        <v>146</v>
      </c>
      <c r="N483" s="1127"/>
      <c r="O483" s="1128"/>
      <c r="P483" s="23">
        <f>ROUND(IF(G478=0,0,$P$87),2)</f>
        <v>0</v>
      </c>
    </row>
    <row r="484" spans="1:16" s="1" customFormat="1" ht="14.25" customHeight="1" x14ac:dyDescent="0.2">
      <c r="A484" s="1129" t="s">
        <v>142</v>
      </c>
      <c r="B484" s="1130"/>
      <c r="C484" s="126" t="s">
        <v>136</v>
      </c>
      <c r="D484" s="179" t="s">
        <v>137</v>
      </c>
      <c r="E484" s="1131" t="str">
        <f>IF(IF(G478=0,"",'päd.Personal - Leitung'!$E$44)=0,"",IF(G478=0,"",'päd.Personal - Leitung'!$E$44))</f>
        <v/>
      </c>
      <c r="F484" s="1131"/>
      <c r="G484" s="83" t="s">
        <v>138</v>
      </c>
      <c r="H484" s="97" t="str">
        <f>IF(IF(G478=0,"",'päd.Personal - Leitung'!$H$44)=0,"",IF(G478=0,"",'päd.Personal - Leitung'!$H$44))</f>
        <v/>
      </c>
      <c r="I484" s="1132" t="s">
        <v>144</v>
      </c>
      <c r="J484" s="1132"/>
      <c r="K484" s="98" t="str">
        <f>IF(IF(G478=0,"",'päd.Personal - Leitung'!$K$44)=0,"",IF(G478=0,"",'päd.Personal - Leitung'!$K$44))</f>
        <v/>
      </c>
      <c r="L484" s="29"/>
      <c r="M484" s="29"/>
      <c r="N484" s="29"/>
      <c r="O484" s="28" t="s">
        <v>0</v>
      </c>
      <c r="P484" s="27">
        <f>P478+SUM(P480:P483)</f>
        <v>0</v>
      </c>
    </row>
    <row r="485" spans="1:16" s="12" customFormat="1" ht="13.5" customHeight="1" x14ac:dyDescent="0.2">
      <c r="A485" s="1178" t="s">
        <v>18</v>
      </c>
      <c r="B485" s="1178"/>
      <c r="C485" s="1178"/>
      <c r="D485" s="1179" t="str">
        <f>IF($D$1="","",$D$1)</f>
        <v/>
      </c>
      <c r="E485" s="1179"/>
      <c r="F485" s="1179"/>
      <c r="G485" s="1179"/>
      <c r="H485" s="1179"/>
      <c r="I485" s="1179"/>
      <c r="J485" s="1179"/>
      <c r="K485" s="1179"/>
      <c r="L485" s="1179"/>
      <c r="M485" s="1179"/>
      <c r="N485" s="1179"/>
    </row>
    <row r="486" spans="1:16" s="12" customFormat="1" ht="15" customHeight="1" x14ac:dyDescent="0.2">
      <c r="A486" s="1178" t="s">
        <v>17</v>
      </c>
      <c r="B486" s="1178"/>
      <c r="C486" s="1178" t="s">
        <v>15</v>
      </c>
      <c r="D486" s="1179" t="str">
        <f>IF($D$2="","",$D$2)</f>
        <v/>
      </c>
      <c r="E486" s="1179"/>
      <c r="F486" s="1179"/>
      <c r="G486" s="1179"/>
      <c r="H486" s="1179"/>
      <c r="I486" s="1179"/>
      <c r="J486" s="1179"/>
      <c r="K486" s="1179"/>
      <c r="L486" s="1179"/>
      <c r="M486" s="1179"/>
      <c r="N486" s="1179"/>
    </row>
    <row r="487" spans="1:16" s="12" customFormat="1" ht="15" customHeight="1" x14ac:dyDescent="0.2">
      <c r="A487" s="1178" t="s">
        <v>16</v>
      </c>
      <c r="B487" s="1178"/>
      <c r="C487" s="1178" t="s">
        <v>15</v>
      </c>
      <c r="D487" s="1179" t="str">
        <f>IF($D$3="","",$D$3)</f>
        <v/>
      </c>
      <c r="E487" s="1179"/>
      <c r="F487" s="1179"/>
      <c r="G487" s="1179"/>
      <c r="H487" s="1179"/>
      <c r="I487" s="1179"/>
      <c r="J487" s="1179"/>
      <c r="K487" s="1178" t="s">
        <v>103</v>
      </c>
      <c r="L487" s="1178"/>
      <c r="M487" s="1178"/>
      <c r="N487" s="41" t="str">
        <f>IF($N$3="","",$N$3)</f>
        <v/>
      </c>
    </row>
    <row r="488" spans="1:16" s="13" customFormat="1" ht="11.25" x14ac:dyDescent="0.2">
      <c r="A488" s="1182"/>
      <c r="B488" s="1182"/>
      <c r="C488" s="1182"/>
      <c r="D488" s="1183"/>
      <c r="E488" s="1183"/>
      <c r="F488" s="1183"/>
      <c r="G488" s="1183"/>
      <c r="H488" s="1183"/>
      <c r="I488" s="1183"/>
      <c r="J488" s="1183"/>
      <c r="K488" s="11"/>
      <c r="L488" s="11"/>
      <c r="M488" s="11"/>
      <c r="N488" s="11"/>
      <c r="O488" s="11"/>
      <c r="P488" s="11"/>
    </row>
    <row r="489" spans="1:16" s="15" customFormat="1" ht="13.5" customHeight="1" x14ac:dyDescent="0.2">
      <c r="A489" s="1177" t="s">
        <v>166</v>
      </c>
      <c r="B489" s="1177"/>
      <c r="C489" s="1177"/>
      <c r="D489" s="1177"/>
      <c r="E489" s="1177"/>
      <c r="F489" s="1177"/>
      <c r="G489" s="1177"/>
      <c r="H489" s="1177"/>
      <c r="I489" s="1177"/>
      <c r="J489" s="1177"/>
      <c r="K489" s="9"/>
      <c r="L489" s="9"/>
      <c r="M489" s="9"/>
      <c r="N489" s="59" t="s">
        <v>154</v>
      </c>
      <c r="O489" s="191">
        <f>$O$5</f>
        <v>2022</v>
      </c>
      <c r="P489" s="59" t="s">
        <v>154</v>
      </c>
    </row>
    <row r="490" spans="1:16" s="10" customFormat="1" ht="13.5" customHeight="1" x14ac:dyDescent="0.25">
      <c r="B490" s="32"/>
      <c r="C490" s="32"/>
      <c r="D490" s="5" t="s">
        <v>48</v>
      </c>
      <c r="E490" s="31"/>
      <c r="F490" s="31"/>
      <c r="G490" s="31"/>
      <c r="H490" s="31"/>
      <c r="I490" s="26"/>
      <c r="J490" s="1174" t="s">
        <v>14</v>
      </c>
      <c r="K490" s="1174"/>
      <c r="L490" s="180"/>
      <c r="N490" s="84">
        <f>IF(L492="","",L492)</f>
        <v>0</v>
      </c>
      <c r="O490" s="58" t="str">
        <f>$O$6</f>
        <v>Jan                Jul</v>
      </c>
      <c r="P490" s="85">
        <f>IF(N495="","",N495)</f>
        <v>0</v>
      </c>
    </row>
    <row r="491" spans="1:16" s="7" customFormat="1" ht="13.5" customHeight="1" x14ac:dyDescent="0.25">
      <c r="A491" s="1180" t="s">
        <v>71</v>
      </c>
      <c r="B491" s="1180"/>
      <c r="C491" s="1180"/>
      <c r="D491" s="1184"/>
      <c r="E491" s="1184"/>
      <c r="F491" s="1184"/>
      <c r="G491" s="1184"/>
      <c r="H491" s="1184"/>
      <c r="I491" s="1184"/>
      <c r="J491" s="1174" t="s">
        <v>104</v>
      </c>
      <c r="K491" s="1174"/>
      <c r="L491" s="145"/>
      <c r="N491" s="85">
        <f>IF(N490="","",N490)</f>
        <v>0</v>
      </c>
      <c r="O491" s="58" t="str">
        <f>$O$7</f>
        <v>Feb              Aug</v>
      </c>
      <c r="P491" s="85">
        <f>IF(P490="","",P490)</f>
        <v>0</v>
      </c>
    </row>
    <row r="492" spans="1:16" s="1" customFormat="1" ht="13.5" customHeight="1" x14ac:dyDescent="0.2">
      <c r="A492" s="1180" t="s">
        <v>13</v>
      </c>
      <c r="B492" s="1180"/>
      <c r="C492" s="1180"/>
      <c r="D492" s="1181"/>
      <c r="E492" s="1181"/>
      <c r="F492" s="1181"/>
      <c r="G492" s="1181"/>
      <c r="H492" s="1181"/>
      <c r="I492" s="1181"/>
      <c r="J492" s="1174" t="s">
        <v>164</v>
      </c>
      <c r="K492" s="1174"/>
      <c r="L492" s="145">
        <f>IF((L493+L494)&gt;L491,0,L491-L493-L494)</f>
        <v>0</v>
      </c>
      <c r="N492" s="85">
        <f>IF(N491="","",N491)</f>
        <v>0</v>
      </c>
      <c r="O492" s="58" t="str">
        <f>$O$8</f>
        <v>Mrz              Sep</v>
      </c>
      <c r="P492" s="85">
        <f>IF(P491="","",P491)</f>
        <v>0</v>
      </c>
    </row>
    <row r="493" spans="1:16" s="1" customFormat="1" ht="13.5" customHeight="1" x14ac:dyDescent="0.2">
      <c r="A493" s="1180" t="s">
        <v>12</v>
      </c>
      <c r="B493" s="1180"/>
      <c r="C493" s="1180"/>
      <c r="D493" s="1181"/>
      <c r="E493" s="1181"/>
      <c r="F493" s="1181"/>
      <c r="G493" s="1181"/>
      <c r="H493" s="1181"/>
      <c r="I493" s="1181"/>
      <c r="J493" s="1174" t="s">
        <v>165</v>
      </c>
      <c r="K493" s="1174"/>
      <c r="L493" s="145"/>
      <c r="N493" s="85">
        <f>IF(N492="","",N492)</f>
        <v>0</v>
      </c>
      <c r="O493" s="58" t="str">
        <f>$O$9</f>
        <v>Apr               Okt</v>
      </c>
      <c r="P493" s="85">
        <f t="shared" ref="P493:P495" si="55">IF(P492="","",P492)</f>
        <v>0</v>
      </c>
    </row>
    <row r="494" spans="1:16" s="1" customFormat="1" ht="13.5" customHeight="1" x14ac:dyDescent="0.2">
      <c r="A494" s="1180" t="s">
        <v>19</v>
      </c>
      <c r="B494" s="1180"/>
      <c r="C494" s="1180"/>
      <c r="D494" s="1181"/>
      <c r="E494" s="1181"/>
      <c r="F494" s="1181"/>
      <c r="G494" s="1181"/>
      <c r="H494" s="1181"/>
      <c r="I494" s="1181"/>
      <c r="J494" s="1174" t="s">
        <v>252</v>
      </c>
      <c r="K494" s="1174"/>
      <c r="L494" s="145"/>
      <c r="M494" s="92"/>
      <c r="N494" s="85">
        <f>IF(N493="","",N493)</f>
        <v>0</v>
      </c>
      <c r="O494" s="58" t="str">
        <f>$O$10</f>
        <v>Mai               Nov</v>
      </c>
      <c r="P494" s="85">
        <f t="shared" si="55"/>
        <v>0</v>
      </c>
    </row>
    <row r="495" spans="1:16" s="1" customFormat="1" ht="13.5" customHeight="1" x14ac:dyDescent="0.2">
      <c r="B495" s="8"/>
      <c r="C495" s="121" t="s">
        <v>162</v>
      </c>
      <c r="D495" s="1175"/>
      <c r="E495" s="1175"/>
      <c r="F495" s="1176" t="s">
        <v>106</v>
      </c>
      <c r="G495" s="1176"/>
      <c r="H495" s="1186"/>
      <c r="I495" s="1186"/>
      <c r="J495" s="1174" t="s">
        <v>97</v>
      </c>
      <c r="K495" s="1174"/>
      <c r="L495" s="17" t="str">
        <f>IF(IF((COUNTIF(B510:B521,"&gt;0"))=0,0,(COUNTIF(B510:B521,"&gt;0")))&gt;Grundlagen!$C$24,Grundlagen!$C$24,IF((COUNTIF(B510:B521,"&gt;0"))=0,"",(COUNTIF(B510:B521,"&gt;0"))))</f>
        <v/>
      </c>
      <c r="N495" s="85">
        <f>IF(N494="","",N494)</f>
        <v>0</v>
      </c>
      <c r="O495" s="58" t="str">
        <f>'päd.Personal - Leitung'!$O$11</f>
        <v>Jun               Dez</v>
      </c>
      <c r="P495" s="85">
        <f t="shared" si="55"/>
        <v>0</v>
      </c>
    </row>
    <row r="496" spans="1:16" s="1" customFormat="1" ht="13.5" customHeight="1" x14ac:dyDescent="0.2">
      <c r="I496" s="6"/>
      <c r="L496" s="147" t="str">
        <f>IF((SUM(F498:F501))=0,"",IF(P496&gt;L492,L492,IF(L492="","",IF(L495="","",P496))))</f>
        <v/>
      </c>
      <c r="O496" s="174" t="s">
        <v>251</v>
      </c>
      <c r="P496" s="175">
        <f>IF(L495="",0,((IF(SUMIF(B510,"&gt;0"),N490,0))+(IF(SUMIF(B511,"&gt;0"),N491,0))+(IF(SUMIF(B512,"&gt;0"),N492,0))+(IF(SUMIF(B513,"&gt;0"),N493,0))+(IF(SUMIF(B514,"&gt;0"),N494,0))+(IF(SUMIF(B515,"&gt;0"),N495,0))+(IF(SUMIF(B516,"&gt;0"),P490,0))+(IF(SUMIF(B517,"&gt;0"),P491,0))+(IF(SUMIF(B518,"&gt;0"),P492,0))+(IF(SUMIF(B519,"&gt;0"),P493,0))+(IF(SUMIF(B520,"&gt;0"),P494,0))+(IF(SUMIF(B521,"&gt;0"),P495,0)))/Grundlagen!$C$24)</f>
        <v>0</v>
      </c>
    </row>
    <row r="497" spans="1:16" s="52" customFormat="1" ht="13.5" customHeight="1" x14ac:dyDescent="0.2">
      <c r="A497" s="61" t="s">
        <v>148</v>
      </c>
      <c r="B497" s="1168" t="s">
        <v>149</v>
      </c>
      <c r="C497" s="1168"/>
      <c r="D497" s="62" t="s">
        <v>150</v>
      </c>
      <c r="E497" s="63" t="s">
        <v>151</v>
      </c>
      <c r="F497" s="64" t="str">
        <f>CONCATENATE("Entg. ",N487," h/Wo")</f>
        <v>Entg.  h/Wo</v>
      </c>
      <c r="G497" s="65" t="s">
        <v>152</v>
      </c>
      <c r="H497" s="65" t="s">
        <v>153</v>
      </c>
      <c r="K497" s="1169" t="str">
        <f>CONCATENATE("Zuschläge / Zulagen für ",N487,"h/Wo")</f>
        <v>Zuschläge / Zulagen für h/Wo</v>
      </c>
      <c r="L497" s="1169"/>
      <c r="M497" s="66" t="str">
        <f>IF(A498="","",A498)</f>
        <v>Jan 2022</v>
      </c>
      <c r="N497" s="66" t="str">
        <f>IF(A499="","",A499)</f>
        <v/>
      </c>
      <c r="O497" s="66" t="str">
        <f>IF(A500="","",A500)</f>
        <v/>
      </c>
      <c r="P497" s="66" t="str">
        <f>IF(A501="","",A501)</f>
        <v/>
      </c>
    </row>
    <row r="498" spans="1:16" s="52" customFormat="1" ht="13.5" customHeight="1" x14ac:dyDescent="0.25">
      <c r="A498" s="54" t="str">
        <f>A510</f>
        <v>Jan 2022</v>
      </c>
      <c r="B498" s="1170" t="str">
        <f>IF($D$3="","",$D$3)</f>
        <v/>
      </c>
      <c r="C498" s="1171"/>
      <c r="D498" s="181"/>
      <c r="E498" s="181"/>
      <c r="F498" s="87"/>
      <c r="G498" s="56">
        <f>IF(N487="",0,F498/N487/4.348)</f>
        <v>0</v>
      </c>
      <c r="H498" s="53">
        <f>IF(G498=0,0,M503)</f>
        <v>0</v>
      </c>
      <c r="K498" s="1146"/>
      <c r="L498" s="1146"/>
      <c r="M498" s="172"/>
      <c r="N498" s="172"/>
      <c r="O498" s="172"/>
      <c r="P498" s="172"/>
    </row>
    <row r="499" spans="1:16" s="52" customFormat="1" ht="13.5" customHeight="1" x14ac:dyDescent="0.25">
      <c r="A499" s="55"/>
      <c r="B499" s="1172" t="str">
        <f>IF(A499="","",B498)</f>
        <v/>
      </c>
      <c r="C499" s="1173"/>
      <c r="D499" s="181"/>
      <c r="E499" s="181"/>
      <c r="F499" s="87"/>
      <c r="G499" s="56">
        <f>IF(N487="",0,F499/N487/4.348)</f>
        <v>0</v>
      </c>
      <c r="H499" s="53">
        <f>IF(G499=0,0,N503)</f>
        <v>0</v>
      </c>
      <c r="K499" s="1146"/>
      <c r="L499" s="1146"/>
      <c r="M499" s="172"/>
      <c r="N499" s="172"/>
      <c r="O499" s="172"/>
      <c r="P499" s="172"/>
    </row>
    <row r="500" spans="1:16" s="52" customFormat="1" ht="13.5" customHeight="1" x14ac:dyDescent="0.25">
      <c r="A500" s="55"/>
      <c r="B500" s="1172" t="str">
        <f>IF(A500="","",B499)</f>
        <v/>
      </c>
      <c r="C500" s="1173"/>
      <c r="D500" s="181"/>
      <c r="E500" s="181"/>
      <c r="F500" s="87"/>
      <c r="G500" s="56">
        <f>IF(N487="",0,F500/N487/4.348)</f>
        <v>0</v>
      </c>
      <c r="H500" s="53">
        <f>IF(G500=0,0,O503)</f>
        <v>0</v>
      </c>
      <c r="K500" s="1146"/>
      <c r="L500" s="1146"/>
      <c r="M500" s="172"/>
      <c r="N500" s="172"/>
      <c r="O500" s="172"/>
      <c r="P500" s="172"/>
    </row>
    <row r="501" spans="1:16" s="52" customFormat="1" ht="13.5" customHeight="1" x14ac:dyDescent="0.25">
      <c r="A501" s="55"/>
      <c r="B501" s="1172" t="str">
        <f>IF(A501="","",B500)</f>
        <v/>
      </c>
      <c r="C501" s="1173"/>
      <c r="D501" s="181"/>
      <c r="E501" s="181"/>
      <c r="F501" s="87"/>
      <c r="G501" s="56">
        <f>IF(N487="",0,F501/N487/4.348)</f>
        <v>0</v>
      </c>
      <c r="H501" s="53">
        <f>IF(G501=0,0,P503)</f>
        <v>0</v>
      </c>
      <c r="K501" s="1146"/>
      <c r="L501" s="1146"/>
      <c r="M501" s="172"/>
      <c r="N501" s="172"/>
      <c r="O501" s="172"/>
      <c r="P501" s="172"/>
    </row>
    <row r="502" spans="1:16" s="52" customFormat="1" ht="13.5" customHeight="1" x14ac:dyDescent="0.25">
      <c r="B502" s="1167" t="s">
        <v>157</v>
      </c>
      <c r="C502" s="1167"/>
      <c r="E502" s="1167" t="s">
        <v>156</v>
      </c>
      <c r="F502" s="1167"/>
      <c r="J502" s="69"/>
      <c r="K502" s="1146"/>
      <c r="L502" s="1146"/>
      <c r="M502" s="172"/>
      <c r="N502" s="172"/>
      <c r="O502" s="172"/>
      <c r="P502" s="172"/>
    </row>
    <row r="503" spans="1:16" s="52" customFormat="1" ht="13.5" customHeight="1" x14ac:dyDescent="0.25">
      <c r="A503" s="70" t="s">
        <v>167</v>
      </c>
      <c r="B503" s="67"/>
      <c r="C503" s="99" t="str">
        <f>IF(C459="","",C459)</f>
        <v/>
      </c>
      <c r="D503" s="70" t="s">
        <v>167</v>
      </c>
      <c r="E503" s="67"/>
      <c r="F503" s="99" t="str">
        <f>IF(F459="","",F459)</f>
        <v/>
      </c>
      <c r="J503" s="68"/>
      <c r="M503" s="173">
        <f>SUM(M498:M502)</f>
        <v>0</v>
      </c>
      <c r="N503" s="173">
        <f t="shared" ref="N503:P503" si="56">SUM(N498:N502)</f>
        <v>0</v>
      </c>
      <c r="O503" s="173">
        <f t="shared" si="56"/>
        <v>0</v>
      </c>
      <c r="P503" s="173">
        <f t="shared" si="56"/>
        <v>0</v>
      </c>
    </row>
    <row r="504" spans="1:16" s="52" customFormat="1" ht="13.5" customHeight="1" x14ac:dyDescent="0.2">
      <c r="A504" s="60" t="s">
        <v>155</v>
      </c>
    </row>
    <row r="505" spans="1:16" s="1" customFormat="1" ht="14.25" customHeight="1" x14ac:dyDescent="0.2">
      <c r="A505" s="1147"/>
      <c r="B505" s="1149" t="s">
        <v>9</v>
      </c>
      <c r="C505" s="1150"/>
      <c r="D505" s="1150"/>
      <c r="E505" s="1150"/>
      <c r="F505" s="1150"/>
      <c r="G505" s="1151"/>
      <c r="H505" s="1152" t="s">
        <v>119</v>
      </c>
      <c r="I505" s="1153"/>
      <c r="J505" s="1153"/>
      <c r="K505" s="1153"/>
      <c r="L505" s="1153"/>
      <c r="M505" s="1153"/>
      <c r="N505" s="1153"/>
      <c r="O505" s="33"/>
      <c r="P505" s="1154" t="s">
        <v>0</v>
      </c>
    </row>
    <row r="506" spans="1:16" s="1" customFormat="1" ht="14.25" customHeight="1" x14ac:dyDescent="0.2">
      <c r="A506" s="1148"/>
      <c r="B506" s="1157" t="s">
        <v>117</v>
      </c>
      <c r="C506" s="124" t="s">
        <v>115</v>
      </c>
      <c r="D506" s="1159" t="s">
        <v>277</v>
      </c>
      <c r="E506" s="1161" t="s">
        <v>147</v>
      </c>
      <c r="F506" s="127" t="s">
        <v>7</v>
      </c>
      <c r="G506" s="1162" t="s">
        <v>6</v>
      </c>
      <c r="H506" s="1161" t="s">
        <v>129</v>
      </c>
      <c r="I506" s="1161" t="s">
        <v>5</v>
      </c>
      <c r="J506" s="1161" t="s">
        <v>4</v>
      </c>
      <c r="K506" s="1161" t="s">
        <v>3</v>
      </c>
      <c r="L506" s="1161" t="s">
        <v>121</v>
      </c>
      <c r="M506" s="1161" t="s">
        <v>122</v>
      </c>
      <c r="N506" s="1161" t="s">
        <v>123</v>
      </c>
      <c r="O506" s="1160" t="s">
        <v>114</v>
      </c>
      <c r="P506" s="1155"/>
    </row>
    <row r="507" spans="1:16" s="1" customFormat="1" ht="14.25" customHeight="1" x14ac:dyDescent="0.2">
      <c r="A507" s="1148"/>
      <c r="B507" s="1157"/>
      <c r="C507" s="21" t="str">
        <f>IF(C503="","",C503)</f>
        <v/>
      </c>
      <c r="D507" s="1160"/>
      <c r="E507" s="1161"/>
      <c r="F507" s="1165" t="str">
        <f>IF(H498=0,"","siehe Zuschläge / Zulagen")</f>
        <v/>
      </c>
      <c r="G507" s="1162"/>
      <c r="H507" s="1164" t="s">
        <v>127</v>
      </c>
      <c r="I507" s="1164"/>
      <c r="J507" s="1164"/>
      <c r="K507" s="1164"/>
      <c r="L507" s="1164"/>
      <c r="M507" s="1164"/>
      <c r="N507" s="1164"/>
      <c r="O507" s="1160"/>
      <c r="P507" s="1155"/>
    </row>
    <row r="508" spans="1:16" s="1" customFormat="1" x14ac:dyDescent="0.2">
      <c r="A508" s="1148"/>
      <c r="B508" s="1157"/>
      <c r="C508" s="122" t="s">
        <v>70</v>
      </c>
      <c r="D508" s="1160"/>
      <c r="E508" s="1161"/>
      <c r="F508" s="1165"/>
      <c r="G508" s="1162"/>
      <c r="H508" s="43" t="s">
        <v>128</v>
      </c>
      <c r="I508" s="43" t="s">
        <v>255</v>
      </c>
      <c r="J508" s="43" t="s">
        <v>256</v>
      </c>
      <c r="K508" s="43" t="s">
        <v>257</v>
      </c>
      <c r="L508" s="43"/>
      <c r="M508" s="43"/>
      <c r="N508" s="43" t="s">
        <v>254</v>
      </c>
      <c r="O508" s="1160"/>
      <c r="P508" s="1155"/>
    </row>
    <row r="509" spans="1:16" s="1" customFormat="1" x14ac:dyDescent="0.2">
      <c r="A509" s="1148"/>
      <c r="B509" s="1158"/>
      <c r="C509" s="21" t="str">
        <f>IF(F503="","",F503)</f>
        <v/>
      </c>
      <c r="D509" s="51"/>
      <c r="E509" s="51"/>
      <c r="F509" s="1166"/>
      <c r="G509" s="1163"/>
      <c r="H509" s="93"/>
      <c r="I509" s="139">
        <f>$I$69</f>
        <v>0</v>
      </c>
      <c r="J509" s="139">
        <f>$J$69</f>
        <v>0</v>
      </c>
      <c r="K509" s="44">
        <f>$K$69</f>
        <v>0</v>
      </c>
      <c r="L509" s="21"/>
      <c r="M509" s="21"/>
      <c r="N509" s="139">
        <f>$N$69</f>
        <v>0</v>
      </c>
      <c r="O509" s="21">
        <f>O465</f>
        <v>0</v>
      </c>
      <c r="P509" s="1156"/>
    </row>
    <row r="510" spans="1:16" s="1" customFormat="1" x14ac:dyDescent="0.2">
      <c r="A510" s="100" t="str">
        <f>$A$26</f>
        <v>Jan 2022</v>
      </c>
      <c r="B510" s="24">
        <f>ROUND(IF(N490=0,0,(LOOKUP(2,1/(A498:A501=A510),G498:G501))*N490*4.348),2)</f>
        <v>0</v>
      </c>
      <c r="C510" s="23">
        <f>ROUND(IFERROR(((LOOKUP(2,1/(B503=A510),((SUM(B516:B518)+SUM(F516:F518))/3)*C503))),0)+IFERROR(((LOOKUP(2,1/(E503=A510),(B522+F522)*F503))),0),2)</f>
        <v>0</v>
      </c>
      <c r="D510" s="23">
        <f>ROUND(IF(B510=0,0,D509/L491*N490),2)</f>
        <v>0</v>
      </c>
      <c r="E510" s="23">
        <f>ROUND(IF(B510=0,0,E509/N487*N490),2)</f>
        <v>0</v>
      </c>
      <c r="F510" s="24">
        <f>ROUND(IF(N490=0,0,(LOOKUP(2,1/(A498:A501=A510),H498:H501))/N487*N490),2)</f>
        <v>0</v>
      </c>
      <c r="G510" s="27">
        <f>SUM(B510+C510+E510+F510)</f>
        <v>0</v>
      </c>
      <c r="H510" s="76">
        <f>ROUND(IF((SUM(B510:F510))&gt;L525,L525*H509,SUM(B510:F510)*H509),2)</f>
        <v>0</v>
      </c>
      <c r="I510" s="76">
        <f>ROUND(IF((SUM(B510:F510))&gt;L526,L526*I509,SUM(B510:F510)*I509),2)</f>
        <v>0</v>
      </c>
      <c r="J510" s="76">
        <f>ROUND(IF((SUM(B510:F510))&gt;L526,L526*J509,SUM(B510:F510)*J509),2)</f>
        <v>0</v>
      </c>
      <c r="K510" s="76">
        <f>ROUND(IF((SUM(B510:F510))&gt;L525,L525*K509,SUM(B510:F510)*K509),2)</f>
        <v>0</v>
      </c>
      <c r="L510" s="76">
        <f>ROUND(IF((SUM(B510:F510))&gt;L526,L526*L509,(SUM(B510:F510)-C510)*L509),2)</f>
        <v>0</v>
      </c>
      <c r="M510" s="76">
        <f>ROUND(IF((SUM(B510:F510))&gt;L526,L526*M509,(SUM(B510:F510)-C510)*M509),2)</f>
        <v>0</v>
      </c>
      <c r="N510" s="76">
        <f>ROUND(IF((SUM(B510:F510))&gt;L526,L526*N509,SUM(B510:F510)*N509),2)</f>
        <v>0</v>
      </c>
      <c r="O510" s="23">
        <f>ROUND(SUM(B510+C510+F510)*O509,2)</f>
        <v>0</v>
      </c>
      <c r="P510" s="27">
        <f>SUM(G510:O510)</f>
        <v>0</v>
      </c>
    </row>
    <row r="511" spans="1:16" s="1" customFormat="1" x14ac:dyDescent="0.2">
      <c r="A511" s="100" t="str">
        <f>$A$27</f>
        <v>Feb 2022</v>
      </c>
      <c r="B511" s="24">
        <f>ROUND(IF(N491=0,0,IFERROR(((LOOKUP(2,1/(A498:A501=A511),G498:G501))*N491*4.348),B510/N491*N491)),2)</f>
        <v>0</v>
      </c>
      <c r="C511" s="23">
        <f>ROUND(IFERROR(((LOOKUP(2,1/(B503=A511),((SUM(B516:B518)+SUM(F516:F518))/3)*C503))),0)+IFERROR(((LOOKUP(2,1/(E503=A511),(B522+F522)*F503))),0),2)</f>
        <v>0</v>
      </c>
      <c r="D511" s="23">
        <f>ROUND(IF(B511=0,0,D509/L491*N491),2)</f>
        <v>0</v>
      </c>
      <c r="E511" s="23">
        <f>ROUND(IF(B511=0,0,E509/N487*N491),2)</f>
        <v>0</v>
      </c>
      <c r="F511" s="24">
        <f>ROUND(IF(N491=0,0,IFERROR(((LOOKUP(2,1/(A498:A501=A511),H498:H501))/N487*N491),F510/N491*N491)),2)</f>
        <v>0</v>
      </c>
      <c r="G511" s="27">
        <f t="shared" ref="G511:G521" si="57">SUM(B511+C511+E511+F511)</f>
        <v>0</v>
      </c>
      <c r="H511" s="76">
        <f>ROUND(IF(SUM(B510:F510)&lt;(L525*1),IF((SUM(B510:F511))&gt;(L525*2),(((L525*2)-(SUM(B510:F511)-C510))*H509)+((SUM(B511:F511)-C510)*H509),SUM(B511:F511)*H509),IF(SUM(B510:F511)&gt;(L525*2),L525*H509,SUM(B511:F511)*H509)),2)</f>
        <v>0</v>
      </c>
      <c r="I511" s="76">
        <f>ROUND(IF(SUM(B510:F510)&lt;(L526*1),IF((SUM(B510:F511))&gt;(L526*2),(((L526*2)-(SUM(B510:F511)-C510))*I509)+((SUM(B511:F511)-C510)*I509),SUM(B511:F511)*I509),IF(SUM(B510:F511)&gt;(L526*2),L526*I509,SUM(B511:F511)*I509)),2)</f>
        <v>0</v>
      </c>
      <c r="J511" s="76">
        <f>ROUND(IF(SUM(B510:F510)&lt;(L526*1),IF((SUM(B510:F511))&gt;(L526*2),(((L526*2)-(SUM(B510:F511)-C510))*J509)+((SUM(B511:F511)-C510)*J509),SUM(B511:F511)*J509),IF(SUM(B510:F511)&gt;(L526*2),L526*J509,SUM(B511:F511)*J509)),2)</f>
        <v>0</v>
      </c>
      <c r="K511" s="76">
        <f>ROUND(IF(SUM(B510:F510)&lt;(L525*1),IF((SUM(B510:F511))&gt;(L525*2),(((L525*2)-(SUM(B510:F511)-C510))*K509)+((SUM(B511:F511)-C510)*K509),SUM(B511:F511)*K509),IF(SUM(B510:F511)&gt;(L525*2),L525*K509,SUM(B511:F511)*K509)),2)</f>
        <v>0</v>
      </c>
      <c r="L511" s="76">
        <f>ROUND(IF(SUM(B510:F510)&lt;(L526*1),IF((SUM(B510:F511))&gt;(L526*2),(((L526*2)-(SUM(B510:F511)-C511))*L509)+((SUM(B511:F511)-C511)*L509),(SUM(B511:F511)-C511)*L509),IF(SUM(B510:F511)&gt;(L526*2),L526*L509,SUM(B511:F511)*L509)),2)</f>
        <v>0</v>
      </c>
      <c r="M511" s="76">
        <f>ROUND(IF(SUM(B510:F510)&lt;(L526*1),IF((SUM(B510:F511))&gt;(L526*2),(((L526*2)-(SUM(B510:F511)-C511))*M509)+((SUM(B511:F511)-C511)*M509),(SUM(B511:F511)-C511)*M509),IF(SUM(B510:F511)&gt;(L526*2),L526*M509,SUM(B511:F511)*M509)),2)</f>
        <v>0</v>
      </c>
      <c r="N511" s="76">
        <f>ROUND(IF(SUM(B510:F510)&lt;(L526*1),IF((SUM(B510:F511))&gt;(L526*2),(((L526*2)-(SUM(B510:F511)-C510))*N509)+((SUM(B511:F511)-C510)*N509),SUM(B511:F511)*N509),IF(SUM(B510:F511)&gt;(L526*2),L526*N509,SUM(B511:F511)*N509)),2)</f>
        <v>0</v>
      </c>
      <c r="O511" s="23">
        <f>ROUND(SUM(B511+C511+F511)*O509,2)</f>
        <v>0</v>
      </c>
      <c r="P511" s="27">
        <f>SUM(G511:O511)</f>
        <v>0</v>
      </c>
    </row>
    <row r="512" spans="1:16" s="1" customFormat="1" x14ac:dyDescent="0.2">
      <c r="A512" s="100" t="str">
        <f>$A$28</f>
        <v>Mrz 2022</v>
      </c>
      <c r="B512" s="24">
        <f>ROUND(IF(N492=0,0,IFERROR(((LOOKUP(2,1/(A498:A501=A512),G498:G501))*N492*4.348),B511/N492*N492)),2)</f>
        <v>0</v>
      </c>
      <c r="C512" s="23">
        <f>ROUND(IFERROR(((LOOKUP(2,1/(B503=A512),((SUM(B516:B518)+SUM(F516:F518))/3)*C503))),0)+IFERROR(((LOOKUP(2,1/(E503=A512),(B522+F522)*F503))),0),2)</f>
        <v>0</v>
      </c>
      <c r="D512" s="23">
        <f>ROUND(IF(B512=0,0,D509/L491*N492),2)</f>
        <v>0</v>
      </c>
      <c r="E512" s="23">
        <f>ROUND(IF(B512=0,0,E509/N487*N492),2)</f>
        <v>0</v>
      </c>
      <c r="F512" s="24">
        <f>ROUND(IF(N492=0,0,IFERROR(((LOOKUP(2,1/(A498:A501=A512),H498:H501))/N487*N492),F511/N492*N492)),2)</f>
        <v>0</v>
      </c>
      <c r="G512" s="27">
        <f t="shared" si="57"/>
        <v>0</v>
      </c>
      <c r="H512" s="76">
        <f>ROUND(IF(SUM(B510:F511)&lt;(L525*2),IF((SUM(B510:F512))&gt;(L525*3),(((L525*3)-(SUM(B510:F512)-C511))*H509)+((SUM(B512:F512)-C511)*H509),SUM(B512:F512)*H509),IF(SUM(B510:F512)&gt;(L525*3),L525*H509,SUM(B512:F512)*H509)),2)</f>
        <v>0</v>
      </c>
      <c r="I512" s="76">
        <f>ROUND(IF(SUM(B510:F511)&lt;(L526*2),IF((SUM(B510:F512))&gt;(L526*3),(((L526*3)-(SUM(B510:F512)-C511))*I509)+((SUM(B512:F512)-C511)*I509),SUM(B512:F512)*I509),IF(SUM(B510:F512)&gt;(L526*3),L526*I509,SUM(B512:F512)*I509)),2)</f>
        <v>0</v>
      </c>
      <c r="J512" s="76">
        <f>ROUND(IF(SUM(B510:F511)&lt;(L526*2),IF((SUM(B510:F512))&gt;(L526*3),(((L526*3)-(SUM(B510:F512)-C511))*J509)+((SUM(B512:F512)-C511)*J509),SUM(B512:F512)*J509),IF(SUM(B510:F512)&gt;(L526*3),L526*J509,SUM(B512:F512)*J509)),2)</f>
        <v>0</v>
      </c>
      <c r="K512" s="76">
        <f>ROUND(IF(SUM(B510:F511)&lt;(L525*2),IF((SUM(B510:F512))&gt;(L525*3),(((L525*3)-(SUM(B510:F512)-C511))*K509)+((SUM(B512:F512)-C511)*K509),SUM(B512:F512)*K509),IF(SUM(B510:F512)&gt;(L525*3),L525*K509,SUM(B512:F512)*K509)),2)</f>
        <v>0</v>
      </c>
      <c r="L512" s="76">
        <f>ROUND(IF(SUM(B510:F511)&lt;(L526*2),IF((SUM(B510:F512))&gt;(L526*3),(((L526*3)-(SUM(B510:F512)-C512))*L509)+((SUM(B512:F512)-C512)*L509),(SUM(B512:F512)-C512)*L509),IF(SUM(B510:F512)&gt;(L526*3),L526*L509,SUM(B512:F512)*L509)),2)</f>
        <v>0</v>
      </c>
      <c r="M512" s="76">
        <f>ROUND(IF(SUM(B510:F511)&lt;(L526*2),IF((SUM(B510:F512))&gt;(L526*3),(((L526*3)-(SUM(B510:F512)-C512))*M509)+((SUM(B512:F512)-C512)*M509),(SUM(B512:F512)-C512)*M509),IF(SUM(B510:F512)&gt;(L526*3),L526*M509,SUM(B512:F512)*M509)),2)</f>
        <v>0</v>
      </c>
      <c r="N512" s="76">
        <f>ROUND(IF(SUM(B510:F511)&lt;(L526*2),IF((SUM(B510:F512))&gt;(L526*3),(((L526*3)-(SUM(B510:F512)-C511))*N509)+((SUM(B512:F512)-C511)*N509),SUM(B512:F512)*N509),IF(SUM(B510:F512)&gt;(L526*3),L526*N509,SUM(B512:F512)*N509)),2)</f>
        <v>0</v>
      </c>
      <c r="O512" s="23">
        <f>ROUND(SUM(B512+C512+F512)*O509,2)</f>
        <v>0</v>
      </c>
      <c r="P512" s="27">
        <f t="shared" ref="P512:P521" si="58">SUM(G512:O512)</f>
        <v>0</v>
      </c>
    </row>
    <row r="513" spans="1:16" s="1" customFormat="1" x14ac:dyDescent="0.2">
      <c r="A513" s="100" t="str">
        <f>$A$29</f>
        <v>Apr 2022</v>
      </c>
      <c r="B513" s="24">
        <f>ROUND(IF(N493=0,0,IFERROR(((LOOKUP(2,1/(A498:A501=A513),G498:G501))*N493*4.348),B512/N493*N493)),2)</f>
        <v>0</v>
      </c>
      <c r="C513" s="23">
        <f>ROUND(IFERROR(((LOOKUP(2,1/(B503=A513),((SUM(B516:B518)+SUM(F516:F518))/3)*C503))),0)+IFERROR(((LOOKUP(2,1/(E503=A513),(B522+F522)*F503))),0),2)</f>
        <v>0</v>
      </c>
      <c r="D513" s="23">
        <f>ROUND(IF(B513=0,0,D509/L491*N493),2)</f>
        <v>0</v>
      </c>
      <c r="E513" s="23">
        <f>ROUND(IF(B513=0,0,E509/N487*N493),2)</f>
        <v>0</v>
      </c>
      <c r="F513" s="24">
        <f>ROUND(IF(N493=0,0,IFERROR(((LOOKUP(2,1/(A498:A501=A513),H498:H501))/N487*N493),F512/N493*N493)),2)</f>
        <v>0</v>
      </c>
      <c r="G513" s="27">
        <f t="shared" si="57"/>
        <v>0</v>
      </c>
      <c r="H513" s="76">
        <f>ROUND(IF(SUM(B510:F512)&lt;(L525*3),IF((SUM(B510:F513))&gt;(L525*4),(((L525*4)-(SUM(B510:F513)-C512))*H509)+((SUM(B513:F513)-C512)*H509),SUM(B513:F513)*H509),IF(SUM(B510:F513)&gt;(L525*4),L525*H509,SUM(B513:F513)*H509)),2)</f>
        <v>0</v>
      </c>
      <c r="I513" s="76">
        <f>ROUND(IF(SUM(B510:F512)&lt;(L526*3),IF((SUM(B510:F513))&gt;(L526*4),(((L526*4)-(SUM(B510:F513)-C512))*I509)+((SUM(B513:F513)-C512)*I509),SUM(B513:F513)*I509),IF(SUM(B510:F513)&gt;(L526*4),L526*I509,SUM(B513:F513)*I509)),2)</f>
        <v>0</v>
      </c>
      <c r="J513" s="76">
        <f>ROUND(IF(SUM(B510:F512)&lt;(L526*3),IF((SUM(B510:F513))&gt;(L526*4),(((L526*4)-(SUM(B510:F513)-C512))*J509)+((SUM(B513:F513)-C512)*J509),SUM(B513:F513)*J509),IF(SUM(B510:F513)&gt;(L526*4),L526*J509,SUM(B513:F513)*J509)),2)</f>
        <v>0</v>
      </c>
      <c r="K513" s="76">
        <f>ROUND(IF(SUM(B510:F512)&lt;(L525*3),IF((SUM(B510:F513))&gt;(L525*4),(((L525*4)-(SUM(B510:F513)-C512))*K509)+((SUM(B513:F513)-C512)*K509),SUM(B513:F513)*K509),IF(SUM(B510:F513)&gt;(L525*4),L525*K509,SUM(B513:F513)*K509)),2)</f>
        <v>0</v>
      </c>
      <c r="L513" s="76">
        <f>ROUND(IF(SUM(B510:F512)&lt;(L526*3),IF((SUM(B510:F513))&gt;(L526*4),(((L526*4)-(SUM(B510:F513)-C513))*L509)+((SUM(B513:F513)-C513)*L509),(SUM(B513:F513)-C513)*L509),IF(SUM(B510:F513)&gt;(L526*4),L526*L509,SUM(B513:F513)*L509)),2)</f>
        <v>0</v>
      </c>
      <c r="M513" s="76">
        <f>ROUND(IF(SUM(B510:F512)&lt;(L526*3),IF((SUM(B510:F513))&gt;(L526*4),(((L526*4)-(SUM(B510:F513)-C513))*M509)+((SUM(B513:F513)-C513)*M509),(SUM(B513:F513)-C513)*M509),IF(SUM(B510:F513)&gt;(L526*4),L526*M509,SUM(B513:F513)*M509)),2)</f>
        <v>0</v>
      </c>
      <c r="N513" s="76">
        <f>ROUND(IF(SUM(B510:F512)&lt;(L526*3),IF((SUM(B510:F513))&gt;(L526*4),(((L526*4)-(SUM(B510:F513)-C512))*N509)+((SUM(B513:F513)-C512)*N509),SUM(B513:F513)*N509),IF(SUM(B510:F513)&gt;(L526*4),L526*N509,SUM(B513:F513)*N509)),2)</f>
        <v>0</v>
      </c>
      <c r="O513" s="23">
        <f>ROUND(SUM(B513+C513+F513)*O509,2)</f>
        <v>0</v>
      </c>
      <c r="P513" s="27">
        <f t="shared" si="58"/>
        <v>0</v>
      </c>
    </row>
    <row r="514" spans="1:16" s="1" customFormat="1" x14ac:dyDescent="0.2">
      <c r="A514" s="100" t="str">
        <f>$A$30</f>
        <v>Mai 2022</v>
      </c>
      <c r="B514" s="24">
        <f>ROUND(IF(N494=0,0,IFERROR(((LOOKUP(2,1/(A498:A501=A514),G498:G501))*N494*4.348),B513/N494*N494)),2)</f>
        <v>0</v>
      </c>
      <c r="C514" s="23">
        <f>ROUND(IFERROR(((LOOKUP(2,1/(B503=A514),((SUM(B516:B518)+SUM(F516:F518))/3)*C503))),0)+IFERROR(((LOOKUP(2,1/(E503=A514),(B522+F522)*F503))),0),2)</f>
        <v>0</v>
      </c>
      <c r="D514" s="23">
        <f>ROUND(IF(B514=0,0,D509/L491*N494),2)</f>
        <v>0</v>
      </c>
      <c r="E514" s="23">
        <f>ROUND(IF(B514=0,0,E509/N487*N494),2)</f>
        <v>0</v>
      </c>
      <c r="F514" s="24">
        <f>ROUND(IF(N494=0,0,IFERROR(((LOOKUP(2,1/(A498:A501=A514),H498:H501))/N487*N494),F513/N494*N494)),2)</f>
        <v>0</v>
      </c>
      <c r="G514" s="27">
        <f t="shared" si="57"/>
        <v>0</v>
      </c>
      <c r="H514" s="76">
        <f>ROUND(IF(SUM(B510:F513)&lt;(L525*4),IF((SUM(B510:F514))&gt;(L525*5),(((L525*5)-(SUM(B510:F514)-C513))*H509)+((SUM(B514:F514)-C513)*H509),SUM(B514:F514)*H509),IF(SUM(B510:F514)&gt;(L525*5),L525*H509,SUM(B514:F514)*H509)),2)</f>
        <v>0</v>
      </c>
      <c r="I514" s="76">
        <f>ROUND(IF(SUM(B510:F513)&lt;(L526*4),IF((SUM(B510:F514))&gt;(L526*5),(((L526*5)-(SUM(B510:F514)-C513))*I509)+((SUM(B514:F514)-C513)*I509),SUM(B514:F514)*I509),IF(SUM(B510:F514)&gt;(L526*5),L526*I509,SUM(B514:F514)*I509)),2)</f>
        <v>0</v>
      </c>
      <c r="J514" s="76">
        <f>ROUND(IF(SUM(B510:F513)&lt;(L526*4),IF((SUM(B510:F514))&gt;(L526*5),(((L526*5)-(SUM(B510:F514)-C513))*J509)+((SUM(B514:F514)-C513)*J509),SUM(B514:F514)*J509),IF(SUM(B510:F514)&gt;(L526*5),L526*J509,SUM(B514:F514)*J509)),2)</f>
        <v>0</v>
      </c>
      <c r="K514" s="76">
        <f>ROUND(IF(SUM(B510:F513)&lt;(L525*4),IF((SUM(B510:F514))&gt;(L525*5),(((L525*5)-(SUM(B510:F514)-C513))*K509)+((SUM(B514:F514)-C513)*K509),SUM(B514:F514)*K509),IF(SUM(B510:F514)&gt;(L525*5),L525*K509,SUM(B514:F514)*K509)),2)</f>
        <v>0</v>
      </c>
      <c r="L514" s="76">
        <f>ROUND(IF(SUM(B510:F513)&lt;(L526*4),IF((SUM(B510:F514))&gt;(L526*5),(((L526*5)-(SUM(B510:F514)-C514))*L509)+((SUM(B514:F514)-C514)*L509),(SUM(B514:F514)-C514)*L509),IF(SUM(B510:F514)&gt;(L526*5),L526*L509,SUM(B514:F514)*L509)),2)</f>
        <v>0</v>
      </c>
      <c r="M514" s="76">
        <f>ROUND(IF(SUM(B510:F513)&lt;(L526*4),IF((SUM(B510:F514))&gt;(L526*5),(((L526*5)-(SUM(B510:F514)-C514))*M509)+((SUM(B514:F514)-C514)*M509),(SUM(B514:F514)-C514)*M509),IF(SUM(B510:F514)&gt;(L526*5),L526*M509,SUM(B514:F514)*M509)),2)</f>
        <v>0</v>
      </c>
      <c r="N514" s="76">
        <f>ROUND(IF(SUM(B510:F513)&lt;(L526*4),IF((SUM(B510:F514))&gt;(L526*5),(((L526*5)-(SUM(B510:F514)-C513))*N509)+((SUM(B514:F514)-C513)*N509),SUM(B514:F514)*N509),IF(SUM(B510:F514)&gt;(L526*5),L526*N509,SUM(B514:F514)*N509)),2)</f>
        <v>0</v>
      </c>
      <c r="O514" s="23">
        <f>ROUND(SUM(B514+C514+F514)*O509,2)</f>
        <v>0</v>
      </c>
      <c r="P514" s="27">
        <f t="shared" si="58"/>
        <v>0</v>
      </c>
    </row>
    <row r="515" spans="1:16" s="1" customFormat="1" x14ac:dyDescent="0.2">
      <c r="A515" s="100" t="str">
        <f>$A$31</f>
        <v>Jun 2022</v>
      </c>
      <c r="B515" s="24">
        <f>ROUND(IF(N495=0,0,IFERROR(((LOOKUP(2,1/(A498:A501=A515),G498:G501))*N495*4.348),B514/N495*N495)),2)</f>
        <v>0</v>
      </c>
      <c r="C515" s="23">
        <f>ROUND(IFERROR(((LOOKUP(2,1/(B503=A515),((SUM(B516:B518)+SUM(F516:F518))/3)*C503))),0)+IFERROR(((LOOKUP(2,1/(E503=A515),(B522+F522)*F503))),0),2)</f>
        <v>0</v>
      </c>
      <c r="D515" s="23">
        <f>ROUND(IF(B515=0,0,D509/L491*N495),2)</f>
        <v>0</v>
      </c>
      <c r="E515" s="23">
        <f>ROUND(IF(B515=0,0,E509/N487*N495),2)</f>
        <v>0</v>
      </c>
      <c r="F515" s="24">
        <f>ROUND(IF(N495=0,0,IFERROR(((LOOKUP(2,1/(A498:A501=A515),H498:H501))/N487*N495),F514/N495*N495)),2)</f>
        <v>0</v>
      </c>
      <c r="G515" s="27">
        <f t="shared" si="57"/>
        <v>0</v>
      </c>
      <c r="H515" s="76">
        <f>ROUND(IF(SUM(B510:F514)&lt;(L525*5),IF((SUM(B510:F515))&gt;(L525*6),(((L525*6)-(SUM(B510:F515)-C514))*H509)+((SUM(B515:F515)-C514)*H509),SUM(B515:F515)*H509),IF(SUM(B510:F515)&gt;(L525*6),L525*H509,SUM(B515:F515)*H509)),2)</f>
        <v>0</v>
      </c>
      <c r="I515" s="76">
        <f>ROUND(IF(SUM(B510:F514)&lt;(L526*5),IF((SUM(B510:F515))&gt;(L526*6),(((L526*6)-(SUM(B510:F515)-C514))*I509)+((SUM(B515:F515)-C514)*I509),SUM(B515:F515)*I509),IF(SUM(B510:F515)&gt;(L526*6),L526*I509,SUM(B515:F515)*I509)),2)</f>
        <v>0</v>
      </c>
      <c r="J515" s="76">
        <f>ROUND(IF(SUM(B510:F514)&lt;(L526*5),IF((SUM(B510:F515))&gt;(L526*6),(((L526*6)-(SUM(B510:F515)-C514))*J509)+((SUM(B515:F515)-C514)*J509),SUM(B515:F515)*J509),IF(SUM(B510:F515)&gt;(L526*6),L526*J509,SUM(B515:F515)*J509)),2)</f>
        <v>0</v>
      </c>
      <c r="K515" s="76">
        <f>ROUND(IF(SUM(B510:F514)&lt;(L525*5),IF((SUM(B510:F515))&gt;(L525*6),(((L525*6)-(SUM(B510:F515)-C514))*K509)+((SUM(B515:F515)-C514)*K509),SUM(B515:F515)*K509),IF(SUM(B510:F515)&gt;(L525*6),L525*K509,SUM(B515:F515)*K509)),2)</f>
        <v>0</v>
      </c>
      <c r="L515" s="76">
        <f>ROUND(IF(SUM(B510:F514)&lt;(L526*5),IF((SUM(B510:F515))&gt;(L526*6),(((L526*6)-(SUM(B510:F515)-C515))*L509)+((SUM(B515:F515)-C515)*L509),(SUM(B515:F515)-C515)*L509),IF(SUM(B510:F515)&gt;(L526*6),L526*L509,SUM(B515:F515)*L509)),2)</f>
        <v>0</v>
      </c>
      <c r="M515" s="76">
        <f>ROUND(IF(SUM(B510:F514)&lt;(L526*5),IF((SUM(B510:F515))&gt;(L526*6),(((L526*6)-(SUM(B510:F515)-C515))*M509)+((SUM(B515:F515)-C515)*M509),(SUM(B515:F515)-C515)*M509),IF(SUM(B510:F515)&gt;(L526*6),L526*M509,SUM(B515:F515)*M509)),2)</f>
        <v>0</v>
      </c>
      <c r="N515" s="76">
        <f>ROUND(IF(SUM(B510:F514)&lt;(L526*5),IF((SUM(B510:F515))&gt;(L526*6),(((L526*6)-(SUM(B510:F515)-C514))*N509)+((SUM(B515:F515)-C514)*N509),SUM(B515:F515)*N509),IF(SUM(B510:F515)&gt;(L526*6),L526*N509,SUM(B515:F515)*N509)),2)</f>
        <v>0</v>
      </c>
      <c r="O515" s="23">
        <f>ROUND(SUM(B515+C515+F515)*O509,2)</f>
        <v>0</v>
      </c>
      <c r="P515" s="27">
        <f t="shared" si="58"/>
        <v>0</v>
      </c>
    </row>
    <row r="516" spans="1:16" s="1" customFormat="1" x14ac:dyDescent="0.2">
      <c r="A516" s="100" t="str">
        <f>$A$32</f>
        <v>Jul 2022</v>
      </c>
      <c r="B516" s="24">
        <f>ROUND(IF(P490=0,0,IFERROR(((LOOKUP(2,1/(A498:A501=A516),G498:G501))*P490*4.348),B515/P490*P490)),2)</f>
        <v>0</v>
      </c>
      <c r="C516" s="23">
        <f>ROUND(IFERROR(((LOOKUP(2,1/(B503=A516),((SUM(B516:B518)+SUM(F516:F518))/3)*C503))),0)+IFERROR(((LOOKUP(2,1/(E503=A516),(B522+F522)*F503))),0),2)</f>
        <v>0</v>
      </c>
      <c r="D516" s="23">
        <f>ROUND(IF(B516=0,0,D509/L491*P490),2)</f>
        <v>0</v>
      </c>
      <c r="E516" s="23">
        <f>ROUND(IF(B516=0,0,E509/N487*P490),2)</f>
        <v>0</v>
      </c>
      <c r="F516" s="24">
        <f>ROUND(IF(P490=0,0,IFERROR(((LOOKUP(2,1/(A498:A501=A516),H498:H501))/N487*P490),F515/P490*P490)),2)</f>
        <v>0</v>
      </c>
      <c r="G516" s="27">
        <f t="shared" si="57"/>
        <v>0</v>
      </c>
      <c r="H516" s="76">
        <f>ROUND(IF(SUM(B510:F515)&lt;(L525*6),IF((SUM(B510:F516))&gt;(L525*7),(((L525*7)-(SUM(B510:F516)-C515))*H509)+((SUM(B516:F516)-C515)*H509),SUM(B516:F516)*H509),IF(SUM(B510:F516)&gt;(L525*7),L525*H509,SUM(B516:F516)*H509)),2)</f>
        <v>0</v>
      </c>
      <c r="I516" s="76">
        <f>ROUND(IF(SUM(B510:F515)&lt;(L526*6),IF((SUM(B510:F516))&gt;(L526*7),(((L526*7)-(SUM(B510:F516)-C515))*I509)+((SUM(B516:F516)-C515)*I509),SUM(B516:F516)*I509),IF(SUM(B510:F516)&gt;(L526*7),L526*I509,SUM(B516:F516)*I509)),2)</f>
        <v>0</v>
      </c>
      <c r="J516" s="76">
        <f>ROUND(IF(SUM(B510:F515)&lt;(L526*6),IF((SUM(B510:F516))&gt;(L526*7),(((L526*7)-(SUM(B510:F516)-C515))*J509)+((SUM(B516:F516)-C515)*J509),SUM(B516:F516)*J509),IF(SUM(B510:F516)&gt;(L526*7),L526*J509,SUM(B516:F516)*J509)),2)</f>
        <v>0</v>
      </c>
      <c r="K516" s="76">
        <f>ROUND(IF(SUM(B510:F515)&lt;(L525*6),IF((SUM(B510:F516))&gt;(L525*7),(((L525*7)-(SUM(B510:F516)-C515))*K509)+((SUM(B516:F516)-C515)*K509),SUM(B516:F516)*K509),IF(SUM(B510:F516)&gt;(L525*7),L525*K509,SUM(B516:F516)*K509)),2)</f>
        <v>0</v>
      </c>
      <c r="L516" s="76">
        <f>ROUND(IF(SUM(B510:F515)&lt;(L526*6),IF((SUM(B510:F516))&gt;(L526*7),(((L526*7)-(SUM(B510:F516)-C516))*L509)+((SUM(B516:F516)-C516)*L509),(SUM(B516:F516)-C516)*L509),IF(SUM(B510:F516)&gt;(L526*7),L526*L509,SUM(B516:F516)*L509)),2)</f>
        <v>0</v>
      </c>
      <c r="M516" s="76">
        <f>ROUND(IF(SUM(B510:F515)&lt;(L526*6),IF((SUM(B510:F516))&gt;(L526*7),(((L526*7)-(SUM(B510:F516)-C516))*M509)+((SUM(B516:F516)-C516)*M509),(SUM(B516:F516)-C516)*M509),IF(SUM(B510:F516)&gt;(L526*7),L526*M509,SUM(B516:F516)*M509)),2)</f>
        <v>0</v>
      </c>
      <c r="N516" s="76">
        <f>ROUND(IF(SUM(B510:F515)&lt;(L526*6),IF((SUM(B510:F516))&gt;(L526*7),(((L526*7)-(SUM(B510:F516)-C515))*N509)+((SUM(B516:F516)-C515)*N509),SUM(B516:F516)*N509),IF(SUM(B510:F516)&gt;(L526*7),L526*N509,SUM(B516:F516)*N509)),2)</f>
        <v>0</v>
      </c>
      <c r="O516" s="23">
        <f>ROUND(SUM(B516+C516+F516)*O509,2)</f>
        <v>0</v>
      </c>
      <c r="P516" s="27">
        <f t="shared" si="58"/>
        <v>0</v>
      </c>
    </row>
    <row r="517" spans="1:16" s="1" customFormat="1" x14ac:dyDescent="0.2">
      <c r="A517" s="100" t="str">
        <f>$A$33</f>
        <v>Aug 2022</v>
      </c>
      <c r="B517" s="24">
        <f>ROUND(IF(P491=0,0,IFERROR(((LOOKUP(2,1/(A498:A501=A517),G498:G501))*P491*4.348),B516/P491*P491)),2)</f>
        <v>0</v>
      </c>
      <c r="C517" s="23">
        <f>ROUND(IFERROR(((LOOKUP(2,1/(B503=A517),((SUM(B516:B518)+SUM(F516:F518))/3)*C503))),0)+IFERROR(((LOOKUP(2,1/(E503=A517),(B522+F522)*F503))),0),2)</f>
        <v>0</v>
      </c>
      <c r="D517" s="23">
        <f>ROUND(IF(B517=0,0,D509/L491*P491),2)</f>
        <v>0</v>
      </c>
      <c r="E517" s="23">
        <f>ROUND(IF(B517=0,0,E509/N487*P491),2)</f>
        <v>0</v>
      </c>
      <c r="F517" s="24">
        <f>ROUND(IF(P491=0,0,IFERROR(((LOOKUP(2,1/(A498:A501=A517),H498:H501))/N487*P491),F516/P491*P491)),2)</f>
        <v>0</v>
      </c>
      <c r="G517" s="27">
        <f t="shared" si="57"/>
        <v>0</v>
      </c>
      <c r="H517" s="76">
        <f>ROUND(IF(SUM(B510:F516)&lt;(L525*7),IF((SUM(B510:F517))&gt;(L525*8),(((L525*8)-(SUM(B510:F517)-C516))*H509)+((SUM(B517:F517)-C516)*H509),SUM(B517:F517)*H509),IF(SUM(B510:F517)&gt;(L525*8),L525*H509,SUM(B517:F517)*H509)),2)</f>
        <v>0</v>
      </c>
      <c r="I517" s="76">
        <f>ROUND(IF(SUM(B510:F516)&lt;(L526*7),IF((SUM(B510:F517))&gt;(L526*8),(((L526*8)-(SUM(B510:F517)-C516))*I509)+((SUM(B517:F517)-C516)*I509),SUM(B517:F517)*I509),IF(SUM(B510:F517)&gt;(L526*8),L526*I509,SUM(B517:F517)*I509)),2)</f>
        <v>0</v>
      </c>
      <c r="J517" s="76">
        <f>ROUND(IF(SUM(B510:F516)&lt;(L526*7),IF((SUM(B510:F517))&gt;(L526*8),(((L526*8)-(SUM(B510:F517)-C516))*J509)+((SUM(B517:F517)-C516)*J509),SUM(B517:F517)*J509),IF(SUM(B510:F517)&gt;(L526*8),L526*J509,SUM(B517:F517)*J509)),2)</f>
        <v>0</v>
      </c>
      <c r="K517" s="76">
        <f>ROUND(IF(SUM(B510:F516)&lt;(L525*7),IF((SUM(B510:F517))&gt;(L525*8),(((L525*8)-(SUM(B510:F517)-C516))*K509)+((SUM(B517:F517)-C516)*K509),SUM(B517:F517)*K509),IF(SUM(B510:F517)&gt;(L525*8),L525*K509,SUM(B517:F517)*K509)),2)</f>
        <v>0</v>
      </c>
      <c r="L517" s="76">
        <f>ROUND(IF(SUM(B510:F516)&lt;(L526*7),IF((SUM(B510:F517))&gt;(L526*8),(((L526*8)-(SUM(B510:F517)-C517))*L509)+((SUM(B517:F517)-C517)*L509),(SUM(B517:F517)-C517)*L509),IF(SUM(B510:F517)&gt;(L526*8),L526*L509,SUM(B517:F517)*L509)),2)</f>
        <v>0</v>
      </c>
      <c r="M517" s="76">
        <f>ROUND(IF(SUM(B510:F516)&lt;(L526*7),IF((SUM(B510:F517))&gt;(L526*8),(((L526*8)-(SUM(B510:F517)-C517))*M509)+((SUM(B517:F517)-C517)*M509),(SUM(B517:F517)-C517)*M509),IF(SUM(B510:F517)&gt;(L526*8),L526*M509,SUM(B517:F517)*M509)),2)</f>
        <v>0</v>
      </c>
      <c r="N517" s="76">
        <f>ROUND(IF(SUM(B510:F516)&lt;(L526*7),IF((SUM(B510:F517))&gt;(L526*8),(((L526*8)-(SUM(B510:F517)-C516))*N509)+((SUM(B517:F517)-C516)*N509),SUM(B517:F517)*N509),IF(SUM(B510:F517)&gt;(L526*8),L526*N509,SUM(B517:F517)*N509)),2)</f>
        <v>0</v>
      </c>
      <c r="O517" s="23">
        <f>ROUND(SUM(B517+C517+F517)*O509,2)</f>
        <v>0</v>
      </c>
      <c r="P517" s="27">
        <f t="shared" si="58"/>
        <v>0</v>
      </c>
    </row>
    <row r="518" spans="1:16" s="1" customFormat="1" x14ac:dyDescent="0.2">
      <c r="A518" s="100" t="str">
        <f>$A$34</f>
        <v>Sep 2022</v>
      </c>
      <c r="B518" s="24">
        <f>ROUND(IF(P492=0,0,IFERROR(((LOOKUP(2,1/(A498:A501=A518),G498:G501))*P492*4.348),B517/P492*P492)),2)</f>
        <v>0</v>
      </c>
      <c r="C518" s="23">
        <f>ROUND(IFERROR(((LOOKUP(2,1/(B503=A518),((SUM(B516:B518)+SUM(F516:F518))/3)*C503))),0)+IFERROR(((LOOKUP(2,1/(E503=A518),(B522+F522)*F503))),0),2)</f>
        <v>0</v>
      </c>
      <c r="D518" s="23">
        <f>ROUND(IF(B518=0,0,D509/L491*P492),2)</f>
        <v>0</v>
      </c>
      <c r="E518" s="23">
        <f>ROUND(IF(B518=0,0,E509/N487*P492),2)</f>
        <v>0</v>
      </c>
      <c r="F518" s="24">
        <f>ROUND(IF(P492=0,0,IFERROR(((LOOKUP(2,1/(A498:A501=A518),H498:H501))/N487*P492),F517/P492*P492)),2)</f>
        <v>0</v>
      </c>
      <c r="G518" s="27">
        <f t="shared" si="57"/>
        <v>0</v>
      </c>
      <c r="H518" s="76">
        <f>ROUND(IF(SUM(B510:F517)&lt;(L525*8),IF((SUM(B510:F518))&gt;(L525*9),(((L525*9)-(SUM(B510:F518)-C517))*H509)+((SUM(B518:F518)-C517)*H509),SUM(B518:F518)*H509),IF(SUM(B510:F518)&gt;(L525*9),L525*H509,SUM(B518:F518)*H509)),2)</f>
        <v>0</v>
      </c>
      <c r="I518" s="76">
        <f>ROUND(IF(SUM(B510:F517)&lt;(L526*8),IF((SUM(B510:F518))&gt;(L526*9),(((L526*9)-(SUM(B510:F518)-C517))*I509)+((SUM(B518:F518)-C517)*I509),SUM(B518:F518)*I509),IF(SUM(B510:F518)&gt;(L526*9),L526*I509,SUM(B518:F518)*I509)),2)</f>
        <v>0</v>
      </c>
      <c r="J518" s="76">
        <f>ROUND(IF(SUM(B510:F517)&lt;(L526*8),IF((SUM(B510:F518))&gt;(L526*9),(((L526*9)-(SUM(B510:F518)-C517))*J509)+((SUM(B518:F518)-C517)*J509),SUM(B518:F518)*J509),IF(SUM(B510:F518)&gt;(L526*9),L526*J509,SUM(B518:F518)*J509)),2)</f>
        <v>0</v>
      </c>
      <c r="K518" s="76">
        <f>ROUND(IF(SUM(B510:F517)&lt;(L525*8),IF((SUM(B510:F518))&gt;(L525*9),(((L525*9)-(SUM(B510:F518)-C517))*K509)+((SUM(B518:F518)-C517)*K509),SUM(B518:F518)*K509),IF(SUM(B510:F518)&gt;(L525*9),L525*K509,SUM(B518:F518)*K509)),2)</f>
        <v>0</v>
      </c>
      <c r="L518" s="76">
        <f>ROUND(IF(SUM(B510:F517)&lt;(L526*8),IF((SUM(B510:F518))&gt;(L526*9),(((L526*9)-(SUM(B510:F518)-C518))*L509)+((SUM(B518:F518)-C518)*L509),(SUM(B518:F518)-C518)*L509),IF(SUM(B510:F518)&gt;(L526*9),L526*L509,SUM(B518:F518)*L509)),2)</f>
        <v>0</v>
      </c>
      <c r="M518" s="76">
        <f>ROUND(IF(SUM(B510:F517)&lt;(L526*8),IF((SUM(B510:F518))&gt;(L526*9),(((L526*9)-(SUM(B510:F518)-C518))*M509)+((SUM(B518:F518)-C518)*M509),(SUM(B518:F518)-C518)*M509),IF(SUM(B510:F518)&gt;(L526*9),L526*M509,SUM(B518:F518)*M509)),2)</f>
        <v>0</v>
      </c>
      <c r="N518" s="76">
        <f>ROUND(IF(SUM(B510:F517)&lt;(L526*8),IF((SUM(B510:F518))&gt;(L526*9),(((L526*9)-(SUM(B510:F518)-C517))*N509)+((SUM(B518:F518)-C517)*N509),SUM(B518:F518)*N509),IF(SUM(B510:F518)&gt;(L526*9),L526*N509,SUM(B518:F518)*N509)),2)</f>
        <v>0</v>
      </c>
      <c r="O518" s="23">
        <f>ROUND(SUM(B518+C518+F518)*O509,2)</f>
        <v>0</v>
      </c>
      <c r="P518" s="27">
        <f t="shared" si="58"/>
        <v>0</v>
      </c>
    </row>
    <row r="519" spans="1:16" s="1" customFormat="1" x14ac:dyDescent="0.2">
      <c r="A519" s="100" t="str">
        <f>$A$35</f>
        <v>Okt 2022</v>
      </c>
      <c r="B519" s="24">
        <f>ROUND(IF(P493=0,0,IFERROR(((LOOKUP(2,1/(A498:A501=A519),G498:G501))*P493*4.348),B518/P493*P493)),2)</f>
        <v>0</v>
      </c>
      <c r="C519" s="23">
        <f>ROUND(IFERROR(((LOOKUP(2,1/(B503=A519),((SUM(B516:B518)+SUM(F516:F518))/3)*C503))),0)+IFERROR(((LOOKUP(2,1/(E503=A519),(B522+F522)*F503))),0),2)</f>
        <v>0</v>
      </c>
      <c r="D519" s="23">
        <f>ROUND(IF(B519=0,0,D509/L491*P493),2)</f>
        <v>0</v>
      </c>
      <c r="E519" s="23">
        <f>ROUND(IF(B519=0,0,E509/N487*P493),2)</f>
        <v>0</v>
      </c>
      <c r="F519" s="24">
        <f>ROUND(IF(P493=0,0,IFERROR(((LOOKUP(2,1/(A498:A501=A519),H498:H501))/N487*P493),F518/P493*P493)),2)</f>
        <v>0</v>
      </c>
      <c r="G519" s="27">
        <f t="shared" si="57"/>
        <v>0</v>
      </c>
      <c r="H519" s="76">
        <f>ROUND(IF(SUM(B510:F518)&lt;(L525*9),IF((SUM(B510:F519))&gt;(L525*10),(((L525*10)-(SUM(B510:F519)-C518))*H509)+((SUM(B519:F519)-C518)*H509),SUM(B519:F519)*H509),IF(SUM(B510:F519)&gt;(L525*10),L525*H509,SUM(B519:F519)*H509)),2)</f>
        <v>0</v>
      </c>
      <c r="I519" s="76">
        <f>ROUND(IF(SUM(B510:F518)&lt;(L526*9),IF((SUM(B510:F519))&gt;(L526*10),(((L526*10)-(SUM(B510:F519)-C518))*I509)+((SUM(B519:F519)-C518)*I509),SUM(B519:F519)*I509),IF(SUM(B510:F519)&gt;(L526*10),L526*I509,SUM(B519:F519)*I509)),2)</f>
        <v>0</v>
      </c>
      <c r="J519" s="76">
        <f>ROUND(IF(SUM(B510:F518)&lt;(L526*9),IF((SUM(B510:F519))&gt;(L526*10),(((L526*10)-(SUM(B510:F519)-C518))*J509)+((SUM(B519:F519)-C518)*J509),SUM(B519:F519)*J509),IF(SUM(B510:F519)&gt;(L526*10),L526*J509,SUM(B519:F519)*J509)),2)</f>
        <v>0</v>
      </c>
      <c r="K519" s="76">
        <f>ROUND(IF(SUM(B510:F518)&lt;(L525*9),IF((SUM(B510:F519))&gt;(L525*10),(((L525*10)-(SUM(B510:F519)-C518))*K509)+((SUM(B519:F519)-C518)*K509),SUM(B519:F519)*K509),IF(SUM(B510:F519)&gt;(L525*10),L525*K509,SUM(B519:F519)*K509)),2)</f>
        <v>0</v>
      </c>
      <c r="L519" s="76">
        <f>ROUND(IF(SUM(B510:F518)&lt;(L526*9),IF((SUM(B510:F519))&gt;(L526*10),(((L526*10)-(SUM(B510:F519)-C519))*L509)+((SUM(B519:F519)-C519)*L509),(SUM(B519:F519)-C519)*L509),IF(SUM(B510:F519)&gt;(L526*10),L526*L509,SUM(B519:F519)*L509)),2)</f>
        <v>0</v>
      </c>
      <c r="M519" s="76">
        <f>ROUND(IF(SUM(B510:F518)&lt;(L526*9),IF((SUM(B510:F519))&gt;(L526*10),(((L526*10)-(SUM(B510:F519)-C519))*M509)+((SUM(B519:F519)-C519)*M509),(SUM(B519:F519)-C519)*M509),IF(SUM(B510:F519)&gt;(L526*10),L526*M509,SUM(B519:F519)*M509)),2)</f>
        <v>0</v>
      </c>
      <c r="N519" s="76">
        <f>ROUND(IF(SUM(B510:F518)&lt;(L526*9),IF((SUM(B510:F519))&gt;(L526*10),(((L526*10)-(SUM(B510:F519)-C518))*N509)+((SUM(B519:F519)-C518)*N509),SUM(B519:F519)*N509),IF(SUM(B510:F519)&gt;(L526*10),L526*N509,SUM(B519:F519)*N509)),2)</f>
        <v>0</v>
      </c>
      <c r="O519" s="23">
        <f>ROUND(SUM(B519+C519+F519)*O509,2)</f>
        <v>0</v>
      </c>
      <c r="P519" s="27">
        <f t="shared" si="58"/>
        <v>0</v>
      </c>
    </row>
    <row r="520" spans="1:16" s="1" customFormat="1" x14ac:dyDescent="0.2">
      <c r="A520" s="100" t="str">
        <f>$A$36</f>
        <v>Nov 2022</v>
      </c>
      <c r="B520" s="24">
        <f>ROUND(IF(P494=0,0,IFERROR(((LOOKUP(2,1/(A498:A501=A520),G498:G501))*P494*4.348),B519/P494*P494)),2)</f>
        <v>0</v>
      </c>
      <c r="C520" s="23">
        <f>ROUND(IFERROR(((LOOKUP(2,1/(B503=A520),((SUM(B516:B518)+SUM(F516:F518))/3)*C503))),0)+IFERROR(((LOOKUP(2,1/(E503=A520),(B522+F522)*F503))),0),2)</f>
        <v>0</v>
      </c>
      <c r="D520" s="23">
        <f>ROUND(IF(B520=0,0,D509/L491*P494),2)</f>
        <v>0</v>
      </c>
      <c r="E520" s="23">
        <f>ROUND(IF(B520=0,0,E509/N487*P494),2)</f>
        <v>0</v>
      </c>
      <c r="F520" s="24">
        <f>ROUND(IF(P494=0,0,IFERROR(((LOOKUP(2,1/(A498:A501=A520),H498:H501))/N487*P494),F519/P494*P494)),2)</f>
        <v>0</v>
      </c>
      <c r="G520" s="27">
        <f t="shared" si="57"/>
        <v>0</v>
      </c>
      <c r="H520" s="76">
        <f>ROUND(IF(SUM(B510:F519)&lt;(L525*10),IF((SUM(B510:F520))&gt;(L525*11),(((L525*11)-(SUM(B510:F520)-C519))*H509)+((SUM(B520:F520)-C519)*H509),SUM(B520:F520)*H509),IF(SUM(B510:F520)&gt;(L525*11),L525*H509,SUM(B520:F520)*H509)),2)</f>
        <v>0</v>
      </c>
      <c r="I520" s="76">
        <f>ROUND(IF(SUM(B510:F519)&lt;(L526*10),IF((SUM(B510:F520))&gt;(L526*11),(((L526*11)-(SUM(B510:F520)-C519))*I509)+((SUM(B520:F520)-C519)*I509),SUM(B520:F520)*I509),IF(SUM(B510:F520)&gt;(L526*11),L526*I509,SUM(B520:F520)*I509)),2)</f>
        <v>0</v>
      </c>
      <c r="J520" s="76">
        <f>ROUND(IF(SUM(B510:F519)&lt;(L526*10),IF((SUM(B510:F520))&gt;(L526*11),(((L526*11)-(SUM(B510:F520)-C519))*J509)+((SUM(B520:F520)-C519)*J509),SUM(B520:F520)*J509),IF(SUM(B510:F520)&gt;(L526*11),L526*J509,SUM(B520:F520)*J509)),2)</f>
        <v>0</v>
      </c>
      <c r="K520" s="76">
        <f>ROUND(IF(SUM(B510:F519)&lt;(L525*10),IF((SUM(B510:F520))&gt;(L525*11),(((L525*11)-(SUM(B510:F520)-C519))*K509)+((SUM(B520:F520)-C519)*K509),SUM(B520:F520)*K509),IF(SUM(B510:F520)&gt;(L525*11),L525*K509,SUM(B520:F520)*K509)),2)</f>
        <v>0</v>
      </c>
      <c r="L520" s="76">
        <f>ROUND(IF(SUM(B510:F519)&lt;(L526*10),IF((SUM(B510:F520))&gt;(L526*11),(((L526*11)-(SUM(B510:F520)-C520))*L509)+((SUM(B520:F520)-C520)*L509),(SUM(B520:F520)-C520)*L509),IF(SUM(B510:F520)&gt;(L526*11),L526*L509,SUM(B520:F520)*L509)),2)</f>
        <v>0</v>
      </c>
      <c r="M520" s="76">
        <f>ROUND(IF(SUM(B510:F519)&lt;(L526*10),IF((SUM(B510:F520))&gt;(L526*11),(((L526*11)-(SUM(B510:F520)-C520))*M509)+((SUM(B520:F520)-C520)*M509),(SUM(B520:F520)-C520)*M509),IF(SUM(B510:F520)&gt;(L526*11),L526*M509,SUM(B520:F520)*M509)),2)</f>
        <v>0</v>
      </c>
      <c r="N520" s="76">
        <f>ROUND(IF(SUM(B510:F519)&lt;(L526*10),IF((SUM(B510:F520))&gt;(L526*11),(((L526*11)-(SUM(B510:F520)-C519))*N509)+((SUM(B520:F520)-C519)*N509),SUM(B520:F520)*N509),IF(SUM(B510:F520)&gt;(L526*11),L526*N509,SUM(B520:F520)*N509)),2)</f>
        <v>0</v>
      </c>
      <c r="O520" s="23">
        <f>ROUND(SUM(B520+C520+F520)*O509,2)</f>
        <v>0</v>
      </c>
      <c r="P520" s="27">
        <f t="shared" si="58"/>
        <v>0</v>
      </c>
    </row>
    <row r="521" spans="1:16" s="1" customFormat="1" x14ac:dyDescent="0.2">
      <c r="A521" s="100" t="str">
        <f>$A$37</f>
        <v>Dez 2022</v>
      </c>
      <c r="B521" s="24">
        <f>ROUND(IF(P495=0,0,IFERROR(((LOOKUP(2,1/(A498:A501=A521),G498:G501))*P495*4.348),B520/P495*P495)),2)</f>
        <v>0</v>
      </c>
      <c r="C521" s="23">
        <f>ROUND(IFERROR(((LOOKUP(2,1/(B503=A521),((SUM(B516:B518)+SUM(F516:F518))/3)*C503))),0)+IFERROR(((LOOKUP(2,1/(E503=A521),(B522+F522)*F503))),0),2)</f>
        <v>0</v>
      </c>
      <c r="D521" s="23">
        <f>ROUND(IF(B521=0,0,D509/L491*P495),2)</f>
        <v>0</v>
      </c>
      <c r="E521" s="23">
        <f>ROUND(IF(B521=0,0,E509/N487*P495),2)</f>
        <v>0</v>
      </c>
      <c r="F521" s="24">
        <f>ROUND(IF(P495=0,0,IFERROR(((LOOKUP(2,1/(A498:A501=A521),H498:H501))/N487*P495),F520/P495*P495)),2)</f>
        <v>0</v>
      </c>
      <c r="G521" s="27">
        <f t="shared" si="57"/>
        <v>0</v>
      </c>
      <c r="H521" s="76">
        <f>ROUND(IF(SUM(B510:F520)&lt;(L525*11),IF((SUM(B510:F521))&gt;(L525*12),(((L525*12)-(SUM(B510:F521)-C520))*H509)+((SUM(B521:F521)-C520)*H509),SUM(B521:F521)*H509),IF(SUM(B510:F521)&gt;(L525*12),L525*H509,SUM(B521:F521)*H509)),2)</f>
        <v>0</v>
      </c>
      <c r="I521" s="76">
        <f>ROUND(IF(SUM(B510:F520)&lt;(L526*11),IF((SUM(B510:F521))&gt;(L526*12),(((L526*12)-(SUM(B510:F521)-C520))*I509)+((SUM(B521:F521)-C520)*I509),SUM(B521:F521)*I509),IF(SUM(B510:F521)&gt;(L526*12),L526*I509,SUM(B521:F521)*I509)),2)</f>
        <v>0</v>
      </c>
      <c r="J521" s="76">
        <f>ROUND(IF(SUM(B510:F520)&lt;(L526*11),IF((SUM(B510:F521))&gt;(L526*12),(((L526*12)-(SUM(B510:F521)-C520))*J509)+((SUM(B521:F521)-C520)*J509),SUM(B521:F521)*J509),IF(SUM(B510:F521)&gt;(L526*12),L526*J509,SUM(B521:F521)*J509)),2)</f>
        <v>0</v>
      </c>
      <c r="K521" s="76">
        <f>ROUND(IF(SUM(B510:F520)&lt;(L525*11),IF((SUM(B510:F521))&gt;(L525*12),(((L525*12)-(SUM(B510:F521)-C520))*K509)+((SUM(B521:F521)-C520)*K509),SUM(B521:F521)*K509),IF(SUM(B510:F521)&gt;(L525*12),L525*K509,SUM(B521:F521)*K509)),2)</f>
        <v>0</v>
      </c>
      <c r="L521" s="76">
        <f>ROUND(IF(SUM(B510:F520)&lt;(L526*11),IF((SUM(B510:F521))&gt;(L526*12),(((L526*12)-(SUM(B510:F521)-C521))*L509)+((SUM(B521:F521)-C521)*L509),(SUM(B521:F521)-C521)*L509),IF(SUM(B510:F521)&gt;(L526*12),L526*L509,SUM(B521:F521)*L509)),2)</f>
        <v>0</v>
      </c>
      <c r="M521" s="76">
        <f>ROUND(IF(SUM(B510:F520)&lt;(L526*11),IF((SUM(B510:F521))&gt;(L526*12),(((L526*12)-(SUM(B510:F521)-C521))*M509)+((SUM(B521:F521)-C521)*M509),(SUM(B521:F521)-C521)*M509),IF(SUM(B510:F521)&gt;(L526*12),L526*M509,SUM(B521:F521)*M509)),2)</f>
        <v>0</v>
      </c>
      <c r="N521" s="76">
        <f>ROUND(IF(SUM(B510:F520)&lt;(L526*11),IF((SUM(B510:F521))&gt;(L526*12),(((L526*12)-(SUM(B510:F521)-C520))*N509)+((SUM(B521:F521)-C520)*N509),SUM(B521:F521)*N509),IF(SUM(B510:F521)&gt;(L526*12),L526*N509,SUM(B521:F521)*N509)),2)</f>
        <v>0</v>
      </c>
      <c r="O521" s="23">
        <f>ROUND(SUM(B521+C521+F521)*O509,2)</f>
        <v>0</v>
      </c>
      <c r="P521" s="27">
        <f t="shared" si="58"/>
        <v>0</v>
      </c>
    </row>
    <row r="522" spans="1:16" s="14" customFormat="1" ht="15" x14ac:dyDescent="0.25">
      <c r="A522" s="4" t="s">
        <v>2</v>
      </c>
      <c r="B522" s="27">
        <f>SUM(B510:B521)</f>
        <v>0</v>
      </c>
      <c r="C522" s="27">
        <f t="shared" ref="C522:D522" si="59">SUM(C510:C521)</f>
        <v>0</v>
      </c>
      <c r="D522" s="27">
        <f t="shared" si="59"/>
        <v>0</v>
      </c>
      <c r="E522" s="27">
        <f>SUM(E510:E521)</f>
        <v>0</v>
      </c>
      <c r="F522" s="27">
        <f>SUM(F510:F521)</f>
        <v>0</v>
      </c>
      <c r="G522" s="27">
        <f>SUM(G510:G521)</f>
        <v>0</v>
      </c>
      <c r="H522" s="1133">
        <f>SUM(H510:N521)</f>
        <v>0</v>
      </c>
      <c r="I522" s="1134"/>
      <c r="J522" s="1134"/>
      <c r="K522" s="1134"/>
      <c r="L522" s="1134"/>
      <c r="M522" s="1134"/>
      <c r="N522" s="1135"/>
      <c r="O522" s="27">
        <f>SUM(O510:O521)</f>
        <v>0</v>
      </c>
      <c r="P522" s="27">
        <f>SUM(P510:P521)</f>
        <v>0</v>
      </c>
    </row>
    <row r="523" spans="1:16" s="13" customFormat="1" ht="11.25" x14ac:dyDescent="0.2">
      <c r="A523" s="3" t="s">
        <v>1</v>
      </c>
      <c r="B523" s="2"/>
      <c r="C523" s="2"/>
      <c r="D523" s="2"/>
      <c r="E523" s="2"/>
      <c r="F523" s="2"/>
      <c r="G523" s="2"/>
      <c r="H523" s="2"/>
      <c r="I523" s="2"/>
      <c r="J523" s="2"/>
      <c r="K523" s="2"/>
      <c r="L523" s="2"/>
      <c r="M523" s="2"/>
      <c r="N523" s="2"/>
      <c r="O523" s="2"/>
      <c r="P523" s="2"/>
    </row>
    <row r="524" spans="1:16" s="1" customFormat="1" ht="14.25" customHeight="1" x14ac:dyDescent="0.2">
      <c r="A524" s="1136" t="s">
        <v>133</v>
      </c>
      <c r="B524" s="1137"/>
      <c r="C524" s="1137"/>
      <c r="D524" s="1137" t="s">
        <v>134</v>
      </c>
      <c r="E524" s="1137"/>
      <c r="F524" s="94" t="str">
        <f>IF(IF(G522=0,"",'päd.Personal - Leitung'!$F$40)=0,"",IF(G522=0,"",'päd.Personal - Leitung'!$F$40))</f>
        <v/>
      </c>
      <c r="G524" s="77" t="s">
        <v>135</v>
      </c>
      <c r="H524" s="96" t="str">
        <f>IF(IF(G522=0,"",'päd.Personal - Leitung'!$H$40)=0,"",IF(G522=0,"",'päd.Personal - Leitung'!$H$40))</f>
        <v/>
      </c>
      <c r="I524" s="73"/>
      <c r="J524" s="194" t="s">
        <v>160</v>
      </c>
      <c r="K524" s="194" t="str">
        <f>$K$40</f>
        <v>2021</v>
      </c>
      <c r="L524" s="194" t="str">
        <f>$L$40</f>
        <v>anteilig 2021</v>
      </c>
      <c r="M524" s="1138" t="s">
        <v>140</v>
      </c>
      <c r="N524" s="1138"/>
      <c r="O524" s="1139"/>
      <c r="P524" s="27">
        <f>ROUND(IF(F524="",IF(E528="",0,(E528*H528/K528)/L491*L492),G522*F524*H524/1000),2)</f>
        <v>0</v>
      </c>
    </row>
    <row r="525" spans="1:16" s="1" customFormat="1" ht="15" customHeight="1" x14ac:dyDescent="0.2">
      <c r="A525" s="1140" t="s">
        <v>145</v>
      </c>
      <c r="B525" s="1141"/>
      <c r="C525" s="1141"/>
      <c r="D525" s="18"/>
      <c r="E525" s="107" t="s">
        <v>135</v>
      </c>
      <c r="F525" s="95" t="str">
        <f>IF(IF(G522=0,"",'päd.Personal - Leitung'!$F$41)=0,"",IF(G522=0,"",'päd.Personal - Leitung'!$F$41))</f>
        <v/>
      </c>
      <c r="G525" s="48"/>
      <c r="H525" s="47"/>
      <c r="I525" s="48"/>
      <c r="J525" s="195" t="s">
        <v>158</v>
      </c>
      <c r="K525" s="198">
        <f>$K$41</f>
        <v>4837.5</v>
      </c>
      <c r="L525" s="197">
        <f>IF(L491="",K525,K525/L491*L492)</f>
        <v>4837.5</v>
      </c>
      <c r="M525" s="1138" t="s">
        <v>139</v>
      </c>
      <c r="N525" s="1138"/>
      <c r="O525" s="1139"/>
      <c r="P525" s="27">
        <f>ROUND(IF(F525="",0,G522*F525/1000),2)</f>
        <v>0</v>
      </c>
    </row>
    <row r="526" spans="1:16" s="1" customFormat="1" ht="15.75" customHeight="1" x14ac:dyDescent="0.2">
      <c r="A526" s="1142" t="s">
        <v>141</v>
      </c>
      <c r="B526" s="1143"/>
      <c r="C526" s="1143"/>
      <c r="D526" s="1144" t="s">
        <v>143</v>
      </c>
      <c r="E526" s="1144"/>
      <c r="F526" s="1145" t="str">
        <f>IF(IF(G522=0,"",'päd.Personal - Leitung'!$F$42)=0,"",IF(G522=0,"",'päd.Personal - Leitung'!$F$42))</f>
        <v/>
      </c>
      <c r="G526" s="1145"/>
      <c r="H526" s="72"/>
      <c r="I526" s="18"/>
      <c r="J526" s="195" t="s">
        <v>159</v>
      </c>
      <c r="K526" s="197">
        <f>$K$42</f>
        <v>6700</v>
      </c>
      <c r="L526" s="197">
        <f>IF(L491="",K526,K526/L491*L492)</f>
        <v>6700</v>
      </c>
      <c r="M526" s="1138" t="s">
        <v>141</v>
      </c>
      <c r="N526" s="1138"/>
      <c r="O526" s="1139"/>
      <c r="P526" s="23">
        <f>ROUND(IF(F526="",0,IF(G522=0,0,F526/L491*L492)),2)</f>
        <v>0</v>
      </c>
    </row>
    <row r="527" spans="1:16" s="1" customFormat="1" ht="14.25" customHeight="1" x14ac:dyDescent="0.2">
      <c r="A527" s="18"/>
      <c r="B527" s="18"/>
      <c r="C527" s="18"/>
      <c r="D527" s="18"/>
      <c r="E527" s="18"/>
      <c r="F527" s="18"/>
      <c r="G527" s="18"/>
      <c r="H527" s="18"/>
      <c r="I527" s="18"/>
      <c r="J527" s="18"/>
      <c r="K527" s="74"/>
      <c r="L527" s="82"/>
      <c r="M527" s="1127" t="s">
        <v>146</v>
      </c>
      <c r="N527" s="1127"/>
      <c r="O527" s="1128"/>
      <c r="P527" s="23">
        <f>ROUND(IF(G522=0,0,$P$87),2)</f>
        <v>0</v>
      </c>
    </row>
    <row r="528" spans="1:16" s="1" customFormat="1" ht="14.25" customHeight="1" x14ac:dyDescent="0.2">
      <c r="A528" s="1129" t="s">
        <v>142</v>
      </c>
      <c r="B528" s="1130"/>
      <c r="C528" s="126" t="s">
        <v>136</v>
      </c>
      <c r="D528" s="179" t="s">
        <v>137</v>
      </c>
      <c r="E528" s="1131" t="str">
        <f>IF(IF(G522=0,"",'päd.Personal - Leitung'!$E$44)=0,"",IF(G522=0,"",'päd.Personal - Leitung'!$E$44))</f>
        <v/>
      </c>
      <c r="F528" s="1131"/>
      <c r="G528" s="83" t="s">
        <v>138</v>
      </c>
      <c r="H528" s="97" t="str">
        <f>IF(IF(G522=0,"",'päd.Personal - Leitung'!$H$44)=0,"",IF(G522=0,"",'päd.Personal - Leitung'!$H$44))</f>
        <v/>
      </c>
      <c r="I528" s="1132" t="s">
        <v>144</v>
      </c>
      <c r="J528" s="1132"/>
      <c r="K528" s="98" t="str">
        <f>IF(IF(G522=0,"",'päd.Personal - Leitung'!$K$44)=0,"",IF(G522=0,"",'päd.Personal - Leitung'!$K$44))</f>
        <v/>
      </c>
      <c r="L528" s="29"/>
      <c r="M528" s="29"/>
      <c r="N528" s="29"/>
      <c r="O528" s="28" t="s">
        <v>0</v>
      </c>
      <c r="P528" s="27">
        <f>P522+SUM(P524:P527)</f>
        <v>0</v>
      </c>
    </row>
    <row r="529" spans="1:16" s="12" customFormat="1" ht="13.5" customHeight="1" x14ac:dyDescent="0.2">
      <c r="A529" s="1178" t="s">
        <v>18</v>
      </c>
      <c r="B529" s="1178"/>
      <c r="C529" s="1178"/>
      <c r="D529" s="1179" t="str">
        <f>IF($D$1="","",$D$1)</f>
        <v/>
      </c>
      <c r="E529" s="1179"/>
      <c r="F529" s="1179"/>
      <c r="G529" s="1179"/>
      <c r="H529" s="1179"/>
      <c r="I529" s="1179"/>
      <c r="J529" s="1179"/>
      <c r="K529" s="1179"/>
      <c r="L529" s="1179"/>
      <c r="M529" s="1179"/>
      <c r="N529" s="1179"/>
    </row>
    <row r="530" spans="1:16" s="12" customFormat="1" ht="15" customHeight="1" x14ac:dyDescent="0.2">
      <c r="A530" s="1178" t="s">
        <v>17</v>
      </c>
      <c r="B530" s="1178"/>
      <c r="C530" s="1178" t="s">
        <v>15</v>
      </c>
      <c r="D530" s="1179" t="str">
        <f>IF($D$2="","",$D$2)</f>
        <v/>
      </c>
      <c r="E530" s="1179"/>
      <c r="F530" s="1179"/>
      <c r="G530" s="1179"/>
      <c r="H530" s="1179"/>
      <c r="I530" s="1179"/>
      <c r="J530" s="1179"/>
      <c r="K530" s="1179"/>
      <c r="L530" s="1179"/>
      <c r="M530" s="1179"/>
      <c r="N530" s="1179"/>
    </row>
    <row r="531" spans="1:16" s="12" customFormat="1" ht="15" customHeight="1" x14ac:dyDescent="0.2">
      <c r="A531" s="1178" t="s">
        <v>16</v>
      </c>
      <c r="B531" s="1178"/>
      <c r="C531" s="1178" t="s">
        <v>15</v>
      </c>
      <c r="D531" s="1179" t="str">
        <f>IF($D$3="","",$D$3)</f>
        <v/>
      </c>
      <c r="E531" s="1179"/>
      <c r="F531" s="1179"/>
      <c r="G531" s="1179"/>
      <c r="H531" s="1179"/>
      <c r="I531" s="1179"/>
      <c r="J531" s="1179"/>
      <c r="K531" s="1178" t="s">
        <v>103</v>
      </c>
      <c r="L531" s="1178"/>
      <c r="M531" s="1178"/>
      <c r="N531" s="41" t="str">
        <f>IF($N$3="","",$N$3)</f>
        <v/>
      </c>
    </row>
    <row r="532" spans="1:16" s="13" customFormat="1" ht="11.25" x14ac:dyDescent="0.2">
      <c r="A532" s="1182"/>
      <c r="B532" s="1182"/>
      <c r="C532" s="1182"/>
      <c r="D532" s="1183"/>
      <c r="E532" s="1183"/>
      <c r="F532" s="1183"/>
      <c r="G532" s="1183"/>
      <c r="H532" s="1183"/>
      <c r="I532" s="1183"/>
      <c r="J532" s="1183"/>
      <c r="K532" s="11"/>
      <c r="L532" s="11"/>
      <c r="M532" s="11"/>
      <c r="N532" s="11"/>
      <c r="O532" s="11"/>
      <c r="P532" s="11"/>
    </row>
    <row r="533" spans="1:16" s="15" customFormat="1" ht="13.5" customHeight="1" x14ac:dyDescent="0.2">
      <c r="A533" s="1177" t="s">
        <v>166</v>
      </c>
      <c r="B533" s="1177"/>
      <c r="C533" s="1177"/>
      <c r="D533" s="1177"/>
      <c r="E533" s="1177"/>
      <c r="F533" s="1177"/>
      <c r="G533" s="1177"/>
      <c r="H533" s="1177"/>
      <c r="I533" s="1177"/>
      <c r="J533" s="1177"/>
      <c r="K533" s="9"/>
      <c r="L533" s="9"/>
      <c r="M533" s="9"/>
      <c r="N533" s="59" t="s">
        <v>154</v>
      </c>
      <c r="O533" s="191">
        <f>$O$5</f>
        <v>2022</v>
      </c>
      <c r="P533" s="59" t="s">
        <v>154</v>
      </c>
    </row>
    <row r="534" spans="1:16" s="10" customFormat="1" ht="13.5" customHeight="1" x14ac:dyDescent="0.25">
      <c r="B534" s="32"/>
      <c r="C534" s="32"/>
      <c r="D534" s="5" t="s">
        <v>49</v>
      </c>
      <c r="E534" s="31"/>
      <c r="F534" s="31"/>
      <c r="G534" s="31"/>
      <c r="H534" s="31"/>
      <c r="I534" s="26"/>
      <c r="J534" s="1174" t="s">
        <v>14</v>
      </c>
      <c r="K534" s="1174"/>
      <c r="L534" s="180"/>
      <c r="N534" s="84">
        <f>IF(L536="","",L536)</f>
        <v>0</v>
      </c>
      <c r="O534" s="58" t="str">
        <f>$O$6</f>
        <v>Jan                Jul</v>
      </c>
      <c r="P534" s="85">
        <f>IF(N539="","",N539)</f>
        <v>0</v>
      </c>
    </row>
    <row r="535" spans="1:16" s="7" customFormat="1" ht="13.5" customHeight="1" x14ac:dyDescent="0.25">
      <c r="A535" s="1180" t="s">
        <v>71</v>
      </c>
      <c r="B535" s="1180"/>
      <c r="C535" s="1180"/>
      <c r="D535" s="1184"/>
      <c r="E535" s="1184"/>
      <c r="F535" s="1184"/>
      <c r="G535" s="1184"/>
      <c r="H535" s="1184"/>
      <c r="I535" s="1184"/>
      <c r="J535" s="1174" t="s">
        <v>104</v>
      </c>
      <c r="K535" s="1174"/>
      <c r="L535" s="145"/>
      <c r="N535" s="85">
        <f>IF(N534="","",N534)</f>
        <v>0</v>
      </c>
      <c r="O535" s="58" t="str">
        <f>$O$7</f>
        <v>Feb              Aug</v>
      </c>
      <c r="P535" s="85">
        <f>IF(P534="","",P534)</f>
        <v>0</v>
      </c>
    </row>
    <row r="536" spans="1:16" s="1" customFormat="1" ht="13.5" customHeight="1" x14ac:dyDescent="0.2">
      <c r="A536" s="1180" t="s">
        <v>13</v>
      </c>
      <c r="B536" s="1180"/>
      <c r="C536" s="1180"/>
      <c r="D536" s="1181"/>
      <c r="E536" s="1181"/>
      <c r="F536" s="1181"/>
      <c r="G536" s="1181"/>
      <c r="H536" s="1181"/>
      <c r="I536" s="1181"/>
      <c r="J536" s="1174" t="s">
        <v>164</v>
      </c>
      <c r="K536" s="1174"/>
      <c r="L536" s="145">
        <f>IF((L537+L538)&gt;L535,0,L535-L537-L538)</f>
        <v>0</v>
      </c>
      <c r="N536" s="85">
        <f>IF(N535="","",N535)</f>
        <v>0</v>
      </c>
      <c r="O536" s="58" t="str">
        <f>$O$8</f>
        <v>Mrz              Sep</v>
      </c>
      <c r="P536" s="85">
        <f>IF(P535="","",P535)</f>
        <v>0</v>
      </c>
    </row>
    <row r="537" spans="1:16" s="1" customFormat="1" ht="13.5" customHeight="1" x14ac:dyDescent="0.2">
      <c r="A537" s="1180" t="s">
        <v>12</v>
      </c>
      <c r="B537" s="1180"/>
      <c r="C537" s="1180"/>
      <c r="D537" s="1181"/>
      <c r="E537" s="1181"/>
      <c r="F537" s="1181"/>
      <c r="G537" s="1181"/>
      <c r="H537" s="1181"/>
      <c r="I537" s="1181"/>
      <c r="J537" s="1174" t="s">
        <v>165</v>
      </c>
      <c r="K537" s="1174"/>
      <c r="L537" s="145"/>
      <c r="N537" s="85">
        <f>IF(N536="","",N536)</f>
        <v>0</v>
      </c>
      <c r="O537" s="58" t="str">
        <f>$O$9</f>
        <v>Apr               Okt</v>
      </c>
      <c r="P537" s="85">
        <f t="shared" ref="P537:P539" si="60">IF(P536="","",P536)</f>
        <v>0</v>
      </c>
    </row>
    <row r="538" spans="1:16" s="1" customFormat="1" ht="13.5" customHeight="1" x14ac:dyDescent="0.2">
      <c r="A538" s="1180" t="s">
        <v>19</v>
      </c>
      <c r="B538" s="1180"/>
      <c r="C538" s="1180"/>
      <c r="D538" s="1181"/>
      <c r="E538" s="1181"/>
      <c r="F538" s="1181"/>
      <c r="G538" s="1181"/>
      <c r="H538" s="1181"/>
      <c r="I538" s="1181"/>
      <c r="J538" s="1174" t="s">
        <v>252</v>
      </c>
      <c r="K538" s="1174"/>
      <c r="L538" s="145"/>
      <c r="M538" s="92"/>
      <c r="N538" s="85">
        <f>IF(N537="","",N537)</f>
        <v>0</v>
      </c>
      <c r="O538" s="58" t="str">
        <f>$O$10</f>
        <v>Mai               Nov</v>
      </c>
      <c r="P538" s="85">
        <f t="shared" si="60"/>
        <v>0</v>
      </c>
    </row>
    <row r="539" spans="1:16" s="1" customFormat="1" ht="13.5" customHeight="1" x14ac:dyDescent="0.2">
      <c r="B539" s="8"/>
      <c r="C539" s="121" t="s">
        <v>162</v>
      </c>
      <c r="D539" s="1175"/>
      <c r="E539" s="1175"/>
      <c r="F539" s="1176" t="s">
        <v>106</v>
      </c>
      <c r="G539" s="1176"/>
      <c r="H539" s="1186"/>
      <c r="I539" s="1186"/>
      <c r="J539" s="1174" t="s">
        <v>97</v>
      </c>
      <c r="K539" s="1174"/>
      <c r="L539" s="17" t="str">
        <f>IF(IF((COUNTIF(B554:B565,"&gt;0"))=0,0,(COUNTIF(B554:B565,"&gt;0")))&gt;Grundlagen!$C$24,Grundlagen!$C$24,IF((COUNTIF(B554:B565,"&gt;0"))=0,"",(COUNTIF(B554:B565,"&gt;0"))))</f>
        <v/>
      </c>
      <c r="N539" s="85">
        <f>IF(N538="","",N538)</f>
        <v>0</v>
      </c>
      <c r="O539" s="58" t="str">
        <f>'päd.Personal - Leitung'!$O$11</f>
        <v>Jun               Dez</v>
      </c>
      <c r="P539" s="85">
        <f t="shared" si="60"/>
        <v>0</v>
      </c>
    </row>
    <row r="540" spans="1:16" s="1" customFormat="1" ht="13.5" customHeight="1" x14ac:dyDescent="0.2">
      <c r="I540" s="6"/>
      <c r="L540" s="147" t="str">
        <f>IF((SUM(F542:F545))=0,"",IF(P540&gt;L536,L536,IF(L536="","",IF(L539="","",P540))))</f>
        <v/>
      </c>
      <c r="O540" s="174" t="s">
        <v>251</v>
      </c>
      <c r="P540" s="175">
        <f>IF(L539="",0,((IF(SUMIF(B554,"&gt;0"),N534,0))+(IF(SUMIF(B555,"&gt;0"),N535,0))+(IF(SUMIF(B556,"&gt;0"),N536,0))+(IF(SUMIF(B557,"&gt;0"),N537,0))+(IF(SUMIF(B558,"&gt;0"),N538,0))+(IF(SUMIF(B559,"&gt;0"),N539,0))+(IF(SUMIF(B560,"&gt;0"),P534,0))+(IF(SUMIF(B561,"&gt;0"),P535,0))+(IF(SUMIF(B562,"&gt;0"),P536,0))+(IF(SUMIF(B563,"&gt;0"),P537,0))+(IF(SUMIF(B564,"&gt;0"),P538,0))+(IF(SUMIF(B565,"&gt;0"),P539,0)))/Grundlagen!$C$24)</f>
        <v>0</v>
      </c>
    </row>
    <row r="541" spans="1:16" s="52" customFormat="1" ht="13.5" customHeight="1" x14ac:dyDescent="0.2">
      <c r="A541" s="61" t="s">
        <v>148</v>
      </c>
      <c r="B541" s="1168" t="s">
        <v>149</v>
      </c>
      <c r="C541" s="1168"/>
      <c r="D541" s="62" t="s">
        <v>150</v>
      </c>
      <c r="E541" s="63" t="s">
        <v>151</v>
      </c>
      <c r="F541" s="64" t="str">
        <f>CONCATENATE("Entg. ",N531," h/Wo")</f>
        <v>Entg.  h/Wo</v>
      </c>
      <c r="G541" s="65" t="s">
        <v>152</v>
      </c>
      <c r="H541" s="65" t="s">
        <v>153</v>
      </c>
      <c r="K541" s="1169" t="str">
        <f>CONCATENATE("Zuschläge / Zulagen für ",N531,"h/Wo")</f>
        <v>Zuschläge / Zulagen für h/Wo</v>
      </c>
      <c r="L541" s="1169"/>
      <c r="M541" s="66" t="str">
        <f>IF(A542="","",A542)</f>
        <v>Jan 2022</v>
      </c>
      <c r="N541" s="66" t="str">
        <f>IF(A543="","",A543)</f>
        <v/>
      </c>
      <c r="O541" s="66" t="str">
        <f>IF(A544="","",A544)</f>
        <v/>
      </c>
      <c r="P541" s="66" t="str">
        <f>IF(A545="","",A545)</f>
        <v/>
      </c>
    </row>
    <row r="542" spans="1:16" s="52" customFormat="1" ht="13.5" customHeight="1" x14ac:dyDescent="0.25">
      <c r="A542" s="54" t="str">
        <f>A554</f>
        <v>Jan 2022</v>
      </c>
      <c r="B542" s="1170" t="str">
        <f>IF($D$3="","",$D$3)</f>
        <v/>
      </c>
      <c r="C542" s="1171"/>
      <c r="D542" s="181"/>
      <c r="E542" s="181"/>
      <c r="F542" s="87"/>
      <c r="G542" s="56">
        <f>IF(N531="",0,F542/N531/4.348)</f>
        <v>0</v>
      </c>
      <c r="H542" s="53">
        <f>IF(G542=0,0,M547)</f>
        <v>0</v>
      </c>
      <c r="K542" s="1146"/>
      <c r="L542" s="1146"/>
      <c r="M542" s="172"/>
      <c r="N542" s="172"/>
      <c r="O542" s="172"/>
      <c r="P542" s="172"/>
    </row>
    <row r="543" spans="1:16" s="52" customFormat="1" ht="13.5" customHeight="1" x14ac:dyDescent="0.25">
      <c r="A543" s="55"/>
      <c r="B543" s="1172" t="str">
        <f>IF(A543="","",B542)</f>
        <v/>
      </c>
      <c r="C543" s="1173"/>
      <c r="D543" s="181"/>
      <c r="E543" s="181"/>
      <c r="F543" s="87"/>
      <c r="G543" s="56">
        <f>IF(N531="",0,F543/N531/4.348)</f>
        <v>0</v>
      </c>
      <c r="H543" s="53">
        <f>IF(G543=0,0,N547)</f>
        <v>0</v>
      </c>
      <c r="K543" s="1146"/>
      <c r="L543" s="1146"/>
      <c r="M543" s="172"/>
      <c r="N543" s="172"/>
      <c r="O543" s="172"/>
      <c r="P543" s="172"/>
    </row>
    <row r="544" spans="1:16" s="52" customFormat="1" ht="13.5" customHeight="1" x14ac:dyDescent="0.25">
      <c r="A544" s="55"/>
      <c r="B544" s="1172" t="str">
        <f>IF(A544="","",B543)</f>
        <v/>
      </c>
      <c r="C544" s="1173"/>
      <c r="D544" s="181"/>
      <c r="E544" s="181"/>
      <c r="F544" s="87"/>
      <c r="G544" s="56">
        <f>IF(N531="",0,F544/N531/4.348)</f>
        <v>0</v>
      </c>
      <c r="H544" s="53">
        <f>IF(G544=0,0,O547)</f>
        <v>0</v>
      </c>
      <c r="K544" s="1146"/>
      <c r="L544" s="1146"/>
      <c r="M544" s="172"/>
      <c r="N544" s="172"/>
      <c r="O544" s="172"/>
      <c r="P544" s="172"/>
    </row>
    <row r="545" spans="1:16" s="52" customFormat="1" ht="13.5" customHeight="1" x14ac:dyDescent="0.25">
      <c r="A545" s="55"/>
      <c r="B545" s="1172" t="str">
        <f>IF(A545="","",B544)</f>
        <v/>
      </c>
      <c r="C545" s="1173"/>
      <c r="D545" s="181"/>
      <c r="E545" s="181"/>
      <c r="F545" s="87"/>
      <c r="G545" s="56">
        <f>IF(N531="",0,F545/N531/4.348)</f>
        <v>0</v>
      </c>
      <c r="H545" s="53">
        <f>IF(G545=0,0,P547)</f>
        <v>0</v>
      </c>
      <c r="K545" s="1146"/>
      <c r="L545" s="1146"/>
      <c r="M545" s="172"/>
      <c r="N545" s="172"/>
      <c r="O545" s="172"/>
      <c r="P545" s="172"/>
    </row>
    <row r="546" spans="1:16" s="52" customFormat="1" ht="13.5" customHeight="1" x14ac:dyDescent="0.25">
      <c r="B546" s="1167" t="s">
        <v>157</v>
      </c>
      <c r="C546" s="1167"/>
      <c r="E546" s="1167" t="s">
        <v>156</v>
      </c>
      <c r="F546" s="1167"/>
      <c r="J546" s="69"/>
      <c r="K546" s="1146"/>
      <c r="L546" s="1146"/>
      <c r="M546" s="172"/>
      <c r="N546" s="172"/>
      <c r="O546" s="172"/>
      <c r="P546" s="172"/>
    </row>
    <row r="547" spans="1:16" s="52" customFormat="1" ht="13.5" customHeight="1" x14ac:dyDescent="0.25">
      <c r="A547" s="70" t="s">
        <v>167</v>
      </c>
      <c r="B547" s="67"/>
      <c r="C547" s="99" t="str">
        <f>IF(C503="","",C503)</f>
        <v/>
      </c>
      <c r="D547" s="70" t="s">
        <v>167</v>
      </c>
      <c r="E547" s="67"/>
      <c r="F547" s="99" t="str">
        <f>IF(F503="","",F503)</f>
        <v/>
      </c>
      <c r="J547" s="68"/>
      <c r="M547" s="173">
        <f>SUM(M542:M546)</f>
        <v>0</v>
      </c>
      <c r="N547" s="173">
        <f t="shared" ref="N547:P547" si="61">SUM(N542:N546)</f>
        <v>0</v>
      </c>
      <c r="O547" s="173">
        <f t="shared" si="61"/>
        <v>0</v>
      </c>
      <c r="P547" s="173">
        <f t="shared" si="61"/>
        <v>0</v>
      </c>
    </row>
    <row r="548" spans="1:16" s="52" customFormat="1" ht="13.5" customHeight="1" x14ac:dyDescent="0.2">
      <c r="A548" s="60" t="s">
        <v>155</v>
      </c>
    </row>
    <row r="549" spans="1:16" s="1" customFormat="1" ht="14.25" customHeight="1" x14ac:dyDescent="0.2">
      <c r="A549" s="1147"/>
      <c r="B549" s="1149" t="s">
        <v>9</v>
      </c>
      <c r="C549" s="1150"/>
      <c r="D549" s="1150"/>
      <c r="E549" s="1150"/>
      <c r="F549" s="1150"/>
      <c r="G549" s="1151"/>
      <c r="H549" s="1152" t="s">
        <v>119</v>
      </c>
      <c r="I549" s="1153"/>
      <c r="J549" s="1153"/>
      <c r="K549" s="1153"/>
      <c r="L549" s="1153"/>
      <c r="M549" s="1153"/>
      <c r="N549" s="1153"/>
      <c r="O549" s="33"/>
      <c r="P549" s="1154" t="s">
        <v>0</v>
      </c>
    </row>
    <row r="550" spans="1:16" s="1" customFormat="1" ht="14.25" customHeight="1" x14ac:dyDescent="0.2">
      <c r="A550" s="1148"/>
      <c r="B550" s="1157" t="s">
        <v>117</v>
      </c>
      <c r="C550" s="124" t="s">
        <v>115</v>
      </c>
      <c r="D550" s="1159" t="s">
        <v>277</v>
      </c>
      <c r="E550" s="1161" t="s">
        <v>147</v>
      </c>
      <c r="F550" s="127" t="s">
        <v>7</v>
      </c>
      <c r="G550" s="1162" t="s">
        <v>6</v>
      </c>
      <c r="H550" s="1161" t="s">
        <v>129</v>
      </c>
      <c r="I550" s="1161" t="s">
        <v>5</v>
      </c>
      <c r="J550" s="1161" t="s">
        <v>4</v>
      </c>
      <c r="K550" s="1161" t="s">
        <v>3</v>
      </c>
      <c r="L550" s="1161" t="s">
        <v>121</v>
      </c>
      <c r="M550" s="1161" t="s">
        <v>122</v>
      </c>
      <c r="N550" s="1161" t="s">
        <v>123</v>
      </c>
      <c r="O550" s="1160" t="s">
        <v>114</v>
      </c>
      <c r="P550" s="1155"/>
    </row>
    <row r="551" spans="1:16" s="1" customFormat="1" ht="14.25" customHeight="1" x14ac:dyDescent="0.2">
      <c r="A551" s="1148"/>
      <c r="B551" s="1157"/>
      <c r="C551" s="21" t="str">
        <f>IF(C547="","",C547)</f>
        <v/>
      </c>
      <c r="D551" s="1160"/>
      <c r="E551" s="1161"/>
      <c r="F551" s="1165" t="str">
        <f>IF(H542=0,"","siehe Zuschläge / Zulagen")</f>
        <v/>
      </c>
      <c r="G551" s="1162"/>
      <c r="H551" s="1164" t="s">
        <v>127</v>
      </c>
      <c r="I551" s="1164"/>
      <c r="J551" s="1164"/>
      <c r="K551" s="1164"/>
      <c r="L551" s="1164"/>
      <c r="M551" s="1164"/>
      <c r="N551" s="1164"/>
      <c r="O551" s="1160"/>
      <c r="P551" s="1155"/>
    </row>
    <row r="552" spans="1:16" s="1" customFormat="1" x14ac:dyDescent="0.2">
      <c r="A552" s="1148"/>
      <c r="B552" s="1157"/>
      <c r="C552" s="122" t="s">
        <v>70</v>
      </c>
      <c r="D552" s="1160"/>
      <c r="E552" s="1161"/>
      <c r="F552" s="1165"/>
      <c r="G552" s="1162"/>
      <c r="H552" s="43" t="s">
        <v>128</v>
      </c>
      <c r="I552" s="43" t="s">
        <v>255</v>
      </c>
      <c r="J552" s="43" t="s">
        <v>256</v>
      </c>
      <c r="K552" s="43" t="s">
        <v>257</v>
      </c>
      <c r="L552" s="43"/>
      <c r="M552" s="43"/>
      <c r="N552" s="43" t="s">
        <v>254</v>
      </c>
      <c r="O552" s="1160"/>
      <c r="P552" s="1155"/>
    </row>
    <row r="553" spans="1:16" s="1" customFormat="1" x14ac:dyDescent="0.2">
      <c r="A553" s="1148"/>
      <c r="B553" s="1158"/>
      <c r="C553" s="21" t="str">
        <f>IF(F547="","",F547)</f>
        <v/>
      </c>
      <c r="D553" s="51"/>
      <c r="E553" s="51"/>
      <c r="F553" s="1166"/>
      <c r="G553" s="1163"/>
      <c r="H553" s="93"/>
      <c r="I553" s="139">
        <f>$I$69</f>
        <v>0</v>
      </c>
      <c r="J553" s="139">
        <f>$J$69</f>
        <v>0</v>
      </c>
      <c r="K553" s="44">
        <f>$K$69</f>
        <v>0</v>
      </c>
      <c r="L553" s="21"/>
      <c r="M553" s="21"/>
      <c r="N553" s="139">
        <f>$N$69</f>
        <v>0</v>
      </c>
      <c r="O553" s="21">
        <f>O509</f>
        <v>0</v>
      </c>
      <c r="P553" s="1156"/>
    </row>
    <row r="554" spans="1:16" s="1" customFormat="1" x14ac:dyDescent="0.2">
      <c r="A554" s="100" t="str">
        <f>$A$26</f>
        <v>Jan 2022</v>
      </c>
      <c r="B554" s="24">
        <f>ROUND(IF(N534=0,0,(LOOKUP(2,1/(A542:A545=A554),G542:G545))*N534*4.348),2)</f>
        <v>0</v>
      </c>
      <c r="C554" s="23">
        <f>ROUND(IFERROR(((LOOKUP(2,1/(B547=A554),((SUM(B560:B562)+SUM(F560:F562))/3)*C547))),0)+IFERROR(((LOOKUP(2,1/(E547=A554),(B566+F566)*F547))),0),2)</f>
        <v>0</v>
      </c>
      <c r="D554" s="23">
        <f>ROUND(IF(B554=0,0,D553/L535*N534),2)</f>
        <v>0</v>
      </c>
      <c r="E554" s="23">
        <f>ROUND(IF(B554=0,0,E553/N531*N534),2)</f>
        <v>0</v>
      </c>
      <c r="F554" s="24">
        <f>ROUND(IF(N534=0,0,(LOOKUP(2,1/(A542:A545=A554),H542:H545))/N531*N534),2)</f>
        <v>0</v>
      </c>
      <c r="G554" s="27">
        <f>SUM(B554+C554+E554+F554)</f>
        <v>0</v>
      </c>
      <c r="H554" s="76">
        <f>ROUND(IF((SUM(B554:F554))&gt;L569,L569*H553,SUM(B554:F554)*H553),2)</f>
        <v>0</v>
      </c>
      <c r="I554" s="76">
        <f>ROUND(IF((SUM(B554:F554))&gt;L570,L570*I553,SUM(B554:F554)*I553),2)</f>
        <v>0</v>
      </c>
      <c r="J554" s="76">
        <f>ROUND(IF((SUM(B554:F554))&gt;L570,L570*J553,SUM(B554:F554)*J553),2)</f>
        <v>0</v>
      </c>
      <c r="K554" s="76">
        <f>ROUND(IF((SUM(B554:F554))&gt;L569,L569*K553,SUM(B554:F554)*K553),2)</f>
        <v>0</v>
      </c>
      <c r="L554" s="76">
        <f>ROUND(IF((SUM(B554:F554))&gt;L570,L570*L553,(SUM(B554:F554)-C554)*L553),2)</f>
        <v>0</v>
      </c>
      <c r="M554" s="76">
        <f>ROUND(IF((SUM(B554:F554))&gt;L570,L570*M553,(SUM(B554:F554)-C554)*M553),2)</f>
        <v>0</v>
      </c>
      <c r="N554" s="76">
        <f>ROUND(IF((SUM(B554:F554))&gt;L570,L570*N553,SUM(B554:F554)*N553),2)</f>
        <v>0</v>
      </c>
      <c r="O554" s="23">
        <f>ROUND(SUM(B554+C554+F554)*O553,2)</f>
        <v>0</v>
      </c>
      <c r="P554" s="27">
        <f>SUM(G554:O554)</f>
        <v>0</v>
      </c>
    </row>
    <row r="555" spans="1:16" s="1" customFormat="1" x14ac:dyDescent="0.2">
      <c r="A555" s="100" t="str">
        <f>$A$27</f>
        <v>Feb 2022</v>
      </c>
      <c r="B555" s="24">
        <f>ROUND(IF(N535=0,0,IFERROR(((LOOKUP(2,1/(A542:A545=A555),G542:G545))*N535*4.348),B554/N535*N535)),2)</f>
        <v>0</v>
      </c>
      <c r="C555" s="23">
        <f>ROUND(IFERROR(((LOOKUP(2,1/(B547=A555),((SUM(B560:B562)+SUM(F560:F562))/3)*C547))),0)+IFERROR(((LOOKUP(2,1/(E547=A555),(B566+F566)*F547))),0),2)</f>
        <v>0</v>
      </c>
      <c r="D555" s="23">
        <f>ROUND(IF(B555=0,0,D553/L535*N535),2)</f>
        <v>0</v>
      </c>
      <c r="E555" s="23">
        <f>ROUND(IF(B555=0,0,E553/N531*N535),2)</f>
        <v>0</v>
      </c>
      <c r="F555" s="24">
        <f>ROUND(IF(N535=0,0,IFERROR(((LOOKUP(2,1/(A542:A545=A555),H542:H545))/N531*N535),F554/N535*N535)),2)</f>
        <v>0</v>
      </c>
      <c r="G555" s="27">
        <f t="shared" ref="G555:G565" si="62">SUM(B555+C555+E555+F555)</f>
        <v>0</v>
      </c>
      <c r="H555" s="76">
        <f>ROUND(IF(SUM(B554:F554)&lt;(L569*1),IF((SUM(B554:F555))&gt;(L569*2),(((L569*2)-(SUM(B554:F555)-C554))*H553)+((SUM(B555:F555)-C554)*H553),SUM(B555:F555)*H553),IF(SUM(B554:F555)&gt;(L569*2),L569*H553,SUM(B555:F555)*H553)),2)</f>
        <v>0</v>
      </c>
      <c r="I555" s="76">
        <f>ROUND(IF(SUM(B554:F554)&lt;(L570*1),IF((SUM(B554:F555))&gt;(L570*2),(((L570*2)-(SUM(B554:F555)-C554))*I553)+((SUM(B555:F555)-C554)*I553),SUM(B555:F555)*I553),IF(SUM(B554:F555)&gt;(L570*2),L570*I553,SUM(B555:F555)*I553)),2)</f>
        <v>0</v>
      </c>
      <c r="J555" s="76">
        <f>ROUND(IF(SUM(B554:F554)&lt;(L570*1),IF((SUM(B554:F555))&gt;(L570*2),(((L570*2)-(SUM(B554:F555)-C554))*J553)+((SUM(B555:F555)-C554)*J553),SUM(B555:F555)*J553),IF(SUM(B554:F555)&gt;(L570*2),L570*J553,SUM(B555:F555)*J553)),2)</f>
        <v>0</v>
      </c>
      <c r="K555" s="76">
        <f>ROUND(IF(SUM(B554:F554)&lt;(L569*1),IF((SUM(B554:F555))&gt;(L569*2),(((L569*2)-(SUM(B554:F555)-C554))*K553)+((SUM(B555:F555)-C554)*K553),SUM(B555:F555)*K553),IF(SUM(B554:F555)&gt;(L569*2),L569*K553,SUM(B555:F555)*K553)),2)</f>
        <v>0</v>
      </c>
      <c r="L555" s="76">
        <f>ROUND(IF(SUM(B554:F554)&lt;(L570*1),IF((SUM(B554:F555))&gt;(L570*2),(((L570*2)-(SUM(B554:F555)-C555))*L553)+((SUM(B555:F555)-C555)*L553),(SUM(B555:F555)-C555)*L553),IF(SUM(B554:F555)&gt;(L570*2),L570*L553,SUM(B555:F555)*L553)),2)</f>
        <v>0</v>
      </c>
      <c r="M555" s="76">
        <f>ROUND(IF(SUM(B554:F554)&lt;(L570*1),IF((SUM(B554:F555))&gt;(L570*2),(((L570*2)-(SUM(B554:F555)-C555))*M553)+((SUM(B555:F555)-C555)*M553),(SUM(B555:F555)-C555)*M553),IF(SUM(B554:F555)&gt;(L570*2),L570*M553,SUM(B555:F555)*M553)),2)</f>
        <v>0</v>
      </c>
      <c r="N555" s="76">
        <f>ROUND(IF(SUM(B554:F554)&lt;(L570*1),IF((SUM(B554:F555))&gt;(L570*2),(((L570*2)-(SUM(B554:F555)-C554))*N553)+((SUM(B555:F555)-C554)*N553),SUM(B555:F555)*N553),IF(SUM(B554:F555)&gt;(L570*2),L570*N553,SUM(B555:F555)*N553)),2)</f>
        <v>0</v>
      </c>
      <c r="O555" s="23">
        <f>ROUND(SUM(B555+C555+F555)*O553,2)</f>
        <v>0</v>
      </c>
      <c r="P555" s="27">
        <f>SUM(G555:O555)</f>
        <v>0</v>
      </c>
    </row>
    <row r="556" spans="1:16" s="1" customFormat="1" x14ac:dyDescent="0.2">
      <c r="A556" s="100" t="str">
        <f>$A$28</f>
        <v>Mrz 2022</v>
      </c>
      <c r="B556" s="24">
        <f>ROUND(IF(N536=0,0,IFERROR(((LOOKUP(2,1/(A542:A545=A556),G542:G545))*N536*4.348),B555/N536*N536)),2)</f>
        <v>0</v>
      </c>
      <c r="C556" s="23">
        <f>ROUND(IFERROR(((LOOKUP(2,1/(B547=A556),((SUM(B560:B562)+SUM(F560:F562))/3)*C547))),0)+IFERROR(((LOOKUP(2,1/(E547=A556),(B566+F566)*F547))),0),2)</f>
        <v>0</v>
      </c>
      <c r="D556" s="23">
        <f>ROUND(IF(B556=0,0,D553/L535*N536),2)</f>
        <v>0</v>
      </c>
      <c r="E556" s="23">
        <f>ROUND(IF(B556=0,0,E553/N531*N536),2)</f>
        <v>0</v>
      </c>
      <c r="F556" s="24">
        <f>ROUND(IF(N536=0,0,IFERROR(((LOOKUP(2,1/(A542:A545=A556),H542:H545))/N531*N536),F555/N536*N536)),2)</f>
        <v>0</v>
      </c>
      <c r="G556" s="27">
        <f t="shared" si="62"/>
        <v>0</v>
      </c>
      <c r="H556" s="76">
        <f>ROUND(IF(SUM(B554:F555)&lt;(L569*2),IF((SUM(B554:F556))&gt;(L569*3),(((L569*3)-(SUM(B554:F556)-C555))*H553)+((SUM(B556:F556)-C555)*H553),SUM(B556:F556)*H553),IF(SUM(B554:F556)&gt;(L569*3),L569*H553,SUM(B556:F556)*H553)),2)</f>
        <v>0</v>
      </c>
      <c r="I556" s="76">
        <f>ROUND(IF(SUM(B554:F555)&lt;(L570*2),IF((SUM(B554:F556))&gt;(L570*3),(((L570*3)-(SUM(B554:F556)-C555))*I553)+((SUM(B556:F556)-C555)*I553),SUM(B556:F556)*I553),IF(SUM(B554:F556)&gt;(L570*3),L570*I553,SUM(B556:F556)*I553)),2)</f>
        <v>0</v>
      </c>
      <c r="J556" s="76">
        <f>ROUND(IF(SUM(B554:F555)&lt;(L570*2),IF((SUM(B554:F556))&gt;(L570*3),(((L570*3)-(SUM(B554:F556)-C555))*J553)+((SUM(B556:F556)-C555)*J553),SUM(B556:F556)*J553),IF(SUM(B554:F556)&gt;(L570*3),L570*J553,SUM(B556:F556)*J553)),2)</f>
        <v>0</v>
      </c>
      <c r="K556" s="76">
        <f>ROUND(IF(SUM(B554:F555)&lt;(L569*2),IF((SUM(B554:F556))&gt;(L569*3),(((L569*3)-(SUM(B554:F556)-C555))*K553)+((SUM(B556:F556)-C555)*K553),SUM(B556:F556)*K553),IF(SUM(B554:F556)&gt;(L569*3),L569*K553,SUM(B556:F556)*K553)),2)</f>
        <v>0</v>
      </c>
      <c r="L556" s="76">
        <f>ROUND(IF(SUM(B554:F555)&lt;(L570*2),IF((SUM(B554:F556))&gt;(L570*3),(((L570*3)-(SUM(B554:F556)-C556))*L553)+((SUM(B556:F556)-C556)*L553),(SUM(B556:F556)-C556)*L553),IF(SUM(B554:F556)&gt;(L570*3),L570*L553,SUM(B556:F556)*L553)),2)</f>
        <v>0</v>
      </c>
      <c r="M556" s="76">
        <f>ROUND(IF(SUM(B554:F555)&lt;(L570*2),IF((SUM(B554:F556))&gt;(L570*3),(((L570*3)-(SUM(B554:F556)-C556))*M553)+((SUM(B556:F556)-C556)*M553),(SUM(B556:F556)-C556)*M553),IF(SUM(B554:F556)&gt;(L570*3),L570*M553,SUM(B556:F556)*M553)),2)</f>
        <v>0</v>
      </c>
      <c r="N556" s="76">
        <f>ROUND(IF(SUM(B554:F555)&lt;(L570*2),IF((SUM(B554:F556))&gt;(L570*3),(((L570*3)-(SUM(B554:F556)-C555))*N553)+((SUM(B556:F556)-C555)*N553),SUM(B556:F556)*N553),IF(SUM(B554:F556)&gt;(L570*3),L570*N553,SUM(B556:F556)*N553)),2)</f>
        <v>0</v>
      </c>
      <c r="O556" s="23">
        <f>ROUND(SUM(B556+C556+F556)*O553,2)</f>
        <v>0</v>
      </c>
      <c r="P556" s="27">
        <f t="shared" ref="P556:P565" si="63">SUM(G556:O556)</f>
        <v>0</v>
      </c>
    </row>
    <row r="557" spans="1:16" s="1" customFormat="1" x14ac:dyDescent="0.2">
      <c r="A557" s="100" t="str">
        <f>$A$29</f>
        <v>Apr 2022</v>
      </c>
      <c r="B557" s="24">
        <f>ROUND(IF(N537=0,0,IFERROR(((LOOKUP(2,1/(A542:A545=A557),G542:G545))*N537*4.348),B556/N537*N537)),2)</f>
        <v>0</v>
      </c>
      <c r="C557" s="23">
        <f>ROUND(IFERROR(((LOOKUP(2,1/(B547=A557),((SUM(B560:B562)+SUM(F560:F562))/3)*C547))),0)+IFERROR(((LOOKUP(2,1/(E547=A557),(B566+F566)*F547))),0),2)</f>
        <v>0</v>
      </c>
      <c r="D557" s="23">
        <f>ROUND(IF(B557=0,0,D553/L535*N537),2)</f>
        <v>0</v>
      </c>
      <c r="E557" s="23">
        <f>ROUND(IF(B557=0,0,E553/N531*N537),2)</f>
        <v>0</v>
      </c>
      <c r="F557" s="24">
        <f>ROUND(IF(N537=0,0,IFERROR(((LOOKUP(2,1/(A542:A545=A557),H542:H545))/N531*N537),F556/N537*N537)),2)</f>
        <v>0</v>
      </c>
      <c r="G557" s="27">
        <f t="shared" si="62"/>
        <v>0</v>
      </c>
      <c r="H557" s="76">
        <f>ROUND(IF(SUM(B554:F556)&lt;(L569*3),IF((SUM(B554:F557))&gt;(L569*4),(((L569*4)-(SUM(B554:F557)-C556))*H553)+((SUM(B557:F557)-C556)*H553),SUM(B557:F557)*H553),IF(SUM(B554:F557)&gt;(L569*4),L569*H553,SUM(B557:F557)*H553)),2)</f>
        <v>0</v>
      </c>
      <c r="I557" s="76">
        <f>ROUND(IF(SUM(B554:F556)&lt;(L570*3),IF((SUM(B554:F557))&gt;(L570*4),(((L570*4)-(SUM(B554:F557)-C556))*I553)+((SUM(B557:F557)-C556)*I553),SUM(B557:F557)*I553),IF(SUM(B554:F557)&gt;(L570*4),L570*I553,SUM(B557:F557)*I553)),2)</f>
        <v>0</v>
      </c>
      <c r="J557" s="76">
        <f>ROUND(IF(SUM(B554:F556)&lt;(L570*3),IF((SUM(B554:F557))&gt;(L570*4),(((L570*4)-(SUM(B554:F557)-C556))*J553)+((SUM(B557:F557)-C556)*J553),SUM(B557:F557)*J553),IF(SUM(B554:F557)&gt;(L570*4),L570*J553,SUM(B557:F557)*J553)),2)</f>
        <v>0</v>
      </c>
      <c r="K557" s="76">
        <f>ROUND(IF(SUM(B554:F556)&lt;(L569*3),IF((SUM(B554:F557))&gt;(L569*4),(((L569*4)-(SUM(B554:F557)-C556))*K553)+((SUM(B557:F557)-C556)*K553),SUM(B557:F557)*K553),IF(SUM(B554:F557)&gt;(L569*4),L569*K553,SUM(B557:F557)*K553)),2)</f>
        <v>0</v>
      </c>
      <c r="L557" s="76">
        <f>ROUND(IF(SUM(B554:F556)&lt;(L570*3),IF((SUM(B554:F557))&gt;(L570*4),(((L570*4)-(SUM(B554:F557)-C557))*L553)+((SUM(B557:F557)-C557)*L553),(SUM(B557:F557)-C557)*L553),IF(SUM(B554:F557)&gt;(L570*4),L570*L553,SUM(B557:F557)*L553)),2)</f>
        <v>0</v>
      </c>
      <c r="M557" s="76">
        <f>ROUND(IF(SUM(B554:F556)&lt;(L570*3),IF((SUM(B554:F557))&gt;(L570*4),(((L570*4)-(SUM(B554:F557)-C557))*M553)+((SUM(B557:F557)-C557)*M553),(SUM(B557:F557)-C557)*M553),IF(SUM(B554:F557)&gt;(L570*4),L570*M553,SUM(B557:F557)*M553)),2)</f>
        <v>0</v>
      </c>
      <c r="N557" s="76">
        <f>ROUND(IF(SUM(B554:F556)&lt;(L570*3),IF((SUM(B554:F557))&gt;(L570*4),(((L570*4)-(SUM(B554:F557)-C556))*N553)+((SUM(B557:F557)-C556)*N553),SUM(B557:F557)*N553),IF(SUM(B554:F557)&gt;(L570*4),L570*N553,SUM(B557:F557)*N553)),2)</f>
        <v>0</v>
      </c>
      <c r="O557" s="23">
        <f>ROUND(SUM(B557+C557+F557)*O553,2)</f>
        <v>0</v>
      </c>
      <c r="P557" s="27">
        <f t="shared" si="63"/>
        <v>0</v>
      </c>
    </row>
    <row r="558" spans="1:16" s="1" customFormat="1" x14ac:dyDescent="0.2">
      <c r="A558" s="100" t="str">
        <f>$A$30</f>
        <v>Mai 2022</v>
      </c>
      <c r="B558" s="24">
        <f>ROUND(IF(N538=0,0,IFERROR(((LOOKUP(2,1/(A542:A545=A558),G542:G545))*N538*4.348),B557/N538*N538)),2)</f>
        <v>0</v>
      </c>
      <c r="C558" s="23">
        <f>ROUND(IFERROR(((LOOKUP(2,1/(B547=A558),((SUM(B560:B562)+SUM(F560:F562))/3)*C547))),0)+IFERROR(((LOOKUP(2,1/(E547=A558),(B566+F566)*F547))),0),2)</f>
        <v>0</v>
      </c>
      <c r="D558" s="23">
        <f>ROUND(IF(B558=0,0,D553/L535*N538),2)</f>
        <v>0</v>
      </c>
      <c r="E558" s="23">
        <f>ROUND(IF(B558=0,0,E553/N531*N538),2)</f>
        <v>0</v>
      </c>
      <c r="F558" s="24">
        <f>ROUND(IF(N538=0,0,IFERROR(((LOOKUP(2,1/(A542:A545=A558),H542:H545))/N531*N538),F557/N538*N538)),2)</f>
        <v>0</v>
      </c>
      <c r="G558" s="27">
        <f t="shared" si="62"/>
        <v>0</v>
      </c>
      <c r="H558" s="76">
        <f>ROUND(IF(SUM(B554:F557)&lt;(L569*4),IF((SUM(B554:F558))&gt;(L569*5),(((L569*5)-(SUM(B554:F558)-C557))*H553)+((SUM(B558:F558)-C557)*H553),SUM(B558:F558)*H553),IF(SUM(B554:F558)&gt;(L569*5),L569*H553,SUM(B558:F558)*H553)),2)</f>
        <v>0</v>
      </c>
      <c r="I558" s="76">
        <f>ROUND(IF(SUM(B554:F557)&lt;(L570*4),IF((SUM(B554:F558))&gt;(L570*5),(((L570*5)-(SUM(B554:F558)-C557))*I553)+((SUM(B558:F558)-C557)*I553),SUM(B558:F558)*I553),IF(SUM(B554:F558)&gt;(L570*5),L570*I553,SUM(B558:F558)*I553)),2)</f>
        <v>0</v>
      </c>
      <c r="J558" s="76">
        <f>ROUND(IF(SUM(B554:F557)&lt;(L570*4),IF((SUM(B554:F558))&gt;(L570*5),(((L570*5)-(SUM(B554:F558)-C557))*J553)+((SUM(B558:F558)-C557)*J553),SUM(B558:F558)*J553),IF(SUM(B554:F558)&gt;(L570*5),L570*J553,SUM(B558:F558)*J553)),2)</f>
        <v>0</v>
      </c>
      <c r="K558" s="76">
        <f>ROUND(IF(SUM(B554:F557)&lt;(L569*4),IF((SUM(B554:F558))&gt;(L569*5),(((L569*5)-(SUM(B554:F558)-C557))*K553)+((SUM(B558:F558)-C557)*K553),SUM(B558:F558)*K553),IF(SUM(B554:F558)&gt;(L569*5),L569*K553,SUM(B558:F558)*K553)),2)</f>
        <v>0</v>
      </c>
      <c r="L558" s="76">
        <f>ROUND(IF(SUM(B554:F557)&lt;(L570*4),IF((SUM(B554:F558))&gt;(L570*5),(((L570*5)-(SUM(B554:F558)-C558))*L553)+((SUM(B558:F558)-C558)*L553),(SUM(B558:F558)-C558)*L553),IF(SUM(B554:F558)&gt;(L570*5),L570*L553,SUM(B558:F558)*L553)),2)</f>
        <v>0</v>
      </c>
      <c r="M558" s="76">
        <f>ROUND(IF(SUM(B554:F557)&lt;(L570*4),IF((SUM(B554:F558))&gt;(L570*5),(((L570*5)-(SUM(B554:F558)-C558))*M553)+((SUM(B558:F558)-C558)*M553),(SUM(B558:F558)-C558)*M553),IF(SUM(B554:F558)&gt;(L570*5),L570*M553,SUM(B558:F558)*M553)),2)</f>
        <v>0</v>
      </c>
      <c r="N558" s="76">
        <f>ROUND(IF(SUM(B554:F557)&lt;(L570*4),IF((SUM(B554:F558))&gt;(L570*5),(((L570*5)-(SUM(B554:F558)-C557))*N553)+((SUM(B558:F558)-C557)*N553),SUM(B558:F558)*N553),IF(SUM(B554:F558)&gt;(L570*5),L570*N553,SUM(B558:F558)*N553)),2)</f>
        <v>0</v>
      </c>
      <c r="O558" s="23">
        <f>ROUND(SUM(B558+C558+F558)*O553,2)</f>
        <v>0</v>
      </c>
      <c r="P558" s="27">
        <f t="shared" si="63"/>
        <v>0</v>
      </c>
    </row>
    <row r="559" spans="1:16" s="1" customFormat="1" x14ac:dyDescent="0.2">
      <c r="A559" s="100" t="str">
        <f>$A$31</f>
        <v>Jun 2022</v>
      </c>
      <c r="B559" s="24">
        <f>ROUND(IF(N539=0,0,IFERROR(((LOOKUP(2,1/(A542:A545=A559),G542:G545))*N539*4.348),B558/N539*N539)),2)</f>
        <v>0</v>
      </c>
      <c r="C559" s="23">
        <f>ROUND(IFERROR(((LOOKUP(2,1/(B547=A559),((SUM(B560:B562)+SUM(F560:F562))/3)*C547))),0)+IFERROR(((LOOKUP(2,1/(E547=A559),(B566+F566)*F547))),0),2)</f>
        <v>0</v>
      </c>
      <c r="D559" s="23">
        <f>ROUND(IF(B559=0,0,D553/L535*N539),2)</f>
        <v>0</v>
      </c>
      <c r="E559" s="23">
        <f>ROUND(IF(B559=0,0,E553/N531*N539),2)</f>
        <v>0</v>
      </c>
      <c r="F559" s="24">
        <f>ROUND(IF(N539=0,0,IFERROR(((LOOKUP(2,1/(A542:A545=A559),H542:H545))/N531*N539),F558/N539*N539)),2)</f>
        <v>0</v>
      </c>
      <c r="G559" s="27">
        <f t="shared" si="62"/>
        <v>0</v>
      </c>
      <c r="H559" s="76">
        <f>ROUND(IF(SUM(B554:F558)&lt;(L569*5),IF((SUM(B554:F559))&gt;(L569*6),(((L569*6)-(SUM(B554:F559)-C558))*H553)+((SUM(B559:F559)-C558)*H553),SUM(B559:F559)*H553),IF(SUM(B554:F559)&gt;(L569*6),L569*H553,SUM(B559:F559)*H553)),2)</f>
        <v>0</v>
      </c>
      <c r="I559" s="76">
        <f>ROUND(IF(SUM(B554:F558)&lt;(L570*5),IF((SUM(B554:F559))&gt;(L570*6),(((L570*6)-(SUM(B554:F559)-C558))*I553)+((SUM(B559:F559)-C558)*I553),SUM(B559:F559)*I553),IF(SUM(B554:F559)&gt;(L570*6),L570*I553,SUM(B559:F559)*I553)),2)</f>
        <v>0</v>
      </c>
      <c r="J559" s="76">
        <f>ROUND(IF(SUM(B554:F558)&lt;(L570*5),IF((SUM(B554:F559))&gt;(L570*6),(((L570*6)-(SUM(B554:F559)-C558))*J553)+((SUM(B559:F559)-C558)*J553),SUM(B559:F559)*J553),IF(SUM(B554:F559)&gt;(L570*6),L570*J553,SUM(B559:F559)*J553)),2)</f>
        <v>0</v>
      </c>
      <c r="K559" s="76">
        <f>ROUND(IF(SUM(B554:F558)&lt;(L569*5),IF((SUM(B554:F559))&gt;(L569*6),(((L569*6)-(SUM(B554:F559)-C558))*K553)+((SUM(B559:F559)-C558)*K553),SUM(B559:F559)*K553),IF(SUM(B554:F559)&gt;(L569*6),L569*K553,SUM(B559:F559)*K553)),2)</f>
        <v>0</v>
      </c>
      <c r="L559" s="76">
        <f>ROUND(IF(SUM(B554:F558)&lt;(L570*5),IF((SUM(B554:F559))&gt;(L570*6),(((L570*6)-(SUM(B554:F559)-C559))*L553)+((SUM(B559:F559)-C559)*L553),(SUM(B559:F559)-C559)*L553),IF(SUM(B554:F559)&gt;(L570*6),L570*L553,SUM(B559:F559)*L553)),2)</f>
        <v>0</v>
      </c>
      <c r="M559" s="76">
        <f>ROUND(IF(SUM(B554:F558)&lt;(L570*5),IF((SUM(B554:F559))&gt;(L570*6),(((L570*6)-(SUM(B554:F559)-C559))*M553)+((SUM(B559:F559)-C559)*M553),(SUM(B559:F559)-C559)*M553),IF(SUM(B554:F559)&gt;(L570*6),L570*M553,SUM(B559:F559)*M553)),2)</f>
        <v>0</v>
      </c>
      <c r="N559" s="76">
        <f>ROUND(IF(SUM(B554:F558)&lt;(L570*5),IF((SUM(B554:F559))&gt;(L570*6),(((L570*6)-(SUM(B554:F559)-C558))*N553)+((SUM(B559:F559)-C558)*N553),SUM(B559:F559)*N553),IF(SUM(B554:F559)&gt;(L570*6),L570*N553,SUM(B559:F559)*N553)),2)</f>
        <v>0</v>
      </c>
      <c r="O559" s="23">
        <f>ROUND(SUM(B559+C559+F559)*O553,2)</f>
        <v>0</v>
      </c>
      <c r="P559" s="27">
        <f t="shared" si="63"/>
        <v>0</v>
      </c>
    </row>
    <row r="560" spans="1:16" s="1" customFormat="1" x14ac:dyDescent="0.2">
      <c r="A560" s="100" t="str">
        <f>$A$32</f>
        <v>Jul 2022</v>
      </c>
      <c r="B560" s="24">
        <f>ROUND(IF(P534=0,0,IFERROR(((LOOKUP(2,1/(A542:A545=A560),G542:G545))*P534*4.348),B559/P534*P534)),2)</f>
        <v>0</v>
      </c>
      <c r="C560" s="23">
        <f>ROUND(IFERROR(((LOOKUP(2,1/(B547=A560),((SUM(B560:B562)+SUM(F560:F562))/3)*C547))),0)+IFERROR(((LOOKUP(2,1/(E547=A560),(B566+F566)*F547))),0),2)</f>
        <v>0</v>
      </c>
      <c r="D560" s="23">
        <f>ROUND(IF(B560=0,0,D553/L535*P534),2)</f>
        <v>0</v>
      </c>
      <c r="E560" s="23">
        <f>ROUND(IF(B560=0,0,E553/N531*P534),2)</f>
        <v>0</v>
      </c>
      <c r="F560" s="24">
        <f>ROUND(IF(P534=0,0,IFERROR(((LOOKUP(2,1/(A542:A545=A560),H542:H545))/N531*P534),F559/P534*P534)),2)</f>
        <v>0</v>
      </c>
      <c r="G560" s="27">
        <f t="shared" si="62"/>
        <v>0</v>
      </c>
      <c r="H560" s="76">
        <f>ROUND(IF(SUM(B554:F559)&lt;(L569*6),IF((SUM(B554:F560))&gt;(L569*7),(((L569*7)-(SUM(B554:F560)-C559))*H553)+((SUM(B560:F560)-C559)*H553),SUM(B560:F560)*H553),IF(SUM(B554:F560)&gt;(L569*7),L569*H553,SUM(B560:F560)*H553)),2)</f>
        <v>0</v>
      </c>
      <c r="I560" s="76">
        <f>ROUND(IF(SUM(B554:F559)&lt;(L570*6),IF((SUM(B554:F560))&gt;(L570*7),(((L570*7)-(SUM(B554:F560)-C559))*I553)+((SUM(B560:F560)-C559)*I553),SUM(B560:F560)*I553),IF(SUM(B554:F560)&gt;(L570*7),L570*I553,SUM(B560:F560)*I553)),2)</f>
        <v>0</v>
      </c>
      <c r="J560" s="76">
        <f>ROUND(IF(SUM(B554:F559)&lt;(L570*6),IF((SUM(B554:F560))&gt;(L570*7),(((L570*7)-(SUM(B554:F560)-C559))*J553)+((SUM(B560:F560)-C559)*J553),SUM(B560:F560)*J553),IF(SUM(B554:F560)&gt;(L570*7),L570*J553,SUM(B560:F560)*J553)),2)</f>
        <v>0</v>
      </c>
      <c r="K560" s="76">
        <f>ROUND(IF(SUM(B554:F559)&lt;(L569*6),IF((SUM(B554:F560))&gt;(L569*7),(((L569*7)-(SUM(B554:F560)-C559))*K553)+((SUM(B560:F560)-C559)*K553),SUM(B560:F560)*K553),IF(SUM(B554:F560)&gt;(L569*7),L569*K553,SUM(B560:F560)*K553)),2)</f>
        <v>0</v>
      </c>
      <c r="L560" s="76">
        <f>ROUND(IF(SUM(B554:F559)&lt;(L570*6),IF((SUM(B554:F560))&gt;(L570*7),(((L570*7)-(SUM(B554:F560)-C560))*L553)+((SUM(B560:F560)-C560)*L553),(SUM(B560:F560)-C560)*L553),IF(SUM(B554:F560)&gt;(L570*7),L570*L553,SUM(B560:F560)*L553)),2)</f>
        <v>0</v>
      </c>
      <c r="M560" s="76">
        <f>ROUND(IF(SUM(B554:F559)&lt;(L570*6),IF((SUM(B554:F560))&gt;(L570*7),(((L570*7)-(SUM(B554:F560)-C560))*M553)+((SUM(B560:F560)-C560)*M553),(SUM(B560:F560)-C560)*M553),IF(SUM(B554:F560)&gt;(L570*7),L570*M553,SUM(B560:F560)*M553)),2)</f>
        <v>0</v>
      </c>
      <c r="N560" s="76">
        <f>ROUND(IF(SUM(B554:F559)&lt;(L570*6),IF((SUM(B554:F560))&gt;(L570*7),(((L570*7)-(SUM(B554:F560)-C559))*N553)+((SUM(B560:F560)-C559)*N553),SUM(B560:F560)*N553),IF(SUM(B554:F560)&gt;(L570*7),L570*N553,SUM(B560:F560)*N553)),2)</f>
        <v>0</v>
      </c>
      <c r="O560" s="23">
        <f>ROUND(SUM(B560+C560+F560)*O553,2)</f>
        <v>0</v>
      </c>
      <c r="P560" s="27">
        <f t="shared" si="63"/>
        <v>0</v>
      </c>
    </row>
    <row r="561" spans="1:16" s="1" customFormat="1" x14ac:dyDescent="0.2">
      <c r="A561" s="100" t="str">
        <f>$A$33</f>
        <v>Aug 2022</v>
      </c>
      <c r="B561" s="24">
        <f>ROUND(IF(P535=0,0,IFERROR(((LOOKUP(2,1/(A542:A545=A561),G542:G545))*P535*4.348),B560/P535*P535)),2)</f>
        <v>0</v>
      </c>
      <c r="C561" s="23">
        <f>ROUND(IFERROR(((LOOKUP(2,1/(B547=A561),((SUM(B560:B562)+SUM(F560:F562))/3)*C547))),0)+IFERROR(((LOOKUP(2,1/(E547=A561),(B566+F566)*F547))),0),2)</f>
        <v>0</v>
      </c>
      <c r="D561" s="23">
        <f>ROUND(IF(B561=0,0,D553/L535*P535),2)</f>
        <v>0</v>
      </c>
      <c r="E561" s="23">
        <f>ROUND(IF(B561=0,0,E553/N531*P535),2)</f>
        <v>0</v>
      </c>
      <c r="F561" s="24">
        <f>ROUND(IF(P535=0,0,IFERROR(((LOOKUP(2,1/(A542:A545=A561),H542:H545))/N531*P535),F560/P535*P535)),2)</f>
        <v>0</v>
      </c>
      <c r="G561" s="27">
        <f t="shared" si="62"/>
        <v>0</v>
      </c>
      <c r="H561" s="76">
        <f>ROUND(IF(SUM(B554:F560)&lt;(L569*7),IF((SUM(B554:F561))&gt;(L569*8),(((L569*8)-(SUM(B554:F561)-C560))*H553)+((SUM(B561:F561)-C560)*H553),SUM(B561:F561)*H553),IF(SUM(B554:F561)&gt;(L569*8),L569*H553,SUM(B561:F561)*H553)),2)</f>
        <v>0</v>
      </c>
      <c r="I561" s="76">
        <f>ROUND(IF(SUM(B554:F560)&lt;(L570*7),IF((SUM(B554:F561))&gt;(L570*8),(((L570*8)-(SUM(B554:F561)-C560))*I553)+((SUM(B561:F561)-C560)*I553),SUM(B561:F561)*I553),IF(SUM(B554:F561)&gt;(L570*8),L570*I553,SUM(B561:F561)*I553)),2)</f>
        <v>0</v>
      </c>
      <c r="J561" s="76">
        <f>ROUND(IF(SUM(B554:F560)&lt;(L570*7),IF((SUM(B554:F561))&gt;(L570*8),(((L570*8)-(SUM(B554:F561)-C560))*J553)+((SUM(B561:F561)-C560)*J553),SUM(B561:F561)*J553),IF(SUM(B554:F561)&gt;(L570*8),L570*J553,SUM(B561:F561)*J553)),2)</f>
        <v>0</v>
      </c>
      <c r="K561" s="76">
        <f>ROUND(IF(SUM(B554:F560)&lt;(L569*7),IF((SUM(B554:F561))&gt;(L569*8),(((L569*8)-(SUM(B554:F561)-C560))*K553)+((SUM(B561:F561)-C560)*K553),SUM(B561:F561)*K553),IF(SUM(B554:F561)&gt;(L569*8),L569*K553,SUM(B561:F561)*K553)),2)</f>
        <v>0</v>
      </c>
      <c r="L561" s="76">
        <f>ROUND(IF(SUM(B554:F560)&lt;(L570*7),IF((SUM(B554:F561))&gt;(L570*8),(((L570*8)-(SUM(B554:F561)-C561))*L553)+((SUM(B561:F561)-C561)*L553),(SUM(B561:F561)-C561)*L553),IF(SUM(B554:F561)&gt;(L570*8),L570*L553,SUM(B561:F561)*L553)),2)</f>
        <v>0</v>
      </c>
      <c r="M561" s="76">
        <f>ROUND(IF(SUM(B554:F560)&lt;(L570*7),IF((SUM(B554:F561))&gt;(L570*8),(((L570*8)-(SUM(B554:F561)-C561))*M553)+((SUM(B561:F561)-C561)*M553),(SUM(B561:F561)-C561)*M553),IF(SUM(B554:F561)&gt;(L570*8),L570*M553,SUM(B561:F561)*M553)),2)</f>
        <v>0</v>
      </c>
      <c r="N561" s="76">
        <f>ROUND(IF(SUM(B554:F560)&lt;(L570*7),IF((SUM(B554:F561))&gt;(L570*8),(((L570*8)-(SUM(B554:F561)-C560))*N553)+((SUM(B561:F561)-C560)*N553),SUM(B561:F561)*N553),IF(SUM(B554:F561)&gt;(L570*8),L570*N553,SUM(B561:F561)*N553)),2)</f>
        <v>0</v>
      </c>
      <c r="O561" s="23">
        <f>ROUND(SUM(B561+C561+F561)*O553,2)</f>
        <v>0</v>
      </c>
      <c r="P561" s="27">
        <f t="shared" si="63"/>
        <v>0</v>
      </c>
    </row>
    <row r="562" spans="1:16" s="1" customFormat="1" x14ac:dyDescent="0.2">
      <c r="A562" s="100" t="str">
        <f>$A$34</f>
        <v>Sep 2022</v>
      </c>
      <c r="B562" s="24">
        <f>ROUND(IF(P536=0,0,IFERROR(((LOOKUP(2,1/(A542:A545=A562),G542:G545))*P536*4.348),B561/P536*P536)),2)</f>
        <v>0</v>
      </c>
      <c r="C562" s="23">
        <f>ROUND(IFERROR(((LOOKUP(2,1/(B547=A562),((SUM(B560:B562)+SUM(F560:F562))/3)*C547))),0)+IFERROR(((LOOKUP(2,1/(E547=A562),(B566+F566)*F547))),0),2)</f>
        <v>0</v>
      </c>
      <c r="D562" s="23">
        <f>ROUND(IF(B562=0,0,D553/L535*P536),2)</f>
        <v>0</v>
      </c>
      <c r="E562" s="23">
        <f>ROUND(IF(B562=0,0,E553/N531*P536),2)</f>
        <v>0</v>
      </c>
      <c r="F562" s="24">
        <f>ROUND(IF(P536=0,0,IFERROR(((LOOKUP(2,1/(A542:A545=A562),H542:H545))/N531*P536),F561/P536*P536)),2)</f>
        <v>0</v>
      </c>
      <c r="G562" s="27">
        <f t="shared" si="62"/>
        <v>0</v>
      </c>
      <c r="H562" s="76">
        <f>ROUND(IF(SUM(B554:F561)&lt;(L569*8),IF((SUM(B554:F562))&gt;(L569*9),(((L569*9)-(SUM(B554:F562)-C561))*H553)+((SUM(B562:F562)-C561)*H553),SUM(B562:F562)*H553),IF(SUM(B554:F562)&gt;(L569*9),L569*H553,SUM(B562:F562)*H553)),2)</f>
        <v>0</v>
      </c>
      <c r="I562" s="76">
        <f>ROUND(IF(SUM(B554:F561)&lt;(L570*8),IF((SUM(B554:F562))&gt;(L570*9),(((L570*9)-(SUM(B554:F562)-C561))*I553)+((SUM(B562:F562)-C561)*I553),SUM(B562:F562)*I553),IF(SUM(B554:F562)&gt;(L570*9),L570*I553,SUM(B562:F562)*I553)),2)</f>
        <v>0</v>
      </c>
      <c r="J562" s="76">
        <f>ROUND(IF(SUM(B554:F561)&lt;(L570*8),IF((SUM(B554:F562))&gt;(L570*9),(((L570*9)-(SUM(B554:F562)-C561))*J553)+((SUM(B562:F562)-C561)*J553),SUM(B562:F562)*J553),IF(SUM(B554:F562)&gt;(L570*9),L570*J553,SUM(B562:F562)*J553)),2)</f>
        <v>0</v>
      </c>
      <c r="K562" s="76">
        <f>ROUND(IF(SUM(B554:F561)&lt;(L569*8),IF((SUM(B554:F562))&gt;(L569*9),(((L569*9)-(SUM(B554:F562)-C561))*K553)+((SUM(B562:F562)-C561)*K553),SUM(B562:F562)*K553),IF(SUM(B554:F562)&gt;(L569*9),L569*K553,SUM(B562:F562)*K553)),2)</f>
        <v>0</v>
      </c>
      <c r="L562" s="76">
        <f>ROUND(IF(SUM(B554:F561)&lt;(L570*8),IF((SUM(B554:F562))&gt;(L570*9),(((L570*9)-(SUM(B554:F562)-C562))*L553)+((SUM(B562:F562)-C562)*L553),(SUM(B562:F562)-C562)*L553),IF(SUM(B554:F562)&gt;(L570*9),L570*L553,SUM(B562:F562)*L553)),2)</f>
        <v>0</v>
      </c>
      <c r="M562" s="76">
        <f>ROUND(IF(SUM(B554:F561)&lt;(L570*8),IF((SUM(B554:F562))&gt;(L570*9),(((L570*9)-(SUM(B554:F562)-C562))*M553)+((SUM(B562:F562)-C562)*M553),(SUM(B562:F562)-C562)*M553),IF(SUM(B554:F562)&gt;(L570*9),L570*M553,SUM(B562:F562)*M553)),2)</f>
        <v>0</v>
      </c>
      <c r="N562" s="76">
        <f>ROUND(IF(SUM(B554:F561)&lt;(L570*8),IF((SUM(B554:F562))&gt;(L570*9),(((L570*9)-(SUM(B554:F562)-C561))*N553)+((SUM(B562:F562)-C561)*N553),SUM(B562:F562)*N553),IF(SUM(B554:F562)&gt;(L570*9),L570*N553,SUM(B562:F562)*N553)),2)</f>
        <v>0</v>
      </c>
      <c r="O562" s="23">
        <f>ROUND(SUM(B562+C562+F562)*O553,2)</f>
        <v>0</v>
      </c>
      <c r="P562" s="27">
        <f t="shared" si="63"/>
        <v>0</v>
      </c>
    </row>
    <row r="563" spans="1:16" s="1" customFormat="1" x14ac:dyDescent="0.2">
      <c r="A563" s="100" t="str">
        <f>$A$35</f>
        <v>Okt 2022</v>
      </c>
      <c r="B563" s="24">
        <f>ROUND(IF(P537=0,0,IFERROR(((LOOKUP(2,1/(A542:A545=A563),G542:G545))*P537*4.348),B562/P537*P537)),2)</f>
        <v>0</v>
      </c>
      <c r="C563" s="23">
        <f>ROUND(IFERROR(((LOOKUP(2,1/(B547=A563),((SUM(B560:B562)+SUM(F560:F562))/3)*C547))),0)+IFERROR(((LOOKUP(2,1/(E547=A563),(B566+F566)*F547))),0),2)</f>
        <v>0</v>
      </c>
      <c r="D563" s="23">
        <f>ROUND(IF(B563=0,0,D553/L535*P537),2)</f>
        <v>0</v>
      </c>
      <c r="E563" s="23">
        <f>ROUND(IF(B563=0,0,E553/N531*P537),2)</f>
        <v>0</v>
      </c>
      <c r="F563" s="24">
        <f>ROUND(IF(P537=0,0,IFERROR(((LOOKUP(2,1/(A542:A545=A563),H542:H545))/N531*P537),F562/P537*P537)),2)</f>
        <v>0</v>
      </c>
      <c r="G563" s="27">
        <f t="shared" si="62"/>
        <v>0</v>
      </c>
      <c r="H563" s="76">
        <f>ROUND(IF(SUM(B554:F562)&lt;(L569*9),IF((SUM(B554:F563))&gt;(L569*10),(((L569*10)-(SUM(B554:F563)-C562))*H553)+((SUM(B563:F563)-C562)*H553),SUM(B563:F563)*H553),IF(SUM(B554:F563)&gt;(L569*10),L569*H553,SUM(B563:F563)*H553)),2)</f>
        <v>0</v>
      </c>
      <c r="I563" s="76">
        <f>ROUND(IF(SUM(B554:F562)&lt;(L570*9),IF((SUM(B554:F563))&gt;(L570*10),(((L570*10)-(SUM(B554:F563)-C562))*I553)+((SUM(B563:F563)-C562)*I553),SUM(B563:F563)*I553),IF(SUM(B554:F563)&gt;(L570*10),L570*I553,SUM(B563:F563)*I553)),2)</f>
        <v>0</v>
      </c>
      <c r="J563" s="76">
        <f>ROUND(IF(SUM(B554:F562)&lt;(L570*9),IF((SUM(B554:F563))&gt;(L570*10),(((L570*10)-(SUM(B554:F563)-C562))*J553)+((SUM(B563:F563)-C562)*J553),SUM(B563:F563)*J553),IF(SUM(B554:F563)&gt;(L570*10),L570*J553,SUM(B563:F563)*J553)),2)</f>
        <v>0</v>
      </c>
      <c r="K563" s="76">
        <f>ROUND(IF(SUM(B554:F562)&lt;(L569*9),IF((SUM(B554:F563))&gt;(L569*10),(((L569*10)-(SUM(B554:F563)-C562))*K553)+((SUM(B563:F563)-C562)*K553),SUM(B563:F563)*K553),IF(SUM(B554:F563)&gt;(L569*10),L569*K553,SUM(B563:F563)*K553)),2)</f>
        <v>0</v>
      </c>
      <c r="L563" s="76">
        <f>ROUND(IF(SUM(B554:F562)&lt;(L570*9),IF((SUM(B554:F563))&gt;(L570*10),(((L570*10)-(SUM(B554:F563)-C563))*L553)+((SUM(B563:F563)-C563)*L553),(SUM(B563:F563)-C563)*L553),IF(SUM(B554:F563)&gt;(L570*10),L570*L553,SUM(B563:F563)*L553)),2)</f>
        <v>0</v>
      </c>
      <c r="M563" s="76">
        <f>ROUND(IF(SUM(B554:F562)&lt;(L570*9),IF((SUM(B554:F563))&gt;(L570*10),(((L570*10)-(SUM(B554:F563)-C563))*M553)+((SUM(B563:F563)-C563)*M553),(SUM(B563:F563)-C563)*M553),IF(SUM(B554:F563)&gt;(L570*10),L570*M553,SUM(B563:F563)*M553)),2)</f>
        <v>0</v>
      </c>
      <c r="N563" s="76">
        <f>ROUND(IF(SUM(B554:F562)&lt;(L570*9),IF((SUM(B554:F563))&gt;(L570*10),(((L570*10)-(SUM(B554:F563)-C562))*N553)+((SUM(B563:F563)-C562)*N553),SUM(B563:F563)*N553),IF(SUM(B554:F563)&gt;(L570*10),L570*N553,SUM(B563:F563)*N553)),2)</f>
        <v>0</v>
      </c>
      <c r="O563" s="23">
        <f>ROUND(SUM(B563+C563+F563)*O553,2)</f>
        <v>0</v>
      </c>
      <c r="P563" s="27">
        <f t="shared" si="63"/>
        <v>0</v>
      </c>
    </row>
    <row r="564" spans="1:16" s="1" customFormat="1" x14ac:dyDescent="0.2">
      <c r="A564" s="100" t="str">
        <f>$A$36</f>
        <v>Nov 2022</v>
      </c>
      <c r="B564" s="24">
        <f>ROUND(IF(P538=0,0,IFERROR(((LOOKUP(2,1/(A542:A545=A564),G542:G545))*P538*4.348),B563/P538*P538)),2)</f>
        <v>0</v>
      </c>
      <c r="C564" s="23">
        <f>ROUND(IFERROR(((LOOKUP(2,1/(B547=A564),((SUM(B560:B562)+SUM(F560:F562))/3)*C547))),0)+IFERROR(((LOOKUP(2,1/(E547=A564),(B566+F566)*F547))),0),2)</f>
        <v>0</v>
      </c>
      <c r="D564" s="23">
        <f>ROUND(IF(B564=0,0,D553/L535*P538),2)</f>
        <v>0</v>
      </c>
      <c r="E564" s="23">
        <f>ROUND(IF(B564=0,0,E553/N531*P538),2)</f>
        <v>0</v>
      </c>
      <c r="F564" s="24">
        <f>ROUND(IF(P538=0,0,IFERROR(((LOOKUP(2,1/(A542:A545=A564),H542:H545))/N531*P538),F563/P538*P538)),2)</f>
        <v>0</v>
      </c>
      <c r="G564" s="27">
        <f t="shared" si="62"/>
        <v>0</v>
      </c>
      <c r="H564" s="76">
        <f>ROUND(IF(SUM(B554:F563)&lt;(L569*10),IF((SUM(B554:F564))&gt;(L569*11),(((L569*11)-(SUM(B554:F564)-C563))*H553)+((SUM(B564:F564)-C563)*H553),SUM(B564:F564)*H553),IF(SUM(B554:F564)&gt;(L569*11),L569*H553,SUM(B564:F564)*H553)),2)</f>
        <v>0</v>
      </c>
      <c r="I564" s="76">
        <f>ROUND(IF(SUM(B554:F563)&lt;(L570*10),IF((SUM(B554:F564))&gt;(L570*11),(((L570*11)-(SUM(B554:F564)-C563))*I553)+((SUM(B564:F564)-C563)*I553),SUM(B564:F564)*I553),IF(SUM(B554:F564)&gt;(L570*11),L570*I553,SUM(B564:F564)*I553)),2)</f>
        <v>0</v>
      </c>
      <c r="J564" s="76">
        <f>ROUND(IF(SUM(B554:F563)&lt;(L570*10),IF((SUM(B554:F564))&gt;(L570*11),(((L570*11)-(SUM(B554:F564)-C563))*J553)+((SUM(B564:F564)-C563)*J553),SUM(B564:F564)*J553),IF(SUM(B554:F564)&gt;(L570*11),L570*J553,SUM(B564:F564)*J553)),2)</f>
        <v>0</v>
      </c>
      <c r="K564" s="76">
        <f>ROUND(IF(SUM(B554:F563)&lt;(L569*10),IF((SUM(B554:F564))&gt;(L569*11),(((L569*11)-(SUM(B554:F564)-C563))*K553)+((SUM(B564:F564)-C563)*K553),SUM(B564:F564)*K553),IF(SUM(B554:F564)&gt;(L569*11),L569*K553,SUM(B564:F564)*K553)),2)</f>
        <v>0</v>
      </c>
      <c r="L564" s="76">
        <f>ROUND(IF(SUM(B554:F563)&lt;(L570*10),IF((SUM(B554:F564))&gt;(L570*11),(((L570*11)-(SUM(B554:F564)-C564))*L553)+((SUM(B564:F564)-C564)*L553),(SUM(B564:F564)-C564)*L553),IF(SUM(B554:F564)&gt;(L570*11),L570*L553,SUM(B564:F564)*L553)),2)</f>
        <v>0</v>
      </c>
      <c r="M564" s="76">
        <f>ROUND(IF(SUM(B554:F563)&lt;(L570*10),IF((SUM(B554:F564))&gt;(L570*11),(((L570*11)-(SUM(B554:F564)-C564))*M553)+((SUM(B564:F564)-C564)*M553),(SUM(B564:F564)-C564)*M553),IF(SUM(B554:F564)&gt;(L570*11),L570*M553,SUM(B564:F564)*M553)),2)</f>
        <v>0</v>
      </c>
      <c r="N564" s="76">
        <f>ROUND(IF(SUM(B554:F563)&lt;(L570*10),IF((SUM(B554:F564))&gt;(L570*11),(((L570*11)-(SUM(B554:F564)-C563))*N553)+((SUM(B564:F564)-C563)*N553),SUM(B564:F564)*N553),IF(SUM(B554:F564)&gt;(L570*11),L570*N553,SUM(B564:F564)*N553)),2)</f>
        <v>0</v>
      </c>
      <c r="O564" s="23">
        <f>ROUND(SUM(B564+C564+F564)*O553,2)</f>
        <v>0</v>
      </c>
      <c r="P564" s="27">
        <f t="shared" si="63"/>
        <v>0</v>
      </c>
    </row>
    <row r="565" spans="1:16" s="1" customFormat="1" x14ac:dyDescent="0.2">
      <c r="A565" s="100" t="str">
        <f>$A$37</f>
        <v>Dez 2022</v>
      </c>
      <c r="B565" s="24">
        <f>ROUND(IF(P539=0,0,IFERROR(((LOOKUP(2,1/(A542:A545=A565),G542:G545))*P539*4.348),B564/P539*P539)),2)</f>
        <v>0</v>
      </c>
      <c r="C565" s="23">
        <f>ROUND(IFERROR(((LOOKUP(2,1/(B547=A565),((SUM(B560:B562)+SUM(F560:F562))/3)*C547))),0)+IFERROR(((LOOKUP(2,1/(E547=A565),(B566+F566)*F547))),0),2)</f>
        <v>0</v>
      </c>
      <c r="D565" s="23">
        <f>ROUND(IF(B565=0,0,D553/L535*P539),2)</f>
        <v>0</v>
      </c>
      <c r="E565" s="23">
        <f>ROUND(IF(B565=0,0,E553/N531*P539),2)</f>
        <v>0</v>
      </c>
      <c r="F565" s="24">
        <f>ROUND(IF(P539=0,0,IFERROR(((LOOKUP(2,1/(A542:A545=A565),H542:H545))/N531*P539),F564/P539*P539)),2)</f>
        <v>0</v>
      </c>
      <c r="G565" s="27">
        <f t="shared" si="62"/>
        <v>0</v>
      </c>
      <c r="H565" s="76">
        <f>ROUND(IF(SUM(B554:F564)&lt;(L569*11),IF((SUM(B554:F565))&gt;(L569*12),(((L569*12)-(SUM(B554:F565)-C564))*H553)+((SUM(B565:F565)-C564)*H553),SUM(B565:F565)*H553),IF(SUM(B554:F565)&gt;(L569*12),L569*H553,SUM(B565:F565)*H553)),2)</f>
        <v>0</v>
      </c>
      <c r="I565" s="76">
        <f>ROUND(IF(SUM(B554:F564)&lt;(L570*11),IF((SUM(B554:F565))&gt;(L570*12),(((L570*12)-(SUM(B554:F565)-C564))*I553)+((SUM(B565:F565)-C564)*I553),SUM(B565:F565)*I553),IF(SUM(B554:F565)&gt;(L570*12),L570*I553,SUM(B565:F565)*I553)),2)</f>
        <v>0</v>
      </c>
      <c r="J565" s="76">
        <f>ROUND(IF(SUM(B554:F564)&lt;(L570*11),IF((SUM(B554:F565))&gt;(L570*12),(((L570*12)-(SUM(B554:F565)-C564))*J553)+((SUM(B565:F565)-C564)*J553),SUM(B565:F565)*J553),IF(SUM(B554:F565)&gt;(L570*12),L570*J553,SUM(B565:F565)*J553)),2)</f>
        <v>0</v>
      </c>
      <c r="K565" s="76">
        <f>ROUND(IF(SUM(B554:F564)&lt;(L569*11),IF((SUM(B554:F565))&gt;(L569*12),(((L569*12)-(SUM(B554:F565)-C564))*K553)+((SUM(B565:F565)-C564)*K553),SUM(B565:F565)*K553),IF(SUM(B554:F565)&gt;(L569*12),L569*K553,SUM(B565:F565)*K553)),2)</f>
        <v>0</v>
      </c>
      <c r="L565" s="76">
        <f>ROUND(IF(SUM(B554:F564)&lt;(L570*11),IF((SUM(B554:F565))&gt;(L570*12),(((L570*12)-(SUM(B554:F565)-C565))*L553)+((SUM(B565:F565)-C565)*L553),(SUM(B565:F565)-C565)*L553),IF(SUM(B554:F565)&gt;(L570*12),L570*L553,SUM(B565:F565)*L553)),2)</f>
        <v>0</v>
      </c>
      <c r="M565" s="76">
        <f>ROUND(IF(SUM(B554:F564)&lt;(L570*11),IF((SUM(B554:F565))&gt;(L570*12),(((L570*12)-(SUM(B554:F565)-C565))*M553)+((SUM(B565:F565)-C565)*M553),(SUM(B565:F565)-C565)*M553),IF(SUM(B554:F565)&gt;(L570*12),L570*M553,SUM(B565:F565)*M553)),2)</f>
        <v>0</v>
      </c>
      <c r="N565" s="76">
        <f>ROUND(IF(SUM(B554:F564)&lt;(L570*11),IF((SUM(B554:F565))&gt;(L570*12),(((L570*12)-(SUM(B554:F565)-C564))*N553)+((SUM(B565:F565)-C564)*N553),SUM(B565:F565)*N553),IF(SUM(B554:F565)&gt;(L570*12),L570*N553,SUM(B565:F565)*N553)),2)</f>
        <v>0</v>
      </c>
      <c r="O565" s="23">
        <f>ROUND(SUM(B565+C565+F565)*O553,2)</f>
        <v>0</v>
      </c>
      <c r="P565" s="27">
        <f t="shared" si="63"/>
        <v>0</v>
      </c>
    </row>
    <row r="566" spans="1:16" s="14" customFormat="1" ht="15" x14ac:dyDescent="0.25">
      <c r="A566" s="4" t="s">
        <v>2</v>
      </c>
      <c r="B566" s="27">
        <f>SUM(B554:B565)</f>
        <v>0</v>
      </c>
      <c r="C566" s="27">
        <f t="shared" ref="C566:D566" si="64">SUM(C554:C565)</f>
        <v>0</v>
      </c>
      <c r="D566" s="27">
        <f t="shared" si="64"/>
        <v>0</v>
      </c>
      <c r="E566" s="27">
        <f>SUM(E554:E565)</f>
        <v>0</v>
      </c>
      <c r="F566" s="27">
        <f>SUM(F554:F565)</f>
        <v>0</v>
      </c>
      <c r="G566" s="27">
        <f>SUM(G554:G565)</f>
        <v>0</v>
      </c>
      <c r="H566" s="1133">
        <f>SUM(H554:N565)</f>
        <v>0</v>
      </c>
      <c r="I566" s="1134"/>
      <c r="J566" s="1134"/>
      <c r="K566" s="1134"/>
      <c r="L566" s="1134"/>
      <c r="M566" s="1134"/>
      <c r="N566" s="1135"/>
      <c r="O566" s="27">
        <f>SUM(O554:O565)</f>
        <v>0</v>
      </c>
      <c r="P566" s="27">
        <f>SUM(P554:P565)</f>
        <v>0</v>
      </c>
    </row>
    <row r="567" spans="1:16" s="13" customFormat="1" ht="11.25" x14ac:dyDescent="0.2">
      <c r="A567" s="3" t="s">
        <v>1</v>
      </c>
      <c r="B567" s="2"/>
      <c r="C567" s="2"/>
      <c r="D567" s="2"/>
      <c r="E567" s="2"/>
      <c r="F567" s="2"/>
      <c r="G567" s="2"/>
      <c r="H567" s="2"/>
      <c r="I567" s="2"/>
      <c r="J567" s="2"/>
      <c r="K567" s="2"/>
      <c r="L567" s="2"/>
      <c r="M567" s="2"/>
      <c r="N567" s="2"/>
      <c r="O567" s="2"/>
      <c r="P567" s="2"/>
    </row>
    <row r="568" spans="1:16" s="1" customFormat="1" ht="14.25" customHeight="1" x14ac:dyDescent="0.2">
      <c r="A568" s="1136" t="s">
        <v>133</v>
      </c>
      <c r="B568" s="1137"/>
      <c r="C568" s="1137"/>
      <c r="D568" s="1137" t="s">
        <v>134</v>
      </c>
      <c r="E568" s="1137"/>
      <c r="F568" s="94" t="str">
        <f>IF(IF(G566=0,"",'päd.Personal - Leitung'!$F$40)=0,"",IF(G566=0,"",'päd.Personal - Leitung'!$F$40))</f>
        <v/>
      </c>
      <c r="G568" s="77" t="s">
        <v>135</v>
      </c>
      <c r="H568" s="96" t="str">
        <f>IF(IF(G566=0,"",'päd.Personal - Leitung'!$H$40)=0,"",IF(G566=0,"",'päd.Personal - Leitung'!$H$40))</f>
        <v/>
      </c>
      <c r="I568" s="73"/>
      <c r="J568" s="194" t="s">
        <v>160</v>
      </c>
      <c r="K568" s="194" t="str">
        <f>$K$40</f>
        <v>2021</v>
      </c>
      <c r="L568" s="194" t="str">
        <f>$L$40</f>
        <v>anteilig 2021</v>
      </c>
      <c r="M568" s="1138" t="s">
        <v>140</v>
      </c>
      <c r="N568" s="1138"/>
      <c r="O568" s="1139"/>
      <c r="P568" s="27">
        <f>ROUND(IF(F568="",IF(E572="",0,(E572*H572/K572)/L535*L536),G566*F568*H568/1000),2)</f>
        <v>0</v>
      </c>
    </row>
    <row r="569" spans="1:16" s="1" customFormat="1" ht="15" customHeight="1" x14ac:dyDescent="0.2">
      <c r="A569" s="1140" t="s">
        <v>145</v>
      </c>
      <c r="B569" s="1141"/>
      <c r="C569" s="1141"/>
      <c r="D569" s="18"/>
      <c r="E569" s="107" t="s">
        <v>135</v>
      </c>
      <c r="F569" s="95" t="str">
        <f>IF(IF(G566=0,"",'päd.Personal - Leitung'!$F$41)=0,"",IF(G566=0,"",'päd.Personal - Leitung'!$F$41))</f>
        <v/>
      </c>
      <c r="G569" s="48"/>
      <c r="H569" s="47"/>
      <c r="I569" s="48"/>
      <c r="J569" s="195" t="s">
        <v>158</v>
      </c>
      <c r="K569" s="198">
        <f>$K$41</f>
        <v>4837.5</v>
      </c>
      <c r="L569" s="197">
        <f>IF(L535="",K569,K569/L535*L536)</f>
        <v>4837.5</v>
      </c>
      <c r="M569" s="1138" t="s">
        <v>139</v>
      </c>
      <c r="N569" s="1138"/>
      <c r="O569" s="1139"/>
      <c r="P569" s="27">
        <f>ROUND(IF(F569="",0,G566*F569/1000),2)</f>
        <v>0</v>
      </c>
    </row>
    <row r="570" spans="1:16" s="1" customFormat="1" ht="15.75" customHeight="1" x14ac:dyDescent="0.2">
      <c r="A570" s="1142" t="s">
        <v>141</v>
      </c>
      <c r="B570" s="1143"/>
      <c r="C570" s="1143"/>
      <c r="D570" s="1144" t="s">
        <v>143</v>
      </c>
      <c r="E570" s="1144"/>
      <c r="F570" s="1145" t="str">
        <f>IF(IF(G566=0,"",'päd.Personal - Leitung'!$F$42)=0,"",IF(G566=0,"",'päd.Personal - Leitung'!$F$42))</f>
        <v/>
      </c>
      <c r="G570" s="1145"/>
      <c r="H570" s="72"/>
      <c r="I570" s="18"/>
      <c r="J570" s="195" t="s">
        <v>159</v>
      </c>
      <c r="K570" s="197">
        <f>$K$42</f>
        <v>6700</v>
      </c>
      <c r="L570" s="197">
        <f>IF(L535="",K570,K570/L535*L536)</f>
        <v>6700</v>
      </c>
      <c r="M570" s="1138" t="s">
        <v>141</v>
      </c>
      <c r="N570" s="1138"/>
      <c r="O570" s="1139"/>
      <c r="P570" s="23">
        <f>ROUND(IF(F570="",0,IF(G566=0,0,F570/L535*L536)),2)</f>
        <v>0</v>
      </c>
    </row>
    <row r="571" spans="1:16" s="1" customFormat="1" ht="14.25" customHeight="1" x14ac:dyDescent="0.2">
      <c r="A571" s="18"/>
      <c r="B571" s="18"/>
      <c r="C571" s="18"/>
      <c r="D571" s="18"/>
      <c r="E571" s="18"/>
      <c r="F571" s="18"/>
      <c r="G571" s="18"/>
      <c r="H571" s="18"/>
      <c r="I571" s="18"/>
      <c r="J571" s="18"/>
      <c r="K571" s="74"/>
      <c r="L571" s="82"/>
      <c r="M571" s="1127" t="s">
        <v>146</v>
      </c>
      <c r="N571" s="1127"/>
      <c r="O571" s="1128"/>
      <c r="P571" s="23">
        <f>ROUND(IF(G566=0,0,$P$87),2)</f>
        <v>0</v>
      </c>
    </row>
    <row r="572" spans="1:16" s="1" customFormat="1" ht="14.25" customHeight="1" x14ac:dyDescent="0.2">
      <c r="A572" s="1129" t="s">
        <v>142</v>
      </c>
      <c r="B572" s="1130"/>
      <c r="C572" s="126" t="s">
        <v>136</v>
      </c>
      <c r="D572" s="179" t="s">
        <v>137</v>
      </c>
      <c r="E572" s="1131" t="str">
        <f>IF(IF(G566=0,"",'päd.Personal - Leitung'!$E$44)=0,"",IF(G566=0,"",'päd.Personal - Leitung'!$E$44))</f>
        <v/>
      </c>
      <c r="F572" s="1131"/>
      <c r="G572" s="83" t="s">
        <v>138</v>
      </c>
      <c r="H572" s="97" t="str">
        <f>IF(IF(G566=0,"",'päd.Personal - Leitung'!$H$44)=0,"",IF(G566=0,"",'päd.Personal - Leitung'!$H$44))</f>
        <v/>
      </c>
      <c r="I572" s="1132" t="s">
        <v>144</v>
      </c>
      <c r="J572" s="1132"/>
      <c r="K572" s="98" t="str">
        <f>IF(IF(G566=0,"",'päd.Personal - Leitung'!$K$44)=0,"",IF(G566=0,"",'päd.Personal - Leitung'!$K$44))</f>
        <v/>
      </c>
      <c r="L572" s="29"/>
      <c r="M572" s="29"/>
      <c r="N572" s="29"/>
      <c r="O572" s="28" t="s">
        <v>0</v>
      </c>
      <c r="P572" s="27">
        <f>P566+SUM(P568:P571)</f>
        <v>0</v>
      </c>
    </row>
    <row r="573" spans="1:16" s="12" customFormat="1" ht="13.5" customHeight="1" x14ac:dyDescent="0.2">
      <c r="A573" s="1178" t="s">
        <v>18</v>
      </c>
      <c r="B573" s="1178"/>
      <c r="C573" s="1178"/>
      <c r="D573" s="1179" t="str">
        <f>IF($D$1="","",$D$1)</f>
        <v/>
      </c>
      <c r="E573" s="1179"/>
      <c r="F573" s="1179"/>
      <c r="G573" s="1179"/>
      <c r="H573" s="1179"/>
      <c r="I573" s="1179"/>
      <c r="J573" s="1179"/>
      <c r="K573" s="1179"/>
      <c r="L573" s="1179"/>
      <c r="M573" s="1179"/>
      <c r="N573" s="1179"/>
    </row>
    <row r="574" spans="1:16" s="12" customFormat="1" ht="15" customHeight="1" x14ac:dyDescent="0.2">
      <c r="A574" s="1178" t="s">
        <v>17</v>
      </c>
      <c r="B574" s="1178"/>
      <c r="C574" s="1178" t="s">
        <v>15</v>
      </c>
      <c r="D574" s="1179" t="str">
        <f>IF($D$2="","",$D$2)</f>
        <v/>
      </c>
      <c r="E574" s="1179"/>
      <c r="F574" s="1179"/>
      <c r="G574" s="1179"/>
      <c r="H574" s="1179"/>
      <c r="I574" s="1179"/>
      <c r="J574" s="1179"/>
      <c r="K574" s="1179"/>
      <c r="L574" s="1179"/>
      <c r="M574" s="1179"/>
      <c r="N574" s="1179"/>
    </row>
    <row r="575" spans="1:16" s="12" customFormat="1" ht="15" customHeight="1" x14ac:dyDescent="0.2">
      <c r="A575" s="1178" t="s">
        <v>16</v>
      </c>
      <c r="B575" s="1178"/>
      <c r="C575" s="1178" t="s">
        <v>15</v>
      </c>
      <c r="D575" s="1179" t="str">
        <f>IF($D$3="","",$D$3)</f>
        <v/>
      </c>
      <c r="E575" s="1179"/>
      <c r="F575" s="1179"/>
      <c r="G575" s="1179"/>
      <c r="H575" s="1179"/>
      <c r="I575" s="1179"/>
      <c r="J575" s="1179"/>
      <c r="K575" s="1178" t="s">
        <v>103</v>
      </c>
      <c r="L575" s="1178"/>
      <c r="M575" s="1178"/>
      <c r="N575" s="41" t="str">
        <f>IF($N$3="","",$N$3)</f>
        <v/>
      </c>
    </row>
    <row r="576" spans="1:16" s="13" customFormat="1" ht="11.25" x14ac:dyDescent="0.2">
      <c r="A576" s="1182"/>
      <c r="B576" s="1182"/>
      <c r="C576" s="1182"/>
      <c r="D576" s="1183"/>
      <c r="E576" s="1183"/>
      <c r="F576" s="1183"/>
      <c r="G576" s="1183"/>
      <c r="H576" s="1183"/>
      <c r="I576" s="1183"/>
      <c r="J576" s="1183"/>
      <c r="K576" s="11"/>
      <c r="L576" s="11"/>
      <c r="M576" s="11"/>
      <c r="N576" s="11"/>
      <c r="O576" s="11"/>
      <c r="P576" s="11"/>
    </row>
    <row r="577" spans="1:16" s="15" customFormat="1" ht="13.5" customHeight="1" x14ac:dyDescent="0.2">
      <c r="A577" s="1177" t="s">
        <v>166</v>
      </c>
      <c r="B577" s="1177"/>
      <c r="C577" s="1177"/>
      <c r="D577" s="1177"/>
      <c r="E577" s="1177"/>
      <c r="F577" s="1177"/>
      <c r="G577" s="1177"/>
      <c r="H577" s="1177"/>
      <c r="I577" s="1177"/>
      <c r="J577" s="1177"/>
      <c r="K577" s="9"/>
      <c r="L577" s="9"/>
      <c r="M577" s="9"/>
      <c r="N577" s="59" t="s">
        <v>154</v>
      </c>
      <c r="O577" s="191">
        <f>$O$5</f>
        <v>2022</v>
      </c>
      <c r="P577" s="59" t="s">
        <v>154</v>
      </c>
    </row>
    <row r="578" spans="1:16" s="10" customFormat="1" ht="13.5" customHeight="1" x14ac:dyDescent="0.25">
      <c r="B578" s="32"/>
      <c r="C578" s="32"/>
      <c r="D578" s="5" t="s">
        <v>50</v>
      </c>
      <c r="E578" s="31"/>
      <c r="F578" s="31"/>
      <c r="G578" s="31"/>
      <c r="H578" s="31"/>
      <c r="I578" s="26"/>
      <c r="J578" s="1174" t="s">
        <v>14</v>
      </c>
      <c r="K578" s="1174"/>
      <c r="L578" s="180"/>
      <c r="N578" s="84">
        <f>IF(L580="","",L580)</f>
        <v>0</v>
      </c>
      <c r="O578" s="58" t="str">
        <f>$O$6</f>
        <v>Jan                Jul</v>
      </c>
      <c r="P578" s="85">
        <f>IF(N583="","",N583)</f>
        <v>0</v>
      </c>
    </row>
    <row r="579" spans="1:16" s="7" customFormat="1" ht="13.5" customHeight="1" x14ac:dyDescent="0.25">
      <c r="A579" s="1180" t="s">
        <v>71</v>
      </c>
      <c r="B579" s="1180"/>
      <c r="C579" s="1180"/>
      <c r="D579" s="1184"/>
      <c r="E579" s="1184"/>
      <c r="F579" s="1184"/>
      <c r="G579" s="1184"/>
      <c r="H579" s="1184"/>
      <c r="I579" s="1184"/>
      <c r="J579" s="1174" t="s">
        <v>104</v>
      </c>
      <c r="K579" s="1174"/>
      <c r="L579" s="145"/>
      <c r="N579" s="85">
        <f>IF(N578="","",N578)</f>
        <v>0</v>
      </c>
      <c r="O579" s="58" t="str">
        <f>$O$7</f>
        <v>Feb              Aug</v>
      </c>
      <c r="P579" s="85">
        <f>IF(P578="","",P578)</f>
        <v>0</v>
      </c>
    </row>
    <row r="580" spans="1:16" s="1" customFormat="1" ht="13.5" customHeight="1" x14ac:dyDescent="0.2">
      <c r="A580" s="1180" t="s">
        <v>13</v>
      </c>
      <c r="B580" s="1180"/>
      <c r="C580" s="1180"/>
      <c r="D580" s="1181"/>
      <c r="E580" s="1181"/>
      <c r="F580" s="1181"/>
      <c r="G580" s="1181"/>
      <c r="H580" s="1181"/>
      <c r="I580" s="1181"/>
      <c r="J580" s="1174" t="s">
        <v>164</v>
      </c>
      <c r="K580" s="1174"/>
      <c r="L580" s="145">
        <f>IF((L581+L582)&gt;L579,0,L579-L581-L582)</f>
        <v>0</v>
      </c>
      <c r="N580" s="85">
        <f>IF(N579="","",N579)</f>
        <v>0</v>
      </c>
      <c r="O580" s="58" t="str">
        <f>$O$8</f>
        <v>Mrz              Sep</v>
      </c>
      <c r="P580" s="85">
        <f>IF(P579="","",P579)</f>
        <v>0</v>
      </c>
    </row>
    <row r="581" spans="1:16" s="1" customFormat="1" ht="13.5" customHeight="1" x14ac:dyDescent="0.2">
      <c r="A581" s="1180" t="s">
        <v>12</v>
      </c>
      <c r="B581" s="1180"/>
      <c r="C581" s="1180"/>
      <c r="D581" s="1181"/>
      <c r="E581" s="1181"/>
      <c r="F581" s="1181"/>
      <c r="G581" s="1181"/>
      <c r="H581" s="1181"/>
      <c r="I581" s="1181"/>
      <c r="J581" s="1174" t="s">
        <v>165</v>
      </c>
      <c r="K581" s="1174"/>
      <c r="L581" s="145"/>
      <c r="N581" s="85">
        <f>IF(N580="","",N580)</f>
        <v>0</v>
      </c>
      <c r="O581" s="58" t="str">
        <f>$O$9</f>
        <v>Apr               Okt</v>
      </c>
      <c r="P581" s="85">
        <f t="shared" ref="P581:P583" si="65">IF(P580="","",P580)</f>
        <v>0</v>
      </c>
    </row>
    <row r="582" spans="1:16" s="1" customFormat="1" ht="13.5" customHeight="1" x14ac:dyDescent="0.2">
      <c r="A582" s="1180" t="s">
        <v>19</v>
      </c>
      <c r="B582" s="1180"/>
      <c r="C582" s="1180"/>
      <c r="D582" s="1181"/>
      <c r="E582" s="1181"/>
      <c r="F582" s="1181"/>
      <c r="G582" s="1181"/>
      <c r="H582" s="1181"/>
      <c r="I582" s="1181"/>
      <c r="J582" s="1174" t="s">
        <v>252</v>
      </c>
      <c r="K582" s="1174"/>
      <c r="L582" s="145"/>
      <c r="M582" s="92"/>
      <c r="N582" s="85">
        <f>IF(N581="","",N581)</f>
        <v>0</v>
      </c>
      <c r="O582" s="58" t="str">
        <f>$O$10</f>
        <v>Mai               Nov</v>
      </c>
      <c r="P582" s="85">
        <f t="shared" si="65"/>
        <v>0</v>
      </c>
    </row>
    <row r="583" spans="1:16" s="1" customFormat="1" ht="13.5" customHeight="1" x14ac:dyDescent="0.2">
      <c r="B583" s="8"/>
      <c r="C583" s="121" t="s">
        <v>162</v>
      </c>
      <c r="D583" s="1175"/>
      <c r="E583" s="1175"/>
      <c r="F583" s="1176" t="s">
        <v>106</v>
      </c>
      <c r="G583" s="1176"/>
      <c r="H583" s="1186"/>
      <c r="I583" s="1186"/>
      <c r="J583" s="1174" t="s">
        <v>97</v>
      </c>
      <c r="K583" s="1174"/>
      <c r="L583" s="17" t="str">
        <f>IF(IF((COUNTIF(B598:B609,"&gt;0"))=0,0,(COUNTIF(B598:B609,"&gt;0")))&gt;Grundlagen!$C$24,Grundlagen!$C$24,IF((COUNTIF(B598:B609,"&gt;0"))=0,"",(COUNTIF(B598:B609,"&gt;0"))))</f>
        <v/>
      </c>
      <c r="N583" s="85">
        <f>IF(N582="","",N582)</f>
        <v>0</v>
      </c>
      <c r="O583" s="58" t="str">
        <f>'päd.Personal - Leitung'!$O$11</f>
        <v>Jun               Dez</v>
      </c>
      <c r="P583" s="85">
        <f t="shared" si="65"/>
        <v>0</v>
      </c>
    </row>
    <row r="584" spans="1:16" s="1" customFormat="1" ht="13.5" customHeight="1" x14ac:dyDescent="0.2">
      <c r="I584" s="6"/>
      <c r="L584" s="147" t="str">
        <f>IF((SUM(F586:F589))=0,"",IF(P584&gt;L580,L580,IF(L580="","",IF(L583="","",P584))))</f>
        <v/>
      </c>
      <c r="O584" s="174" t="s">
        <v>251</v>
      </c>
      <c r="P584" s="175">
        <f>IF(L583="",0,((IF(SUMIF(B598,"&gt;0"),N578,0))+(IF(SUMIF(B599,"&gt;0"),N579,0))+(IF(SUMIF(B600,"&gt;0"),N580,0))+(IF(SUMIF(B601,"&gt;0"),N581,0))+(IF(SUMIF(B602,"&gt;0"),N582,0))+(IF(SUMIF(B603,"&gt;0"),N583,0))+(IF(SUMIF(B604,"&gt;0"),P578,0))+(IF(SUMIF(B605,"&gt;0"),P579,0))+(IF(SUMIF(B606,"&gt;0"),P580,0))+(IF(SUMIF(B607,"&gt;0"),P581,0))+(IF(SUMIF(B608,"&gt;0"),P582,0))+(IF(SUMIF(B609,"&gt;0"),P583,0)))/Grundlagen!$C$24)</f>
        <v>0</v>
      </c>
    </row>
    <row r="585" spans="1:16" s="52" customFormat="1" ht="13.5" customHeight="1" x14ac:dyDescent="0.2">
      <c r="A585" s="61" t="s">
        <v>148</v>
      </c>
      <c r="B585" s="1168" t="s">
        <v>149</v>
      </c>
      <c r="C585" s="1168"/>
      <c r="D585" s="62" t="s">
        <v>150</v>
      </c>
      <c r="E585" s="63" t="s">
        <v>151</v>
      </c>
      <c r="F585" s="64" t="str">
        <f>CONCATENATE("Entg. ",N575," h/Wo")</f>
        <v>Entg.  h/Wo</v>
      </c>
      <c r="G585" s="65" t="s">
        <v>152</v>
      </c>
      <c r="H585" s="65" t="s">
        <v>153</v>
      </c>
      <c r="K585" s="1169" t="str">
        <f>CONCATENATE("Zuschläge / Zulagen für ",N575,"h/Wo")</f>
        <v>Zuschläge / Zulagen für h/Wo</v>
      </c>
      <c r="L585" s="1169"/>
      <c r="M585" s="66" t="str">
        <f>IF(A586="","",A586)</f>
        <v>Jan 2022</v>
      </c>
      <c r="N585" s="66" t="str">
        <f>IF(A587="","",A587)</f>
        <v/>
      </c>
      <c r="O585" s="66" t="str">
        <f>IF(A588="","",A588)</f>
        <v/>
      </c>
      <c r="P585" s="66" t="str">
        <f>IF(A589="","",A589)</f>
        <v/>
      </c>
    </row>
    <row r="586" spans="1:16" s="52" customFormat="1" ht="13.5" customHeight="1" x14ac:dyDescent="0.25">
      <c r="A586" s="54" t="str">
        <f>A598</f>
        <v>Jan 2022</v>
      </c>
      <c r="B586" s="1170" t="str">
        <f>IF($D$3="","",$D$3)</f>
        <v/>
      </c>
      <c r="C586" s="1171"/>
      <c r="D586" s="181"/>
      <c r="E586" s="181"/>
      <c r="F586" s="87"/>
      <c r="G586" s="56">
        <f>IF(N575="",0,F586/N575/4.348)</f>
        <v>0</v>
      </c>
      <c r="H586" s="53">
        <f>IF(G586=0,0,M591)</f>
        <v>0</v>
      </c>
      <c r="K586" s="1146"/>
      <c r="L586" s="1146"/>
      <c r="M586" s="172"/>
      <c r="N586" s="172"/>
      <c r="O586" s="172"/>
      <c r="P586" s="172"/>
    </row>
    <row r="587" spans="1:16" s="52" customFormat="1" ht="13.5" customHeight="1" x14ac:dyDescent="0.25">
      <c r="A587" s="55"/>
      <c r="B587" s="1172" t="str">
        <f>IF(A587="","",B586)</f>
        <v/>
      </c>
      <c r="C587" s="1173"/>
      <c r="D587" s="181"/>
      <c r="E587" s="181"/>
      <c r="F587" s="87"/>
      <c r="G587" s="56">
        <f>IF(N575="",0,F587/N575/4.348)</f>
        <v>0</v>
      </c>
      <c r="H587" s="53">
        <f>IF(G587=0,0,N591)</f>
        <v>0</v>
      </c>
      <c r="K587" s="1146"/>
      <c r="L587" s="1146"/>
      <c r="M587" s="172"/>
      <c r="N587" s="172"/>
      <c r="O587" s="172"/>
      <c r="P587" s="172"/>
    </row>
    <row r="588" spans="1:16" s="52" customFormat="1" ht="13.5" customHeight="1" x14ac:dyDescent="0.25">
      <c r="A588" s="55"/>
      <c r="B588" s="1172" t="str">
        <f>IF(A588="","",B587)</f>
        <v/>
      </c>
      <c r="C588" s="1173"/>
      <c r="D588" s="181"/>
      <c r="E588" s="181"/>
      <c r="F588" s="87"/>
      <c r="G588" s="56">
        <f>IF(N575="",0,F588/N575/4.348)</f>
        <v>0</v>
      </c>
      <c r="H588" s="53">
        <f>IF(G588=0,0,O591)</f>
        <v>0</v>
      </c>
      <c r="K588" s="1146"/>
      <c r="L588" s="1146"/>
      <c r="M588" s="172"/>
      <c r="N588" s="172"/>
      <c r="O588" s="172"/>
      <c r="P588" s="172"/>
    </row>
    <row r="589" spans="1:16" s="52" customFormat="1" ht="13.5" customHeight="1" x14ac:dyDescent="0.25">
      <c r="A589" s="55"/>
      <c r="B589" s="1172" t="str">
        <f>IF(A589="","",B588)</f>
        <v/>
      </c>
      <c r="C589" s="1173"/>
      <c r="D589" s="181"/>
      <c r="E589" s="181"/>
      <c r="F589" s="87"/>
      <c r="G589" s="56">
        <f>IF(N575="",0,F589/N575/4.348)</f>
        <v>0</v>
      </c>
      <c r="H589" s="53">
        <f>IF(G589=0,0,P591)</f>
        <v>0</v>
      </c>
      <c r="K589" s="1146"/>
      <c r="L589" s="1146"/>
      <c r="M589" s="172"/>
      <c r="N589" s="172"/>
      <c r="O589" s="172"/>
      <c r="P589" s="172"/>
    </row>
    <row r="590" spans="1:16" s="52" customFormat="1" ht="13.5" customHeight="1" x14ac:dyDescent="0.25">
      <c r="B590" s="1167" t="s">
        <v>157</v>
      </c>
      <c r="C590" s="1167"/>
      <c r="E590" s="1167" t="s">
        <v>156</v>
      </c>
      <c r="F590" s="1167"/>
      <c r="J590" s="69"/>
      <c r="K590" s="1146"/>
      <c r="L590" s="1146"/>
      <c r="M590" s="172"/>
      <c r="N590" s="172"/>
      <c r="O590" s="172"/>
      <c r="P590" s="172"/>
    </row>
    <row r="591" spans="1:16" s="52" customFormat="1" ht="13.5" customHeight="1" x14ac:dyDescent="0.25">
      <c r="A591" s="70" t="s">
        <v>167</v>
      </c>
      <c r="B591" s="67"/>
      <c r="C591" s="99" t="str">
        <f>IF(C547="","",C547)</f>
        <v/>
      </c>
      <c r="D591" s="70" t="s">
        <v>167</v>
      </c>
      <c r="E591" s="67"/>
      <c r="F591" s="99" t="str">
        <f>IF(F547="","",F547)</f>
        <v/>
      </c>
      <c r="J591" s="68"/>
      <c r="M591" s="57">
        <f>SUM(M586:M590)</f>
        <v>0</v>
      </c>
      <c r="N591" s="57">
        <f t="shared" ref="N591:P591" si="66">SUM(N586:N590)</f>
        <v>0</v>
      </c>
      <c r="O591" s="57">
        <f t="shared" si="66"/>
        <v>0</v>
      </c>
      <c r="P591" s="57">
        <f t="shared" si="66"/>
        <v>0</v>
      </c>
    </row>
    <row r="592" spans="1:16" s="52" customFormat="1" ht="13.5" customHeight="1" x14ac:dyDescent="0.2">
      <c r="A592" s="60" t="s">
        <v>155</v>
      </c>
    </row>
    <row r="593" spans="1:16" s="1" customFormat="1" ht="14.25" customHeight="1" x14ac:dyDescent="0.2">
      <c r="A593" s="1147"/>
      <c r="B593" s="1149" t="s">
        <v>9</v>
      </c>
      <c r="C593" s="1150"/>
      <c r="D593" s="1150"/>
      <c r="E593" s="1150"/>
      <c r="F593" s="1150"/>
      <c r="G593" s="1151"/>
      <c r="H593" s="1152" t="s">
        <v>119</v>
      </c>
      <c r="I593" s="1153"/>
      <c r="J593" s="1153"/>
      <c r="K593" s="1153"/>
      <c r="L593" s="1153"/>
      <c r="M593" s="1153"/>
      <c r="N593" s="1153"/>
      <c r="O593" s="33"/>
      <c r="P593" s="1154" t="s">
        <v>0</v>
      </c>
    </row>
    <row r="594" spans="1:16" s="1" customFormat="1" ht="14.25" customHeight="1" x14ac:dyDescent="0.2">
      <c r="A594" s="1148"/>
      <c r="B594" s="1157" t="s">
        <v>117</v>
      </c>
      <c r="C594" s="124" t="s">
        <v>115</v>
      </c>
      <c r="D594" s="1159" t="s">
        <v>277</v>
      </c>
      <c r="E594" s="1161" t="s">
        <v>147</v>
      </c>
      <c r="F594" s="127" t="s">
        <v>7</v>
      </c>
      <c r="G594" s="1162" t="s">
        <v>6</v>
      </c>
      <c r="H594" s="1161" t="s">
        <v>129</v>
      </c>
      <c r="I594" s="1161" t="s">
        <v>5</v>
      </c>
      <c r="J594" s="1161" t="s">
        <v>4</v>
      </c>
      <c r="K594" s="1161" t="s">
        <v>3</v>
      </c>
      <c r="L594" s="1161" t="s">
        <v>121</v>
      </c>
      <c r="M594" s="1161" t="s">
        <v>122</v>
      </c>
      <c r="N594" s="1161" t="s">
        <v>123</v>
      </c>
      <c r="O594" s="1160" t="s">
        <v>114</v>
      </c>
      <c r="P594" s="1155"/>
    </row>
    <row r="595" spans="1:16" s="1" customFormat="1" ht="14.25" customHeight="1" x14ac:dyDescent="0.2">
      <c r="A595" s="1148"/>
      <c r="B595" s="1157"/>
      <c r="C595" s="21" t="str">
        <f>IF(C591="","",C591)</f>
        <v/>
      </c>
      <c r="D595" s="1160"/>
      <c r="E595" s="1161"/>
      <c r="F595" s="1165" t="str">
        <f>IF(H586=0,"","siehe Zuschläge / Zulagen")</f>
        <v/>
      </c>
      <c r="G595" s="1162"/>
      <c r="H595" s="1164" t="s">
        <v>127</v>
      </c>
      <c r="I595" s="1164"/>
      <c r="J595" s="1164"/>
      <c r="K595" s="1164"/>
      <c r="L595" s="1164"/>
      <c r="M595" s="1164"/>
      <c r="N595" s="1164"/>
      <c r="O595" s="1160"/>
      <c r="P595" s="1155"/>
    </row>
    <row r="596" spans="1:16" s="1" customFormat="1" x14ac:dyDescent="0.2">
      <c r="A596" s="1148"/>
      <c r="B596" s="1157"/>
      <c r="C596" s="122" t="s">
        <v>70</v>
      </c>
      <c r="D596" s="1160"/>
      <c r="E596" s="1161"/>
      <c r="F596" s="1165"/>
      <c r="G596" s="1162"/>
      <c r="H596" s="43" t="s">
        <v>128</v>
      </c>
      <c r="I596" s="43" t="s">
        <v>255</v>
      </c>
      <c r="J596" s="43" t="s">
        <v>256</v>
      </c>
      <c r="K596" s="43" t="s">
        <v>257</v>
      </c>
      <c r="L596" s="43"/>
      <c r="M596" s="43"/>
      <c r="N596" s="43" t="s">
        <v>254</v>
      </c>
      <c r="O596" s="1160"/>
      <c r="P596" s="1155"/>
    </row>
    <row r="597" spans="1:16" s="1" customFormat="1" x14ac:dyDescent="0.2">
      <c r="A597" s="1148"/>
      <c r="B597" s="1158"/>
      <c r="C597" s="21" t="str">
        <f>IF(F591="","",F591)</f>
        <v/>
      </c>
      <c r="D597" s="51"/>
      <c r="E597" s="51"/>
      <c r="F597" s="1166"/>
      <c r="G597" s="1163"/>
      <c r="H597" s="93"/>
      <c r="I597" s="139">
        <f>$I$69</f>
        <v>0</v>
      </c>
      <c r="J597" s="139">
        <f>$J$69</f>
        <v>0</v>
      </c>
      <c r="K597" s="44">
        <f>$K$69</f>
        <v>0</v>
      </c>
      <c r="L597" s="21"/>
      <c r="M597" s="21"/>
      <c r="N597" s="139">
        <f>$N$69</f>
        <v>0</v>
      </c>
      <c r="O597" s="21">
        <f>O553</f>
        <v>0</v>
      </c>
      <c r="P597" s="1156"/>
    </row>
    <row r="598" spans="1:16" s="1" customFormat="1" x14ac:dyDescent="0.2">
      <c r="A598" s="100" t="str">
        <f>$A$26</f>
        <v>Jan 2022</v>
      </c>
      <c r="B598" s="24">
        <f>ROUND(IF(N578=0,0,(LOOKUP(2,1/(A586:A589=A598),G586:G589))*N578*4.348),2)</f>
        <v>0</v>
      </c>
      <c r="C598" s="23">
        <f>ROUND(IFERROR(((LOOKUP(2,1/(B591=A598),((SUM(B604:B606)+SUM(F604:F606))/3)*C591))),0)+IFERROR(((LOOKUP(2,1/(E591=A598),(B610+F610)*F591))),0),2)</f>
        <v>0</v>
      </c>
      <c r="D598" s="23">
        <f>ROUND(IF(B598=0,0,D597/L579*N578),2)</f>
        <v>0</v>
      </c>
      <c r="E598" s="23">
        <f>ROUND(IF(B598=0,0,E597/N575*N578),2)</f>
        <v>0</v>
      </c>
      <c r="F598" s="24">
        <f>ROUND(IF(N578=0,0,(LOOKUP(2,1/(A586:A589=A598),H586:H589))/N575*N578),2)</f>
        <v>0</v>
      </c>
      <c r="G598" s="27">
        <f>SUM(B598+C598+E598+F598)</f>
        <v>0</v>
      </c>
      <c r="H598" s="76">
        <f>ROUND(IF((SUM(B598:F598))&gt;L613,L613*H597,SUM(B598:F598)*H597),2)</f>
        <v>0</v>
      </c>
      <c r="I598" s="76">
        <f>ROUND(IF((SUM(B598:F598))&gt;L614,L614*I597,SUM(B598:F598)*I597),2)</f>
        <v>0</v>
      </c>
      <c r="J598" s="76">
        <f>ROUND(IF((SUM(B598:F598))&gt;L614,L614*J597,SUM(B598:F598)*J597),2)</f>
        <v>0</v>
      </c>
      <c r="K598" s="76">
        <f>ROUND(IF((SUM(B598:F598))&gt;L613,L613*K597,SUM(B598:F598)*K597),2)</f>
        <v>0</v>
      </c>
      <c r="L598" s="76">
        <f>ROUND(IF((SUM(B598:F598))&gt;L614,L614*L597,(SUM(B598:F598)-C598)*L597),2)</f>
        <v>0</v>
      </c>
      <c r="M598" s="76">
        <f>ROUND(IF((SUM(B598:F598))&gt;L614,L614*M597,(SUM(B598:F598)-C598)*M597),2)</f>
        <v>0</v>
      </c>
      <c r="N598" s="76">
        <f>ROUND(IF((SUM(B598:F598))&gt;L614,L614*N597,SUM(B598:F598)*N597),2)</f>
        <v>0</v>
      </c>
      <c r="O598" s="23">
        <f>ROUND(SUM(B598+C598+F598)*O597,2)</f>
        <v>0</v>
      </c>
      <c r="P598" s="27">
        <f>SUM(G598:O598)</f>
        <v>0</v>
      </c>
    </row>
    <row r="599" spans="1:16" s="1" customFormat="1" x14ac:dyDescent="0.2">
      <c r="A599" s="100" t="str">
        <f>$A$27</f>
        <v>Feb 2022</v>
      </c>
      <c r="B599" s="24">
        <f>ROUND(IF(N579=0,0,IFERROR(((LOOKUP(2,1/(A586:A589=A599),G586:G589))*N579*4.348),B598/N579*N579)),2)</f>
        <v>0</v>
      </c>
      <c r="C599" s="23">
        <f>ROUND(IFERROR(((LOOKUP(2,1/(B591=A599),((SUM(B604:B606)+SUM(F604:F606))/3)*C591))),0)+IFERROR(((LOOKUP(2,1/(E591=A599),(B610+F610)*F591))),0),2)</f>
        <v>0</v>
      </c>
      <c r="D599" s="23">
        <f>ROUND(IF(B599=0,0,D597/L579*N579),2)</f>
        <v>0</v>
      </c>
      <c r="E599" s="23">
        <f>ROUND(IF(B599=0,0,E597/N575*N579),2)</f>
        <v>0</v>
      </c>
      <c r="F599" s="24">
        <f>ROUND(IF(N579=0,0,IFERROR(((LOOKUP(2,1/(A586:A589=A599),H586:H589))/N575*N579),F598/N579*N579)),2)</f>
        <v>0</v>
      </c>
      <c r="G599" s="27">
        <f t="shared" ref="G599:G609" si="67">SUM(B599+C599+E599+F599)</f>
        <v>0</v>
      </c>
      <c r="H599" s="76">
        <f>ROUND(IF(SUM(B598:F598)&lt;(L613*1),IF((SUM(B598:F599))&gt;(L613*2),(((L613*2)-(SUM(B598:F599)-C598))*H597)+((SUM(B599:F599)-C598)*H597),SUM(B599:F599)*H597),IF(SUM(B598:F599)&gt;(L613*2),L613*H597,SUM(B599:F599)*H597)),2)</f>
        <v>0</v>
      </c>
      <c r="I599" s="76">
        <f>ROUND(IF(SUM(B598:F598)&lt;(L614*1),IF((SUM(B598:F599))&gt;(L614*2),(((L614*2)-(SUM(B598:F599)-C598))*I597)+((SUM(B599:F599)-C598)*I597),SUM(B599:F599)*I597),IF(SUM(B598:F599)&gt;(L614*2),L614*I597,SUM(B599:F599)*I597)),2)</f>
        <v>0</v>
      </c>
      <c r="J599" s="76">
        <f>ROUND(IF(SUM(B598:F598)&lt;(L614*1),IF((SUM(B598:F599))&gt;(L614*2),(((L614*2)-(SUM(B598:F599)-C598))*J597)+((SUM(B599:F599)-C598)*J597),SUM(B599:F599)*J597),IF(SUM(B598:F599)&gt;(L614*2),L614*J597,SUM(B599:F599)*J597)),2)</f>
        <v>0</v>
      </c>
      <c r="K599" s="76">
        <f>ROUND(IF(SUM(B598:F598)&lt;(L613*1),IF((SUM(B598:F599))&gt;(L613*2),(((L613*2)-(SUM(B598:F599)-C598))*K597)+((SUM(B599:F599)-C598)*K597),SUM(B599:F599)*K597),IF(SUM(B598:F599)&gt;(L613*2),L613*K597,SUM(B599:F599)*K597)),2)</f>
        <v>0</v>
      </c>
      <c r="L599" s="76">
        <f>ROUND(IF(SUM(B598:F598)&lt;(L614*1),IF((SUM(B598:F599))&gt;(L614*2),(((L614*2)-(SUM(B598:F599)-C599))*L597)+((SUM(B599:F599)-C599)*L597),(SUM(B599:F599)-C599)*L597),IF(SUM(B598:F599)&gt;(L614*2),L614*L597,SUM(B599:F599)*L597)),2)</f>
        <v>0</v>
      </c>
      <c r="M599" s="76">
        <f>ROUND(IF(SUM(B598:F598)&lt;(L614*1),IF((SUM(B598:F599))&gt;(L614*2),(((L614*2)-(SUM(B598:F599)-C599))*M597)+((SUM(B599:F599)-C599)*M597),(SUM(B599:F599)-C599)*M597),IF(SUM(B598:F599)&gt;(L614*2),L614*M597,SUM(B599:F599)*M597)),2)</f>
        <v>0</v>
      </c>
      <c r="N599" s="76">
        <f>ROUND(IF(SUM(B598:F598)&lt;(L614*1),IF((SUM(B598:F599))&gt;(L614*2),(((L614*2)-(SUM(B598:F599)-C598))*N597)+((SUM(B599:F599)-C598)*N597),SUM(B599:F599)*N597),IF(SUM(B598:F599)&gt;(L614*2),L614*N597,SUM(B599:F599)*N597)),2)</f>
        <v>0</v>
      </c>
      <c r="O599" s="23">
        <f>ROUND(SUM(B599+C599+F599)*O597,2)</f>
        <v>0</v>
      </c>
      <c r="P599" s="27">
        <f>SUM(G599:O599)</f>
        <v>0</v>
      </c>
    </row>
    <row r="600" spans="1:16" s="1" customFormat="1" x14ac:dyDescent="0.2">
      <c r="A600" s="100" t="str">
        <f>$A$28</f>
        <v>Mrz 2022</v>
      </c>
      <c r="B600" s="24">
        <f>ROUND(IF(N580=0,0,IFERROR(((LOOKUP(2,1/(A586:A589=A600),G586:G589))*N580*4.348),B599/N580*N580)),2)</f>
        <v>0</v>
      </c>
      <c r="C600" s="23">
        <f>ROUND(IFERROR(((LOOKUP(2,1/(B591=A600),((SUM(B604:B606)+SUM(F604:F606))/3)*C591))),0)+IFERROR(((LOOKUP(2,1/(E591=A600),(B610+F610)*F591))),0),2)</f>
        <v>0</v>
      </c>
      <c r="D600" s="23">
        <f>ROUND(IF(B600=0,0,D597/L579*N580),2)</f>
        <v>0</v>
      </c>
      <c r="E600" s="23">
        <f>ROUND(IF(B600=0,0,E597/N575*N580),2)</f>
        <v>0</v>
      </c>
      <c r="F600" s="24">
        <f>ROUND(IF(N580=0,0,IFERROR(((LOOKUP(2,1/(A586:A589=A600),H586:H589))/N575*N580),F599/N580*N580)),2)</f>
        <v>0</v>
      </c>
      <c r="G600" s="27">
        <f t="shared" si="67"/>
        <v>0</v>
      </c>
      <c r="H600" s="76">
        <f>ROUND(IF(SUM(B598:F599)&lt;(L613*2),IF((SUM(B598:F600))&gt;(L613*3),(((L613*3)-(SUM(B598:F600)-C599))*H597)+((SUM(B600:F600)-C599)*H597),SUM(B600:F600)*H597),IF(SUM(B598:F600)&gt;(L613*3),L613*H597,SUM(B600:F600)*H597)),2)</f>
        <v>0</v>
      </c>
      <c r="I600" s="76">
        <f>ROUND(IF(SUM(B598:F599)&lt;(L614*2),IF((SUM(B598:F600))&gt;(L614*3),(((L614*3)-(SUM(B598:F600)-C599))*I597)+((SUM(B600:F600)-C599)*I597),SUM(B600:F600)*I597),IF(SUM(B598:F600)&gt;(L614*3),L614*I597,SUM(B600:F600)*I597)),2)</f>
        <v>0</v>
      </c>
      <c r="J600" s="76">
        <f>ROUND(IF(SUM(B598:F599)&lt;(L614*2),IF((SUM(B598:F600))&gt;(L614*3),(((L614*3)-(SUM(B598:F600)-C599))*J597)+((SUM(B600:F600)-C599)*J597),SUM(B600:F600)*J597),IF(SUM(B598:F600)&gt;(L614*3),L614*J597,SUM(B600:F600)*J597)),2)</f>
        <v>0</v>
      </c>
      <c r="K600" s="76">
        <f>ROUND(IF(SUM(B598:F599)&lt;(L613*2),IF((SUM(B598:F600))&gt;(L613*3),(((L613*3)-(SUM(B598:F600)-C599))*K597)+((SUM(B600:F600)-C599)*K597),SUM(B600:F600)*K597),IF(SUM(B598:F600)&gt;(L613*3),L613*K597,SUM(B600:F600)*K597)),2)</f>
        <v>0</v>
      </c>
      <c r="L600" s="76">
        <f>ROUND(IF(SUM(B598:F599)&lt;(L614*2),IF((SUM(B598:F600))&gt;(L614*3),(((L614*3)-(SUM(B598:F600)-C600))*L597)+((SUM(B600:F600)-C600)*L597),(SUM(B600:F600)-C600)*L597),IF(SUM(B598:F600)&gt;(L614*3),L614*L597,SUM(B600:F600)*L597)),2)</f>
        <v>0</v>
      </c>
      <c r="M600" s="76">
        <f>ROUND(IF(SUM(B598:F599)&lt;(L614*2),IF((SUM(B598:F600))&gt;(L614*3),(((L614*3)-(SUM(B598:F600)-C600))*M597)+((SUM(B600:F600)-C600)*M597),(SUM(B600:F600)-C600)*M597),IF(SUM(B598:F600)&gt;(L614*3),L614*M597,SUM(B600:F600)*M597)),2)</f>
        <v>0</v>
      </c>
      <c r="N600" s="76">
        <f>ROUND(IF(SUM(B598:F599)&lt;(L614*2),IF((SUM(B598:F600))&gt;(L614*3),(((L614*3)-(SUM(B598:F600)-C599))*N597)+((SUM(B600:F600)-C599)*N597),SUM(B600:F600)*N597),IF(SUM(B598:F600)&gt;(L614*3),L614*N597,SUM(B600:F600)*N597)),2)</f>
        <v>0</v>
      </c>
      <c r="O600" s="23">
        <f>ROUND(SUM(B600+C600+F600)*O597,2)</f>
        <v>0</v>
      </c>
      <c r="P600" s="27">
        <f t="shared" ref="P600:P609" si="68">SUM(G600:O600)</f>
        <v>0</v>
      </c>
    </row>
    <row r="601" spans="1:16" s="1" customFormat="1" x14ac:dyDescent="0.2">
      <c r="A601" s="100" t="str">
        <f>$A$29</f>
        <v>Apr 2022</v>
      </c>
      <c r="B601" s="24">
        <f>ROUND(IF(N581=0,0,IFERROR(((LOOKUP(2,1/(A586:A589=A601),G586:G589))*N581*4.348),B600/N581*N581)),2)</f>
        <v>0</v>
      </c>
      <c r="C601" s="23">
        <f>ROUND(IFERROR(((LOOKUP(2,1/(B591=A601),((SUM(B604:B606)+SUM(F604:F606))/3)*C591))),0)+IFERROR(((LOOKUP(2,1/(E591=A601),(B610+F610)*F591))),0),2)</f>
        <v>0</v>
      </c>
      <c r="D601" s="23">
        <f>ROUND(IF(B601=0,0,D597/L579*N581),2)</f>
        <v>0</v>
      </c>
      <c r="E601" s="23">
        <f>ROUND(IF(B601=0,0,E597/N575*N581),2)</f>
        <v>0</v>
      </c>
      <c r="F601" s="24">
        <f>ROUND(IF(N581=0,0,IFERROR(((LOOKUP(2,1/(A586:A589=A601),H586:H589))/N575*N581),F600/N581*N581)),2)</f>
        <v>0</v>
      </c>
      <c r="G601" s="27">
        <f t="shared" si="67"/>
        <v>0</v>
      </c>
      <c r="H601" s="76">
        <f>ROUND(IF(SUM(B598:F600)&lt;(L613*3),IF((SUM(B598:F601))&gt;(L613*4),(((L613*4)-(SUM(B598:F601)-C600))*H597)+((SUM(B601:F601)-C600)*H597),SUM(B601:F601)*H597),IF(SUM(B598:F601)&gt;(L613*4),L613*H597,SUM(B601:F601)*H597)),2)</f>
        <v>0</v>
      </c>
      <c r="I601" s="76">
        <f>ROUND(IF(SUM(B598:F600)&lt;(L614*3),IF((SUM(B598:F601))&gt;(L614*4),(((L614*4)-(SUM(B598:F601)-C600))*I597)+((SUM(B601:F601)-C600)*I597),SUM(B601:F601)*I597),IF(SUM(B598:F601)&gt;(L614*4),L614*I597,SUM(B601:F601)*I597)),2)</f>
        <v>0</v>
      </c>
      <c r="J601" s="76">
        <f>ROUND(IF(SUM(B598:F600)&lt;(L614*3),IF((SUM(B598:F601))&gt;(L614*4),(((L614*4)-(SUM(B598:F601)-C600))*J597)+((SUM(B601:F601)-C600)*J597),SUM(B601:F601)*J597),IF(SUM(B598:F601)&gt;(L614*4),L614*J597,SUM(B601:F601)*J597)),2)</f>
        <v>0</v>
      </c>
      <c r="K601" s="76">
        <f>ROUND(IF(SUM(B598:F600)&lt;(L613*3),IF((SUM(B598:F601))&gt;(L613*4),(((L613*4)-(SUM(B598:F601)-C600))*K597)+((SUM(B601:F601)-C600)*K597),SUM(B601:F601)*K597),IF(SUM(B598:F601)&gt;(L613*4),L613*K597,SUM(B601:F601)*K597)),2)</f>
        <v>0</v>
      </c>
      <c r="L601" s="76">
        <f>ROUND(IF(SUM(B598:F600)&lt;(L614*3),IF((SUM(B598:F601))&gt;(L614*4),(((L614*4)-(SUM(B598:F601)-C601))*L597)+((SUM(B601:F601)-C601)*L597),(SUM(B601:F601)-C601)*L597),IF(SUM(B598:F601)&gt;(L614*4),L614*L597,SUM(B601:F601)*L597)),2)</f>
        <v>0</v>
      </c>
      <c r="M601" s="76">
        <f>ROUND(IF(SUM(B598:F600)&lt;(L614*3),IF((SUM(B598:F601))&gt;(L614*4),(((L614*4)-(SUM(B598:F601)-C601))*M597)+((SUM(B601:F601)-C601)*M597),(SUM(B601:F601)-C601)*M597),IF(SUM(B598:F601)&gt;(L614*4),L614*M597,SUM(B601:F601)*M597)),2)</f>
        <v>0</v>
      </c>
      <c r="N601" s="76">
        <f>ROUND(IF(SUM(B598:F600)&lt;(L614*3),IF((SUM(B598:F601))&gt;(L614*4),(((L614*4)-(SUM(B598:F601)-C600))*N597)+((SUM(B601:F601)-C600)*N597),SUM(B601:F601)*N597),IF(SUM(B598:F601)&gt;(L614*4),L614*N597,SUM(B601:F601)*N597)),2)</f>
        <v>0</v>
      </c>
      <c r="O601" s="23">
        <f>ROUND(SUM(B601+C601+F601)*O597,2)</f>
        <v>0</v>
      </c>
      <c r="P601" s="27">
        <f t="shared" si="68"/>
        <v>0</v>
      </c>
    </row>
    <row r="602" spans="1:16" s="1" customFormat="1" x14ac:dyDescent="0.2">
      <c r="A602" s="100" t="str">
        <f>$A$30</f>
        <v>Mai 2022</v>
      </c>
      <c r="B602" s="24">
        <f>ROUND(IF(N582=0,0,IFERROR(((LOOKUP(2,1/(A586:A589=A602),G586:G589))*N582*4.348),B601/N582*N582)),2)</f>
        <v>0</v>
      </c>
      <c r="C602" s="23">
        <f>ROUND(IFERROR(((LOOKUP(2,1/(B591=A602),((SUM(B604:B606)+SUM(F604:F606))/3)*C591))),0)+IFERROR(((LOOKUP(2,1/(E591=A602),(B610+F610)*F591))),0),2)</f>
        <v>0</v>
      </c>
      <c r="D602" s="23">
        <f>ROUND(IF(B602=0,0,D597/L579*N582),2)</f>
        <v>0</v>
      </c>
      <c r="E602" s="23">
        <f>ROUND(IF(B602=0,0,E597/N575*N582),2)</f>
        <v>0</v>
      </c>
      <c r="F602" s="24">
        <f>ROUND(IF(N582=0,0,IFERROR(((LOOKUP(2,1/(A586:A589=A602),H586:H589))/N575*N582),F601/N582*N582)),2)</f>
        <v>0</v>
      </c>
      <c r="G602" s="27">
        <f t="shared" si="67"/>
        <v>0</v>
      </c>
      <c r="H602" s="76">
        <f>ROUND(IF(SUM(B598:F601)&lt;(L613*4),IF((SUM(B598:F602))&gt;(L613*5),(((L613*5)-(SUM(B598:F602)-C601))*H597)+((SUM(B602:F602)-C601)*H597),SUM(B602:F602)*H597),IF(SUM(B598:F602)&gt;(L613*5),L613*H597,SUM(B602:F602)*H597)),2)</f>
        <v>0</v>
      </c>
      <c r="I602" s="76">
        <f>ROUND(IF(SUM(B598:F601)&lt;(L614*4),IF((SUM(B598:F602))&gt;(L614*5),(((L614*5)-(SUM(B598:F602)-C601))*I597)+((SUM(B602:F602)-C601)*I597),SUM(B602:F602)*I597),IF(SUM(B598:F602)&gt;(L614*5),L614*I597,SUM(B602:F602)*I597)),2)</f>
        <v>0</v>
      </c>
      <c r="J602" s="76">
        <f>ROUND(IF(SUM(B598:F601)&lt;(L614*4),IF((SUM(B598:F602))&gt;(L614*5),(((L614*5)-(SUM(B598:F602)-C601))*J597)+((SUM(B602:F602)-C601)*J597),SUM(B602:F602)*J597),IF(SUM(B598:F602)&gt;(L614*5),L614*J597,SUM(B602:F602)*J597)),2)</f>
        <v>0</v>
      </c>
      <c r="K602" s="76">
        <f>ROUND(IF(SUM(B598:F601)&lt;(L613*4),IF((SUM(B598:F602))&gt;(L613*5),(((L613*5)-(SUM(B598:F602)-C601))*K597)+((SUM(B602:F602)-C601)*K597),SUM(B602:F602)*K597),IF(SUM(B598:F602)&gt;(L613*5),L613*K597,SUM(B602:F602)*K597)),2)</f>
        <v>0</v>
      </c>
      <c r="L602" s="76">
        <f>ROUND(IF(SUM(B598:F601)&lt;(L614*4),IF((SUM(B598:F602))&gt;(L614*5),(((L614*5)-(SUM(B598:F602)-C602))*L597)+((SUM(B602:F602)-C602)*L597),(SUM(B602:F602)-C602)*L597),IF(SUM(B598:F602)&gt;(L614*5),L614*L597,SUM(B602:F602)*L597)),2)</f>
        <v>0</v>
      </c>
      <c r="M602" s="76">
        <f>ROUND(IF(SUM(B598:F601)&lt;(L614*4),IF((SUM(B598:F602))&gt;(L614*5),(((L614*5)-(SUM(B598:F602)-C602))*M597)+((SUM(B602:F602)-C602)*M597),(SUM(B602:F602)-C602)*M597),IF(SUM(B598:F602)&gt;(L614*5),L614*M597,SUM(B602:F602)*M597)),2)</f>
        <v>0</v>
      </c>
      <c r="N602" s="76">
        <f>ROUND(IF(SUM(B598:F601)&lt;(L614*4),IF((SUM(B598:F602))&gt;(L614*5),(((L614*5)-(SUM(B598:F602)-C601))*N597)+((SUM(B602:F602)-C601)*N597),SUM(B602:F602)*N597),IF(SUM(B598:F602)&gt;(L614*5),L614*N597,SUM(B602:F602)*N597)),2)</f>
        <v>0</v>
      </c>
      <c r="O602" s="23">
        <f>ROUND(SUM(B602+C602+F602)*O597,2)</f>
        <v>0</v>
      </c>
      <c r="P602" s="27">
        <f t="shared" si="68"/>
        <v>0</v>
      </c>
    </row>
    <row r="603" spans="1:16" s="1" customFormat="1" x14ac:dyDescent="0.2">
      <c r="A603" s="100" t="str">
        <f>$A$31</f>
        <v>Jun 2022</v>
      </c>
      <c r="B603" s="24">
        <f>ROUND(IF(N583=0,0,IFERROR(((LOOKUP(2,1/(A586:A589=A603),G586:G589))*N583*4.348),B602/N583*N583)),2)</f>
        <v>0</v>
      </c>
      <c r="C603" s="23">
        <f>ROUND(IFERROR(((LOOKUP(2,1/(B591=A603),((SUM(B604:B606)+SUM(F604:F606))/3)*C591))),0)+IFERROR(((LOOKUP(2,1/(E591=A603),(B610+F610)*F591))),0),2)</f>
        <v>0</v>
      </c>
      <c r="D603" s="23">
        <f>ROUND(IF(B603=0,0,D597/L579*N583),2)</f>
        <v>0</v>
      </c>
      <c r="E603" s="23">
        <f>ROUND(IF(B603=0,0,E597/N575*N583),2)</f>
        <v>0</v>
      </c>
      <c r="F603" s="24">
        <f>ROUND(IF(N583=0,0,IFERROR(((LOOKUP(2,1/(A586:A589=A603),H586:H589))/N575*N583),F602/N583*N583)),2)</f>
        <v>0</v>
      </c>
      <c r="G603" s="27">
        <f t="shared" si="67"/>
        <v>0</v>
      </c>
      <c r="H603" s="76">
        <f>ROUND(IF(SUM(B598:F602)&lt;(L613*5),IF((SUM(B598:F603))&gt;(L613*6),(((L613*6)-(SUM(B598:F603)-C602))*H597)+((SUM(B603:F603)-C602)*H597),SUM(B603:F603)*H597),IF(SUM(B598:F603)&gt;(L613*6),L613*H597,SUM(B603:F603)*H597)),2)</f>
        <v>0</v>
      </c>
      <c r="I603" s="76">
        <f>ROUND(IF(SUM(B598:F602)&lt;(L614*5),IF((SUM(B598:F603))&gt;(L614*6),(((L614*6)-(SUM(B598:F603)-C602))*I597)+((SUM(B603:F603)-C602)*I597),SUM(B603:F603)*I597),IF(SUM(B598:F603)&gt;(L614*6),L614*I597,SUM(B603:F603)*I597)),2)</f>
        <v>0</v>
      </c>
      <c r="J603" s="76">
        <f>ROUND(IF(SUM(B598:F602)&lt;(L614*5),IF((SUM(B598:F603))&gt;(L614*6),(((L614*6)-(SUM(B598:F603)-C602))*J597)+((SUM(B603:F603)-C602)*J597),SUM(B603:F603)*J597),IF(SUM(B598:F603)&gt;(L614*6),L614*J597,SUM(B603:F603)*J597)),2)</f>
        <v>0</v>
      </c>
      <c r="K603" s="76">
        <f>ROUND(IF(SUM(B598:F602)&lt;(L613*5),IF((SUM(B598:F603))&gt;(L613*6),(((L613*6)-(SUM(B598:F603)-C602))*K597)+((SUM(B603:F603)-C602)*K597),SUM(B603:F603)*K597),IF(SUM(B598:F603)&gt;(L613*6),L613*K597,SUM(B603:F603)*K597)),2)</f>
        <v>0</v>
      </c>
      <c r="L603" s="76">
        <f>ROUND(IF(SUM(B598:F602)&lt;(L614*5),IF((SUM(B598:F603))&gt;(L614*6),(((L614*6)-(SUM(B598:F603)-C603))*L597)+((SUM(B603:F603)-C603)*L597),(SUM(B603:F603)-C603)*L597),IF(SUM(B598:F603)&gt;(L614*6),L614*L597,SUM(B603:F603)*L597)),2)</f>
        <v>0</v>
      </c>
      <c r="M603" s="76">
        <f>ROUND(IF(SUM(B598:F602)&lt;(L614*5),IF((SUM(B598:F603))&gt;(L614*6),(((L614*6)-(SUM(B598:F603)-C603))*M597)+((SUM(B603:F603)-C603)*M597),(SUM(B603:F603)-C603)*M597),IF(SUM(B598:F603)&gt;(L614*6),L614*M597,SUM(B603:F603)*M597)),2)</f>
        <v>0</v>
      </c>
      <c r="N603" s="76">
        <f>ROUND(IF(SUM(B598:F602)&lt;(L614*5),IF((SUM(B598:F603))&gt;(L614*6),(((L614*6)-(SUM(B598:F603)-C602))*N597)+((SUM(B603:F603)-C602)*N597),SUM(B603:F603)*N597),IF(SUM(B598:F603)&gt;(L614*6),L614*N597,SUM(B603:F603)*N597)),2)</f>
        <v>0</v>
      </c>
      <c r="O603" s="23">
        <f>ROUND(SUM(B603+C603+F603)*O597,2)</f>
        <v>0</v>
      </c>
      <c r="P603" s="27">
        <f t="shared" si="68"/>
        <v>0</v>
      </c>
    </row>
    <row r="604" spans="1:16" s="1" customFormat="1" x14ac:dyDescent="0.2">
      <c r="A604" s="100" t="str">
        <f>$A$32</f>
        <v>Jul 2022</v>
      </c>
      <c r="B604" s="24">
        <f>ROUND(IF(P578=0,0,IFERROR(((LOOKUP(2,1/(A586:A589=A604),G586:G589))*P578*4.348),B603/P578*P578)),2)</f>
        <v>0</v>
      </c>
      <c r="C604" s="23">
        <f>ROUND(IFERROR(((LOOKUP(2,1/(B591=A604),((SUM(B604:B606)+SUM(F604:F606))/3)*C591))),0)+IFERROR(((LOOKUP(2,1/(E591=A604),(B610+F610)*F591))),0),2)</f>
        <v>0</v>
      </c>
      <c r="D604" s="23">
        <f>ROUND(IF(B604=0,0,D597/L579*P578),2)</f>
        <v>0</v>
      </c>
      <c r="E604" s="23">
        <f>ROUND(IF(B604=0,0,E597/N575*P578),2)</f>
        <v>0</v>
      </c>
      <c r="F604" s="24">
        <f>ROUND(IF(P578=0,0,IFERROR(((LOOKUP(2,1/(A586:A589=A604),H586:H589))/N575*P578),F603/P578*P578)),2)</f>
        <v>0</v>
      </c>
      <c r="G604" s="27">
        <f t="shared" si="67"/>
        <v>0</v>
      </c>
      <c r="H604" s="76">
        <f>ROUND(IF(SUM(B598:F603)&lt;(L613*6),IF((SUM(B598:F604))&gt;(L613*7),(((L613*7)-(SUM(B598:F604)-C603))*H597)+((SUM(B604:F604)-C603)*H597),SUM(B604:F604)*H597),IF(SUM(B598:F604)&gt;(L613*7),L613*H597,SUM(B604:F604)*H597)),2)</f>
        <v>0</v>
      </c>
      <c r="I604" s="76">
        <f>ROUND(IF(SUM(B598:F603)&lt;(L614*6),IF((SUM(B598:F604))&gt;(L614*7),(((L614*7)-(SUM(B598:F604)-C603))*I597)+((SUM(B604:F604)-C603)*I597),SUM(B604:F604)*I597),IF(SUM(B598:F604)&gt;(L614*7),L614*I597,SUM(B604:F604)*I597)),2)</f>
        <v>0</v>
      </c>
      <c r="J604" s="76">
        <f>ROUND(IF(SUM(B598:F603)&lt;(L614*6),IF((SUM(B598:F604))&gt;(L614*7),(((L614*7)-(SUM(B598:F604)-C603))*J597)+((SUM(B604:F604)-C603)*J597),SUM(B604:F604)*J597),IF(SUM(B598:F604)&gt;(L614*7),L614*J597,SUM(B604:F604)*J597)),2)</f>
        <v>0</v>
      </c>
      <c r="K604" s="76">
        <f>ROUND(IF(SUM(B598:F603)&lt;(L613*6),IF((SUM(B598:F604))&gt;(L613*7),(((L613*7)-(SUM(B598:F604)-C603))*K597)+((SUM(B604:F604)-C603)*K597),SUM(B604:F604)*K597),IF(SUM(B598:F604)&gt;(L613*7),L613*K597,SUM(B604:F604)*K597)),2)</f>
        <v>0</v>
      </c>
      <c r="L604" s="76">
        <f>ROUND(IF(SUM(B598:F603)&lt;(L614*6),IF((SUM(B598:F604))&gt;(L614*7),(((L614*7)-(SUM(B598:F604)-C604))*L597)+((SUM(B604:F604)-C604)*L597),(SUM(B604:F604)-C604)*L597),IF(SUM(B598:F604)&gt;(L614*7),L614*L597,SUM(B604:F604)*L597)),2)</f>
        <v>0</v>
      </c>
      <c r="M604" s="76">
        <f>ROUND(IF(SUM(B598:F603)&lt;(L614*6),IF((SUM(B598:F604))&gt;(L614*7),(((L614*7)-(SUM(B598:F604)-C604))*M597)+((SUM(B604:F604)-C604)*M597),(SUM(B604:F604)-C604)*M597),IF(SUM(B598:F604)&gt;(L614*7),L614*M597,SUM(B604:F604)*M597)),2)</f>
        <v>0</v>
      </c>
      <c r="N604" s="76">
        <f>ROUND(IF(SUM(B598:F603)&lt;(L614*6),IF((SUM(B598:F604))&gt;(L614*7),(((L614*7)-(SUM(B598:F604)-C603))*N597)+((SUM(B604:F604)-C603)*N597),SUM(B604:F604)*N597),IF(SUM(B598:F604)&gt;(L614*7),L614*N597,SUM(B604:F604)*N597)),2)</f>
        <v>0</v>
      </c>
      <c r="O604" s="23">
        <f>ROUND(SUM(B604+C604+F604)*O597,2)</f>
        <v>0</v>
      </c>
      <c r="P604" s="27">
        <f t="shared" si="68"/>
        <v>0</v>
      </c>
    </row>
    <row r="605" spans="1:16" s="1" customFormat="1" x14ac:dyDescent="0.2">
      <c r="A605" s="100" t="str">
        <f>$A$33</f>
        <v>Aug 2022</v>
      </c>
      <c r="B605" s="24">
        <f>ROUND(IF(P579=0,0,IFERROR(((LOOKUP(2,1/(A586:A589=A605),G586:G589))*P579*4.348),B604/P579*P579)),2)</f>
        <v>0</v>
      </c>
      <c r="C605" s="23">
        <f>ROUND(IFERROR(((LOOKUP(2,1/(B591=A605),((SUM(B604:B606)+SUM(F604:F606))/3)*C591))),0)+IFERROR(((LOOKUP(2,1/(E591=A605),(B610+F610)*F591))),0),2)</f>
        <v>0</v>
      </c>
      <c r="D605" s="23">
        <f>ROUND(IF(B605=0,0,D597/L579*P579),2)</f>
        <v>0</v>
      </c>
      <c r="E605" s="23">
        <f>ROUND(IF(B605=0,0,E597/N575*P579),2)</f>
        <v>0</v>
      </c>
      <c r="F605" s="24">
        <f>ROUND(IF(P579=0,0,IFERROR(((LOOKUP(2,1/(A586:A589=A605),H586:H589))/N575*P579),F604/P579*P579)),2)</f>
        <v>0</v>
      </c>
      <c r="G605" s="27">
        <f t="shared" si="67"/>
        <v>0</v>
      </c>
      <c r="H605" s="76">
        <f>ROUND(IF(SUM(B598:F604)&lt;(L613*7),IF((SUM(B598:F605))&gt;(L613*8),(((L613*8)-(SUM(B598:F605)-C604))*H597)+((SUM(B605:F605)-C604)*H597),SUM(B605:F605)*H597),IF(SUM(B598:F605)&gt;(L613*8),L613*H597,SUM(B605:F605)*H597)),2)</f>
        <v>0</v>
      </c>
      <c r="I605" s="76">
        <f>ROUND(IF(SUM(B598:F604)&lt;(L614*7),IF((SUM(B598:F605))&gt;(L614*8),(((L614*8)-(SUM(B598:F605)-C604))*I597)+((SUM(B605:F605)-C604)*I597),SUM(B605:F605)*I597),IF(SUM(B598:F605)&gt;(L614*8),L614*I597,SUM(B605:F605)*I597)),2)</f>
        <v>0</v>
      </c>
      <c r="J605" s="76">
        <f>ROUND(IF(SUM(B598:F604)&lt;(L614*7),IF((SUM(B598:F605))&gt;(L614*8),(((L614*8)-(SUM(B598:F605)-C604))*J597)+((SUM(B605:F605)-C604)*J597),SUM(B605:F605)*J597),IF(SUM(B598:F605)&gt;(L614*8),L614*J597,SUM(B605:F605)*J597)),2)</f>
        <v>0</v>
      </c>
      <c r="K605" s="76">
        <f>ROUND(IF(SUM(B598:F604)&lt;(L613*7),IF((SUM(B598:F605))&gt;(L613*8),(((L613*8)-(SUM(B598:F605)-C604))*K597)+((SUM(B605:F605)-C604)*K597),SUM(B605:F605)*K597),IF(SUM(B598:F605)&gt;(L613*8),L613*K597,SUM(B605:F605)*K597)),2)</f>
        <v>0</v>
      </c>
      <c r="L605" s="76">
        <f>ROUND(IF(SUM(B598:F604)&lt;(L614*7),IF((SUM(B598:F605))&gt;(L614*8),(((L614*8)-(SUM(B598:F605)-C605))*L597)+((SUM(B605:F605)-C605)*L597),(SUM(B605:F605)-C605)*L597),IF(SUM(B598:F605)&gt;(L614*8),L614*L597,SUM(B605:F605)*L597)),2)</f>
        <v>0</v>
      </c>
      <c r="M605" s="76">
        <f>ROUND(IF(SUM(B598:F604)&lt;(L614*7),IF((SUM(B598:F605))&gt;(L614*8),(((L614*8)-(SUM(B598:F605)-C605))*M597)+((SUM(B605:F605)-C605)*M597),(SUM(B605:F605)-C605)*M597),IF(SUM(B598:F605)&gt;(L614*8),L614*M597,SUM(B605:F605)*M597)),2)</f>
        <v>0</v>
      </c>
      <c r="N605" s="76">
        <f>ROUND(IF(SUM(B598:F604)&lt;(L614*7),IF((SUM(B598:F605))&gt;(L614*8),(((L614*8)-(SUM(B598:F605)-C604))*N597)+((SUM(B605:F605)-C604)*N597),SUM(B605:F605)*N597),IF(SUM(B598:F605)&gt;(L614*8),L614*N597,SUM(B605:F605)*N597)),2)</f>
        <v>0</v>
      </c>
      <c r="O605" s="23">
        <f>ROUND(SUM(B605+C605+F605)*O597,2)</f>
        <v>0</v>
      </c>
      <c r="P605" s="27">
        <f t="shared" si="68"/>
        <v>0</v>
      </c>
    </row>
    <row r="606" spans="1:16" s="1" customFormat="1" x14ac:dyDescent="0.2">
      <c r="A606" s="100" t="str">
        <f>$A$34</f>
        <v>Sep 2022</v>
      </c>
      <c r="B606" s="24">
        <f>ROUND(IF(P580=0,0,IFERROR(((LOOKUP(2,1/(A586:A589=A606),G586:G589))*P580*4.348),B605/P580*P580)),2)</f>
        <v>0</v>
      </c>
      <c r="C606" s="23">
        <f>ROUND(IFERROR(((LOOKUP(2,1/(B591=A606),((SUM(B604:B606)+SUM(F604:F606))/3)*C591))),0)+IFERROR(((LOOKUP(2,1/(E591=A606),(B610+F610)*F591))),0),2)</f>
        <v>0</v>
      </c>
      <c r="D606" s="23">
        <f>ROUND(IF(B606=0,0,D597/L579*P580),2)</f>
        <v>0</v>
      </c>
      <c r="E606" s="23">
        <f>ROUND(IF(B606=0,0,E597/N575*P580),2)</f>
        <v>0</v>
      </c>
      <c r="F606" s="24">
        <f>ROUND(IF(P580=0,0,IFERROR(((LOOKUP(2,1/(A586:A589=A606),H586:H589))/N575*P580),F605/P580*P580)),2)</f>
        <v>0</v>
      </c>
      <c r="G606" s="27">
        <f t="shared" si="67"/>
        <v>0</v>
      </c>
      <c r="H606" s="76">
        <f>ROUND(IF(SUM(B598:F605)&lt;(L613*8),IF((SUM(B598:F606))&gt;(L613*9),(((L613*9)-(SUM(B598:F606)-C605))*H597)+((SUM(B606:F606)-C605)*H597),SUM(B606:F606)*H597),IF(SUM(B598:F606)&gt;(L613*9),L613*H597,SUM(B606:F606)*H597)),2)</f>
        <v>0</v>
      </c>
      <c r="I606" s="76">
        <f>ROUND(IF(SUM(B598:F605)&lt;(L614*8),IF((SUM(B598:F606))&gt;(L614*9),(((L614*9)-(SUM(B598:F606)-C605))*I597)+((SUM(B606:F606)-C605)*I597),SUM(B606:F606)*I597),IF(SUM(B598:F606)&gt;(L614*9),L614*I597,SUM(B606:F606)*I597)),2)</f>
        <v>0</v>
      </c>
      <c r="J606" s="76">
        <f>ROUND(IF(SUM(B598:F605)&lt;(L614*8),IF((SUM(B598:F606))&gt;(L614*9),(((L614*9)-(SUM(B598:F606)-C605))*J597)+((SUM(B606:F606)-C605)*J597),SUM(B606:F606)*J597),IF(SUM(B598:F606)&gt;(L614*9),L614*J597,SUM(B606:F606)*J597)),2)</f>
        <v>0</v>
      </c>
      <c r="K606" s="76">
        <f>ROUND(IF(SUM(B598:F605)&lt;(L613*8),IF((SUM(B598:F606))&gt;(L613*9),(((L613*9)-(SUM(B598:F606)-C605))*K597)+((SUM(B606:F606)-C605)*K597),SUM(B606:F606)*K597),IF(SUM(B598:F606)&gt;(L613*9),L613*K597,SUM(B606:F606)*K597)),2)</f>
        <v>0</v>
      </c>
      <c r="L606" s="76">
        <f>ROUND(IF(SUM(B598:F605)&lt;(L614*8),IF((SUM(B598:F606))&gt;(L614*9),(((L614*9)-(SUM(B598:F606)-C606))*L597)+((SUM(B606:F606)-C606)*L597),(SUM(B606:F606)-C606)*L597),IF(SUM(B598:F606)&gt;(L614*9),L614*L597,SUM(B606:F606)*L597)),2)</f>
        <v>0</v>
      </c>
      <c r="M606" s="76">
        <f>ROUND(IF(SUM(B598:F605)&lt;(L614*8),IF((SUM(B598:F606))&gt;(L614*9),(((L614*9)-(SUM(B598:F606)-C606))*M597)+((SUM(B606:F606)-C606)*M597),(SUM(B606:F606)-C606)*M597),IF(SUM(B598:F606)&gt;(L614*9),L614*M597,SUM(B606:F606)*M597)),2)</f>
        <v>0</v>
      </c>
      <c r="N606" s="76">
        <f>ROUND(IF(SUM(B598:F605)&lt;(L614*8),IF((SUM(B598:F606))&gt;(L614*9),(((L614*9)-(SUM(B598:F606)-C605))*N597)+((SUM(B606:F606)-C605)*N597),SUM(B606:F606)*N597),IF(SUM(B598:F606)&gt;(L614*9),L614*N597,SUM(B606:F606)*N597)),2)</f>
        <v>0</v>
      </c>
      <c r="O606" s="23">
        <f>ROUND(SUM(B606+C606+F606)*O597,2)</f>
        <v>0</v>
      </c>
      <c r="P606" s="27">
        <f t="shared" si="68"/>
        <v>0</v>
      </c>
    </row>
    <row r="607" spans="1:16" s="1" customFormat="1" x14ac:dyDescent="0.2">
      <c r="A607" s="100" t="str">
        <f>$A$35</f>
        <v>Okt 2022</v>
      </c>
      <c r="B607" s="24">
        <f>ROUND(IF(P581=0,0,IFERROR(((LOOKUP(2,1/(A586:A589=A607),G586:G589))*P581*4.348),B606/P581*P581)),2)</f>
        <v>0</v>
      </c>
      <c r="C607" s="23">
        <f>ROUND(IFERROR(((LOOKUP(2,1/(B591=A607),((SUM(B604:B606)+SUM(F604:F606))/3)*C591))),0)+IFERROR(((LOOKUP(2,1/(E591=A607),(B610+F610)*F591))),0),2)</f>
        <v>0</v>
      </c>
      <c r="D607" s="23">
        <f>ROUND(IF(B607=0,0,D597/L579*P581),2)</f>
        <v>0</v>
      </c>
      <c r="E607" s="23">
        <f>ROUND(IF(B607=0,0,E597/N575*P581),2)</f>
        <v>0</v>
      </c>
      <c r="F607" s="24">
        <f>ROUND(IF(P581=0,0,IFERROR(((LOOKUP(2,1/(A586:A589=A607),H586:H589))/N575*P581),F606/P581*P581)),2)</f>
        <v>0</v>
      </c>
      <c r="G607" s="27">
        <f t="shared" si="67"/>
        <v>0</v>
      </c>
      <c r="H607" s="76">
        <f>ROUND(IF(SUM(B598:F606)&lt;(L613*9),IF((SUM(B598:F607))&gt;(L613*10),(((L613*10)-(SUM(B598:F607)-C606))*H597)+((SUM(B607:F607)-C606)*H597),SUM(B607:F607)*H597),IF(SUM(B598:F607)&gt;(L613*10),L613*H597,SUM(B607:F607)*H597)),2)</f>
        <v>0</v>
      </c>
      <c r="I607" s="76">
        <f>ROUND(IF(SUM(B598:F606)&lt;(L614*9),IF((SUM(B598:F607))&gt;(L614*10),(((L614*10)-(SUM(B598:F607)-C606))*I597)+((SUM(B607:F607)-C606)*I597),SUM(B607:F607)*I597),IF(SUM(B598:F607)&gt;(L614*10),L614*I597,SUM(B607:F607)*I597)),2)</f>
        <v>0</v>
      </c>
      <c r="J607" s="76">
        <f>ROUND(IF(SUM(B598:F606)&lt;(L614*9),IF((SUM(B598:F607))&gt;(L614*10),(((L614*10)-(SUM(B598:F607)-C606))*J597)+((SUM(B607:F607)-C606)*J597),SUM(B607:F607)*J597),IF(SUM(B598:F607)&gt;(L614*10),L614*J597,SUM(B607:F607)*J597)),2)</f>
        <v>0</v>
      </c>
      <c r="K607" s="76">
        <f>ROUND(IF(SUM(B598:F606)&lt;(L613*9),IF((SUM(B598:F607))&gt;(L613*10),(((L613*10)-(SUM(B598:F607)-C606))*K597)+((SUM(B607:F607)-C606)*K597),SUM(B607:F607)*K597),IF(SUM(B598:F607)&gt;(L613*10),L613*K597,SUM(B607:F607)*K597)),2)</f>
        <v>0</v>
      </c>
      <c r="L607" s="76">
        <f>ROUND(IF(SUM(B598:F606)&lt;(L614*9),IF((SUM(B598:F607))&gt;(L614*10),(((L614*10)-(SUM(B598:F607)-C607))*L597)+((SUM(B607:F607)-C607)*L597),(SUM(B607:F607)-C607)*L597),IF(SUM(B598:F607)&gt;(L614*10),L614*L597,SUM(B607:F607)*L597)),2)</f>
        <v>0</v>
      </c>
      <c r="M607" s="76">
        <f>ROUND(IF(SUM(B598:F606)&lt;(L614*9),IF((SUM(B598:F607))&gt;(L614*10),(((L614*10)-(SUM(B598:F607)-C607))*M597)+((SUM(B607:F607)-C607)*M597),(SUM(B607:F607)-C607)*M597),IF(SUM(B598:F607)&gt;(L614*10),L614*M597,SUM(B607:F607)*M597)),2)</f>
        <v>0</v>
      </c>
      <c r="N607" s="76">
        <f>ROUND(IF(SUM(B598:F606)&lt;(L614*9),IF((SUM(B598:F607))&gt;(L614*10),(((L614*10)-(SUM(B598:F607)-C606))*N597)+((SUM(B607:F607)-C606)*N597),SUM(B607:F607)*N597),IF(SUM(B598:F607)&gt;(L614*10),L614*N597,SUM(B607:F607)*N597)),2)</f>
        <v>0</v>
      </c>
      <c r="O607" s="23">
        <f>ROUND(SUM(B607+C607+F607)*O597,2)</f>
        <v>0</v>
      </c>
      <c r="P607" s="27">
        <f t="shared" si="68"/>
        <v>0</v>
      </c>
    </row>
    <row r="608" spans="1:16" s="1" customFormat="1" x14ac:dyDescent="0.2">
      <c r="A608" s="100" t="str">
        <f>$A$36</f>
        <v>Nov 2022</v>
      </c>
      <c r="B608" s="24">
        <f>ROUND(IF(P582=0,0,IFERROR(((LOOKUP(2,1/(A586:A589=A608),G586:G589))*P582*4.348),B607/P582*P582)),2)</f>
        <v>0</v>
      </c>
      <c r="C608" s="23">
        <f>ROUND(IFERROR(((LOOKUP(2,1/(B591=A608),((SUM(B604:B606)+SUM(F604:F606))/3)*C591))),0)+IFERROR(((LOOKUP(2,1/(E591=A608),(B610+F610)*F591))),0),2)</f>
        <v>0</v>
      </c>
      <c r="D608" s="23">
        <f>ROUND(IF(B608=0,0,D597/L579*P582),2)</f>
        <v>0</v>
      </c>
      <c r="E608" s="23">
        <f>ROUND(IF(B608=0,0,E597/N575*P582),2)</f>
        <v>0</v>
      </c>
      <c r="F608" s="24">
        <f>ROUND(IF(P582=0,0,IFERROR(((LOOKUP(2,1/(A586:A589=A608),H586:H589))/N575*P582),F607/P582*P582)),2)</f>
        <v>0</v>
      </c>
      <c r="G608" s="27">
        <f t="shared" si="67"/>
        <v>0</v>
      </c>
      <c r="H608" s="76">
        <f>ROUND(IF(SUM(B598:F607)&lt;(L613*10),IF((SUM(B598:F608))&gt;(L613*11),(((L613*11)-(SUM(B598:F608)-C607))*H597)+((SUM(B608:F608)-C607)*H597),SUM(B608:F608)*H597),IF(SUM(B598:F608)&gt;(L613*11),L613*H597,SUM(B608:F608)*H597)),2)</f>
        <v>0</v>
      </c>
      <c r="I608" s="76">
        <f>ROUND(IF(SUM(B598:F607)&lt;(L614*10),IF((SUM(B598:F608))&gt;(L614*11),(((L614*11)-(SUM(B598:F608)-C607))*I597)+((SUM(B608:F608)-C607)*I597),SUM(B608:F608)*I597),IF(SUM(B598:F608)&gt;(L614*11),L614*I597,SUM(B608:F608)*I597)),2)</f>
        <v>0</v>
      </c>
      <c r="J608" s="76">
        <f>ROUND(IF(SUM(B598:F607)&lt;(L614*10),IF((SUM(B598:F608))&gt;(L614*11),(((L614*11)-(SUM(B598:F608)-C607))*J597)+((SUM(B608:F608)-C607)*J597),SUM(B608:F608)*J597),IF(SUM(B598:F608)&gt;(L614*11),L614*J597,SUM(B608:F608)*J597)),2)</f>
        <v>0</v>
      </c>
      <c r="K608" s="76">
        <f>ROUND(IF(SUM(B598:F607)&lt;(L613*10),IF((SUM(B598:F608))&gt;(L613*11),(((L613*11)-(SUM(B598:F608)-C607))*K597)+((SUM(B608:F608)-C607)*K597),SUM(B608:F608)*K597),IF(SUM(B598:F608)&gt;(L613*11),L613*K597,SUM(B608:F608)*K597)),2)</f>
        <v>0</v>
      </c>
      <c r="L608" s="76">
        <f>ROUND(IF(SUM(B598:F607)&lt;(L614*10),IF((SUM(B598:F608))&gt;(L614*11),(((L614*11)-(SUM(B598:F608)-C608))*L597)+((SUM(B608:F608)-C608)*L597),(SUM(B608:F608)-C608)*L597),IF(SUM(B598:F608)&gt;(L614*11),L614*L597,SUM(B608:F608)*L597)),2)</f>
        <v>0</v>
      </c>
      <c r="M608" s="76">
        <f>ROUND(IF(SUM(B598:F607)&lt;(L614*10),IF((SUM(B598:F608))&gt;(L614*11),(((L614*11)-(SUM(B598:F608)-C608))*M597)+((SUM(B608:F608)-C608)*M597),(SUM(B608:F608)-C608)*M597),IF(SUM(B598:F608)&gt;(L614*11),L614*M597,SUM(B608:F608)*M597)),2)</f>
        <v>0</v>
      </c>
      <c r="N608" s="76">
        <f>ROUND(IF(SUM(B598:F607)&lt;(L614*10),IF((SUM(B598:F608))&gt;(L614*11),(((L614*11)-(SUM(B598:F608)-C607))*N597)+((SUM(B608:F608)-C607)*N597),SUM(B608:F608)*N597),IF(SUM(B598:F608)&gt;(L614*11),L614*N597,SUM(B608:F608)*N597)),2)</f>
        <v>0</v>
      </c>
      <c r="O608" s="23">
        <f>ROUND(SUM(B608+C608+F608)*O597,2)</f>
        <v>0</v>
      </c>
      <c r="P608" s="27">
        <f t="shared" si="68"/>
        <v>0</v>
      </c>
    </row>
    <row r="609" spans="1:16" s="1" customFormat="1" x14ac:dyDescent="0.2">
      <c r="A609" s="100" t="str">
        <f>$A$37</f>
        <v>Dez 2022</v>
      </c>
      <c r="B609" s="24">
        <f>ROUND(IF(P583=0,0,IFERROR(((LOOKUP(2,1/(A586:A589=A609),G586:G589))*P583*4.348),B608/P583*P583)),2)</f>
        <v>0</v>
      </c>
      <c r="C609" s="23">
        <f>ROUND(IFERROR(((LOOKUP(2,1/(B591=A609),((SUM(B604:B606)+SUM(F604:F606))/3)*C591))),0)+IFERROR(((LOOKUP(2,1/(E591=A609),(B610+F610)*F591))),0),2)</f>
        <v>0</v>
      </c>
      <c r="D609" s="23">
        <f>ROUND(IF(B609=0,0,D597/L579*P583),2)</f>
        <v>0</v>
      </c>
      <c r="E609" s="23">
        <f>ROUND(IF(B609=0,0,E597/N575*P583),2)</f>
        <v>0</v>
      </c>
      <c r="F609" s="24">
        <f>ROUND(IF(P583=0,0,IFERROR(((LOOKUP(2,1/(A586:A589=A609),H586:H589))/N575*P583),F608/P583*P583)),2)</f>
        <v>0</v>
      </c>
      <c r="G609" s="27">
        <f t="shared" si="67"/>
        <v>0</v>
      </c>
      <c r="H609" s="76">
        <f>ROUND(IF(SUM(B598:F608)&lt;(L613*11),IF((SUM(B598:F609))&gt;(L613*12),(((L613*12)-(SUM(B598:F609)-C608))*H597)+((SUM(B609:F609)-C608)*H597),SUM(B609:F609)*H597),IF(SUM(B598:F609)&gt;(L613*12),L613*H597,SUM(B609:F609)*H597)),2)</f>
        <v>0</v>
      </c>
      <c r="I609" s="76">
        <f>ROUND(IF(SUM(B598:F608)&lt;(L614*11),IF((SUM(B598:F609))&gt;(L614*12),(((L614*12)-(SUM(B598:F609)-C608))*I597)+((SUM(B609:F609)-C608)*I597),SUM(B609:F609)*I597),IF(SUM(B598:F609)&gt;(L614*12),L614*I597,SUM(B609:F609)*I597)),2)</f>
        <v>0</v>
      </c>
      <c r="J609" s="76">
        <f>ROUND(IF(SUM(B598:F608)&lt;(L614*11),IF((SUM(B598:F609))&gt;(L614*12),(((L614*12)-(SUM(B598:F609)-C608))*J597)+((SUM(B609:F609)-C608)*J597),SUM(B609:F609)*J597),IF(SUM(B598:F609)&gt;(L614*12),L614*J597,SUM(B609:F609)*J597)),2)</f>
        <v>0</v>
      </c>
      <c r="K609" s="76">
        <f>ROUND(IF(SUM(B598:F608)&lt;(L613*11),IF((SUM(B598:F609))&gt;(L613*12),(((L613*12)-(SUM(B598:F609)-C608))*K597)+((SUM(B609:F609)-C608)*K597),SUM(B609:F609)*K597),IF(SUM(B598:F609)&gt;(L613*12),L613*K597,SUM(B609:F609)*K597)),2)</f>
        <v>0</v>
      </c>
      <c r="L609" s="76">
        <f>ROUND(IF(SUM(B598:F608)&lt;(L614*11),IF((SUM(B598:F609))&gt;(L614*12),(((L614*12)-(SUM(B598:F609)-C609))*L597)+((SUM(B609:F609)-C609)*L597),(SUM(B609:F609)-C609)*L597),IF(SUM(B598:F609)&gt;(L614*12),L614*L597,SUM(B609:F609)*L597)),2)</f>
        <v>0</v>
      </c>
      <c r="M609" s="76">
        <f>ROUND(IF(SUM(B598:F608)&lt;(L614*11),IF((SUM(B598:F609))&gt;(L614*12),(((L614*12)-(SUM(B598:F609)-C609))*M597)+((SUM(B609:F609)-C609)*M597),(SUM(B609:F609)-C609)*M597),IF(SUM(B598:F609)&gt;(L614*12),L614*M597,SUM(B609:F609)*M597)),2)</f>
        <v>0</v>
      </c>
      <c r="N609" s="76">
        <f>ROUND(IF(SUM(B598:F608)&lt;(L614*11),IF((SUM(B598:F609))&gt;(L614*12),(((L614*12)-(SUM(B598:F609)-C608))*N597)+((SUM(B609:F609)-C608)*N597),SUM(B609:F609)*N597),IF(SUM(B598:F609)&gt;(L614*12),L614*N597,SUM(B609:F609)*N597)),2)</f>
        <v>0</v>
      </c>
      <c r="O609" s="23">
        <f>ROUND(SUM(B609+C609+F609)*O597,2)</f>
        <v>0</v>
      </c>
      <c r="P609" s="27">
        <f t="shared" si="68"/>
        <v>0</v>
      </c>
    </row>
    <row r="610" spans="1:16" s="14" customFormat="1" ht="15" x14ac:dyDescent="0.25">
      <c r="A610" s="4" t="s">
        <v>2</v>
      </c>
      <c r="B610" s="27">
        <f>SUM(B598:B609)</f>
        <v>0</v>
      </c>
      <c r="C610" s="27">
        <f t="shared" ref="C610:D610" si="69">SUM(C598:C609)</f>
        <v>0</v>
      </c>
      <c r="D610" s="27">
        <f t="shared" si="69"/>
        <v>0</v>
      </c>
      <c r="E610" s="27">
        <f>SUM(E598:E609)</f>
        <v>0</v>
      </c>
      <c r="F610" s="27">
        <f>SUM(F598:F609)</f>
        <v>0</v>
      </c>
      <c r="G610" s="27">
        <f>SUM(G598:G609)</f>
        <v>0</v>
      </c>
      <c r="H610" s="1133">
        <f>SUM(H598:N609)</f>
        <v>0</v>
      </c>
      <c r="I610" s="1134"/>
      <c r="J610" s="1134"/>
      <c r="K610" s="1134"/>
      <c r="L610" s="1134"/>
      <c r="M610" s="1134"/>
      <c r="N610" s="1135"/>
      <c r="O610" s="27">
        <f>SUM(O598:O609)</f>
        <v>0</v>
      </c>
      <c r="P610" s="27">
        <f>SUM(P598:P609)</f>
        <v>0</v>
      </c>
    </row>
    <row r="611" spans="1:16" s="13" customFormat="1" ht="11.25" x14ac:dyDescent="0.2">
      <c r="A611" s="3" t="s">
        <v>1</v>
      </c>
      <c r="B611" s="2"/>
      <c r="C611" s="2"/>
      <c r="D611" s="2"/>
      <c r="E611" s="2"/>
      <c r="F611" s="2"/>
      <c r="G611" s="2"/>
      <c r="H611" s="2"/>
      <c r="I611" s="2"/>
      <c r="J611" s="2"/>
      <c r="K611" s="2"/>
      <c r="L611" s="2"/>
      <c r="M611" s="2"/>
      <c r="N611" s="2"/>
      <c r="O611" s="2"/>
      <c r="P611" s="2"/>
    </row>
    <row r="612" spans="1:16" s="1" customFormat="1" ht="14.25" customHeight="1" x14ac:dyDescent="0.2">
      <c r="A612" s="1136" t="s">
        <v>133</v>
      </c>
      <c r="B612" s="1137"/>
      <c r="C612" s="1137"/>
      <c r="D612" s="1137" t="s">
        <v>134</v>
      </c>
      <c r="E612" s="1137"/>
      <c r="F612" s="94" t="str">
        <f>IF(IF(G610=0,"",'päd.Personal - Leitung'!$F$40)=0,"",IF(G610=0,"",'päd.Personal - Leitung'!$F$40))</f>
        <v/>
      </c>
      <c r="G612" s="77" t="s">
        <v>135</v>
      </c>
      <c r="H612" s="96" t="str">
        <f>IF(IF(G610=0,"",'päd.Personal - Leitung'!$H$40)=0,"",IF(G610=0,"",'päd.Personal - Leitung'!$H$40))</f>
        <v/>
      </c>
      <c r="I612" s="73"/>
      <c r="J612" s="194" t="s">
        <v>160</v>
      </c>
      <c r="K612" s="194" t="str">
        <f>$K$40</f>
        <v>2021</v>
      </c>
      <c r="L612" s="194" t="str">
        <f>$L$40</f>
        <v>anteilig 2021</v>
      </c>
      <c r="M612" s="1138" t="s">
        <v>140</v>
      </c>
      <c r="N612" s="1138"/>
      <c r="O612" s="1139"/>
      <c r="P612" s="27">
        <f>ROUND(IF(F612="",IF(E616="",0,(E616*H616/K616)/L579*L580),G610*F612*H612/1000),2)</f>
        <v>0</v>
      </c>
    </row>
    <row r="613" spans="1:16" s="1" customFormat="1" ht="15" customHeight="1" x14ac:dyDescent="0.2">
      <c r="A613" s="1140" t="s">
        <v>145</v>
      </c>
      <c r="B613" s="1141"/>
      <c r="C613" s="1141"/>
      <c r="D613" s="18"/>
      <c r="E613" s="107" t="s">
        <v>135</v>
      </c>
      <c r="F613" s="95" t="str">
        <f>IF(IF(G610=0,"",'päd.Personal - Leitung'!$F$41)=0,"",IF(G610=0,"",'päd.Personal - Leitung'!$F$41))</f>
        <v/>
      </c>
      <c r="G613" s="48"/>
      <c r="H613" s="47"/>
      <c r="I613" s="48"/>
      <c r="J613" s="195" t="s">
        <v>158</v>
      </c>
      <c r="K613" s="198">
        <f>$K$41</f>
        <v>4837.5</v>
      </c>
      <c r="L613" s="197">
        <f>IF(L579="",K613,K613/L579*L580)</f>
        <v>4837.5</v>
      </c>
      <c r="M613" s="1138" t="s">
        <v>139</v>
      </c>
      <c r="N613" s="1138"/>
      <c r="O613" s="1139"/>
      <c r="P613" s="27">
        <f>ROUND(IF(F613="",0,G610*F613/1000),2)</f>
        <v>0</v>
      </c>
    </row>
    <row r="614" spans="1:16" s="1" customFormat="1" ht="15.75" customHeight="1" x14ac:dyDescent="0.2">
      <c r="A614" s="1142" t="s">
        <v>141</v>
      </c>
      <c r="B614" s="1143"/>
      <c r="C614" s="1143"/>
      <c r="D614" s="1144" t="s">
        <v>143</v>
      </c>
      <c r="E614" s="1144"/>
      <c r="F614" s="1145" t="str">
        <f>IF(IF(G610=0,"",'päd.Personal - Leitung'!$F$42)=0,"",IF(G610=0,"",'päd.Personal - Leitung'!$F$42))</f>
        <v/>
      </c>
      <c r="G614" s="1145"/>
      <c r="H614" s="72"/>
      <c r="I614" s="18"/>
      <c r="J614" s="195" t="s">
        <v>159</v>
      </c>
      <c r="K614" s="197">
        <f>$K$42</f>
        <v>6700</v>
      </c>
      <c r="L614" s="197">
        <f>IF(L579="",K614,K614/L579*L580)</f>
        <v>6700</v>
      </c>
      <c r="M614" s="1138" t="s">
        <v>141</v>
      </c>
      <c r="N614" s="1138"/>
      <c r="O614" s="1139"/>
      <c r="P614" s="23">
        <f>ROUND(IF(F614="",0,IF(G610=0,0,F614/L579*L580)),2)</f>
        <v>0</v>
      </c>
    </row>
    <row r="615" spans="1:16" s="1" customFormat="1" ht="14.25" customHeight="1" x14ac:dyDescent="0.2">
      <c r="A615" s="18"/>
      <c r="B615" s="18"/>
      <c r="C615" s="18"/>
      <c r="D615" s="18"/>
      <c r="E615" s="18"/>
      <c r="F615" s="18"/>
      <c r="G615" s="18"/>
      <c r="H615" s="18"/>
      <c r="I615" s="18"/>
      <c r="J615" s="18"/>
      <c r="K615" s="74"/>
      <c r="L615" s="82"/>
      <c r="M615" s="1127" t="s">
        <v>146</v>
      </c>
      <c r="N615" s="1127"/>
      <c r="O615" s="1128"/>
      <c r="P615" s="23">
        <f>ROUND(IF(G610=0,0,$P$87),2)</f>
        <v>0</v>
      </c>
    </row>
    <row r="616" spans="1:16" s="1" customFormat="1" ht="14.25" customHeight="1" x14ac:dyDescent="0.2">
      <c r="A616" s="1129" t="s">
        <v>142</v>
      </c>
      <c r="B616" s="1130"/>
      <c r="C616" s="126" t="s">
        <v>136</v>
      </c>
      <c r="D616" s="179" t="s">
        <v>137</v>
      </c>
      <c r="E616" s="1131" t="str">
        <f>IF(IF(G610=0,"",'päd.Personal - Leitung'!$E$44)=0,"",IF(G610=0,"",'päd.Personal - Leitung'!$E$44))</f>
        <v/>
      </c>
      <c r="F616" s="1131"/>
      <c r="G616" s="83" t="s">
        <v>138</v>
      </c>
      <c r="H616" s="97" t="str">
        <f>IF(IF(G610=0,"",'päd.Personal - Leitung'!$H$44)=0,"",IF(G610=0,"",'päd.Personal - Leitung'!$H$44))</f>
        <v/>
      </c>
      <c r="I616" s="1132" t="s">
        <v>144</v>
      </c>
      <c r="J616" s="1132"/>
      <c r="K616" s="98" t="str">
        <f>IF(IF(G610=0,"",'päd.Personal - Leitung'!$K$44)=0,"",IF(G610=0,"",'päd.Personal - Leitung'!$K$44))</f>
        <v/>
      </c>
      <c r="L616" s="29"/>
      <c r="M616" s="29"/>
      <c r="N616" s="29"/>
      <c r="O616" s="28" t="s">
        <v>0</v>
      </c>
      <c r="P616" s="27">
        <f>P610+SUM(P612:P615)</f>
        <v>0</v>
      </c>
    </row>
    <row r="617" spans="1:16" s="12" customFormat="1" ht="13.5" customHeight="1" x14ac:dyDescent="0.2">
      <c r="A617" s="1178" t="s">
        <v>18</v>
      </c>
      <c r="B617" s="1178"/>
      <c r="C617" s="1178"/>
      <c r="D617" s="1179" t="str">
        <f>IF($D$1="","",$D$1)</f>
        <v/>
      </c>
      <c r="E617" s="1179"/>
      <c r="F617" s="1179"/>
      <c r="G617" s="1179"/>
      <c r="H617" s="1179"/>
      <c r="I617" s="1179"/>
      <c r="J617" s="1179"/>
      <c r="K617" s="1179"/>
      <c r="L617" s="1179"/>
      <c r="M617" s="1179"/>
      <c r="N617" s="1179"/>
    </row>
    <row r="618" spans="1:16" s="12" customFormat="1" ht="15" customHeight="1" x14ac:dyDescent="0.2">
      <c r="A618" s="1178" t="s">
        <v>17</v>
      </c>
      <c r="B618" s="1178"/>
      <c r="C618" s="1178" t="s">
        <v>15</v>
      </c>
      <c r="D618" s="1179" t="str">
        <f>IF($D$2="","",$D$2)</f>
        <v/>
      </c>
      <c r="E618" s="1179"/>
      <c r="F618" s="1179"/>
      <c r="G618" s="1179"/>
      <c r="H618" s="1179"/>
      <c r="I618" s="1179"/>
      <c r="J618" s="1179"/>
      <c r="K618" s="1179"/>
      <c r="L618" s="1179"/>
      <c r="M618" s="1179"/>
      <c r="N618" s="1179"/>
    </row>
    <row r="619" spans="1:16" s="12" customFormat="1" ht="15" customHeight="1" x14ac:dyDescent="0.2">
      <c r="A619" s="1178" t="s">
        <v>16</v>
      </c>
      <c r="B619" s="1178"/>
      <c r="C619" s="1178" t="s">
        <v>15</v>
      </c>
      <c r="D619" s="1179" t="str">
        <f>IF($D$3="","",$D$3)</f>
        <v/>
      </c>
      <c r="E619" s="1179"/>
      <c r="F619" s="1179"/>
      <c r="G619" s="1179"/>
      <c r="H619" s="1179"/>
      <c r="I619" s="1179"/>
      <c r="J619" s="1179"/>
      <c r="K619" s="1178" t="s">
        <v>103</v>
      </c>
      <c r="L619" s="1178"/>
      <c r="M619" s="1178"/>
      <c r="N619" s="41" t="str">
        <f>IF($N$3="","",$N$3)</f>
        <v/>
      </c>
    </row>
    <row r="620" spans="1:16" s="13" customFormat="1" ht="11.25" x14ac:dyDescent="0.2">
      <c r="A620" s="1182"/>
      <c r="B620" s="1182"/>
      <c r="C620" s="1182"/>
      <c r="D620" s="1183"/>
      <c r="E620" s="1183"/>
      <c r="F620" s="1183"/>
      <c r="G620" s="1183"/>
      <c r="H620" s="1183"/>
      <c r="I620" s="1183"/>
      <c r="J620" s="1183"/>
      <c r="K620" s="11"/>
      <c r="L620" s="11"/>
      <c r="M620" s="11"/>
      <c r="N620" s="11"/>
      <c r="O620" s="11"/>
      <c r="P620" s="11"/>
    </row>
    <row r="621" spans="1:16" s="15" customFormat="1" ht="13.5" customHeight="1" x14ac:dyDescent="0.2">
      <c r="A621" s="1177" t="s">
        <v>166</v>
      </c>
      <c r="B621" s="1177"/>
      <c r="C621" s="1177"/>
      <c r="D621" s="1177"/>
      <c r="E621" s="1177"/>
      <c r="F621" s="1177"/>
      <c r="G621" s="1177"/>
      <c r="H621" s="1177"/>
      <c r="I621" s="1177"/>
      <c r="J621" s="1177"/>
      <c r="K621" s="9"/>
      <c r="L621" s="9"/>
      <c r="M621" s="9"/>
      <c r="N621" s="59" t="s">
        <v>154</v>
      </c>
      <c r="O621" s="191">
        <f>$O$5</f>
        <v>2022</v>
      </c>
      <c r="P621" s="59" t="s">
        <v>154</v>
      </c>
    </row>
    <row r="622" spans="1:16" s="10" customFormat="1" ht="13.5" customHeight="1" x14ac:dyDescent="0.25">
      <c r="B622" s="32"/>
      <c r="C622" s="32"/>
      <c r="D622" s="5" t="s">
        <v>170</v>
      </c>
      <c r="E622" s="31"/>
      <c r="F622" s="31"/>
      <c r="G622" s="31"/>
      <c r="H622" s="31"/>
      <c r="I622" s="26"/>
      <c r="J622" s="1174" t="s">
        <v>14</v>
      </c>
      <c r="K622" s="1174"/>
      <c r="L622" s="180"/>
      <c r="N622" s="84">
        <f>IF(L624="","",L624)</f>
        <v>0</v>
      </c>
      <c r="O622" s="58" t="str">
        <f>$O$6</f>
        <v>Jan                Jul</v>
      </c>
      <c r="P622" s="85">
        <f>IF(N627="","",N627)</f>
        <v>0</v>
      </c>
    </row>
    <row r="623" spans="1:16" s="7" customFormat="1" ht="13.5" customHeight="1" x14ac:dyDescent="0.25">
      <c r="A623" s="1180" t="s">
        <v>71</v>
      </c>
      <c r="B623" s="1180"/>
      <c r="C623" s="1180"/>
      <c r="D623" s="1184"/>
      <c r="E623" s="1184"/>
      <c r="F623" s="1184"/>
      <c r="G623" s="1184"/>
      <c r="H623" s="1184"/>
      <c r="I623" s="1184"/>
      <c r="J623" s="1174" t="s">
        <v>104</v>
      </c>
      <c r="K623" s="1174"/>
      <c r="L623" s="145"/>
      <c r="N623" s="85">
        <f>IF(N622="","",N622)</f>
        <v>0</v>
      </c>
      <c r="O623" s="58" t="str">
        <f>$O$7</f>
        <v>Feb              Aug</v>
      </c>
      <c r="P623" s="85">
        <f>IF(P622="","",P622)</f>
        <v>0</v>
      </c>
    </row>
    <row r="624" spans="1:16" s="1" customFormat="1" ht="13.5" customHeight="1" x14ac:dyDescent="0.2">
      <c r="A624" s="1180" t="s">
        <v>13</v>
      </c>
      <c r="B624" s="1180"/>
      <c r="C624" s="1180"/>
      <c r="D624" s="1181"/>
      <c r="E624" s="1181"/>
      <c r="F624" s="1181"/>
      <c r="G624" s="1181"/>
      <c r="H624" s="1181"/>
      <c r="I624" s="1181"/>
      <c r="J624" s="1174" t="s">
        <v>164</v>
      </c>
      <c r="K624" s="1174"/>
      <c r="L624" s="145">
        <f>IF((L625+L626)&gt;L623,0,L623-L625-L626)</f>
        <v>0</v>
      </c>
      <c r="N624" s="85">
        <f>IF(N623="","",N623)</f>
        <v>0</v>
      </c>
      <c r="O624" s="58" t="str">
        <f>$O$8</f>
        <v>Mrz              Sep</v>
      </c>
      <c r="P624" s="85">
        <f>IF(P623="","",P623)</f>
        <v>0</v>
      </c>
    </row>
    <row r="625" spans="1:16" s="1" customFormat="1" ht="13.5" customHeight="1" x14ac:dyDescent="0.2">
      <c r="A625" s="1180" t="s">
        <v>12</v>
      </c>
      <c r="B625" s="1180"/>
      <c r="C625" s="1180"/>
      <c r="D625" s="1181"/>
      <c r="E625" s="1181"/>
      <c r="F625" s="1181"/>
      <c r="G625" s="1181"/>
      <c r="H625" s="1181"/>
      <c r="I625" s="1181"/>
      <c r="J625" s="1174" t="s">
        <v>165</v>
      </c>
      <c r="K625" s="1174"/>
      <c r="L625" s="145"/>
      <c r="N625" s="85">
        <f>IF(N624="","",N624)</f>
        <v>0</v>
      </c>
      <c r="O625" s="58" t="str">
        <f>$O$9</f>
        <v>Apr               Okt</v>
      </c>
      <c r="P625" s="85">
        <f t="shared" ref="P625:P627" si="70">IF(P624="","",P624)</f>
        <v>0</v>
      </c>
    </row>
    <row r="626" spans="1:16" s="1" customFormat="1" ht="13.5" customHeight="1" x14ac:dyDescent="0.2">
      <c r="A626" s="1180" t="s">
        <v>19</v>
      </c>
      <c r="B626" s="1180"/>
      <c r="C626" s="1180"/>
      <c r="D626" s="1181"/>
      <c r="E626" s="1181"/>
      <c r="F626" s="1181"/>
      <c r="G626" s="1181"/>
      <c r="H626" s="1181"/>
      <c r="I626" s="1181"/>
      <c r="J626" s="1174" t="s">
        <v>252</v>
      </c>
      <c r="K626" s="1174"/>
      <c r="L626" s="145"/>
      <c r="M626" s="92"/>
      <c r="N626" s="85">
        <f>IF(N625="","",N625)</f>
        <v>0</v>
      </c>
      <c r="O626" s="58" t="str">
        <f>$O$10</f>
        <v>Mai               Nov</v>
      </c>
      <c r="P626" s="85">
        <f t="shared" si="70"/>
        <v>0</v>
      </c>
    </row>
    <row r="627" spans="1:16" s="1" customFormat="1" ht="13.5" customHeight="1" x14ac:dyDescent="0.2">
      <c r="B627" s="8"/>
      <c r="C627" s="121" t="s">
        <v>162</v>
      </c>
      <c r="D627" s="1175"/>
      <c r="E627" s="1175"/>
      <c r="F627" s="1176" t="s">
        <v>106</v>
      </c>
      <c r="G627" s="1176"/>
      <c r="H627" s="1186"/>
      <c r="I627" s="1186"/>
      <c r="J627" s="1174" t="s">
        <v>97</v>
      </c>
      <c r="K627" s="1174"/>
      <c r="L627" s="17" t="str">
        <f>IF(IF((COUNTIF(B642:B653,"&gt;0"))=0,0,(COUNTIF(B642:B653,"&gt;0")))&gt;Grundlagen!$C$24,Grundlagen!$C$24,IF((COUNTIF(B642:B653,"&gt;0"))=0,"",(COUNTIF(B642:B653,"&gt;0"))))</f>
        <v/>
      </c>
      <c r="N627" s="85">
        <f>IF(N626="","",N626)</f>
        <v>0</v>
      </c>
      <c r="O627" s="58" t="str">
        <f>'päd.Personal - Leitung'!$O$11</f>
        <v>Jun               Dez</v>
      </c>
      <c r="P627" s="85">
        <f t="shared" si="70"/>
        <v>0</v>
      </c>
    </row>
    <row r="628" spans="1:16" s="1" customFormat="1" ht="13.5" customHeight="1" x14ac:dyDescent="0.2">
      <c r="I628" s="6"/>
      <c r="L628" s="147" t="str">
        <f>IF((SUM(F630:F633))=0,"",IF(P628&gt;L624,L624,IF(L624="","",IF(L627="","",P628))))</f>
        <v/>
      </c>
      <c r="O628" s="174" t="s">
        <v>251</v>
      </c>
      <c r="P628" s="175">
        <f>IF(L627="",0,((IF(SUMIF(B642,"&gt;0"),N622,0))+(IF(SUMIF(B643,"&gt;0"),N623,0))+(IF(SUMIF(B644,"&gt;0"),N624,0))+(IF(SUMIF(B645,"&gt;0"),N625,0))+(IF(SUMIF(B646,"&gt;0"),N626,0))+(IF(SUMIF(B647,"&gt;0"),N627,0))+(IF(SUMIF(B648,"&gt;0"),P622,0))+(IF(SUMIF(B649,"&gt;0"),P623,0))+(IF(SUMIF(B650,"&gt;0"),P624,0))+(IF(SUMIF(B651,"&gt;0"),P625,0))+(IF(SUMIF(B652,"&gt;0"),P626,0))+(IF(SUMIF(B653,"&gt;0"),P627,0)))/Grundlagen!$C$24)</f>
        <v>0</v>
      </c>
    </row>
    <row r="629" spans="1:16" s="52" customFormat="1" ht="13.5" customHeight="1" x14ac:dyDescent="0.2">
      <c r="A629" s="61" t="s">
        <v>148</v>
      </c>
      <c r="B629" s="1168" t="s">
        <v>149</v>
      </c>
      <c r="C629" s="1168"/>
      <c r="D629" s="62" t="s">
        <v>150</v>
      </c>
      <c r="E629" s="63" t="s">
        <v>151</v>
      </c>
      <c r="F629" s="64" t="str">
        <f>CONCATENATE("Entg. ",N619," h/Wo")</f>
        <v>Entg.  h/Wo</v>
      </c>
      <c r="G629" s="65" t="s">
        <v>152</v>
      </c>
      <c r="H629" s="65" t="s">
        <v>153</v>
      </c>
      <c r="K629" s="1169" t="str">
        <f>CONCATENATE("Zuschläge / Zulagen für ",N619,"h/Wo")</f>
        <v>Zuschläge / Zulagen für h/Wo</v>
      </c>
      <c r="L629" s="1169"/>
      <c r="M629" s="66" t="str">
        <f>IF(A630="","",A630)</f>
        <v>Jan 2022</v>
      </c>
      <c r="N629" s="66" t="str">
        <f>IF(A631="","",A631)</f>
        <v/>
      </c>
      <c r="O629" s="66" t="str">
        <f>IF(A632="","",A632)</f>
        <v/>
      </c>
      <c r="P629" s="66" t="str">
        <f>IF(A633="","",A633)</f>
        <v/>
      </c>
    </row>
    <row r="630" spans="1:16" s="52" customFormat="1" ht="13.5" customHeight="1" x14ac:dyDescent="0.25">
      <c r="A630" s="54" t="str">
        <f>A642</f>
        <v>Jan 2022</v>
      </c>
      <c r="B630" s="1170" t="str">
        <f>IF($D$3="","",$D$3)</f>
        <v/>
      </c>
      <c r="C630" s="1171"/>
      <c r="D630" s="181"/>
      <c r="E630" s="181"/>
      <c r="F630" s="87"/>
      <c r="G630" s="56">
        <f>IF(N619="",0,F630/N619/4.348)</f>
        <v>0</v>
      </c>
      <c r="H630" s="53">
        <f>IF(G630=0,0,M635)</f>
        <v>0</v>
      </c>
      <c r="K630" s="1146"/>
      <c r="L630" s="1146"/>
      <c r="M630" s="172"/>
      <c r="N630" s="172"/>
      <c r="O630" s="172"/>
      <c r="P630" s="172"/>
    </row>
    <row r="631" spans="1:16" s="52" customFormat="1" ht="13.5" customHeight="1" x14ac:dyDescent="0.25">
      <c r="A631" s="55"/>
      <c r="B631" s="1172" t="str">
        <f>IF(A631="","",B630)</f>
        <v/>
      </c>
      <c r="C631" s="1173"/>
      <c r="D631" s="181"/>
      <c r="E631" s="181"/>
      <c r="F631" s="87"/>
      <c r="G631" s="56">
        <f>IF(N619="",0,F631/N619/4.348)</f>
        <v>0</v>
      </c>
      <c r="H631" s="53">
        <f>IF(G631=0,0,N635)</f>
        <v>0</v>
      </c>
      <c r="K631" s="1146"/>
      <c r="L631" s="1146"/>
      <c r="M631" s="172"/>
      <c r="N631" s="172"/>
      <c r="O631" s="172"/>
      <c r="P631" s="172"/>
    </row>
    <row r="632" spans="1:16" s="52" customFormat="1" ht="13.5" customHeight="1" x14ac:dyDescent="0.25">
      <c r="A632" s="55"/>
      <c r="B632" s="1172" t="str">
        <f>IF(A632="","",B631)</f>
        <v/>
      </c>
      <c r="C632" s="1173"/>
      <c r="D632" s="181"/>
      <c r="E632" s="181"/>
      <c r="F632" s="87"/>
      <c r="G632" s="56">
        <f>IF(N619="",0,F632/N619/4.348)</f>
        <v>0</v>
      </c>
      <c r="H632" s="53">
        <f>IF(G632=0,0,O635)</f>
        <v>0</v>
      </c>
      <c r="K632" s="1146"/>
      <c r="L632" s="1146"/>
      <c r="M632" s="172"/>
      <c r="N632" s="172"/>
      <c r="O632" s="172"/>
      <c r="P632" s="172"/>
    </row>
    <row r="633" spans="1:16" s="52" customFormat="1" ht="13.5" customHeight="1" x14ac:dyDescent="0.25">
      <c r="A633" s="55"/>
      <c r="B633" s="1172" t="str">
        <f>IF(A633="","",B632)</f>
        <v/>
      </c>
      <c r="C633" s="1173"/>
      <c r="D633" s="181"/>
      <c r="E633" s="181"/>
      <c r="F633" s="87"/>
      <c r="G633" s="56">
        <f>IF(N619="",0,F633/N619/4.348)</f>
        <v>0</v>
      </c>
      <c r="H633" s="53">
        <f>IF(G633=0,0,P635)</f>
        <v>0</v>
      </c>
      <c r="K633" s="1146"/>
      <c r="L633" s="1146"/>
      <c r="M633" s="172"/>
      <c r="N633" s="172"/>
      <c r="O633" s="172"/>
      <c r="P633" s="172"/>
    </row>
    <row r="634" spans="1:16" s="52" customFormat="1" ht="13.5" customHeight="1" x14ac:dyDescent="0.25">
      <c r="B634" s="1167" t="s">
        <v>157</v>
      </c>
      <c r="C634" s="1167"/>
      <c r="E634" s="1167" t="s">
        <v>156</v>
      </c>
      <c r="F634" s="1167"/>
      <c r="J634" s="69"/>
      <c r="K634" s="1146"/>
      <c r="L634" s="1146"/>
      <c r="M634" s="172"/>
      <c r="N634" s="172"/>
      <c r="O634" s="172"/>
      <c r="P634" s="172"/>
    </row>
    <row r="635" spans="1:16" s="52" customFormat="1" ht="13.5" customHeight="1" x14ac:dyDescent="0.25">
      <c r="A635" s="70" t="s">
        <v>167</v>
      </c>
      <c r="B635" s="67"/>
      <c r="C635" s="99" t="str">
        <f>IF(C591="","",C591)</f>
        <v/>
      </c>
      <c r="D635" s="70" t="s">
        <v>167</v>
      </c>
      <c r="E635" s="67"/>
      <c r="F635" s="99" t="str">
        <f>IF(F591="","",F591)</f>
        <v/>
      </c>
      <c r="J635" s="68"/>
      <c r="M635" s="57">
        <f>SUM(M630:M634)</f>
        <v>0</v>
      </c>
      <c r="N635" s="57">
        <f t="shared" ref="N635:P635" si="71">SUM(N630:N634)</f>
        <v>0</v>
      </c>
      <c r="O635" s="57">
        <f t="shared" si="71"/>
        <v>0</v>
      </c>
      <c r="P635" s="57">
        <f t="shared" si="71"/>
        <v>0</v>
      </c>
    </row>
    <row r="636" spans="1:16" s="52" customFormat="1" ht="13.5" customHeight="1" x14ac:dyDescent="0.2">
      <c r="A636" s="60" t="s">
        <v>155</v>
      </c>
    </row>
    <row r="637" spans="1:16" s="1" customFormat="1" ht="14.25" customHeight="1" x14ac:dyDescent="0.2">
      <c r="A637" s="1147"/>
      <c r="B637" s="1149" t="s">
        <v>9</v>
      </c>
      <c r="C637" s="1150"/>
      <c r="D637" s="1150"/>
      <c r="E637" s="1150"/>
      <c r="F637" s="1150"/>
      <c r="G637" s="1151"/>
      <c r="H637" s="1152" t="s">
        <v>119</v>
      </c>
      <c r="I637" s="1153"/>
      <c r="J637" s="1153"/>
      <c r="K637" s="1153"/>
      <c r="L637" s="1153"/>
      <c r="M637" s="1153"/>
      <c r="N637" s="1153"/>
      <c r="O637" s="33"/>
      <c r="P637" s="1154" t="s">
        <v>0</v>
      </c>
    </row>
    <row r="638" spans="1:16" s="1" customFormat="1" ht="14.25" customHeight="1" x14ac:dyDescent="0.2">
      <c r="A638" s="1148"/>
      <c r="B638" s="1157" t="s">
        <v>117</v>
      </c>
      <c r="C638" s="124" t="s">
        <v>115</v>
      </c>
      <c r="D638" s="1159" t="s">
        <v>277</v>
      </c>
      <c r="E638" s="1161" t="s">
        <v>147</v>
      </c>
      <c r="F638" s="127" t="s">
        <v>7</v>
      </c>
      <c r="G638" s="1162" t="s">
        <v>6</v>
      </c>
      <c r="H638" s="1161" t="s">
        <v>129</v>
      </c>
      <c r="I638" s="1161" t="s">
        <v>5</v>
      </c>
      <c r="J638" s="1161" t="s">
        <v>4</v>
      </c>
      <c r="K638" s="1161" t="s">
        <v>3</v>
      </c>
      <c r="L638" s="1161" t="s">
        <v>121</v>
      </c>
      <c r="M638" s="1161" t="s">
        <v>122</v>
      </c>
      <c r="N638" s="1161" t="s">
        <v>123</v>
      </c>
      <c r="O638" s="1160" t="s">
        <v>114</v>
      </c>
      <c r="P638" s="1155"/>
    </row>
    <row r="639" spans="1:16" s="1" customFormat="1" ht="14.25" customHeight="1" x14ac:dyDescent="0.2">
      <c r="A639" s="1148"/>
      <c r="B639" s="1157"/>
      <c r="C639" s="21" t="str">
        <f>IF(C635="","",C635)</f>
        <v/>
      </c>
      <c r="D639" s="1160"/>
      <c r="E639" s="1161"/>
      <c r="F639" s="1165" t="str">
        <f>IF(H630=0,"","siehe Zuschläge / Zulagen")</f>
        <v/>
      </c>
      <c r="G639" s="1162"/>
      <c r="H639" s="1164" t="s">
        <v>127</v>
      </c>
      <c r="I639" s="1164"/>
      <c r="J639" s="1164"/>
      <c r="K639" s="1164"/>
      <c r="L639" s="1164"/>
      <c r="M639" s="1164"/>
      <c r="N639" s="1164"/>
      <c r="O639" s="1160"/>
      <c r="P639" s="1155"/>
    </row>
    <row r="640" spans="1:16" s="1" customFormat="1" x14ac:dyDescent="0.2">
      <c r="A640" s="1148"/>
      <c r="B640" s="1157"/>
      <c r="C640" s="122" t="s">
        <v>70</v>
      </c>
      <c r="D640" s="1160"/>
      <c r="E640" s="1161"/>
      <c r="F640" s="1165"/>
      <c r="G640" s="1162"/>
      <c r="H640" s="43" t="s">
        <v>128</v>
      </c>
      <c r="I640" s="43" t="s">
        <v>255</v>
      </c>
      <c r="J640" s="43" t="s">
        <v>256</v>
      </c>
      <c r="K640" s="43" t="s">
        <v>257</v>
      </c>
      <c r="L640" s="43"/>
      <c r="M640" s="43"/>
      <c r="N640" s="43" t="s">
        <v>254</v>
      </c>
      <c r="O640" s="1160"/>
      <c r="P640" s="1155"/>
    </row>
    <row r="641" spans="1:16" s="1" customFormat="1" x14ac:dyDescent="0.2">
      <c r="A641" s="1148"/>
      <c r="B641" s="1158"/>
      <c r="C641" s="21" t="str">
        <f>IF(F635="","",F635)</f>
        <v/>
      </c>
      <c r="D641" s="51"/>
      <c r="E641" s="51"/>
      <c r="F641" s="1166"/>
      <c r="G641" s="1163"/>
      <c r="H641" s="93"/>
      <c r="I641" s="139">
        <f>$I$69</f>
        <v>0</v>
      </c>
      <c r="J641" s="139">
        <f>$J$69</f>
        <v>0</v>
      </c>
      <c r="K641" s="44">
        <f>$K$69</f>
        <v>0</v>
      </c>
      <c r="L641" s="21"/>
      <c r="M641" s="21"/>
      <c r="N641" s="139">
        <f>$N$69</f>
        <v>0</v>
      </c>
      <c r="O641" s="21">
        <f>O597</f>
        <v>0</v>
      </c>
      <c r="P641" s="1156"/>
    </row>
    <row r="642" spans="1:16" s="1" customFormat="1" x14ac:dyDescent="0.2">
      <c r="A642" s="100" t="str">
        <f>$A$26</f>
        <v>Jan 2022</v>
      </c>
      <c r="B642" s="24">
        <f>ROUND(IF(N622=0,0,(LOOKUP(2,1/(A630:A633=A642),G630:G633))*N622*4.348),2)</f>
        <v>0</v>
      </c>
      <c r="C642" s="23">
        <f>ROUND(IFERROR(((LOOKUP(2,1/(B635=A642),((SUM(B648:B650)+SUM(F648:F650))/3)*C635))),0)+IFERROR(((LOOKUP(2,1/(E635=A642),(B654+F654)*F635))),0),2)</f>
        <v>0</v>
      </c>
      <c r="D642" s="23">
        <f>ROUND(IF(B642=0,0,D641/L623*N622),2)</f>
        <v>0</v>
      </c>
      <c r="E642" s="23">
        <f>ROUND(IF(B642=0,0,E641/N619*N622),2)</f>
        <v>0</v>
      </c>
      <c r="F642" s="24">
        <f>ROUND(IF(N622=0,0,(LOOKUP(2,1/(A630:A633=A642),H630:H633))/N619*N622),2)</f>
        <v>0</v>
      </c>
      <c r="G642" s="27">
        <f>SUM(B642+C642+E642+F642)</f>
        <v>0</v>
      </c>
      <c r="H642" s="76">
        <f>ROUND(IF((SUM(B642:F642))&gt;L657,L657*H641,SUM(B642:F642)*H641),2)</f>
        <v>0</v>
      </c>
      <c r="I642" s="76">
        <f>ROUND(IF((SUM(B642:F642))&gt;L658,L658*I641,SUM(B642:F642)*I641),2)</f>
        <v>0</v>
      </c>
      <c r="J642" s="76">
        <f>ROUND(IF((SUM(B642:F642))&gt;L658,L658*J641,SUM(B642:F642)*J641),2)</f>
        <v>0</v>
      </c>
      <c r="K642" s="76">
        <f>ROUND(IF((SUM(B642:F642))&gt;L657,L657*K641,SUM(B642:F642)*K641),2)</f>
        <v>0</v>
      </c>
      <c r="L642" s="76">
        <f>ROUND(IF((SUM(B642:F642))&gt;L658,L658*L641,(SUM(B642:F642)-C642)*L641),2)</f>
        <v>0</v>
      </c>
      <c r="M642" s="76">
        <f>ROUND(IF((SUM(B642:F642))&gt;L658,L658*M641,(SUM(B642:F642)-C642)*M641),2)</f>
        <v>0</v>
      </c>
      <c r="N642" s="76">
        <f>ROUND(IF((SUM(B642:F642))&gt;L658,L658*N641,SUM(B642:F642)*N641),2)</f>
        <v>0</v>
      </c>
      <c r="O642" s="23">
        <f>ROUND(SUM(B642+C642+F642)*O641,2)</f>
        <v>0</v>
      </c>
      <c r="P642" s="27">
        <f>SUM(G642:O642)</f>
        <v>0</v>
      </c>
    </row>
    <row r="643" spans="1:16" s="1" customFormat="1" x14ac:dyDescent="0.2">
      <c r="A643" s="100" t="str">
        <f>$A$27</f>
        <v>Feb 2022</v>
      </c>
      <c r="B643" s="24">
        <f>ROUND(IF(N623=0,0,IFERROR(((LOOKUP(2,1/(A630:A633=A643),G630:G633))*N623*4.348),B642/N623*N623)),2)</f>
        <v>0</v>
      </c>
      <c r="C643" s="23">
        <f>ROUND(IFERROR(((LOOKUP(2,1/(B635=A643),((SUM(B648:B650)+SUM(F648:F650))/3)*C635))),0)+IFERROR(((LOOKUP(2,1/(E635=A643),(B654+F654)*F635))),0),2)</f>
        <v>0</v>
      </c>
      <c r="D643" s="23">
        <f>ROUND(IF(B643=0,0,D641/L623*N623),2)</f>
        <v>0</v>
      </c>
      <c r="E643" s="23">
        <f>ROUND(IF(B643=0,0,E641/N619*N623),2)</f>
        <v>0</v>
      </c>
      <c r="F643" s="24">
        <f>ROUND(IF(N623=0,0,IFERROR(((LOOKUP(2,1/(A630:A633=A643),H630:H633))/N619*N623),F642/N623*N623)),2)</f>
        <v>0</v>
      </c>
      <c r="G643" s="27">
        <f t="shared" ref="G643:G653" si="72">SUM(B643+C643+E643+F643)</f>
        <v>0</v>
      </c>
      <c r="H643" s="76">
        <f>ROUND(IF(SUM(B642:F642)&lt;(L657*1),IF((SUM(B642:F643))&gt;(L657*2),(((L657*2)-(SUM(B642:F643)-C642))*H641)+((SUM(B643:F643)-C642)*H641),SUM(B643:F643)*H641),IF(SUM(B642:F643)&gt;(L657*2),L657*H641,SUM(B643:F643)*H641)),2)</f>
        <v>0</v>
      </c>
      <c r="I643" s="76">
        <f>ROUND(IF(SUM(B642:F642)&lt;(L658*1),IF((SUM(B642:F643))&gt;(L658*2),(((L658*2)-(SUM(B642:F643)-C642))*I641)+((SUM(B643:F643)-C642)*I641),SUM(B643:F643)*I641),IF(SUM(B642:F643)&gt;(L658*2),L658*I641,SUM(B643:F643)*I641)),2)</f>
        <v>0</v>
      </c>
      <c r="J643" s="76">
        <f>ROUND(IF(SUM(B642:F642)&lt;(L658*1),IF((SUM(B642:F643))&gt;(L658*2),(((L658*2)-(SUM(B642:F643)-C642))*J641)+((SUM(B643:F643)-C642)*J641),SUM(B643:F643)*J641),IF(SUM(B642:F643)&gt;(L658*2),L658*J641,SUM(B643:F643)*J641)),2)</f>
        <v>0</v>
      </c>
      <c r="K643" s="76">
        <f>ROUND(IF(SUM(B642:F642)&lt;(L657*1),IF((SUM(B642:F643))&gt;(L657*2),(((L657*2)-(SUM(B642:F643)-C642))*K641)+((SUM(B643:F643)-C642)*K641),SUM(B643:F643)*K641),IF(SUM(B642:F643)&gt;(L657*2),L657*K641,SUM(B643:F643)*K641)),2)</f>
        <v>0</v>
      </c>
      <c r="L643" s="76">
        <f>ROUND(IF(SUM(B642:F642)&lt;(L658*1),IF((SUM(B642:F643))&gt;(L658*2),(((L658*2)-(SUM(B642:F643)-C643))*L641)+((SUM(B643:F643)-C643)*L641),(SUM(B643:F643)-C643)*L641),IF(SUM(B642:F643)&gt;(L658*2),L658*L641,SUM(B643:F643)*L641)),2)</f>
        <v>0</v>
      </c>
      <c r="M643" s="76">
        <f>ROUND(IF(SUM(B642:F642)&lt;(L658*1),IF((SUM(B642:F643))&gt;(L658*2),(((L658*2)-(SUM(B642:F643)-C643))*M641)+((SUM(B643:F643)-C643)*M641),(SUM(B643:F643)-C643)*M641),IF(SUM(B642:F643)&gt;(L658*2),L658*M641,SUM(B643:F643)*M641)),2)</f>
        <v>0</v>
      </c>
      <c r="N643" s="76">
        <f>ROUND(IF(SUM(B642:F642)&lt;(L658*1),IF((SUM(B642:F643))&gt;(L658*2),(((L658*2)-(SUM(B642:F643)-C642))*N641)+((SUM(B643:F643)-C642)*N641),SUM(B643:F643)*N641),IF(SUM(B642:F643)&gt;(L658*2),L658*N641,SUM(B643:F643)*N641)),2)</f>
        <v>0</v>
      </c>
      <c r="O643" s="23">
        <f>ROUND(SUM(B643+C643+F643)*O641,2)</f>
        <v>0</v>
      </c>
      <c r="P643" s="27">
        <f>SUM(G643:O643)</f>
        <v>0</v>
      </c>
    </row>
    <row r="644" spans="1:16" s="1" customFormat="1" x14ac:dyDescent="0.2">
      <c r="A644" s="100" t="str">
        <f>$A$28</f>
        <v>Mrz 2022</v>
      </c>
      <c r="B644" s="24">
        <f>ROUND(IF(N624=0,0,IFERROR(((LOOKUP(2,1/(A630:A633=A644),G630:G633))*N624*4.348),B643/N624*N624)),2)</f>
        <v>0</v>
      </c>
      <c r="C644" s="23">
        <f>ROUND(IFERROR(((LOOKUP(2,1/(B635=A644),((SUM(B648:B650)+SUM(F648:F650))/3)*C635))),0)+IFERROR(((LOOKUP(2,1/(E635=A644),(B654+F654)*F635))),0),2)</f>
        <v>0</v>
      </c>
      <c r="D644" s="23">
        <f>ROUND(IF(B644=0,0,D641/L623*N624),2)</f>
        <v>0</v>
      </c>
      <c r="E644" s="23">
        <f>ROUND(IF(B644=0,0,E641/N619*N624),2)</f>
        <v>0</v>
      </c>
      <c r="F644" s="24">
        <f>ROUND(IF(N624=0,0,IFERROR(((LOOKUP(2,1/(A630:A633=A644),H630:H633))/N619*N624),F643/N624*N624)),2)</f>
        <v>0</v>
      </c>
      <c r="G644" s="27">
        <f t="shared" si="72"/>
        <v>0</v>
      </c>
      <c r="H644" s="76">
        <f>ROUND(IF(SUM(B642:F643)&lt;(L657*2),IF((SUM(B642:F644))&gt;(L657*3),(((L657*3)-(SUM(B642:F644)-C643))*H641)+((SUM(B644:F644)-C643)*H641),SUM(B644:F644)*H641),IF(SUM(B642:F644)&gt;(L657*3),L657*H641,SUM(B644:F644)*H641)),2)</f>
        <v>0</v>
      </c>
      <c r="I644" s="76">
        <f>ROUND(IF(SUM(B642:F643)&lt;(L658*2),IF((SUM(B642:F644))&gt;(L658*3),(((L658*3)-(SUM(B642:F644)-C643))*I641)+((SUM(B644:F644)-C643)*I641),SUM(B644:F644)*I641),IF(SUM(B642:F644)&gt;(L658*3),L658*I641,SUM(B644:F644)*I641)),2)</f>
        <v>0</v>
      </c>
      <c r="J644" s="76">
        <f>ROUND(IF(SUM(B642:F643)&lt;(L658*2),IF((SUM(B642:F644))&gt;(L658*3),(((L658*3)-(SUM(B642:F644)-C643))*J641)+((SUM(B644:F644)-C643)*J641),SUM(B644:F644)*J641),IF(SUM(B642:F644)&gt;(L658*3),L658*J641,SUM(B644:F644)*J641)),2)</f>
        <v>0</v>
      </c>
      <c r="K644" s="76">
        <f>ROUND(IF(SUM(B642:F643)&lt;(L657*2),IF((SUM(B642:F644))&gt;(L657*3),(((L657*3)-(SUM(B642:F644)-C643))*K641)+((SUM(B644:F644)-C643)*K641),SUM(B644:F644)*K641),IF(SUM(B642:F644)&gt;(L657*3),L657*K641,SUM(B644:F644)*K641)),2)</f>
        <v>0</v>
      </c>
      <c r="L644" s="76">
        <f>ROUND(IF(SUM(B642:F643)&lt;(L658*2),IF((SUM(B642:F644))&gt;(L658*3),(((L658*3)-(SUM(B642:F644)-C644))*L641)+((SUM(B644:F644)-C644)*L641),(SUM(B644:F644)-C644)*L641),IF(SUM(B642:F644)&gt;(L658*3),L658*L641,SUM(B644:F644)*L641)),2)</f>
        <v>0</v>
      </c>
      <c r="M644" s="76">
        <f>ROUND(IF(SUM(B642:F643)&lt;(L658*2),IF((SUM(B642:F644))&gt;(L658*3),(((L658*3)-(SUM(B642:F644)-C644))*M641)+((SUM(B644:F644)-C644)*M641),(SUM(B644:F644)-C644)*M641),IF(SUM(B642:F644)&gt;(L658*3),L658*M641,SUM(B644:F644)*M641)),2)</f>
        <v>0</v>
      </c>
      <c r="N644" s="76">
        <f>ROUND(IF(SUM(B642:F643)&lt;(L658*2),IF((SUM(B642:F644))&gt;(L658*3),(((L658*3)-(SUM(B642:F644)-C643))*N641)+((SUM(B644:F644)-C643)*N641),SUM(B644:F644)*N641),IF(SUM(B642:F644)&gt;(L658*3),L658*N641,SUM(B644:F644)*N641)),2)</f>
        <v>0</v>
      </c>
      <c r="O644" s="23">
        <f>ROUND(SUM(B644+C644+F644)*O641,2)</f>
        <v>0</v>
      </c>
      <c r="P644" s="27">
        <f t="shared" ref="P644:P653" si="73">SUM(G644:O644)</f>
        <v>0</v>
      </c>
    </row>
    <row r="645" spans="1:16" s="1" customFormat="1" x14ac:dyDescent="0.2">
      <c r="A645" s="100" t="str">
        <f>$A$29</f>
        <v>Apr 2022</v>
      </c>
      <c r="B645" s="24">
        <f>ROUND(IF(N625=0,0,IFERROR(((LOOKUP(2,1/(A630:A633=A645),G630:G633))*N625*4.348),B644/N625*N625)),2)</f>
        <v>0</v>
      </c>
      <c r="C645" s="23">
        <f>ROUND(IFERROR(((LOOKUP(2,1/(B635=A645),((SUM(B648:B650)+SUM(F648:F650))/3)*C635))),0)+IFERROR(((LOOKUP(2,1/(E635=A645),(B654+F654)*F635))),0),2)</f>
        <v>0</v>
      </c>
      <c r="D645" s="23">
        <f>ROUND(IF(B645=0,0,D641/L623*N625),2)</f>
        <v>0</v>
      </c>
      <c r="E645" s="23">
        <f>ROUND(IF(B645=0,0,E641/N619*N625),2)</f>
        <v>0</v>
      </c>
      <c r="F645" s="24">
        <f>ROUND(IF(N625=0,0,IFERROR(((LOOKUP(2,1/(A630:A633=A645),H630:H633))/N619*N625),F644/N625*N625)),2)</f>
        <v>0</v>
      </c>
      <c r="G645" s="27">
        <f t="shared" si="72"/>
        <v>0</v>
      </c>
      <c r="H645" s="76">
        <f>ROUND(IF(SUM(B642:F644)&lt;(L657*3),IF((SUM(B642:F645))&gt;(L657*4),(((L657*4)-(SUM(B642:F645)-C644))*H641)+((SUM(B645:F645)-C644)*H641),SUM(B645:F645)*H641),IF(SUM(B642:F645)&gt;(L657*4),L657*H641,SUM(B645:F645)*H641)),2)</f>
        <v>0</v>
      </c>
      <c r="I645" s="76">
        <f>ROUND(IF(SUM(B642:F644)&lt;(L658*3),IF((SUM(B642:F645))&gt;(L658*4),(((L658*4)-(SUM(B642:F645)-C644))*I641)+((SUM(B645:F645)-C644)*I641),SUM(B645:F645)*I641),IF(SUM(B642:F645)&gt;(L658*4),L658*I641,SUM(B645:F645)*I641)),2)</f>
        <v>0</v>
      </c>
      <c r="J645" s="76">
        <f>ROUND(IF(SUM(B642:F644)&lt;(L658*3),IF((SUM(B642:F645))&gt;(L658*4),(((L658*4)-(SUM(B642:F645)-C644))*J641)+((SUM(B645:F645)-C644)*J641),SUM(B645:F645)*J641),IF(SUM(B642:F645)&gt;(L658*4),L658*J641,SUM(B645:F645)*J641)),2)</f>
        <v>0</v>
      </c>
      <c r="K645" s="76">
        <f>ROUND(IF(SUM(B642:F644)&lt;(L657*3),IF((SUM(B642:F645))&gt;(L657*4),(((L657*4)-(SUM(B642:F645)-C644))*K641)+((SUM(B645:F645)-C644)*K641),SUM(B645:F645)*K641),IF(SUM(B642:F645)&gt;(L657*4),L657*K641,SUM(B645:F645)*K641)),2)</f>
        <v>0</v>
      </c>
      <c r="L645" s="76">
        <f>ROUND(IF(SUM(B642:F644)&lt;(L658*3),IF((SUM(B642:F645))&gt;(L658*4),(((L658*4)-(SUM(B642:F645)-C645))*L641)+((SUM(B645:F645)-C645)*L641),(SUM(B645:F645)-C645)*L641),IF(SUM(B642:F645)&gt;(L658*4),L658*L641,SUM(B645:F645)*L641)),2)</f>
        <v>0</v>
      </c>
      <c r="M645" s="76">
        <f>ROUND(IF(SUM(B642:F644)&lt;(L658*3),IF((SUM(B642:F645))&gt;(L658*4),(((L658*4)-(SUM(B642:F645)-C645))*M641)+((SUM(B645:F645)-C645)*M641),(SUM(B645:F645)-C645)*M641),IF(SUM(B642:F645)&gt;(L658*4),L658*M641,SUM(B645:F645)*M641)),2)</f>
        <v>0</v>
      </c>
      <c r="N645" s="76">
        <f>ROUND(IF(SUM(B642:F644)&lt;(L658*3),IF((SUM(B642:F645))&gt;(L658*4),(((L658*4)-(SUM(B642:F645)-C644))*N641)+((SUM(B645:F645)-C644)*N641),SUM(B645:F645)*N641),IF(SUM(B642:F645)&gt;(L658*4),L658*N641,SUM(B645:F645)*N641)),2)</f>
        <v>0</v>
      </c>
      <c r="O645" s="23">
        <f>ROUND(SUM(B645+C645+F645)*O641,2)</f>
        <v>0</v>
      </c>
      <c r="P645" s="27">
        <f t="shared" si="73"/>
        <v>0</v>
      </c>
    </row>
    <row r="646" spans="1:16" s="1" customFormat="1" x14ac:dyDescent="0.2">
      <c r="A646" s="100" t="str">
        <f>$A$30</f>
        <v>Mai 2022</v>
      </c>
      <c r="B646" s="24">
        <f>ROUND(IF(N626=0,0,IFERROR(((LOOKUP(2,1/(A630:A633=A646),G630:G633))*N626*4.348),B645/N626*N626)),2)</f>
        <v>0</v>
      </c>
      <c r="C646" s="23">
        <f>ROUND(IFERROR(((LOOKUP(2,1/(B635=A646),((SUM(B648:B650)+SUM(F648:F650))/3)*C635))),0)+IFERROR(((LOOKUP(2,1/(E635=A646),(B654+F654)*F635))),0),2)</f>
        <v>0</v>
      </c>
      <c r="D646" s="23">
        <f>ROUND(IF(B646=0,0,D641/L623*N626),2)</f>
        <v>0</v>
      </c>
      <c r="E646" s="23">
        <f>ROUND(IF(B646=0,0,E641/N619*N626),2)</f>
        <v>0</v>
      </c>
      <c r="F646" s="24">
        <f>ROUND(IF(N626=0,0,IFERROR(((LOOKUP(2,1/(A630:A633=A646),H630:H633))/N619*N626),F645/N626*N626)),2)</f>
        <v>0</v>
      </c>
      <c r="G646" s="27">
        <f t="shared" si="72"/>
        <v>0</v>
      </c>
      <c r="H646" s="76">
        <f>ROUND(IF(SUM(B642:F645)&lt;(L657*4),IF((SUM(B642:F646))&gt;(L657*5),(((L657*5)-(SUM(B642:F646)-C645))*H641)+((SUM(B646:F646)-C645)*H641),SUM(B646:F646)*H641),IF(SUM(B642:F646)&gt;(L657*5),L657*H641,SUM(B646:F646)*H641)),2)</f>
        <v>0</v>
      </c>
      <c r="I646" s="76">
        <f>ROUND(IF(SUM(B642:F645)&lt;(L658*4),IF((SUM(B642:F646))&gt;(L658*5),(((L658*5)-(SUM(B642:F646)-C645))*I641)+((SUM(B646:F646)-C645)*I641),SUM(B646:F646)*I641),IF(SUM(B642:F646)&gt;(L658*5),L658*I641,SUM(B646:F646)*I641)),2)</f>
        <v>0</v>
      </c>
      <c r="J646" s="76">
        <f>ROUND(IF(SUM(B642:F645)&lt;(L658*4),IF((SUM(B642:F646))&gt;(L658*5),(((L658*5)-(SUM(B642:F646)-C645))*J641)+((SUM(B646:F646)-C645)*J641),SUM(B646:F646)*J641),IF(SUM(B642:F646)&gt;(L658*5),L658*J641,SUM(B646:F646)*J641)),2)</f>
        <v>0</v>
      </c>
      <c r="K646" s="76">
        <f>ROUND(IF(SUM(B642:F645)&lt;(L657*4),IF((SUM(B642:F646))&gt;(L657*5),(((L657*5)-(SUM(B642:F646)-C645))*K641)+((SUM(B646:F646)-C645)*K641),SUM(B646:F646)*K641),IF(SUM(B642:F646)&gt;(L657*5),L657*K641,SUM(B646:F646)*K641)),2)</f>
        <v>0</v>
      </c>
      <c r="L646" s="76">
        <f>ROUND(IF(SUM(B642:F645)&lt;(L658*4),IF((SUM(B642:F646))&gt;(L658*5),(((L658*5)-(SUM(B642:F646)-C646))*L641)+((SUM(B646:F646)-C646)*L641),(SUM(B646:F646)-C646)*L641),IF(SUM(B642:F646)&gt;(L658*5),L658*L641,SUM(B646:F646)*L641)),2)</f>
        <v>0</v>
      </c>
      <c r="M646" s="76">
        <f>ROUND(IF(SUM(B642:F645)&lt;(L658*4),IF((SUM(B642:F646))&gt;(L658*5),(((L658*5)-(SUM(B642:F646)-C646))*M641)+((SUM(B646:F646)-C646)*M641),(SUM(B646:F646)-C646)*M641),IF(SUM(B642:F646)&gt;(L658*5),L658*M641,SUM(B646:F646)*M641)),2)</f>
        <v>0</v>
      </c>
      <c r="N646" s="76">
        <f>ROUND(IF(SUM(B642:F645)&lt;(L658*4),IF((SUM(B642:F646))&gt;(L658*5),(((L658*5)-(SUM(B642:F646)-C645))*N641)+((SUM(B646:F646)-C645)*N641),SUM(B646:F646)*N641),IF(SUM(B642:F646)&gt;(L658*5),L658*N641,SUM(B646:F646)*N641)),2)</f>
        <v>0</v>
      </c>
      <c r="O646" s="23">
        <f>ROUND(SUM(B646+C646+F646)*O641,2)</f>
        <v>0</v>
      </c>
      <c r="P646" s="27">
        <f t="shared" si="73"/>
        <v>0</v>
      </c>
    </row>
    <row r="647" spans="1:16" s="1" customFormat="1" x14ac:dyDescent="0.2">
      <c r="A647" s="100" t="str">
        <f>$A$31</f>
        <v>Jun 2022</v>
      </c>
      <c r="B647" s="24">
        <f>ROUND(IF(N627=0,0,IFERROR(((LOOKUP(2,1/(A630:A633=A647),G630:G633))*N627*4.348),B646/N627*N627)),2)</f>
        <v>0</v>
      </c>
      <c r="C647" s="23">
        <f>ROUND(IFERROR(((LOOKUP(2,1/(B635=A647),((SUM(B648:B650)+SUM(F648:F650))/3)*C635))),0)+IFERROR(((LOOKUP(2,1/(E635=A647),(B654+F654)*F635))),0),2)</f>
        <v>0</v>
      </c>
      <c r="D647" s="23">
        <f>ROUND(IF(B647=0,0,D641/L623*N627),2)</f>
        <v>0</v>
      </c>
      <c r="E647" s="23">
        <f>ROUND(IF(B647=0,0,E641/N619*N627),2)</f>
        <v>0</v>
      </c>
      <c r="F647" s="24">
        <f>ROUND(IF(N627=0,0,IFERROR(((LOOKUP(2,1/(A630:A633=A647),H630:H633))/N619*N627),F646/N627*N627)),2)</f>
        <v>0</v>
      </c>
      <c r="G647" s="27">
        <f t="shared" si="72"/>
        <v>0</v>
      </c>
      <c r="H647" s="76">
        <f>ROUND(IF(SUM(B642:F646)&lt;(L657*5),IF((SUM(B642:F647))&gt;(L657*6),(((L657*6)-(SUM(B642:F647)-C646))*H641)+((SUM(B647:F647)-C646)*H641),SUM(B647:F647)*H641),IF(SUM(B642:F647)&gt;(L657*6),L657*H641,SUM(B647:F647)*H641)),2)</f>
        <v>0</v>
      </c>
      <c r="I647" s="76">
        <f>ROUND(IF(SUM(B642:F646)&lt;(L658*5),IF((SUM(B642:F647))&gt;(L658*6),(((L658*6)-(SUM(B642:F647)-C646))*I641)+((SUM(B647:F647)-C646)*I641),SUM(B647:F647)*I641),IF(SUM(B642:F647)&gt;(L658*6),L658*I641,SUM(B647:F647)*I641)),2)</f>
        <v>0</v>
      </c>
      <c r="J647" s="76">
        <f>ROUND(IF(SUM(B642:F646)&lt;(L658*5),IF((SUM(B642:F647))&gt;(L658*6),(((L658*6)-(SUM(B642:F647)-C646))*J641)+((SUM(B647:F647)-C646)*J641),SUM(B647:F647)*J641),IF(SUM(B642:F647)&gt;(L658*6),L658*J641,SUM(B647:F647)*J641)),2)</f>
        <v>0</v>
      </c>
      <c r="K647" s="76">
        <f>ROUND(IF(SUM(B642:F646)&lt;(L657*5),IF((SUM(B642:F647))&gt;(L657*6),(((L657*6)-(SUM(B642:F647)-C646))*K641)+((SUM(B647:F647)-C646)*K641),SUM(B647:F647)*K641),IF(SUM(B642:F647)&gt;(L657*6),L657*K641,SUM(B647:F647)*K641)),2)</f>
        <v>0</v>
      </c>
      <c r="L647" s="76">
        <f>ROUND(IF(SUM(B642:F646)&lt;(L658*5),IF((SUM(B642:F647))&gt;(L658*6),(((L658*6)-(SUM(B642:F647)-C647))*L641)+((SUM(B647:F647)-C647)*L641),(SUM(B647:F647)-C647)*L641),IF(SUM(B642:F647)&gt;(L658*6),L658*L641,SUM(B647:F647)*L641)),2)</f>
        <v>0</v>
      </c>
      <c r="M647" s="76">
        <f>ROUND(IF(SUM(B642:F646)&lt;(L658*5),IF((SUM(B642:F647))&gt;(L658*6),(((L658*6)-(SUM(B642:F647)-C647))*M641)+((SUM(B647:F647)-C647)*M641),(SUM(B647:F647)-C647)*M641),IF(SUM(B642:F647)&gt;(L658*6),L658*M641,SUM(B647:F647)*M641)),2)</f>
        <v>0</v>
      </c>
      <c r="N647" s="76">
        <f>ROUND(IF(SUM(B642:F646)&lt;(L658*5),IF((SUM(B642:F647))&gt;(L658*6),(((L658*6)-(SUM(B642:F647)-C646))*N641)+((SUM(B647:F647)-C646)*N641),SUM(B647:F647)*N641),IF(SUM(B642:F647)&gt;(L658*6),L658*N641,SUM(B647:F647)*N641)),2)</f>
        <v>0</v>
      </c>
      <c r="O647" s="23">
        <f>ROUND(SUM(B647+C647+F647)*O641,2)</f>
        <v>0</v>
      </c>
      <c r="P647" s="27">
        <f t="shared" si="73"/>
        <v>0</v>
      </c>
    </row>
    <row r="648" spans="1:16" s="1" customFormat="1" x14ac:dyDescent="0.2">
      <c r="A648" s="100" t="str">
        <f>$A$32</f>
        <v>Jul 2022</v>
      </c>
      <c r="B648" s="24">
        <f>ROUND(IF(P622=0,0,IFERROR(((LOOKUP(2,1/(A630:A633=A648),G630:G633))*P622*4.348),B647/P622*P622)),2)</f>
        <v>0</v>
      </c>
      <c r="C648" s="23">
        <f>ROUND(IFERROR(((LOOKUP(2,1/(B635=A648),((SUM(B648:B650)+SUM(F648:F650))/3)*C635))),0)+IFERROR(((LOOKUP(2,1/(E635=A648),(B654+F654)*F635))),0),2)</f>
        <v>0</v>
      </c>
      <c r="D648" s="23">
        <f>ROUND(IF(B648=0,0,D641/L623*P622),2)</f>
        <v>0</v>
      </c>
      <c r="E648" s="23">
        <f>ROUND(IF(B648=0,0,E641/N619*P622),2)</f>
        <v>0</v>
      </c>
      <c r="F648" s="24">
        <f>ROUND(IF(P622=0,0,IFERROR(((LOOKUP(2,1/(A630:A633=A648),H630:H633))/N619*P622),F647/P622*P622)),2)</f>
        <v>0</v>
      </c>
      <c r="G648" s="27">
        <f t="shared" si="72"/>
        <v>0</v>
      </c>
      <c r="H648" s="76">
        <f>ROUND(IF(SUM(B642:F647)&lt;(L657*6),IF((SUM(B642:F648))&gt;(L657*7),(((L657*7)-(SUM(B642:F648)-C647))*H641)+((SUM(B648:F648)-C647)*H641),SUM(B648:F648)*H641),IF(SUM(B642:F648)&gt;(L657*7),L657*H641,SUM(B648:F648)*H641)),2)</f>
        <v>0</v>
      </c>
      <c r="I648" s="76">
        <f>ROUND(IF(SUM(B642:F647)&lt;(L658*6),IF((SUM(B642:F648))&gt;(L658*7),(((L658*7)-(SUM(B642:F648)-C647))*I641)+((SUM(B648:F648)-C647)*I641),SUM(B648:F648)*I641),IF(SUM(B642:F648)&gt;(L658*7),L658*I641,SUM(B648:F648)*I641)),2)</f>
        <v>0</v>
      </c>
      <c r="J648" s="76">
        <f>ROUND(IF(SUM(B642:F647)&lt;(L658*6),IF((SUM(B642:F648))&gt;(L658*7),(((L658*7)-(SUM(B642:F648)-C647))*J641)+((SUM(B648:F648)-C647)*J641),SUM(B648:F648)*J641),IF(SUM(B642:F648)&gt;(L658*7),L658*J641,SUM(B648:F648)*J641)),2)</f>
        <v>0</v>
      </c>
      <c r="K648" s="76">
        <f>ROUND(IF(SUM(B642:F647)&lt;(L657*6),IF((SUM(B642:F648))&gt;(L657*7),(((L657*7)-(SUM(B642:F648)-C647))*K641)+((SUM(B648:F648)-C647)*K641),SUM(B648:F648)*K641),IF(SUM(B642:F648)&gt;(L657*7),L657*K641,SUM(B648:F648)*K641)),2)</f>
        <v>0</v>
      </c>
      <c r="L648" s="76">
        <f>ROUND(IF(SUM(B642:F647)&lt;(L658*6),IF((SUM(B642:F648))&gt;(L658*7),(((L658*7)-(SUM(B642:F648)-C648))*L641)+((SUM(B648:F648)-C648)*L641),(SUM(B648:F648)-C648)*L641),IF(SUM(B642:F648)&gt;(L658*7),L658*L641,SUM(B648:F648)*L641)),2)</f>
        <v>0</v>
      </c>
      <c r="M648" s="76">
        <f>ROUND(IF(SUM(B642:F647)&lt;(L658*6),IF((SUM(B642:F648))&gt;(L658*7),(((L658*7)-(SUM(B642:F648)-C648))*M641)+((SUM(B648:F648)-C648)*M641),(SUM(B648:F648)-C648)*M641),IF(SUM(B642:F648)&gt;(L658*7),L658*M641,SUM(B648:F648)*M641)),2)</f>
        <v>0</v>
      </c>
      <c r="N648" s="76">
        <f>ROUND(IF(SUM(B642:F647)&lt;(L658*6),IF((SUM(B642:F648))&gt;(L658*7),(((L658*7)-(SUM(B642:F648)-C647))*N641)+((SUM(B648:F648)-C647)*N641),SUM(B648:F648)*N641),IF(SUM(B642:F648)&gt;(L658*7),L658*N641,SUM(B648:F648)*N641)),2)</f>
        <v>0</v>
      </c>
      <c r="O648" s="23">
        <f>ROUND(SUM(B648+C648+F648)*O641,2)</f>
        <v>0</v>
      </c>
      <c r="P648" s="27">
        <f t="shared" si="73"/>
        <v>0</v>
      </c>
    </row>
    <row r="649" spans="1:16" s="1" customFormat="1" x14ac:dyDescent="0.2">
      <c r="A649" s="100" t="str">
        <f>$A$33</f>
        <v>Aug 2022</v>
      </c>
      <c r="B649" s="24">
        <f>ROUND(IF(P623=0,0,IFERROR(((LOOKUP(2,1/(A630:A633=A649),G630:G633))*P623*4.348),B648/P623*P623)),2)</f>
        <v>0</v>
      </c>
      <c r="C649" s="23">
        <f>ROUND(IFERROR(((LOOKUP(2,1/(B635=A649),((SUM(B648:B650)+SUM(F648:F650))/3)*C635))),0)+IFERROR(((LOOKUP(2,1/(E635=A649),(B654+F654)*F635))),0),2)</f>
        <v>0</v>
      </c>
      <c r="D649" s="23">
        <f>ROUND(IF(B649=0,0,D641/L623*P623),2)</f>
        <v>0</v>
      </c>
      <c r="E649" s="23">
        <f>ROUND(IF(B649=0,0,E641/N619*P623),2)</f>
        <v>0</v>
      </c>
      <c r="F649" s="24">
        <f>ROUND(IF(P623=0,0,IFERROR(((LOOKUP(2,1/(A630:A633=A649),H630:H633))/N619*P623),F648/P623*P623)),2)</f>
        <v>0</v>
      </c>
      <c r="G649" s="27">
        <f t="shared" si="72"/>
        <v>0</v>
      </c>
      <c r="H649" s="76">
        <f>ROUND(IF(SUM(B642:F648)&lt;(L657*7),IF((SUM(B642:F649))&gt;(L657*8),(((L657*8)-(SUM(B642:F649)-C648))*H641)+((SUM(B649:F649)-C648)*H641),SUM(B649:F649)*H641),IF(SUM(B642:F649)&gt;(L657*8),L657*H641,SUM(B649:F649)*H641)),2)</f>
        <v>0</v>
      </c>
      <c r="I649" s="76">
        <f>ROUND(IF(SUM(B642:F648)&lt;(L658*7),IF((SUM(B642:F649))&gt;(L658*8),(((L658*8)-(SUM(B642:F649)-C648))*I641)+((SUM(B649:F649)-C648)*I641),SUM(B649:F649)*I641),IF(SUM(B642:F649)&gt;(L658*8),L658*I641,SUM(B649:F649)*I641)),2)</f>
        <v>0</v>
      </c>
      <c r="J649" s="76">
        <f>ROUND(IF(SUM(B642:F648)&lt;(L658*7),IF((SUM(B642:F649))&gt;(L658*8),(((L658*8)-(SUM(B642:F649)-C648))*J641)+((SUM(B649:F649)-C648)*J641),SUM(B649:F649)*J641),IF(SUM(B642:F649)&gt;(L658*8),L658*J641,SUM(B649:F649)*J641)),2)</f>
        <v>0</v>
      </c>
      <c r="K649" s="76">
        <f>ROUND(IF(SUM(B642:F648)&lt;(L657*7),IF((SUM(B642:F649))&gt;(L657*8),(((L657*8)-(SUM(B642:F649)-C648))*K641)+((SUM(B649:F649)-C648)*K641),SUM(B649:F649)*K641),IF(SUM(B642:F649)&gt;(L657*8),L657*K641,SUM(B649:F649)*K641)),2)</f>
        <v>0</v>
      </c>
      <c r="L649" s="76">
        <f>ROUND(IF(SUM(B642:F648)&lt;(L658*7),IF((SUM(B642:F649))&gt;(L658*8),(((L658*8)-(SUM(B642:F649)-C649))*L641)+((SUM(B649:F649)-C649)*L641),(SUM(B649:F649)-C649)*L641),IF(SUM(B642:F649)&gt;(L658*8),L658*L641,SUM(B649:F649)*L641)),2)</f>
        <v>0</v>
      </c>
      <c r="M649" s="76">
        <f>ROUND(IF(SUM(B642:F648)&lt;(L658*7),IF((SUM(B642:F649))&gt;(L658*8),(((L658*8)-(SUM(B642:F649)-C649))*M641)+((SUM(B649:F649)-C649)*M641),(SUM(B649:F649)-C649)*M641),IF(SUM(B642:F649)&gt;(L658*8),L658*M641,SUM(B649:F649)*M641)),2)</f>
        <v>0</v>
      </c>
      <c r="N649" s="76">
        <f>ROUND(IF(SUM(B642:F648)&lt;(L658*7),IF((SUM(B642:F649))&gt;(L658*8),(((L658*8)-(SUM(B642:F649)-C648))*N641)+((SUM(B649:F649)-C648)*N641),SUM(B649:F649)*N641),IF(SUM(B642:F649)&gt;(L658*8),L658*N641,SUM(B649:F649)*N641)),2)</f>
        <v>0</v>
      </c>
      <c r="O649" s="23">
        <f>ROUND(SUM(B649+C649+F649)*O641,2)</f>
        <v>0</v>
      </c>
      <c r="P649" s="27">
        <f t="shared" si="73"/>
        <v>0</v>
      </c>
    </row>
    <row r="650" spans="1:16" s="1" customFormat="1" x14ac:dyDescent="0.2">
      <c r="A650" s="100" t="str">
        <f>$A$34</f>
        <v>Sep 2022</v>
      </c>
      <c r="B650" s="24">
        <f>ROUND(IF(P624=0,0,IFERROR(((LOOKUP(2,1/(A630:A633=A650),G630:G633))*P624*4.348),B649/P624*P624)),2)</f>
        <v>0</v>
      </c>
      <c r="C650" s="23">
        <f>ROUND(IFERROR(((LOOKUP(2,1/(B635=A650),((SUM(B648:B650)+SUM(F648:F650))/3)*C635))),0)+IFERROR(((LOOKUP(2,1/(E635=A650),(B654+F654)*F635))),0),2)</f>
        <v>0</v>
      </c>
      <c r="D650" s="23">
        <f>ROUND(IF(B650=0,0,D641/L623*P624),2)</f>
        <v>0</v>
      </c>
      <c r="E650" s="23">
        <f>ROUND(IF(B650=0,0,E641/N619*P624),2)</f>
        <v>0</v>
      </c>
      <c r="F650" s="24">
        <f>ROUND(IF(P624=0,0,IFERROR(((LOOKUP(2,1/(A630:A633=A650),H630:H633))/N619*P624),F649/P624*P624)),2)</f>
        <v>0</v>
      </c>
      <c r="G650" s="27">
        <f t="shared" si="72"/>
        <v>0</v>
      </c>
      <c r="H650" s="76">
        <f>ROUND(IF(SUM(B642:F649)&lt;(L657*8),IF((SUM(B642:F650))&gt;(L657*9),(((L657*9)-(SUM(B642:F650)-C649))*H641)+((SUM(B650:F650)-C649)*H641),SUM(B650:F650)*H641),IF(SUM(B642:F650)&gt;(L657*9),L657*H641,SUM(B650:F650)*H641)),2)</f>
        <v>0</v>
      </c>
      <c r="I650" s="76">
        <f>ROUND(IF(SUM(B642:F649)&lt;(L658*8),IF((SUM(B642:F650))&gt;(L658*9),(((L658*9)-(SUM(B642:F650)-C649))*I641)+((SUM(B650:F650)-C649)*I641),SUM(B650:F650)*I641),IF(SUM(B642:F650)&gt;(L658*9),L658*I641,SUM(B650:F650)*I641)),2)</f>
        <v>0</v>
      </c>
      <c r="J650" s="76">
        <f>ROUND(IF(SUM(B642:F649)&lt;(L658*8),IF((SUM(B642:F650))&gt;(L658*9),(((L658*9)-(SUM(B642:F650)-C649))*J641)+((SUM(B650:F650)-C649)*J641),SUM(B650:F650)*J641),IF(SUM(B642:F650)&gt;(L658*9),L658*J641,SUM(B650:F650)*J641)),2)</f>
        <v>0</v>
      </c>
      <c r="K650" s="76">
        <f>ROUND(IF(SUM(B642:F649)&lt;(L657*8),IF((SUM(B642:F650))&gt;(L657*9),(((L657*9)-(SUM(B642:F650)-C649))*K641)+((SUM(B650:F650)-C649)*K641),SUM(B650:F650)*K641),IF(SUM(B642:F650)&gt;(L657*9),L657*K641,SUM(B650:F650)*K641)),2)</f>
        <v>0</v>
      </c>
      <c r="L650" s="76">
        <f>ROUND(IF(SUM(B642:F649)&lt;(L658*8),IF((SUM(B642:F650))&gt;(L658*9),(((L658*9)-(SUM(B642:F650)-C650))*L641)+((SUM(B650:F650)-C650)*L641),(SUM(B650:F650)-C650)*L641),IF(SUM(B642:F650)&gt;(L658*9),L658*L641,SUM(B650:F650)*L641)),2)</f>
        <v>0</v>
      </c>
      <c r="M650" s="76">
        <f>ROUND(IF(SUM(B642:F649)&lt;(L658*8),IF((SUM(B642:F650))&gt;(L658*9),(((L658*9)-(SUM(B642:F650)-C650))*M641)+((SUM(B650:F650)-C650)*M641),(SUM(B650:F650)-C650)*M641),IF(SUM(B642:F650)&gt;(L658*9),L658*M641,SUM(B650:F650)*M641)),2)</f>
        <v>0</v>
      </c>
      <c r="N650" s="76">
        <f>ROUND(IF(SUM(B642:F649)&lt;(L658*8),IF((SUM(B642:F650))&gt;(L658*9),(((L658*9)-(SUM(B642:F650)-C649))*N641)+((SUM(B650:F650)-C649)*N641),SUM(B650:F650)*N641),IF(SUM(B642:F650)&gt;(L658*9),L658*N641,SUM(B650:F650)*N641)),2)</f>
        <v>0</v>
      </c>
      <c r="O650" s="23">
        <f>ROUND(SUM(B650+C650+F650)*O641,2)</f>
        <v>0</v>
      </c>
      <c r="P650" s="27">
        <f t="shared" si="73"/>
        <v>0</v>
      </c>
    </row>
    <row r="651" spans="1:16" s="1" customFormat="1" x14ac:dyDescent="0.2">
      <c r="A651" s="100" t="str">
        <f>$A$35</f>
        <v>Okt 2022</v>
      </c>
      <c r="B651" s="24">
        <f>ROUND(IF(P625=0,0,IFERROR(((LOOKUP(2,1/(A630:A633=A651),G630:G633))*P625*4.348),B650/P625*P625)),2)</f>
        <v>0</v>
      </c>
      <c r="C651" s="23">
        <f>ROUND(IFERROR(((LOOKUP(2,1/(B635=A651),((SUM(B648:B650)+SUM(F648:F650))/3)*C635))),0)+IFERROR(((LOOKUP(2,1/(E635=A651),(B654+F654)*F635))),0),2)</f>
        <v>0</v>
      </c>
      <c r="D651" s="23">
        <f>ROUND(IF(B651=0,0,D641/L623*P625),2)</f>
        <v>0</v>
      </c>
      <c r="E651" s="23">
        <f>ROUND(IF(B651=0,0,E641/N619*P625),2)</f>
        <v>0</v>
      </c>
      <c r="F651" s="24">
        <f>ROUND(IF(P625=0,0,IFERROR(((LOOKUP(2,1/(A630:A633=A651),H630:H633))/N619*P625),F650/P625*P625)),2)</f>
        <v>0</v>
      </c>
      <c r="G651" s="27">
        <f t="shared" si="72"/>
        <v>0</v>
      </c>
      <c r="H651" s="76">
        <f>ROUND(IF(SUM(B642:F650)&lt;(L657*9),IF((SUM(B642:F651))&gt;(L657*10),(((L657*10)-(SUM(B642:F651)-C650))*H641)+((SUM(B651:F651)-C650)*H641),SUM(B651:F651)*H641),IF(SUM(B642:F651)&gt;(L657*10),L657*H641,SUM(B651:F651)*H641)),2)</f>
        <v>0</v>
      </c>
      <c r="I651" s="76">
        <f>ROUND(IF(SUM(B642:F650)&lt;(L658*9),IF((SUM(B642:F651))&gt;(L658*10),(((L658*10)-(SUM(B642:F651)-C650))*I641)+((SUM(B651:F651)-C650)*I641),SUM(B651:F651)*I641),IF(SUM(B642:F651)&gt;(L658*10),L658*I641,SUM(B651:F651)*I641)),2)</f>
        <v>0</v>
      </c>
      <c r="J651" s="76">
        <f>ROUND(IF(SUM(B642:F650)&lt;(L658*9),IF((SUM(B642:F651))&gt;(L658*10),(((L658*10)-(SUM(B642:F651)-C650))*J641)+((SUM(B651:F651)-C650)*J641),SUM(B651:F651)*J641),IF(SUM(B642:F651)&gt;(L658*10),L658*J641,SUM(B651:F651)*J641)),2)</f>
        <v>0</v>
      </c>
      <c r="K651" s="76">
        <f>ROUND(IF(SUM(B642:F650)&lt;(L657*9),IF((SUM(B642:F651))&gt;(L657*10),(((L657*10)-(SUM(B642:F651)-C650))*K641)+((SUM(B651:F651)-C650)*K641),SUM(B651:F651)*K641),IF(SUM(B642:F651)&gt;(L657*10),L657*K641,SUM(B651:F651)*K641)),2)</f>
        <v>0</v>
      </c>
      <c r="L651" s="76">
        <f>ROUND(IF(SUM(B642:F650)&lt;(L658*9),IF((SUM(B642:F651))&gt;(L658*10),(((L658*10)-(SUM(B642:F651)-C651))*L641)+((SUM(B651:F651)-C651)*L641),(SUM(B651:F651)-C651)*L641),IF(SUM(B642:F651)&gt;(L658*10),L658*L641,SUM(B651:F651)*L641)),2)</f>
        <v>0</v>
      </c>
      <c r="M651" s="76">
        <f>ROUND(IF(SUM(B642:F650)&lt;(L658*9),IF((SUM(B642:F651))&gt;(L658*10),(((L658*10)-(SUM(B642:F651)-C651))*M641)+((SUM(B651:F651)-C651)*M641),(SUM(B651:F651)-C651)*M641),IF(SUM(B642:F651)&gt;(L658*10),L658*M641,SUM(B651:F651)*M641)),2)</f>
        <v>0</v>
      </c>
      <c r="N651" s="76">
        <f>ROUND(IF(SUM(B642:F650)&lt;(L658*9),IF((SUM(B642:F651))&gt;(L658*10),(((L658*10)-(SUM(B642:F651)-C650))*N641)+((SUM(B651:F651)-C650)*N641),SUM(B651:F651)*N641),IF(SUM(B642:F651)&gt;(L658*10),L658*N641,SUM(B651:F651)*N641)),2)</f>
        <v>0</v>
      </c>
      <c r="O651" s="23">
        <f>ROUND(SUM(B651+C651+F651)*O641,2)</f>
        <v>0</v>
      </c>
      <c r="P651" s="27">
        <f t="shared" si="73"/>
        <v>0</v>
      </c>
    </row>
    <row r="652" spans="1:16" s="1" customFormat="1" x14ac:dyDescent="0.2">
      <c r="A652" s="100" t="str">
        <f>$A$36</f>
        <v>Nov 2022</v>
      </c>
      <c r="B652" s="24">
        <f>ROUND(IF(P626=0,0,IFERROR(((LOOKUP(2,1/(A630:A633=A652),G630:G633))*P626*4.348),B651/P626*P626)),2)</f>
        <v>0</v>
      </c>
      <c r="C652" s="23">
        <f>ROUND(IFERROR(((LOOKUP(2,1/(B635=A652),((SUM(B648:B650)+SUM(F648:F650))/3)*C635))),0)+IFERROR(((LOOKUP(2,1/(E635=A652),(B654+F654)*F635))),0),2)</f>
        <v>0</v>
      </c>
      <c r="D652" s="23">
        <f>ROUND(IF(B652=0,0,D641/L623*P626),2)</f>
        <v>0</v>
      </c>
      <c r="E652" s="23">
        <f>ROUND(IF(B652=0,0,E641/N619*P626),2)</f>
        <v>0</v>
      </c>
      <c r="F652" s="24">
        <f>ROUND(IF(P626=0,0,IFERROR(((LOOKUP(2,1/(A630:A633=A652),H630:H633))/N619*P626),F651/P626*P626)),2)</f>
        <v>0</v>
      </c>
      <c r="G652" s="27">
        <f t="shared" si="72"/>
        <v>0</v>
      </c>
      <c r="H652" s="76">
        <f>ROUND(IF(SUM(B642:F651)&lt;(L657*10),IF((SUM(B642:F652))&gt;(L657*11),(((L657*11)-(SUM(B642:F652)-C651))*H641)+((SUM(B652:F652)-C651)*H641),SUM(B652:F652)*H641),IF(SUM(B642:F652)&gt;(L657*11),L657*H641,SUM(B652:F652)*H641)),2)</f>
        <v>0</v>
      </c>
      <c r="I652" s="76">
        <f>ROUND(IF(SUM(B642:F651)&lt;(L658*10),IF((SUM(B642:F652))&gt;(L658*11),(((L658*11)-(SUM(B642:F652)-C651))*I641)+((SUM(B652:F652)-C651)*I641),SUM(B652:F652)*I641),IF(SUM(B642:F652)&gt;(L658*11),L658*I641,SUM(B652:F652)*I641)),2)</f>
        <v>0</v>
      </c>
      <c r="J652" s="76">
        <f>ROUND(IF(SUM(B642:F651)&lt;(L658*10),IF((SUM(B642:F652))&gt;(L658*11),(((L658*11)-(SUM(B642:F652)-C651))*J641)+((SUM(B652:F652)-C651)*J641),SUM(B652:F652)*J641),IF(SUM(B642:F652)&gt;(L658*11),L658*J641,SUM(B652:F652)*J641)),2)</f>
        <v>0</v>
      </c>
      <c r="K652" s="76">
        <f>ROUND(IF(SUM(B642:F651)&lt;(L657*10),IF((SUM(B642:F652))&gt;(L657*11),(((L657*11)-(SUM(B642:F652)-C651))*K641)+((SUM(B652:F652)-C651)*K641),SUM(B652:F652)*K641),IF(SUM(B642:F652)&gt;(L657*11),L657*K641,SUM(B652:F652)*K641)),2)</f>
        <v>0</v>
      </c>
      <c r="L652" s="76">
        <f>ROUND(IF(SUM(B642:F651)&lt;(L658*10),IF((SUM(B642:F652))&gt;(L658*11),(((L658*11)-(SUM(B642:F652)-C652))*L641)+((SUM(B652:F652)-C652)*L641),(SUM(B652:F652)-C652)*L641),IF(SUM(B642:F652)&gt;(L658*11),L658*L641,SUM(B652:F652)*L641)),2)</f>
        <v>0</v>
      </c>
      <c r="M652" s="76">
        <f>ROUND(IF(SUM(B642:F651)&lt;(L658*10),IF((SUM(B642:F652))&gt;(L658*11),(((L658*11)-(SUM(B642:F652)-C652))*M641)+((SUM(B652:F652)-C652)*M641),(SUM(B652:F652)-C652)*M641),IF(SUM(B642:F652)&gt;(L658*11),L658*M641,SUM(B652:F652)*M641)),2)</f>
        <v>0</v>
      </c>
      <c r="N652" s="76">
        <f>ROUND(IF(SUM(B642:F651)&lt;(L658*10),IF((SUM(B642:F652))&gt;(L658*11),(((L658*11)-(SUM(B642:F652)-C651))*N641)+((SUM(B652:F652)-C651)*N641),SUM(B652:F652)*N641),IF(SUM(B642:F652)&gt;(L658*11),L658*N641,SUM(B652:F652)*N641)),2)</f>
        <v>0</v>
      </c>
      <c r="O652" s="23">
        <f>ROUND(SUM(B652+C652+F652)*O641,2)</f>
        <v>0</v>
      </c>
      <c r="P652" s="27">
        <f t="shared" si="73"/>
        <v>0</v>
      </c>
    </row>
    <row r="653" spans="1:16" s="1" customFormat="1" x14ac:dyDescent="0.2">
      <c r="A653" s="100" t="str">
        <f>$A$37</f>
        <v>Dez 2022</v>
      </c>
      <c r="B653" s="24">
        <f>ROUND(IF(P627=0,0,IFERROR(((LOOKUP(2,1/(A630:A633=A653),G630:G633))*P627*4.348),B652/P627*P627)),2)</f>
        <v>0</v>
      </c>
      <c r="C653" s="23">
        <f>ROUND(IFERROR(((LOOKUP(2,1/(B635=A653),((SUM(B648:B650)+SUM(F648:F650))/3)*C635))),0)+IFERROR(((LOOKUP(2,1/(E635=A653),(B654+F654)*F635))),0),2)</f>
        <v>0</v>
      </c>
      <c r="D653" s="23">
        <f>ROUND(IF(B653=0,0,D641/L623*P627),2)</f>
        <v>0</v>
      </c>
      <c r="E653" s="23">
        <f>ROUND(IF(B653=0,0,E641/N619*P627),2)</f>
        <v>0</v>
      </c>
      <c r="F653" s="24">
        <f>ROUND(IF(P627=0,0,IFERROR(((LOOKUP(2,1/(A630:A633=A653),H630:H633))/N619*P627),F652/P627*P627)),2)</f>
        <v>0</v>
      </c>
      <c r="G653" s="27">
        <f t="shared" si="72"/>
        <v>0</v>
      </c>
      <c r="H653" s="76">
        <f>ROUND(IF(SUM(B642:F652)&lt;(L657*11),IF((SUM(B642:F653))&gt;(L657*12),(((L657*12)-(SUM(B642:F653)-C652))*H641)+((SUM(B653:F653)-C652)*H641),SUM(B653:F653)*H641),IF(SUM(B642:F653)&gt;(L657*12),L657*H641,SUM(B653:F653)*H641)),2)</f>
        <v>0</v>
      </c>
      <c r="I653" s="76">
        <f>ROUND(IF(SUM(B642:F652)&lt;(L658*11),IF((SUM(B642:F653))&gt;(L658*12),(((L658*12)-(SUM(B642:F653)-C652))*I641)+((SUM(B653:F653)-C652)*I641),SUM(B653:F653)*I641),IF(SUM(B642:F653)&gt;(L658*12),L658*I641,SUM(B653:F653)*I641)),2)</f>
        <v>0</v>
      </c>
      <c r="J653" s="76">
        <f>ROUND(IF(SUM(B642:F652)&lt;(L658*11),IF((SUM(B642:F653))&gt;(L658*12),(((L658*12)-(SUM(B642:F653)-C652))*J641)+((SUM(B653:F653)-C652)*J641),SUM(B653:F653)*J641),IF(SUM(B642:F653)&gt;(L658*12),L658*J641,SUM(B653:F653)*J641)),2)</f>
        <v>0</v>
      </c>
      <c r="K653" s="76">
        <f>ROUND(IF(SUM(B642:F652)&lt;(L657*11),IF((SUM(B642:F653))&gt;(L657*12),(((L657*12)-(SUM(B642:F653)-C652))*K641)+((SUM(B653:F653)-C652)*K641),SUM(B653:F653)*K641),IF(SUM(B642:F653)&gt;(L657*12),L657*K641,SUM(B653:F653)*K641)),2)</f>
        <v>0</v>
      </c>
      <c r="L653" s="76">
        <f>ROUND(IF(SUM(B642:F652)&lt;(L658*11),IF((SUM(B642:F653))&gt;(L658*12),(((L658*12)-(SUM(B642:F653)-C653))*L641)+((SUM(B653:F653)-C653)*L641),(SUM(B653:F653)-C653)*L641),IF(SUM(B642:F653)&gt;(L658*12),L658*L641,SUM(B653:F653)*L641)),2)</f>
        <v>0</v>
      </c>
      <c r="M653" s="76">
        <f>ROUND(IF(SUM(B642:F652)&lt;(L658*11),IF((SUM(B642:F653))&gt;(L658*12),(((L658*12)-(SUM(B642:F653)-C653))*M641)+((SUM(B653:F653)-C653)*M641),(SUM(B653:F653)-C653)*M641),IF(SUM(B642:F653)&gt;(L658*12),L658*M641,SUM(B653:F653)*M641)),2)</f>
        <v>0</v>
      </c>
      <c r="N653" s="76">
        <f>ROUND(IF(SUM(B642:F652)&lt;(L658*11),IF((SUM(B642:F653))&gt;(L658*12),(((L658*12)-(SUM(B642:F653)-C652))*N641)+((SUM(B653:F653)-C652)*N641),SUM(B653:F653)*N641),IF(SUM(B642:F653)&gt;(L658*12),L658*N641,SUM(B653:F653)*N641)),2)</f>
        <v>0</v>
      </c>
      <c r="O653" s="23">
        <f>ROUND(SUM(B653+C653+F653)*O641,2)</f>
        <v>0</v>
      </c>
      <c r="P653" s="27">
        <f t="shared" si="73"/>
        <v>0</v>
      </c>
    </row>
    <row r="654" spans="1:16" s="14" customFormat="1" ht="15" x14ac:dyDescent="0.25">
      <c r="A654" s="4" t="s">
        <v>2</v>
      </c>
      <c r="B654" s="27">
        <f>SUM(B642:B653)</f>
        <v>0</v>
      </c>
      <c r="C654" s="27">
        <f t="shared" ref="C654:D654" si="74">SUM(C642:C653)</f>
        <v>0</v>
      </c>
      <c r="D654" s="27">
        <f t="shared" si="74"/>
        <v>0</v>
      </c>
      <c r="E654" s="27">
        <f>SUM(E642:E653)</f>
        <v>0</v>
      </c>
      <c r="F654" s="27">
        <f>SUM(F642:F653)</f>
        <v>0</v>
      </c>
      <c r="G654" s="27">
        <f>SUM(G642:G653)</f>
        <v>0</v>
      </c>
      <c r="H654" s="1133">
        <f>SUM(H642:N653)</f>
        <v>0</v>
      </c>
      <c r="I654" s="1134"/>
      <c r="J654" s="1134"/>
      <c r="K654" s="1134"/>
      <c r="L654" s="1134"/>
      <c r="M654" s="1134"/>
      <c r="N654" s="1135"/>
      <c r="O654" s="27">
        <f>SUM(O642:O653)</f>
        <v>0</v>
      </c>
      <c r="P654" s="27">
        <f>SUM(P642:P653)</f>
        <v>0</v>
      </c>
    </row>
    <row r="655" spans="1:16" s="13" customFormat="1" ht="11.25" x14ac:dyDescent="0.2">
      <c r="A655" s="3" t="s">
        <v>1</v>
      </c>
      <c r="B655" s="2"/>
      <c r="C655" s="2"/>
      <c r="D655" s="2"/>
      <c r="E655" s="2"/>
      <c r="F655" s="2"/>
      <c r="G655" s="2"/>
      <c r="H655" s="2"/>
      <c r="I655" s="2"/>
      <c r="J655" s="2"/>
      <c r="K655" s="2"/>
      <c r="L655" s="2"/>
      <c r="M655" s="2"/>
      <c r="N655" s="2"/>
      <c r="O655" s="2"/>
      <c r="P655" s="2"/>
    </row>
    <row r="656" spans="1:16" s="1" customFormat="1" ht="14.25" customHeight="1" x14ac:dyDescent="0.2">
      <c r="A656" s="1136" t="s">
        <v>133</v>
      </c>
      <c r="B656" s="1137"/>
      <c r="C656" s="1137"/>
      <c r="D656" s="1137" t="s">
        <v>134</v>
      </c>
      <c r="E656" s="1137"/>
      <c r="F656" s="94" t="str">
        <f>IF(IF(G654=0,"",'päd.Personal - Leitung'!$F$40)=0,"",IF(G654=0,"",'päd.Personal - Leitung'!$F$40))</f>
        <v/>
      </c>
      <c r="G656" s="77" t="s">
        <v>135</v>
      </c>
      <c r="H656" s="96" t="str">
        <f>IF(IF(G654=0,"",'päd.Personal - Leitung'!$H$40)=0,"",IF(G654=0,"",'päd.Personal - Leitung'!$H$40))</f>
        <v/>
      </c>
      <c r="I656" s="73"/>
      <c r="J656" s="194" t="s">
        <v>160</v>
      </c>
      <c r="K656" s="194" t="str">
        <f>$K$40</f>
        <v>2021</v>
      </c>
      <c r="L656" s="194" t="str">
        <f>$L$40</f>
        <v>anteilig 2021</v>
      </c>
      <c r="M656" s="1138" t="s">
        <v>140</v>
      </c>
      <c r="N656" s="1138"/>
      <c r="O656" s="1139"/>
      <c r="P656" s="27">
        <f>ROUND(IF(F656="",IF(E660="",0,(E660*H660/K660)/L623*L624),G654*F656*H656/1000),2)</f>
        <v>0</v>
      </c>
    </row>
    <row r="657" spans="1:16" s="1" customFormat="1" ht="15" customHeight="1" x14ac:dyDescent="0.2">
      <c r="A657" s="1140" t="s">
        <v>145</v>
      </c>
      <c r="B657" s="1141"/>
      <c r="C657" s="1141"/>
      <c r="D657" s="18"/>
      <c r="E657" s="107" t="s">
        <v>135</v>
      </c>
      <c r="F657" s="95" t="str">
        <f>IF(IF(G654=0,"",'päd.Personal - Leitung'!$F$41)=0,"",IF(G654=0,"",'päd.Personal - Leitung'!$F$41))</f>
        <v/>
      </c>
      <c r="G657" s="48"/>
      <c r="H657" s="47"/>
      <c r="I657" s="48"/>
      <c r="J657" s="195" t="s">
        <v>158</v>
      </c>
      <c r="K657" s="198">
        <f>$K$41</f>
        <v>4837.5</v>
      </c>
      <c r="L657" s="197">
        <f>IF(L623="",K657,K657/L623*L624)</f>
        <v>4837.5</v>
      </c>
      <c r="M657" s="1138" t="s">
        <v>139</v>
      </c>
      <c r="N657" s="1138"/>
      <c r="O657" s="1139"/>
      <c r="P657" s="27">
        <f>ROUND(IF(F657="",0,G654*F657/1000),2)</f>
        <v>0</v>
      </c>
    </row>
    <row r="658" spans="1:16" s="1" customFormat="1" ht="15.75" customHeight="1" x14ac:dyDescent="0.2">
      <c r="A658" s="1142" t="s">
        <v>141</v>
      </c>
      <c r="B658" s="1143"/>
      <c r="C658" s="1143"/>
      <c r="D658" s="1144" t="s">
        <v>143</v>
      </c>
      <c r="E658" s="1144"/>
      <c r="F658" s="1145" t="str">
        <f>IF(IF(G654=0,"",'päd.Personal - Leitung'!$F$42)=0,"",IF(G654=0,"",'päd.Personal - Leitung'!$F$42))</f>
        <v/>
      </c>
      <c r="G658" s="1145"/>
      <c r="H658" s="72"/>
      <c r="I658" s="18"/>
      <c r="J658" s="195" t="s">
        <v>159</v>
      </c>
      <c r="K658" s="197">
        <f>$K$42</f>
        <v>6700</v>
      </c>
      <c r="L658" s="197">
        <f>IF(L623="",K658,K658/L623*L624)</f>
        <v>6700</v>
      </c>
      <c r="M658" s="1138" t="s">
        <v>141</v>
      </c>
      <c r="N658" s="1138"/>
      <c r="O658" s="1139"/>
      <c r="P658" s="23">
        <f>ROUND(IF(F658="",0,IF(G654=0,0,F658/L623*L624)),2)</f>
        <v>0</v>
      </c>
    </row>
    <row r="659" spans="1:16" s="1" customFormat="1" ht="14.25" customHeight="1" x14ac:dyDescent="0.2">
      <c r="A659" s="18"/>
      <c r="B659" s="18"/>
      <c r="C659" s="18"/>
      <c r="D659" s="18"/>
      <c r="E659" s="18"/>
      <c r="F659" s="18"/>
      <c r="G659" s="18"/>
      <c r="H659" s="18"/>
      <c r="I659" s="18"/>
      <c r="J659" s="18"/>
      <c r="K659" s="74"/>
      <c r="L659" s="82"/>
      <c r="M659" s="1127" t="s">
        <v>146</v>
      </c>
      <c r="N659" s="1127"/>
      <c r="O659" s="1128"/>
      <c r="P659" s="23">
        <f>ROUND(IF(G654=0,0,$P$87),2)</f>
        <v>0</v>
      </c>
    </row>
    <row r="660" spans="1:16" s="1" customFormat="1" ht="14.25" customHeight="1" x14ac:dyDescent="0.2">
      <c r="A660" s="1129" t="s">
        <v>142</v>
      </c>
      <c r="B660" s="1130"/>
      <c r="C660" s="126" t="s">
        <v>136</v>
      </c>
      <c r="D660" s="179" t="s">
        <v>137</v>
      </c>
      <c r="E660" s="1131" t="str">
        <f>IF(IF(G654=0,"",'päd.Personal - Leitung'!$E$44)=0,"",IF(G654=0,"",'päd.Personal - Leitung'!$E$44))</f>
        <v/>
      </c>
      <c r="F660" s="1131"/>
      <c r="G660" s="83" t="s">
        <v>138</v>
      </c>
      <c r="H660" s="97" t="str">
        <f>IF(IF(G654=0,"",'päd.Personal - Leitung'!$H$44)=0,"",IF(G654=0,"",'päd.Personal - Leitung'!$H$44))</f>
        <v/>
      </c>
      <c r="I660" s="1132" t="s">
        <v>144</v>
      </c>
      <c r="J660" s="1132"/>
      <c r="K660" s="98" t="str">
        <f>IF(IF(G654=0,"",'päd.Personal - Leitung'!$K$44)=0,"",IF(G654=0,"",'päd.Personal - Leitung'!$K$44))</f>
        <v/>
      </c>
      <c r="L660" s="29"/>
      <c r="M660" s="29"/>
      <c r="N660" s="29"/>
      <c r="O660" s="28" t="s">
        <v>0</v>
      </c>
      <c r="P660" s="27">
        <f>P654+SUM(P656:P659)</f>
        <v>0</v>
      </c>
    </row>
    <row r="661" spans="1:16" s="12" customFormat="1" ht="13.5" customHeight="1" x14ac:dyDescent="0.2">
      <c r="A661" s="1178" t="s">
        <v>18</v>
      </c>
      <c r="B661" s="1178"/>
      <c r="C661" s="1178"/>
      <c r="D661" s="1179" t="str">
        <f>IF($D$1="","",$D$1)</f>
        <v/>
      </c>
      <c r="E661" s="1179"/>
      <c r="F661" s="1179"/>
      <c r="G661" s="1179"/>
      <c r="H661" s="1179"/>
      <c r="I661" s="1179"/>
      <c r="J661" s="1179"/>
      <c r="K661" s="1179"/>
      <c r="L661" s="1179"/>
      <c r="M661" s="1179"/>
      <c r="N661" s="1179"/>
    </row>
    <row r="662" spans="1:16" s="12" customFormat="1" ht="15" customHeight="1" x14ac:dyDescent="0.2">
      <c r="A662" s="1178" t="s">
        <v>17</v>
      </c>
      <c r="B662" s="1178"/>
      <c r="C662" s="1178" t="s">
        <v>15</v>
      </c>
      <c r="D662" s="1179" t="str">
        <f>IF($D$2="","",$D$2)</f>
        <v/>
      </c>
      <c r="E662" s="1179"/>
      <c r="F662" s="1179"/>
      <c r="G662" s="1179"/>
      <c r="H662" s="1179"/>
      <c r="I662" s="1179"/>
      <c r="J662" s="1179"/>
      <c r="K662" s="1179"/>
      <c r="L662" s="1179"/>
      <c r="M662" s="1179"/>
      <c r="N662" s="1179"/>
    </row>
    <row r="663" spans="1:16" s="12" customFormat="1" ht="15" customHeight="1" x14ac:dyDescent="0.2">
      <c r="A663" s="1178" t="s">
        <v>16</v>
      </c>
      <c r="B663" s="1178"/>
      <c r="C663" s="1178" t="s">
        <v>15</v>
      </c>
      <c r="D663" s="1179" t="str">
        <f>IF($D$3="","",$D$3)</f>
        <v/>
      </c>
      <c r="E663" s="1179"/>
      <c r="F663" s="1179"/>
      <c r="G663" s="1179"/>
      <c r="H663" s="1179"/>
      <c r="I663" s="1179"/>
      <c r="J663" s="1179"/>
      <c r="K663" s="1178" t="s">
        <v>103</v>
      </c>
      <c r="L663" s="1178"/>
      <c r="M663" s="1178"/>
      <c r="N663" s="41" t="str">
        <f>IF($N$3="","",$N$3)</f>
        <v/>
      </c>
    </row>
    <row r="664" spans="1:16" s="13" customFormat="1" ht="11.25" x14ac:dyDescent="0.2">
      <c r="A664" s="1182"/>
      <c r="B664" s="1182"/>
      <c r="C664" s="1182"/>
      <c r="D664" s="1183"/>
      <c r="E664" s="1183"/>
      <c r="F664" s="1183"/>
      <c r="G664" s="1183"/>
      <c r="H664" s="1183"/>
      <c r="I664" s="1183"/>
      <c r="J664" s="1183"/>
      <c r="K664" s="11"/>
      <c r="L664" s="11"/>
      <c r="M664" s="11"/>
      <c r="N664" s="11"/>
      <c r="O664" s="11"/>
      <c r="P664" s="11"/>
    </row>
    <row r="665" spans="1:16" s="15" customFormat="1" ht="13.5" customHeight="1" x14ac:dyDescent="0.2">
      <c r="A665" s="1177" t="s">
        <v>166</v>
      </c>
      <c r="B665" s="1177"/>
      <c r="C665" s="1177"/>
      <c r="D665" s="1177"/>
      <c r="E665" s="1177"/>
      <c r="F665" s="1177"/>
      <c r="G665" s="1177"/>
      <c r="H665" s="1177"/>
      <c r="I665" s="1177"/>
      <c r="J665" s="1177"/>
      <c r="K665" s="9"/>
      <c r="L665" s="9"/>
      <c r="M665" s="9"/>
      <c r="N665" s="59" t="s">
        <v>154</v>
      </c>
      <c r="O665" s="191">
        <f>$O$5</f>
        <v>2022</v>
      </c>
      <c r="P665" s="59" t="s">
        <v>154</v>
      </c>
    </row>
    <row r="666" spans="1:16" s="10" customFormat="1" ht="13.5" customHeight="1" x14ac:dyDescent="0.25">
      <c r="B666" s="32"/>
      <c r="C666" s="32"/>
      <c r="D666" s="5" t="s">
        <v>171</v>
      </c>
      <c r="E666" s="31"/>
      <c r="F666" s="31"/>
      <c r="G666" s="31"/>
      <c r="H666" s="31"/>
      <c r="I666" s="26"/>
      <c r="J666" s="1174" t="s">
        <v>14</v>
      </c>
      <c r="K666" s="1174"/>
      <c r="L666" s="180"/>
      <c r="N666" s="84">
        <f>IF(L668="","",L668)</f>
        <v>0</v>
      </c>
      <c r="O666" s="58" t="str">
        <f>$O$6</f>
        <v>Jan                Jul</v>
      </c>
      <c r="P666" s="85">
        <f>IF(N671="","",N671)</f>
        <v>0</v>
      </c>
    </row>
    <row r="667" spans="1:16" s="7" customFormat="1" ht="13.5" customHeight="1" x14ac:dyDescent="0.25">
      <c r="A667" s="1180" t="s">
        <v>71</v>
      </c>
      <c r="B667" s="1180"/>
      <c r="C667" s="1180"/>
      <c r="D667" s="1184"/>
      <c r="E667" s="1184"/>
      <c r="F667" s="1184"/>
      <c r="G667" s="1184"/>
      <c r="H667" s="1184"/>
      <c r="I667" s="1184"/>
      <c r="J667" s="1174" t="s">
        <v>104</v>
      </c>
      <c r="K667" s="1174"/>
      <c r="L667" s="145"/>
      <c r="N667" s="85">
        <f>IF(N666="","",N666)</f>
        <v>0</v>
      </c>
      <c r="O667" s="58" t="str">
        <f>$O$7</f>
        <v>Feb              Aug</v>
      </c>
      <c r="P667" s="85">
        <f>IF(P666="","",P666)</f>
        <v>0</v>
      </c>
    </row>
    <row r="668" spans="1:16" s="1" customFormat="1" ht="13.5" customHeight="1" x14ac:dyDescent="0.2">
      <c r="A668" s="1180" t="s">
        <v>13</v>
      </c>
      <c r="B668" s="1180"/>
      <c r="C668" s="1180"/>
      <c r="D668" s="1181"/>
      <c r="E668" s="1181"/>
      <c r="F668" s="1181"/>
      <c r="G668" s="1181"/>
      <c r="H668" s="1181"/>
      <c r="I668" s="1181"/>
      <c r="J668" s="1174" t="s">
        <v>164</v>
      </c>
      <c r="K668" s="1174"/>
      <c r="L668" s="145">
        <f>IF((L669+L670)&gt;L667,0,L667-L669-L670)</f>
        <v>0</v>
      </c>
      <c r="N668" s="85">
        <f>IF(N667="","",N667)</f>
        <v>0</v>
      </c>
      <c r="O668" s="58" t="str">
        <f>$O$8</f>
        <v>Mrz              Sep</v>
      </c>
      <c r="P668" s="85">
        <f>IF(P667="","",P667)</f>
        <v>0</v>
      </c>
    </row>
    <row r="669" spans="1:16" s="1" customFormat="1" ht="13.5" customHeight="1" x14ac:dyDescent="0.2">
      <c r="A669" s="1180" t="s">
        <v>12</v>
      </c>
      <c r="B669" s="1180"/>
      <c r="C669" s="1180"/>
      <c r="D669" s="1181"/>
      <c r="E669" s="1181"/>
      <c r="F669" s="1181"/>
      <c r="G669" s="1181"/>
      <c r="H669" s="1181"/>
      <c r="I669" s="1181"/>
      <c r="J669" s="1174" t="s">
        <v>165</v>
      </c>
      <c r="K669" s="1174"/>
      <c r="L669" s="145"/>
      <c r="N669" s="85">
        <f>IF(N668="","",N668)</f>
        <v>0</v>
      </c>
      <c r="O669" s="58" t="str">
        <f>$O$9</f>
        <v>Apr               Okt</v>
      </c>
      <c r="P669" s="85">
        <f t="shared" ref="P669:P671" si="75">IF(P668="","",P668)</f>
        <v>0</v>
      </c>
    </row>
    <row r="670" spans="1:16" s="1" customFormat="1" ht="13.5" customHeight="1" x14ac:dyDescent="0.2">
      <c r="A670" s="1180" t="s">
        <v>19</v>
      </c>
      <c r="B670" s="1180"/>
      <c r="C670" s="1180"/>
      <c r="D670" s="1181"/>
      <c r="E670" s="1181"/>
      <c r="F670" s="1181"/>
      <c r="G670" s="1181"/>
      <c r="H670" s="1181"/>
      <c r="I670" s="1181"/>
      <c r="J670" s="1174" t="s">
        <v>252</v>
      </c>
      <c r="K670" s="1174"/>
      <c r="L670" s="145"/>
      <c r="M670" s="92"/>
      <c r="N670" s="85">
        <f>IF(N669="","",N669)</f>
        <v>0</v>
      </c>
      <c r="O670" s="58" t="str">
        <f>$O$10</f>
        <v>Mai               Nov</v>
      </c>
      <c r="P670" s="85">
        <f t="shared" si="75"/>
        <v>0</v>
      </c>
    </row>
    <row r="671" spans="1:16" s="1" customFormat="1" ht="13.5" customHeight="1" x14ac:dyDescent="0.2">
      <c r="B671" s="8"/>
      <c r="C671" s="121" t="s">
        <v>162</v>
      </c>
      <c r="D671" s="1175"/>
      <c r="E671" s="1175"/>
      <c r="F671" s="1176" t="s">
        <v>106</v>
      </c>
      <c r="G671" s="1176"/>
      <c r="H671" s="1186"/>
      <c r="I671" s="1186"/>
      <c r="J671" s="1174" t="s">
        <v>97</v>
      </c>
      <c r="K671" s="1174"/>
      <c r="L671" s="17" t="str">
        <f>IF(IF((COUNTIF(B686:B697,"&gt;0"))=0,0,(COUNTIF(B686:B697,"&gt;0")))&gt;Grundlagen!$C$24,Grundlagen!$C$24,IF((COUNTIF(B686:B697,"&gt;0"))=0,"",(COUNTIF(B686:B697,"&gt;0"))))</f>
        <v/>
      </c>
      <c r="N671" s="85">
        <f>IF(N670="","",N670)</f>
        <v>0</v>
      </c>
      <c r="O671" s="58" t="str">
        <f>'päd.Personal - Leitung'!$O$11</f>
        <v>Jun               Dez</v>
      </c>
      <c r="P671" s="85">
        <f t="shared" si="75"/>
        <v>0</v>
      </c>
    </row>
    <row r="672" spans="1:16" s="1" customFormat="1" ht="13.5" customHeight="1" x14ac:dyDescent="0.2">
      <c r="I672" s="6"/>
      <c r="L672" s="147" t="str">
        <f>IF((SUM(F674:F677))=0,"",IF(P672&gt;L668,L668,IF(L668="","",IF(L671="","",P672))))</f>
        <v/>
      </c>
      <c r="O672" s="174" t="s">
        <v>251</v>
      </c>
      <c r="P672" s="175">
        <f>IF(L671="",0,((IF(SUMIF(B686,"&gt;0"),N666,0))+(IF(SUMIF(B687,"&gt;0"),N667,0))+(IF(SUMIF(B688,"&gt;0"),N668,0))+(IF(SUMIF(B689,"&gt;0"),N669,0))+(IF(SUMIF(B690,"&gt;0"),N670,0))+(IF(SUMIF(B691,"&gt;0"),N671,0))+(IF(SUMIF(B692,"&gt;0"),P666,0))+(IF(SUMIF(B693,"&gt;0"),P667,0))+(IF(SUMIF(B694,"&gt;0"),P668,0))+(IF(SUMIF(B695,"&gt;0"),P669,0))+(IF(SUMIF(B696,"&gt;0"),P670,0))+(IF(SUMIF(B697,"&gt;0"),P671,0)))/Grundlagen!$C$24)</f>
        <v>0</v>
      </c>
    </row>
    <row r="673" spans="1:16" s="52" customFormat="1" ht="13.5" customHeight="1" x14ac:dyDescent="0.2">
      <c r="A673" s="61" t="s">
        <v>148</v>
      </c>
      <c r="B673" s="1168" t="s">
        <v>149</v>
      </c>
      <c r="C673" s="1168"/>
      <c r="D673" s="62" t="s">
        <v>150</v>
      </c>
      <c r="E673" s="63" t="s">
        <v>151</v>
      </c>
      <c r="F673" s="64" t="str">
        <f>CONCATENATE("Entg. ",N663," h/Wo")</f>
        <v>Entg.  h/Wo</v>
      </c>
      <c r="G673" s="65" t="s">
        <v>152</v>
      </c>
      <c r="H673" s="65" t="s">
        <v>153</v>
      </c>
      <c r="K673" s="1169" t="str">
        <f>CONCATENATE("Zuschläge / Zulagen für ",N663,"h/Wo")</f>
        <v>Zuschläge / Zulagen für h/Wo</v>
      </c>
      <c r="L673" s="1169"/>
      <c r="M673" s="66" t="str">
        <f>IF(A674="","",A674)</f>
        <v>Jan 2022</v>
      </c>
      <c r="N673" s="66" t="str">
        <f>IF(A675="","",A675)</f>
        <v/>
      </c>
      <c r="O673" s="66" t="str">
        <f>IF(A676="","",A676)</f>
        <v/>
      </c>
      <c r="P673" s="66" t="str">
        <f>IF(A677="","",A677)</f>
        <v/>
      </c>
    </row>
    <row r="674" spans="1:16" s="52" customFormat="1" ht="13.5" customHeight="1" x14ac:dyDescent="0.25">
      <c r="A674" s="54" t="str">
        <f>A686</f>
        <v>Jan 2022</v>
      </c>
      <c r="B674" s="1170" t="str">
        <f>IF($D$3="","",$D$3)</f>
        <v/>
      </c>
      <c r="C674" s="1171"/>
      <c r="D674" s="181"/>
      <c r="E674" s="181"/>
      <c r="F674" s="87"/>
      <c r="G674" s="56">
        <f>IF(N663="",0,F674/N663/4.348)</f>
        <v>0</v>
      </c>
      <c r="H674" s="53">
        <f>IF(G674=0,0,M679)</f>
        <v>0</v>
      </c>
      <c r="K674" s="1146"/>
      <c r="L674" s="1146"/>
      <c r="M674" s="172"/>
      <c r="N674" s="172"/>
      <c r="O674" s="172"/>
      <c r="P674" s="172"/>
    </row>
    <row r="675" spans="1:16" s="52" customFormat="1" ht="13.5" customHeight="1" x14ac:dyDescent="0.25">
      <c r="A675" s="55"/>
      <c r="B675" s="1172" t="str">
        <f>IF(A675="","",B674)</f>
        <v/>
      </c>
      <c r="C675" s="1173"/>
      <c r="D675" s="181"/>
      <c r="E675" s="181"/>
      <c r="F675" s="87"/>
      <c r="G675" s="56">
        <f>IF(N663="",0,F675/N663/4.348)</f>
        <v>0</v>
      </c>
      <c r="H675" s="53">
        <f>IF(G675=0,0,N679)</f>
        <v>0</v>
      </c>
      <c r="K675" s="1146"/>
      <c r="L675" s="1146"/>
      <c r="M675" s="172"/>
      <c r="N675" s="172"/>
      <c r="O675" s="172"/>
      <c r="P675" s="172"/>
    </row>
    <row r="676" spans="1:16" s="52" customFormat="1" ht="13.5" customHeight="1" x14ac:dyDescent="0.25">
      <c r="A676" s="55"/>
      <c r="B676" s="1172" t="str">
        <f>IF(A676="","",B675)</f>
        <v/>
      </c>
      <c r="C676" s="1173"/>
      <c r="D676" s="181"/>
      <c r="E676" s="181"/>
      <c r="F676" s="87"/>
      <c r="G676" s="56">
        <f>IF(N663="",0,F676/N663/4.348)</f>
        <v>0</v>
      </c>
      <c r="H676" s="53">
        <f>IF(G676=0,0,O679)</f>
        <v>0</v>
      </c>
      <c r="K676" s="1146"/>
      <c r="L676" s="1146"/>
      <c r="M676" s="172"/>
      <c r="N676" s="172"/>
      <c r="O676" s="172"/>
      <c r="P676" s="172"/>
    </row>
    <row r="677" spans="1:16" s="52" customFormat="1" ht="13.5" customHeight="1" x14ac:dyDescent="0.25">
      <c r="A677" s="55"/>
      <c r="B677" s="1172" t="str">
        <f>IF(A677="","",B676)</f>
        <v/>
      </c>
      <c r="C677" s="1173"/>
      <c r="D677" s="181"/>
      <c r="E677" s="181"/>
      <c r="F677" s="87"/>
      <c r="G677" s="56">
        <f>IF(N663="",0,F677/N663/4.348)</f>
        <v>0</v>
      </c>
      <c r="H677" s="53">
        <f>IF(G677=0,0,P679)</f>
        <v>0</v>
      </c>
      <c r="K677" s="1146"/>
      <c r="L677" s="1146"/>
      <c r="M677" s="172"/>
      <c r="N677" s="172"/>
      <c r="O677" s="172"/>
      <c r="P677" s="172"/>
    </row>
    <row r="678" spans="1:16" s="52" customFormat="1" ht="13.5" customHeight="1" x14ac:dyDescent="0.25">
      <c r="B678" s="1167" t="s">
        <v>157</v>
      </c>
      <c r="C678" s="1167"/>
      <c r="E678" s="1167" t="s">
        <v>156</v>
      </c>
      <c r="F678" s="1167"/>
      <c r="J678" s="69"/>
      <c r="K678" s="1146"/>
      <c r="L678" s="1146"/>
      <c r="M678" s="172"/>
      <c r="N678" s="172"/>
      <c r="O678" s="172"/>
      <c r="P678" s="172"/>
    </row>
    <row r="679" spans="1:16" s="52" customFormat="1" ht="13.5" customHeight="1" x14ac:dyDescent="0.25">
      <c r="A679" s="70" t="s">
        <v>167</v>
      </c>
      <c r="B679" s="67"/>
      <c r="C679" s="99" t="str">
        <f>IF(C635="","",C635)</f>
        <v/>
      </c>
      <c r="D679" s="70" t="s">
        <v>167</v>
      </c>
      <c r="E679" s="67"/>
      <c r="F679" s="99" t="str">
        <f>IF(F635="","",F635)</f>
        <v/>
      </c>
      <c r="J679" s="68"/>
      <c r="M679" s="173">
        <f>SUM(M674:M678)</f>
        <v>0</v>
      </c>
      <c r="N679" s="173">
        <f t="shared" ref="N679:P679" si="76">SUM(N674:N678)</f>
        <v>0</v>
      </c>
      <c r="O679" s="173">
        <f t="shared" si="76"/>
        <v>0</v>
      </c>
      <c r="P679" s="173">
        <f t="shared" si="76"/>
        <v>0</v>
      </c>
    </row>
    <row r="680" spans="1:16" s="52" customFormat="1" ht="13.5" customHeight="1" x14ac:dyDescent="0.2">
      <c r="A680" s="60" t="s">
        <v>155</v>
      </c>
    </row>
    <row r="681" spans="1:16" s="1" customFormat="1" ht="14.25" customHeight="1" x14ac:dyDescent="0.2">
      <c r="A681" s="1147"/>
      <c r="B681" s="1149" t="s">
        <v>9</v>
      </c>
      <c r="C681" s="1150"/>
      <c r="D681" s="1150"/>
      <c r="E681" s="1150"/>
      <c r="F681" s="1150"/>
      <c r="G681" s="1151"/>
      <c r="H681" s="1152" t="s">
        <v>119</v>
      </c>
      <c r="I681" s="1153"/>
      <c r="J681" s="1153"/>
      <c r="K681" s="1153"/>
      <c r="L681" s="1153"/>
      <c r="M681" s="1153"/>
      <c r="N681" s="1153"/>
      <c r="O681" s="33"/>
      <c r="P681" s="1154" t="s">
        <v>0</v>
      </c>
    </row>
    <row r="682" spans="1:16" s="1" customFormat="1" ht="14.25" customHeight="1" x14ac:dyDescent="0.2">
      <c r="A682" s="1148"/>
      <c r="B682" s="1157" t="s">
        <v>117</v>
      </c>
      <c r="C682" s="124" t="s">
        <v>115</v>
      </c>
      <c r="D682" s="1159" t="s">
        <v>277</v>
      </c>
      <c r="E682" s="1161" t="s">
        <v>147</v>
      </c>
      <c r="F682" s="127" t="s">
        <v>7</v>
      </c>
      <c r="G682" s="1162" t="s">
        <v>6</v>
      </c>
      <c r="H682" s="1161" t="s">
        <v>129</v>
      </c>
      <c r="I682" s="1161" t="s">
        <v>5</v>
      </c>
      <c r="J682" s="1161" t="s">
        <v>4</v>
      </c>
      <c r="K682" s="1161" t="s">
        <v>3</v>
      </c>
      <c r="L682" s="1161" t="s">
        <v>121</v>
      </c>
      <c r="M682" s="1161" t="s">
        <v>122</v>
      </c>
      <c r="N682" s="1161" t="s">
        <v>123</v>
      </c>
      <c r="O682" s="1160" t="s">
        <v>114</v>
      </c>
      <c r="P682" s="1155"/>
    </row>
    <row r="683" spans="1:16" s="1" customFormat="1" ht="14.25" customHeight="1" x14ac:dyDescent="0.2">
      <c r="A683" s="1148"/>
      <c r="B683" s="1157"/>
      <c r="C683" s="21" t="str">
        <f>IF(C679="","",C679)</f>
        <v/>
      </c>
      <c r="D683" s="1160"/>
      <c r="E683" s="1161"/>
      <c r="F683" s="1165" t="str">
        <f>IF(H674=0,"","siehe Zuschläge / Zulagen")</f>
        <v/>
      </c>
      <c r="G683" s="1162"/>
      <c r="H683" s="1164" t="s">
        <v>127</v>
      </c>
      <c r="I683" s="1164"/>
      <c r="J683" s="1164"/>
      <c r="K683" s="1164"/>
      <c r="L683" s="1164"/>
      <c r="M683" s="1164"/>
      <c r="N683" s="1164"/>
      <c r="O683" s="1160"/>
      <c r="P683" s="1155"/>
    </row>
    <row r="684" spans="1:16" s="1" customFormat="1" x14ac:dyDescent="0.2">
      <c r="A684" s="1148"/>
      <c r="B684" s="1157"/>
      <c r="C684" s="122" t="s">
        <v>70</v>
      </c>
      <c r="D684" s="1160"/>
      <c r="E684" s="1161"/>
      <c r="F684" s="1165"/>
      <c r="G684" s="1162"/>
      <c r="H684" s="43" t="s">
        <v>128</v>
      </c>
      <c r="I684" s="43" t="s">
        <v>255</v>
      </c>
      <c r="J684" s="43" t="s">
        <v>256</v>
      </c>
      <c r="K684" s="43" t="s">
        <v>257</v>
      </c>
      <c r="L684" s="43"/>
      <c r="M684" s="43"/>
      <c r="N684" s="43" t="s">
        <v>254</v>
      </c>
      <c r="O684" s="1160"/>
      <c r="P684" s="1155"/>
    </row>
    <row r="685" spans="1:16" s="1" customFormat="1" x14ac:dyDescent="0.2">
      <c r="A685" s="1148"/>
      <c r="B685" s="1158"/>
      <c r="C685" s="21" t="str">
        <f>IF(F679="","",F679)</f>
        <v/>
      </c>
      <c r="D685" s="51"/>
      <c r="E685" s="51"/>
      <c r="F685" s="1166"/>
      <c r="G685" s="1163"/>
      <c r="H685" s="93"/>
      <c r="I685" s="139">
        <f>$I$69</f>
        <v>0</v>
      </c>
      <c r="J685" s="139">
        <f>$J$69</f>
        <v>0</v>
      </c>
      <c r="K685" s="44">
        <f>$K$69</f>
        <v>0</v>
      </c>
      <c r="L685" s="21"/>
      <c r="M685" s="21"/>
      <c r="N685" s="139">
        <f>$N$69</f>
        <v>0</v>
      </c>
      <c r="O685" s="21">
        <f>O641</f>
        <v>0</v>
      </c>
      <c r="P685" s="1156"/>
    </row>
    <row r="686" spans="1:16" s="1" customFormat="1" x14ac:dyDescent="0.2">
      <c r="A686" s="100" t="str">
        <f>$A$26</f>
        <v>Jan 2022</v>
      </c>
      <c r="B686" s="24">
        <f>ROUND(IF(N666=0,0,(LOOKUP(2,1/(A674:A677=A686),G674:G677))*N666*4.348),2)</f>
        <v>0</v>
      </c>
      <c r="C686" s="23">
        <f>ROUND(IFERROR(((LOOKUP(2,1/(B679=A686),((SUM(B692:B694)+SUM(F692:F694))/3)*C679))),0)+IFERROR(((LOOKUP(2,1/(E679=A686),(B698+F698)*F679))),0),2)</f>
        <v>0</v>
      </c>
      <c r="D686" s="23">
        <f>ROUND(IF(B686=0,0,D685/L667*N666),2)</f>
        <v>0</v>
      </c>
      <c r="E686" s="23">
        <f>ROUND(IF(B686=0,0,E685/N663*N666),2)</f>
        <v>0</v>
      </c>
      <c r="F686" s="24">
        <f>ROUND(IF(N666=0,0,(LOOKUP(2,1/(A674:A677=A686),H674:H677))/N663*N666),2)</f>
        <v>0</v>
      </c>
      <c r="G686" s="27">
        <f>SUM(B686+C686+E686+F686)</f>
        <v>0</v>
      </c>
      <c r="H686" s="76">
        <f>ROUND(IF((SUM(B686:F686))&gt;L701,L701*H685,SUM(B686:F686)*H685),2)</f>
        <v>0</v>
      </c>
      <c r="I686" s="76">
        <f>ROUND(IF((SUM(B686:F686))&gt;L702,L702*I685,SUM(B686:F686)*I685),2)</f>
        <v>0</v>
      </c>
      <c r="J686" s="76">
        <f>ROUND(IF((SUM(B686:F686))&gt;L702,L702*J685,SUM(B686:F686)*J685),2)</f>
        <v>0</v>
      </c>
      <c r="K686" s="76">
        <f>ROUND(IF((SUM(B686:F686))&gt;L701,L701*K685,SUM(B686:F686)*K685),2)</f>
        <v>0</v>
      </c>
      <c r="L686" s="76">
        <f>ROUND(IF((SUM(B686:F686))&gt;L702,L702*L685,(SUM(B686:F686)-C686)*L685),2)</f>
        <v>0</v>
      </c>
      <c r="M686" s="76">
        <f>ROUND(IF((SUM(B686:F686))&gt;L702,L702*M685,(SUM(B686:F686)-C686)*M685),2)</f>
        <v>0</v>
      </c>
      <c r="N686" s="76">
        <f>ROUND(IF((SUM(B686:F686))&gt;L702,L702*N685,SUM(B686:F686)*N685),2)</f>
        <v>0</v>
      </c>
      <c r="O686" s="23">
        <f>ROUND(SUM(B686+C686+F686)*O685,2)</f>
        <v>0</v>
      </c>
      <c r="P686" s="27">
        <f>SUM(G686:O686)</f>
        <v>0</v>
      </c>
    </row>
    <row r="687" spans="1:16" s="1" customFormat="1" x14ac:dyDescent="0.2">
      <c r="A687" s="100" t="str">
        <f>$A$27</f>
        <v>Feb 2022</v>
      </c>
      <c r="B687" s="24">
        <f>ROUND(IF(N667=0,0,IFERROR(((LOOKUP(2,1/(A674:A677=A687),G674:G677))*N667*4.348),B686/N667*N667)),2)</f>
        <v>0</v>
      </c>
      <c r="C687" s="23">
        <f>ROUND(IFERROR(((LOOKUP(2,1/(B679=A687),((SUM(B692:B694)+SUM(F692:F694))/3)*C679))),0)+IFERROR(((LOOKUP(2,1/(E679=A687),(B698+F698)*F679))),0),2)</f>
        <v>0</v>
      </c>
      <c r="D687" s="23">
        <f>ROUND(IF(B687=0,0,D685/L667*N667),2)</f>
        <v>0</v>
      </c>
      <c r="E687" s="23">
        <f>ROUND(IF(B687=0,0,E685/N663*N667),2)</f>
        <v>0</v>
      </c>
      <c r="F687" s="24">
        <f>ROUND(IF(N667=0,0,IFERROR(((LOOKUP(2,1/(A674:A677=A687),H674:H677))/N663*N667),F686/N667*N667)),2)</f>
        <v>0</v>
      </c>
      <c r="G687" s="27">
        <f t="shared" ref="G687:G697" si="77">SUM(B687+C687+E687+F687)</f>
        <v>0</v>
      </c>
      <c r="H687" s="76">
        <f>ROUND(IF(SUM(B686:F686)&lt;(L701*1),IF((SUM(B686:F687))&gt;(L701*2),(((L701*2)-(SUM(B686:F687)-C686))*H685)+((SUM(B687:F687)-C686)*H685),SUM(B687:F687)*H685),IF(SUM(B686:F687)&gt;(L701*2),L701*H685,SUM(B687:F687)*H685)),2)</f>
        <v>0</v>
      </c>
      <c r="I687" s="76">
        <f>ROUND(IF(SUM(B686:F686)&lt;(L702*1),IF((SUM(B686:F687))&gt;(L702*2),(((L702*2)-(SUM(B686:F687)-C686))*I685)+((SUM(B687:F687)-C686)*I685),SUM(B687:F687)*I685),IF(SUM(B686:F687)&gt;(L702*2),L702*I685,SUM(B687:F687)*I685)),2)</f>
        <v>0</v>
      </c>
      <c r="J687" s="76">
        <f>ROUND(IF(SUM(B686:F686)&lt;(L702*1),IF((SUM(B686:F687))&gt;(L702*2),(((L702*2)-(SUM(B686:F687)-C686))*J685)+((SUM(B687:F687)-C686)*J685),SUM(B687:F687)*J685),IF(SUM(B686:F687)&gt;(L702*2),L702*J685,SUM(B687:F687)*J685)),2)</f>
        <v>0</v>
      </c>
      <c r="K687" s="76">
        <f>ROUND(IF(SUM(B686:F686)&lt;(L701*1),IF((SUM(B686:F687))&gt;(L701*2),(((L701*2)-(SUM(B686:F687)-C686))*K685)+((SUM(B687:F687)-C686)*K685),SUM(B687:F687)*K685),IF(SUM(B686:F687)&gt;(L701*2),L701*K685,SUM(B687:F687)*K685)),2)</f>
        <v>0</v>
      </c>
      <c r="L687" s="76">
        <f>ROUND(IF(SUM(B686:F686)&lt;(L702*1),IF((SUM(B686:F687))&gt;(L702*2),(((L702*2)-(SUM(B686:F687)-C687))*L685)+((SUM(B687:F687)-C687)*L685),(SUM(B687:F687)-C687)*L685),IF(SUM(B686:F687)&gt;(L702*2),L702*L685,SUM(B687:F687)*L685)),2)</f>
        <v>0</v>
      </c>
      <c r="M687" s="76">
        <f>ROUND(IF(SUM(B686:F686)&lt;(L702*1),IF((SUM(B686:F687))&gt;(L702*2),(((L702*2)-(SUM(B686:F687)-C687))*M685)+((SUM(B687:F687)-C687)*M685),(SUM(B687:F687)-C687)*M685),IF(SUM(B686:F687)&gt;(L702*2),L702*M685,SUM(B687:F687)*M685)),2)</f>
        <v>0</v>
      </c>
      <c r="N687" s="76">
        <f>ROUND(IF(SUM(B686:F686)&lt;(L702*1),IF((SUM(B686:F687))&gt;(L702*2),(((L702*2)-(SUM(B686:F687)-C686))*N685)+((SUM(B687:F687)-C686)*N685),SUM(B687:F687)*N685),IF(SUM(B686:F687)&gt;(L702*2),L702*N685,SUM(B687:F687)*N685)),2)</f>
        <v>0</v>
      </c>
      <c r="O687" s="23">
        <f>ROUND(SUM(B687+C687+F687)*O685,2)</f>
        <v>0</v>
      </c>
      <c r="P687" s="27">
        <f>SUM(G687:O687)</f>
        <v>0</v>
      </c>
    </row>
    <row r="688" spans="1:16" s="1" customFormat="1" x14ac:dyDescent="0.2">
      <c r="A688" s="100" t="str">
        <f>$A$28</f>
        <v>Mrz 2022</v>
      </c>
      <c r="B688" s="24">
        <f>ROUND(IF(N668=0,0,IFERROR(((LOOKUP(2,1/(A674:A677=A688),G674:G677))*N668*4.348),B687/N668*N668)),2)</f>
        <v>0</v>
      </c>
      <c r="C688" s="23">
        <f>ROUND(IFERROR(((LOOKUP(2,1/(B679=A688),((SUM(B692:B694)+SUM(F692:F694))/3)*C679))),0)+IFERROR(((LOOKUP(2,1/(E679=A688),(B698+F698)*F679))),0),2)</f>
        <v>0</v>
      </c>
      <c r="D688" s="23">
        <f>ROUND(IF(B688=0,0,D685/L667*N668),2)</f>
        <v>0</v>
      </c>
      <c r="E688" s="23">
        <f>ROUND(IF(B688=0,0,E685/N663*N668),2)</f>
        <v>0</v>
      </c>
      <c r="F688" s="24">
        <f>ROUND(IF(N668=0,0,IFERROR(((LOOKUP(2,1/(A674:A677=A688),H674:H677))/N663*N668),F687/N668*N668)),2)</f>
        <v>0</v>
      </c>
      <c r="G688" s="27">
        <f t="shared" si="77"/>
        <v>0</v>
      </c>
      <c r="H688" s="76">
        <f>ROUND(IF(SUM(B686:F687)&lt;(L701*2),IF((SUM(B686:F688))&gt;(L701*3),(((L701*3)-(SUM(B686:F688)-C687))*H685)+((SUM(B688:F688)-C687)*H685),SUM(B688:F688)*H685),IF(SUM(B686:F688)&gt;(L701*3),L701*H685,SUM(B688:F688)*H685)),2)</f>
        <v>0</v>
      </c>
      <c r="I688" s="76">
        <f>ROUND(IF(SUM(B686:F687)&lt;(L702*2),IF((SUM(B686:F688))&gt;(L702*3),(((L702*3)-(SUM(B686:F688)-C687))*I685)+((SUM(B688:F688)-C687)*I685),SUM(B688:F688)*I685),IF(SUM(B686:F688)&gt;(L702*3),L702*I685,SUM(B688:F688)*I685)),2)</f>
        <v>0</v>
      </c>
      <c r="J688" s="76">
        <f>ROUND(IF(SUM(B686:F687)&lt;(L702*2),IF((SUM(B686:F688))&gt;(L702*3),(((L702*3)-(SUM(B686:F688)-C687))*J685)+((SUM(B688:F688)-C687)*J685),SUM(B688:F688)*J685),IF(SUM(B686:F688)&gt;(L702*3),L702*J685,SUM(B688:F688)*J685)),2)</f>
        <v>0</v>
      </c>
      <c r="K688" s="76">
        <f>ROUND(IF(SUM(B686:F687)&lt;(L701*2),IF((SUM(B686:F688))&gt;(L701*3),(((L701*3)-(SUM(B686:F688)-C687))*K685)+((SUM(B688:F688)-C687)*K685),SUM(B688:F688)*K685),IF(SUM(B686:F688)&gt;(L701*3),L701*K685,SUM(B688:F688)*K685)),2)</f>
        <v>0</v>
      </c>
      <c r="L688" s="76">
        <f>ROUND(IF(SUM(B686:F687)&lt;(L702*2),IF((SUM(B686:F688))&gt;(L702*3),(((L702*3)-(SUM(B686:F688)-C688))*L685)+((SUM(B688:F688)-C688)*L685),(SUM(B688:F688)-C688)*L685),IF(SUM(B686:F688)&gt;(L702*3),L702*L685,SUM(B688:F688)*L685)),2)</f>
        <v>0</v>
      </c>
      <c r="M688" s="76">
        <f>ROUND(IF(SUM(B686:F687)&lt;(L702*2),IF((SUM(B686:F688))&gt;(L702*3),(((L702*3)-(SUM(B686:F688)-C688))*M685)+((SUM(B688:F688)-C688)*M685),(SUM(B688:F688)-C688)*M685),IF(SUM(B686:F688)&gt;(L702*3),L702*M685,SUM(B688:F688)*M685)),2)</f>
        <v>0</v>
      </c>
      <c r="N688" s="76">
        <f>ROUND(IF(SUM(B686:F687)&lt;(L702*2),IF((SUM(B686:F688))&gt;(L702*3),(((L702*3)-(SUM(B686:F688)-C687))*N685)+((SUM(B688:F688)-C687)*N685),SUM(B688:F688)*N685),IF(SUM(B686:F688)&gt;(L702*3),L702*N685,SUM(B688:F688)*N685)),2)</f>
        <v>0</v>
      </c>
      <c r="O688" s="23">
        <f>ROUND(SUM(B688+C688+F688)*O685,2)</f>
        <v>0</v>
      </c>
      <c r="P688" s="27">
        <f t="shared" ref="P688:P697" si="78">SUM(G688:O688)</f>
        <v>0</v>
      </c>
    </row>
    <row r="689" spans="1:16" s="1" customFormat="1" x14ac:dyDescent="0.2">
      <c r="A689" s="100" t="str">
        <f>$A$29</f>
        <v>Apr 2022</v>
      </c>
      <c r="B689" s="24">
        <f>ROUND(IF(N669=0,0,IFERROR(((LOOKUP(2,1/(A674:A677=A689),G674:G677))*N669*4.348),B688/N669*N669)),2)</f>
        <v>0</v>
      </c>
      <c r="C689" s="23">
        <f>ROUND(IFERROR(((LOOKUP(2,1/(B679=A689),((SUM(B692:B694)+SUM(F692:F694))/3)*C679))),0)+IFERROR(((LOOKUP(2,1/(E679=A689),(B698+F698)*F679))),0),2)</f>
        <v>0</v>
      </c>
      <c r="D689" s="23">
        <f>ROUND(IF(B689=0,0,D685/L667*N669),2)</f>
        <v>0</v>
      </c>
      <c r="E689" s="23">
        <f>ROUND(IF(B689=0,0,E685/N663*N669),2)</f>
        <v>0</v>
      </c>
      <c r="F689" s="24">
        <f>ROUND(IF(N669=0,0,IFERROR(((LOOKUP(2,1/(A674:A677=A689),H674:H677))/N663*N669),F688/N669*N669)),2)</f>
        <v>0</v>
      </c>
      <c r="G689" s="27">
        <f t="shared" si="77"/>
        <v>0</v>
      </c>
      <c r="H689" s="76">
        <f>ROUND(IF(SUM(B686:F688)&lt;(L701*3),IF((SUM(B686:F689))&gt;(L701*4),(((L701*4)-(SUM(B686:F689)-C688))*H685)+((SUM(B689:F689)-C688)*H685),SUM(B689:F689)*H685),IF(SUM(B686:F689)&gt;(L701*4),L701*H685,SUM(B689:F689)*H685)),2)</f>
        <v>0</v>
      </c>
      <c r="I689" s="76">
        <f>ROUND(IF(SUM(B686:F688)&lt;(L702*3),IF((SUM(B686:F689))&gt;(L702*4),(((L702*4)-(SUM(B686:F689)-C688))*I685)+((SUM(B689:F689)-C688)*I685),SUM(B689:F689)*I685),IF(SUM(B686:F689)&gt;(L702*4),L702*I685,SUM(B689:F689)*I685)),2)</f>
        <v>0</v>
      </c>
      <c r="J689" s="76">
        <f>ROUND(IF(SUM(B686:F688)&lt;(L702*3),IF((SUM(B686:F689))&gt;(L702*4),(((L702*4)-(SUM(B686:F689)-C688))*J685)+((SUM(B689:F689)-C688)*J685),SUM(B689:F689)*J685),IF(SUM(B686:F689)&gt;(L702*4),L702*J685,SUM(B689:F689)*J685)),2)</f>
        <v>0</v>
      </c>
      <c r="K689" s="76">
        <f>ROUND(IF(SUM(B686:F688)&lt;(L701*3),IF((SUM(B686:F689))&gt;(L701*4),(((L701*4)-(SUM(B686:F689)-C688))*K685)+((SUM(B689:F689)-C688)*K685),SUM(B689:F689)*K685),IF(SUM(B686:F689)&gt;(L701*4),L701*K685,SUM(B689:F689)*K685)),2)</f>
        <v>0</v>
      </c>
      <c r="L689" s="76">
        <f>ROUND(IF(SUM(B686:F688)&lt;(L702*3),IF((SUM(B686:F689))&gt;(L702*4),(((L702*4)-(SUM(B686:F689)-C689))*L685)+((SUM(B689:F689)-C689)*L685),(SUM(B689:F689)-C689)*L685),IF(SUM(B686:F689)&gt;(L702*4),L702*L685,SUM(B689:F689)*L685)),2)</f>
        <v>0</v>
      </c>
      <c r="M689" s="76">
        <f>ROUND(IF(SUM(B686:F688)&lt;(L702*3),IF((SUM(B686:F689))&gt;(L702*4),(((L702*4)-(SUM(B686:F689)-C689))*M685)+((SUM(B689:F689)-C689)*M685),(SUM(B689:F689)-C689)*M685),IF(SUM(B686:F689)&gt;(L702*4),L702*M685,SUM(B689:F689)*M685)),2)</f>
        <v>0</v>
      </c>
      <c r="N689" s="76">
        <f>ROUND(IF(SUM(B686:F688)&lt;(L702*3),IF((SUM(B686:F689))&gt;(L702*4),(((L702*4)-(SUM(B686:F689)-C688))*N685)+((SUM(B689:F689)-C688)*N685),SUM(B689:F689)*N685),IF(SUM(B686:F689)&gt;(L702*4),L702*N685,SUM(B689:F689)*N685)),2)</f>
        <v>0</v>
      </c>
      <c r="O689" s="23">
        <f>ROUND(SUM(B689+C689+F689)*O685,2)</f>
        <v>0</v>
      </c>
      <c r="P689" s="27">
        <f t="shared" si="78"/>
        <v>0</v>
      </c>
    </row>
    <row r="690" spans="1:16" s="1" customFormat="1" x14ac:dyDescent="0.2">
      <c r="A690" s="100" t="str">
        <f>$A$30</f>
        <v>Mai 2022</v>
      </c>
      <c r="B690" s="24">
        <f>ROUND(IF(N670=0,0,IFERROR(((LOOKUP(2,1/(A674:A677=A690),G674:G677))*N670*4.348),B689/N670*N670)),2)</f>
        <v>0</v>
      </c>
      <c r="C690" s="23">
        <f>ROUND(IFERROR(((LOOKUP(2,1/(B679=A690),((SUM(B692:B694)+SUM(F692:F694))/3)*C679))),0)+IFERROR(((LOOKUP(2,1/(E679=A690),(B698+F698)*F679))),0),2)</f>
        <v>0</v>
      </c>
      <c r="D690" s="23">
        <f>ROUND(IF(B690=0,0,D685/L667*N670),2)</f>
        <v>0</v>
      </c>
      <c r="E690" s="23">
        <f>ROUND(IF(B690=0,0,E685/N663*N670),2)</f>
        <v>0</v>
      </c>
      <c r="F690" s="24">
        <f>ROUND(IF(N670=0,0,IFERROR(((LOOKUP(2,1/(A674:A677=A690),H674:H677))/N663*N670),F689/N670*N670)),2)</f>
        <v>0</v>
      </c>
      <c r="G690" s="27">
        <f t="shared" si="77"/>
        <v>0</v>
      </c>
      <c r="H690" s="76">
        <f>ROUND(IF(SUM(B686:F689)&lt;(L701*4),IF((SUM(B686:F690))&gt;(L701*5),(((L701*5)-(SUM(B686:F690)-C689))*H685)+((SUM(B690:F690)-C689)*H685),SUM(B690:F690)*H685),IF(SUM(B686:F690)&gt;(L701*5),L701*H685,SUM(B690:F690)*H685)),2)</f>
        <v>0</v>
      </c>
      <c r="I690" s="76">
        <f>ROUND(IF(SUM(B686:F689)&lt;(L702*4),IF((SUM(B686:F690))&gt;(L702*5),(((L702*5)-(SUM(B686:F690)-C689))*I685)+((SUM(B690:F690)-C689)*I685),SUM(B690:F690)*I685),IF(SUM(B686:F690)&gt;(L702*5),L702*I685,SUM(B690:F690)*I685)),2)</f>
        <v>0</v>
      </c>
      <c r="J690" s="76">
        <f>ROUND(IF(SUM(B686:F689)&lt;(L702*4),IF((SUM(B686:F690))&gt;(L702*5),(((L702*5)-(SUM(B686:F690)-C689))*J685)+((SUM(B690:F690)-C689)*J685),SUM(B690:F690)*J685),IF(SUM(B686:F690)&gt;(L702*5),L702*J685,SUM(B690:F690)*J685)),2)</f>
        <v>0</v>
      </c>
      <c r="K690" s="76">
        <f>ROUND(IF(SUM(B686:F689)&lt;(L701*4),IF((SUM(B686:F690))&gt;(L701*5),(((L701*5)-(SUM(B686:F690)-C689))*K685)+((SUM(B690:F690)-C689)*K685),SUM(B690:F690)*K685),IF(SUM(B686:F690)&gt;(L701*5),L701*K685,SUM(B690:F690)*K685)),2)</f>
        <v>0</v>
      </c>
      <c r="L690" s="76">
        <f>ROUND(IF(SUM(B686:F689)&lt;(L702*4),IF((SUM(B686:F690))&gt;(L702*5),(((L702*5)-(SUM(B686:F690)-C690))*L685)+((SUM(B690:F690)-C690)*L685),(SUM(B690:F690)-C690)*L685),IF(SUM(B686:F690)&gt;(L702*5),L702*L685,SUM(B690:F690)*L685)),2)</f>
        <v>0</v>
      </c>
      <c r="M690" s="76">
        <f>ROUND(IF(SUM(B686:F689)&lt;(L702*4),IF((SUM(B686:F690))&gt;(L702*5),(((L702*5)-(SUM(B686:F690)-C690))*M685)+((SUM(B690:F690)-C690)*M685),(SUM(B690:F690)-C690)*M685),IF(SUM(B686:F690)&gt;(L702*5),L702*M685,SUM(B690:F690)*M685)),2)</f>
        <v>0</v>
      </c>
      <c r="N690" s="76">
        <f>ROUND(IF(SUM(B686:F689)&lt;(L702*4),IF((SUM(B686:F690))&gt;(L702*5),(((L702*5)-(SUM(B686:F690)-C689))*N685)+((SUM(B690:F690)-C689)*N685),SUM(B690:F690)*N685),IF(SUM(B686:F690)&gt;(L702*5),L702*N685,SUM(B690:F690)*N685)),2)</f>
        <v>0</v>
      </c>
      <c r="O690" s="23">
        <f>ROUND(SUM(B690+C690+F690)*O685,2)</f>
        <v>0</v>
      </c>
      <c r="P690" s="27">
        <f t="shared" si="78"/>
        <v>0</v>
      </c>
    </row>
    <row r="691" spans="1:16" s="1" customFormat="1" x14ac:dyDescent="0.2">
      <c r="A691" s="100" t="str">
        <f>$A$31</f>
        <v>Jun 2022</v>
      </c>
      <c r="B691" s="24">
        <f>ROUND(IF(N671=0,0,IFERROR(((LOOKUP(2,1/(A674:A677=A691),G674:G677))*N671*4.348),B690/N671*N671)),2)</f>
        <v>0</v>
      </c>
      <c r="C691" s="23">
        <f>ROUND(IFERROR(((LOOKUP(2,1/(B679=A691),((SUM(B692:B694)+SUM(F692:F694))/3)*C679))),0)+IFERROR(((LOOKUP(2,1/(E679=A691),(B698+F698)*F679))),0),2)</f>
        <v>0</v>
      </c>
      <c r="D691" s="23">
        <f>ROUND(IF(B691=0,0,D685/L667*N671),2)</f>
        <v>0</v>
      </c>
      <c r="E691" s="23">
        <f>ROUND(IF(B691=0,0,E685/N663*N671),2)</f>
        <v>0</v>
      </c>
      <c r="F691" s="24">
        <f>ROUND(IF(N671=0,0,IFERROR(((LOOKUP(2,1/(A674:A677=A691),H674:H677))/N663*N671),F690/N671*N671)),2)</f>
        <v>0</v>
      </c>
      <c r="G691" s="27">
        <f t="shared" si="77"/>
        <v>0</v>
      </c>
      <c r="H691" s="76">
        <f>ROUND(IF(SUM(B686:F690)&lt;(L701*5),IF((SUM(B686:F691))&gt;(L701*6),(((L701*6)-(SUM(B686:F691)-C690))*H685)+((SUM(B691:F691)-C690)*H685),SUM(B691:F691)*H685),IF(SUM(B686:F691)&gt;(L701*6),L701*H685,SUM(B691:F691)*H685)),2)</f>
        <v>0</v>
      </c>
      <c r="I691" s="76">
        <f>ROUND(IF(SUM(B686:F690)&lt;(L702*5),IF((SUM(B686:F691))&gt;(L702*6),(((L702*6)-(SUM(B686:F691)-C690))*I685)+((SUM(B691:F691)-C690)*I685),SUM(B691:F691)*I685),IF(SUM(B686:F691)&gt;(L702*6),L702*I685,SUM(B691:F691)*I685)),2)</f>
        <v>0</v>
      </c>
      <c r="J691" s="76">
        <f>ROUND(IF(SUM(B686:F690)&lt;(L702*5),IF((SUM(B686:F691))&gt;(L702*6),(((L702*6)-(SUM(B686:F691)-C690))*J685)+((SUM(B691:F691)-C690)*J685),SUM(B691:F691)*J685),IF(SUM(B686:F691)&gt;(L702*6),L702*J685,SUM(B691:F691)*J685)),2)</f>
        <v>0</v>
      </c>
      <c r="K691" s="76">
        <f>ROUND(IF(SUM(B686:F690)&lt;(L701*5),IF((SUM(B686:F691))&gt;(L701*6),(((L701*6)-(SUM(B686:F691)-C690))*K685)+((SUM(B691:F691)-C690)*K685),SUM(B691:F691)*K685),IF(SUM(B686:F691)&gt;(L701*6),L701*K685,SUM(B691:F691)*K685)),2)</f>
        <v>0</v>
      </c>
      <c r="L691" s="76">
        <f>ROUND(IF(SUM(B686:F690)&lt;(L702*5),IF((SUM(B686:F691))&gt;(L702*6),(((L702*6)-(SUM(B686:F691)-C691))*L685)+((SUM(B691:F691)-C691)*L685),(SUM(B691:F691)-C691)*L685),IF(SUM(B686:F691)&gt;(L702*6),L702*L685,SUM(B691:F691)*L685)),2)</f>
        <v>0</v>
      </c>
      <c r="M691" s="76">
        <f>ROUND(IF(SUM(B686:F690)&lt;(L702*5),IF((SUM(B686:F691))&gt;(L702*6),(((L702*6)-(SUM(B686:F691)-C691))*M685)+((SUM(B691:F691)-C691)*M685),(SUM(B691:F691)-C691)*M685),IF(SUM(B686:F691)&gt;(L702*6),L702*M685,SUM(B691:F691)*M685)),2)</f>
        <v>0</v>
      </c>
      <c r="N691" s="76">
        <f>ROUND(IF(SUM(B686:F690)&lt;(L702*5),IF((SUM(B686:F691))&gt;(L702*6),(((L702*6)-(SUM(B686:F691)-C690))*N685)+((SUM(B691:F691)-C690)*N685),SUM(B691:F691)*N685),IF(SUM(B686:F691)&gt;(L702*6),L702*N685,SUM(B691:F691)*N685)),2)</f>
        <v>0</v>
      </c>
      <c r="O691" s="23">
        <f>ROUND(SUM(B691+C691+F691)*O685,2)</f>
        <v>0</v>
      </c>
      <c r="P691" s="27">
        <f t="shared" si="78"/>
        <v>0</v>
      </c>
    </row>
    <row r="692" spans="1:16" s="1" customFormat="1" x14ac:dyDescent="0.2">
      <c r="A692" s="100" t="str">
        <f>$A$32</f>
        <v>Jul 2022</v>
      </c>
      <c r="B692" s="24">
        <f>ROUND(IF(P666=0,0,IFERROR(((LOOKUP(2,1/(A674:A677=A692),G674:G677))*P666*4.348),B691/P666*P666)),2)</f>
        <v>0</v>
      </c>
      <c r="C692" s="23">
        <f>ROUND(IFERROR(((LOOKUP(2,1/(B679=A692),((SUM(B692:B694)+SUM(F692:F694))/3)*C679))),0)+IFERROR(((LOOKUP(2,1/(E679=A692),(B698+F698)*F679))),0),2)</f>
        <v>0</v>
      </c>
      <c r="D692" s="23">
        <f>ROUND(IF(B692=0,0,D685/L667*P666),2)</f>
        <v>0</v>
      </c>
      <c r="E692" s="23">
        <f>ROUND(IF(B692=0,0,E685/N663*P666),2)</f>
        <v>0</v>
      </c>
      <c r="F692" s="24">
        <f>ROUND(IF(P666=0,0,IFERROR(((LOOKUP(2,1/(A674:A677=A692),H674:H677))/N663*P666),F691/P666*P666)),2)</f>
        <v>0</v>
      </c>
      <c r="G692" s="27">
        <f t="shared" si="77"/>
        <v>0</v>
      </c>
      <c r="H692" s="76">
        <f>ROUND(IF(SUM(B686:F691)&lt;(L701*6),IF((SUM(B686:F692))&gt;(L701*7),(((L701*7)-(SUM(B686:F692)-C691))*H685)+((SUM(B692:F692)-C691)*H685),SUM(B692:F692)*H685),IF(SUM(B686:F692)&gt;(L701*7),L701*H685,SUM(B692:F692)*H685)),2)</f>
        <v>0</v>
      </c>
      <c r="I692" s="76">
        <f>ROUND(IF(SUM(B686:F691)&lt;(L702*6),IF((SUM(B686:F692))&gt;(L702*7),(((L702*7)-(SUM(B686:F692)-C691))*I685)+((SUM(B692:F692)-C691)*I685),SUM(B692:F692)*I685),IF(SUM(B686:F692)&gt;(L702*7),L702*I685,SUM(B692:F692)*I685)),2)</f>
        <v>0</v>
      </c>
      <c r="J692" s="76">
        <f>ROUND(IF(SUM(B686:F691)&lt;(L702*6),IF((SUM(B686:F692))&gt;(L702*7),(((L702*7)-(SUM(B686:F692)-C691))*J685)+((SUM(B692:F692)-C691)*J685),SUM(B692:F692)*J685),IF(SUM(B686:F692)&gt;(L702*7),L702*J685,SUM(B692:F692)*J685)),2)</f>
        <v>0</v>
      </c>
      <c r="K692" s="76">
        <f>ROUND(IF(SUM(B686:F691)&lt;(L701*6),IF((SUM(B686:F692))&gt;(L701*7),(((L701*7)-(SUM(B686:F692)-C691))*K685)+((SUM(B692:F692)-C691)*K685),SUM(B692:F692)*K685),IF(SUM(B686:F692)&gt;(L701*7),L701*K685,SUM(B692:F692)*K685)),2)</f>
        <v>0</v>
      </c>
      <c r="L692" s="76">
        <f>ROUND(IF(SUM(B686:F691)&lt;(L702*6),IF((SUM(B686:F692))&gt;(L702*7),(((L702*7)-(SUM(B686:F692)-C692))*L685)+((SUM(B692:F692)-C692)*L685),(SUM(B692:F692)-C692)*L685),IF(SUM(B686:F692)&gt;(L702*7),L702*L685,SUM(B692:F692)*L685)),2)</f>
        <v>0</v>
      </c>
      <c r="M692" s="76">
        <f>ROUND(IF(SUM(B686:F691)&lt;(L702*6),IF((SUM(B686:F692))&gt;(L702*7),(((L702*7)-(SUM(B686:F692)-C692))*M685)+((SUM(B692:F692)-C692)*M685),(SUM(B692:F692)-C692)*M685),IF(SUM(B686:F692)&gt;(L702*7),L702*M685,SUM(B692:F692)*M685)),2)</f>
        <v>0</v>
      </c>
      <c r="N692" s="76">
        <f>ROUND(IF(SUM(B686:F691)&lt;(L702*6),IF((SUM(B686:F692))&gt;(L702*7),(((L702*7)-(SUM(B686:F692)-C691))*N685)+((SUM(B692:F692)-C691)*N685),SUM(B692:F692)*N685),IF(SUM(B686:F692)&gt;(L702*7),L702*N685,SUM(B692:F692)*N685)),2)</f>
        <v>0</v>
      </c>
      <c r="O692" s="23">
        <f>ROUND(SUM(B692+C692+F692)*O685,2)</f>
        <v>0</v>
      </c>
      <c r="P692" s="27">
        <f t="shared" si="78"/>
        <v>0</v>
      </c>
    </row>
    <row r="693" spans="1:16" s="1" customFormat="1" x14ac:dyDescent="0.2">
      <c r="A693" s="100" t="str">
        <f>$A$33</f>
        <v>Aug 2022</v>
      </c>
      <c r="B693" s="24">
        <f>ROUND(IF(P667=0,0,IFERROR(((LOOKUP(2,1/(A674:A677=A693),G674:G677))*P667*4.348),B692/P667*P667)),2)</f>
        <v>0</v>
      </c>
      <c r="C693" s="23">
        <f>ROUND(IFERROR(((LOOKUP(2,1/(B679=A693),((SUM(B692:B694)+SUM(F692:F694))/3)*C679))),0)+IFERROR(((LOOKUP(2,1/(E679=A693),(B698+F698)*F679))),0),2)</f>
        <v>0</v>
      </c>
      <c r="D693" s="23">
        <f>ROUND(IF(B693=0,0,D685/L667*P667),2)</f>
        <v>0</v>
      </c>
      <c r="E693" s="23">
        <f>ROUND(IF(B693=0,0,E685/N663*P667),2)</f>
        <v>0</v>
      </c>
      <c r="F693" s="24">
        <f>ROUND(IF(P667=0,0,IFERROR(((LOOKUP(2,1/(A674:A677=A693),H674:H677))/N663*P667),F692/P667*P667)),2)</f>
        <v>0</v>
      </c>
      <c r="G693" s="27">
        <f t="shared" si="77"/>
        <v>0</v>
      </c>
      <c r="H693" s="76">
        <f>ROUND(IF(SUM(B686:F692)&lt;(L701*7),IF((SUM(B686:F693))&gt;(L701*8),(((L701*8)-(SUM(B686:F693)-C692))*H685)+((SUM(B693:F693)-C692)*H685),SUM(B693:F693)*H685),IF(SUM(B686:F693)&gt;(L701*8),L701*H685,SUM(B693:F693)*H685)),2)</f>
        <v>0</v>
      </c>
      <c r="I693" s="76">
        <f>ROUND(IF(SUM(B686:F692)&lt;(L702*7),IF((SUM(B686:F693))&gt;(L702*8),(((L702*8)-(SUM(B686:F693)-C692))*I685)+((SUM(B693:F693)-C692)*I685),SUM(B693:F693)*I685),IF(SUM(B686:F693)&gt;(L702*8),L702*I685,SUM(B693:F693)*I685)),2)</f>
        <v>0</v>
      </c>
      <c r="J693" s="76">
        <f>ROUND(IF(SUM(B686:F692)&lt;(L702*7),IF((SUM(B686:F693))&gt;(L702*8),(((L702*8)-(SUM(B686:F693)-C692))*J685)+((SUM(B693:F693)-C692)*J685),SUM(B693:F693)*J685),IF(SUM(B686:F693)&gt;(L702*8),L702*J685,SUM(B693:F693)*J685)),2)</f>
        <v>0</v>
      </c>
      <c r="K693" s="76">
        <f>ROUND(IF(SUM(B686:F692)&lt;(L701*7),IF((SUM(B686:F693))&gt;(L701*8),(((L701*8)-(SUM(B686:F693)-C692))*K685)+((SUM(B693:F693)-C692)*K685),SUM(B693:F693)*K685),IF(SUM(B686:F693)&gt;(L701*8),L701*K685,SUM(B693:F693)*K685)),2)</f>
        <v>0</v>
      </c>
      <c r="L693" s="76">
        <f>ROUND(IF(SUM(B686:F692)&lt;(L702*7),IF((SUM(B686:F693))&gt;(L702*8),(((L702*8)-(SUM(B686:F693)-C693))*L685)+((SUM(B693:F693)-C693)*L685),(SUM(B693:F693)-C693)*L685),IF(SUM(B686:F693)&gt;(L702*8),L702*L685,SUM(B693:F693)*L685)),2)</f>
        <v>0</v>
      </c>
      <c r="M693" s="76">
        <f>ROUND(IF(SUM(B686:F692)&lt;(L702*7),IF((SUM(B686:F693))&gt;(L702*8),(((L702*8)-(SUM(B686:F693)-C693))*M685)+((SUM(B693:F693)-C693)*M685),(SUM(B693:F693)-C693)*M685),IF(SUM(B686:F693)&gt;(L702*8),L702*M685,SUM(B693:F693)*M685)),2)</f>
        <v>0</v>
      </c>
      <c r="N693" s="76">
        <f>ROUND(IF(SUM(B686:F692)&lt;(L702*7),IF((SUM(B686:F693))&gt;(L702*8),(((L702*8)-(SUM(B686:F693)-C692))*N685)+((SUM(B693:F693)-C692)*N685),SUM(B693:F693)*N685),IF(SUM(B686:F693)&gt;(L702*8),L702*N685,SUM(B693:F693)*N685)),2)</f>
        <v>0</v>
      </c>
      <c r="O693" s="23">
        <f>ROUND(SUM(B693+C693+F693)*O685,2)</f>
        <v>0</v>
      </c>
      <c r="P693" s="27">
        <f t="shared" si="78"/>
        <v>0</v>
      </c>
    </row>
    <row r="694" spans="1:16" s="1" customFormat="1" x14ac:dyDescent="0.2">
      <c r="A694" s="100" t="str">
        <f>$A$34</f>
        <v>Sep 2022</v>
      </c>
      <c r="B694" s="24">
        <f>ROUND(IF(P668=0,0,IFERROR(((LOOKUP(2,1/(A674:A677=A694),G674:G677))*P668*4.348),B693/P668*P668)),2)</f>
        <v>0</v>
      </c>
      <c r="C694" s="23">
        <f>ROUND(IFERROR(((LOOKUP(2,1/(B679=A694),((SUM(B692:B694)+SUM(F692:F694))/3)*C679))),0)+IFERROR(((LOOKUP(2,1/(E679=A694),(B698+F698)*F679))),0),2)</f>
        <v>0</v>
      </c>
      <c r="D694" s="23">
        <f>ROUND(IF(B694=0,0,D685/L667*P668),2)</f>
        <v>0</v>
      </c>
      <c r="E694" s="23">
        <f>ROUND(IF(B694=0,0,E685/N663*P668),2)</f>
        <v>0</v>
      </c>
      <c r="F694" s="24">
        <f>ROUND(IF(P668=0,0,IFERROR(((LOOKUP(2,1/(A674:A677=A694),H674:H677))/N663*P668),F693/P668*P668)),2)</f>
        <v>0</v>
      </c>
      <c r="G694" s="27">
        <f t="shared" si="77"/>
        <v>0</v>
      </c>
      <c r="H694" s="76">
        <f>ROUND(IF(SUM(B686:F693)&lt;(L701*8),IF((SUM(B686:F694))&gt;(L701*9),(((L701*9)-(SUM(B686:F694)-C693))*H685)+((SUM(B694:F694)-C693)*H685),SUM(B694:F694)*H685),IF(SUM(B686:F694)&gt;(L701*9),L701*H685,SUM(B694:F694)*H685)),2)</f>
        <v>0</v>
      </c>
      <c r="I694" s="76">
        <f>ROUND(IF(SUM(B686:F693)&lt;(L702*8),IF((SUM(B686:F694))&gt;(L702*9),(((L702*9)-(SUM(B686:F694)-C693))*I685)+((SUM(B694:F694)-C693)*I685),SUM(B694:F694)*I685),IF(SUM(B686:F694)&gt;(L702*9),L702*I685,SUM(B694:F694)*I685)),2)</f>
        <v>0</v>
      </c>
      <c r="J694" s="76">
        <f>ROUND(IF(SUM(B686:F693)&lt;(L702*8),IF((SUM(B686:F694))&gt;(L702*9),(((L702*9)-(SUM(B686:F694)-C693))*J685)+((SUM(B694:F694)-C693)*J685),SUM(B694:F694)*J685),IF(SUM(B686:F694)&gt;(L702*9),L702*J685,SUM(B694:F694)*J685)),2)</f>
        <v>0</v>
      </c>
      <c r="K694" s="76">
        <f>ROUND(IF(SUM(B686:F693)&lt;(L701*8),IF((SUM(B686:F694))&gt;(L701*9),(((L701*9)-(SUM(B686:F694)-C693))*K685)+((SUM(B694:F694)-C693)*K685),SUM(B694:F694)*K685),IF(SUM(B686:F694)&gt;(L701*9),L701*K685,SUM(B694:F694)*K685)),2)</f>
        <v>0</v>
      </c>
      <c r="L694" s="76">
        <f>ROUND(IF(SUM(B686:F693)&lt;(L702*8),IF((SUM(B686:F694))&gt;(L702*9),(((L702*9)-(SUM(B686:F694)-C694))*L685)+((SUM(B694:F694)-C694)*L685),(SUM(B694:F694)-C694)*L685),IF(SUM(B686:F694)&gt;(L702*9),L702*L685,SUM(B694:F694)*L685)),2)</f>
        <v>0</v>
      </c>
      <c r="M694" s="76">
        <f>ROUND(IF(SUM(B686:F693)&lt;(L702*8),IF((SUM(B686:F694))&gt;(L702*9),(((L702*9)-(SUM(B686:F694)-C694))*M685)+((SUM(B694:F694)-C694)*M685),(SUM(B694:F694)-C694)*M685),IF(SUM(B686:F694)&gt;(L702*9),L702*M685,SUM(B694:F694)*M685)),2)</f>
        <v>0</v>
      </c>
      <c r="N694" s="76">
        <f>ROUND(IF(SUM(B686:F693)&lt;(L702*8),IF((SUM(B686:F694))&gt;(L702*9),(((L702*9)-(SUM(B686:F694)-C693))*N685)+((SUM(B694:F694)-C693)*N685),SUM(B694:F694)*N685),IF(SUM(B686:F694)&gt;(L702*9),L702*N685,SUM(B694:F694)*N685)),2)</f>
        <v>0</v>
      </c>
      <c r="O694" s="23">
        <f>ROUND(SUM(B694+C694+F694)*O685,2)</f>
        <v>0</v>
      </c>
      <c r="P694" s="27">
        <f t="shared" si="78"/>
        <v>0</v>
      </c>
    </row>
    <row r="695" spans="1:16" s="1" customFormat="1" x14ac:dyDescent="0.2">
      <c r="A695" s="100" t="str">
        <f>$A$35</f>
        <v>Okt 2022</v>
      </c>
      <c r="B695" s="24">
        <f>ROUND(IF(P669=0,0,IFERROR(((LOOKUP(2,1/(A674:A677=A695),G674:G677))*P669*4.348),B694/P669*P669)),2)</f>
        <v>0</v>
      </c>
      <c r="C695" s="23">
        <f>ROUND(IFERROR(((LOOKUP(2,1/(B679=A695),((SUM(B692:B694)+SUM(F692:F694))/3)*C679))),0)+IFERROR(((LOOKUP(2,1/(E679=A695),(B698+F698)*F679))),0),2)</f>
        <v>0</v>
      </c>
      <c r="D695" s="23">
        <f>ROUND(IF(B695=0,0,D685/L667*P669),2)</f>
        <v>0</v>
      </c>
      <c r="E695" s="23">
        <f>ROUND(IF(B695=0,0,E685/N663*P669),2)</f>
        <v>0</v>
      </c>
      <c r="F695" s="24">
        <f>ROUND(IF(P669=0,0,IFERROR(((LOOKUP(2,1/(A674:A677=A695),H674:H677))/N663*P669),F694/P669*P669)),2)</f>
        <v>0</v>
      </c>
      <c r="G695" s="27">
        <f t="shared" si="77"/>
        <v>0</v>
      </c>
      <c r="H695" s="76">
        <f>ROUND(IF(SUM(B686:F694)&lt;(L701*9),IF((SUM(B686:F695))&gt;(L701*10),(((L701*10)-(SUM(B686:F695)-C694))*H685)+((SUM(B695:F695)-C694)*H685),SUM(B695:F695)*H685),IF(SUM(B686:F695)&gt;(L701*10),L701*H685,SUM(B695:F695)*H685)),2)</f>
        <v>0</v>
      </c>
      <c r="I695" s="76">
        <f>ROUND(IF(SUM(B686:F694)&lt;(L702*9),IF((SUM(B686:F695))&gt;(L702*10),(((L702*10)-(SUM(B686:F695)-C694))*I685)+((SUM(B695:F695)-C694)*I685),SUM(B695:F695)*I685),IF(SUM(B686:F695)&gt;(L702*10),L702*I685,SUM(B695:F695)*I685)),2)</f>
        <v>0</v>
      </c>
      <c r="J695" s="76">
        <f>ROUND(IF(SUM(B686:F694)&lt;(L702*9),IF((SUM(B686:F695))&gt;(L702*10),(((L702*10)-(SUM(B686:F695)-C694))*J685)+((SUM(B695:F695)-C694)*J685),SUM(B695:F695)*J685),IF(SUM(B686:F695)&gt;(L702*10),L702*J685,SUM(B695:F695)*J685)),2)</f>
        <v>0</v>
      </c>
      <c r="K695" s="76">
        <f>ROUND(IF(SUM(B686:F694)&lt;(L701*9),IF((SUM(B686:F695))&gt;(L701*10),(((L701*10)-(SUM(B686:F695)-C694))*K685)+((SUM(B695:F695)-C694)*K685),SUM(B695:F695)*K685),IF(SUM(B686:F695)&gt;(L701*10),L701*K685,SUM(B695:F695)*K685)),2)</f>
        <v>0</v>
      </c>
      <c r="L695" s="76">
        <f>ROUND(IF(SUM(B686:F694)&lt;(L702*9),IF((SUM(B686:F695))&gt;(L702*10),(((L702*10)-(SUM(B686:F695)-C695))*L685)+((SUM(B695:F695)-C695)*L685),(SUM(B695:F695)-C695)*L685),IF(SUM(B686:F695)&gt;(L702*10),L702*L685,SUM(B695:F695)*L685)),2)</f>
        <v>0</v>
      </c>
      <c r="M695" s="76">
        <f>ROUND(IF(SUM(B686:F694)&lt;(L702*9),IF((SUM(B686:F695))&gt;(L702*10),(((L702*10)-(SUM(B686:F695)-C695))*M685)+((SUM(B695:F695)-C695)*M685),(SUM(B695:F695)-C695)*M685),IF(SUM(B686:F695)&gt;(L702*10),L702*M685,SUM(B695:F695)*M685)),2)</f>
        <v>0</v>
      </c>
      <c r="N695" s="76">
        <f>ROUND(IF(SUM(B686:F694)&lt;(L702*9),IF((SUM(B686:F695))&gt;(L702*10),(((L702*10)-(SUM(B686:F695)-C694))*N685)+((SUM(B695:F695)-C694)*N685),SUM(B695:F695)*N685),IF(SUM(B686:F695)&gt;(L702*10),L702*N685,SUM(B695:F695)*N685)),2)</f>
        <v>0</v>
      </c>
      <c r="O695" s="23">
        <f>ROUND(SUM(B695+C695+F695)*O685,2)</f>
        <v>0</v>
      </c>
      <c r="P695" s="27">
        <f t="shared" si="78"/>
        <v>0</v>
      </c>
    </row>
    <row r="696" spans="1:16" s="1" customFormat="1" x14ac:dyDescent="0.2">
      <c r="A696" s="100" t="str">
        <f>$A$36</f>
        <v>Nov 2022</v>
      </c>
      <c r="B696" s="24">
        <f>ROUND(IF(P670=0,0,IFERROR(((LOOKUP(2,1/(A674:A677=A696),G674:G677))*P670*4.348),B695/P670*P670)),2)</f>
        <v>0</v>
      </c>
      <c r="C696" s="23">
        <f>ROUND(IFERROR(((LOOKUP(2,1/(B679=A696),((SUM(B692:B694)+SUM(F692:F694))/3)*C679))),0)+IFERROR(((LOOKUP(2,1/(E679=A696),(B698+F698)*F679))),0),2)</f>
        <v>0</v>
      </c>
      <c r="D696" s="23">
        <f>ROUND(IF(B696=0,0,D685/L667*P670),2)</f>
        <v>0</v>
      </c>
      <c r="E696" s="23">
        <f>ROUND(IF(B696=0,0,E685/N663*P670),2)</f>
        <v>0</v>
      </c>
      <c r="F696" s="24">
        <f>ROUND(IF(P670=0,0,IFERROR(((LOOKUP(2,1/(A674:A677=A696),H674:H677))/N663*P670),F695/P670*P670)),2)</f>
        <v>0</v>
      </c>
      <c r="G696" s="27">
        <f t="shared" si="77"/>
        <v>0</v>
      </c>
      <c r="H696" s="76">
        <f>ROUND(IF(SUM(B686:F695)&lt;(L701*10),IF((SUM(B686:F696))&gt;(L701*11),(((L701*11)-(SUM(B686:F696)-C695))*H685)+((SUM(B696:F696)-C695)*H685),SUM(B696:F696)*H685),IF(SUM(B686:F696)&gt;(L701*11),L701*H685,SUM(B696:F696)*H685)),2)</f>
        <v>0</v>
      </c>
      <c r="I696" s="76">
        <f>ROUND(IF(SUM(B686:F695)&lt;(L702*10),IF((SUM(B686:F696))&gt;(L702*11),(((L702*11)-(SUM(B686:F696)-C695))*I685)+((SUM(B696:F696)-C695)*I685),SUM(B696:F696)*I685),IF(SUM(B686:F696)&gt;(L702*11),L702*I685,SUM(B696:F696)*I685)),2)</f>
        <v>0</v>
      </c>
      <c r="J696" s="76">
        <f>ROUND(IF(SUM(B686:F695)&lt;(L702*10),IF((SUM(B686:F696))&gt;(L702*11),(((L702*11)-(SUM(B686:F696)-C695))*J685)+((SUM(B696:F696)-C695)*J685),SUM(B696:F696)*J685),IF(SUM(B686:F696)&gt;(L702*11),L702*J685,SUM(B696:F696)*J685)),2)</f>
        <v>0</v>
      </c>
      <c r="K696" s="76">
        <f>ROUND(IF(SUM(B686:F695)&lt;(L701*10),IF((SUM(B686:F696))&gt;(L701*11),(((L701*11)-(SUM(B686:F696)-C695))*K685)+((SUM(B696:F696)-C695)*K685),SUM(B696:F696)*K685),IF(SUM(B686:F696)&gt;(L701*11),L701*K685,SUM(B696:F696)*K685)),2)</f>
        <v>0</v>
      </c>
      <c r="L696" s="76">
        <f>ROUND(IF(SUM(B686:F695)&lt;(L702*10),IF((SUM(B686:F696))&gt;(L702*11),(((L702*11)-(SUM(B686:F696)-C696))*L685)+((SUM(B696:F696)-C696)*L685),(SUM(B696:F696)-C696)*L685),IF(SUM(B686:F696)&gt;(L702*11),L702*L685,SUM(B696:F696)*L685)),2)</f>
        <v>0</v>
      </c>
      <c r="M696" s="76">
        <f>ROUND(IF(SUM(B686:F695)&lt;(L702*10),IF((SUM(B686:F696))&gt;(L702*11),(((L702*11)-(SUM(B686:F696)-C696))*M685)+((SUM(B696:F696)-C696)*M685),(SUM(B696:F696)-C696)*M685),IF(SUM(B686:F696)&gt;(L702*11),L702*M685,SUM(B696:F696)*M685)),2)</f>
        <v>0</v>
      </c>
      <c r="N696" s="76">
        <f>ROUND(IF(SUM(B686:F695)&lt;(L702*10),IF((SUM(B686:F696))&gt;(L702*11),(((L702*11)-(SUM(B686:F696)-C695))*N685)+((SUM(B696:F696)-C695)*N685),SUM(B696:F696)*N685),IF(SUM(B686:F696)&gt;(L702*11),L702*N685,SUM(B696:F696)*N685)),2)</f>
        <v>0</v>
      </c>
      <c r="O696" s="23">
        <f>ROUND(SUM(B696+C696+F696)*O685,2)</f>
        <v>0</v>
      </c>
      <c r="P696" s="27">
        <f t="shared" si="78"/>
        <v>0</v>
      </c>
    </row>
    <row r="697" spans="1:16" s="1" customFormat="1" x14ac:dyDescent="0.2">
      <c r="A697" s="100" t="str">
        <f>$A$37</f>
        <v>Dez 2022</v>
      </c>
      <c r="B697" s="24">
        <f>ROUND(IF(P671=0,0,IFERROR(((LOOKUP(2,1/(A674:A677=A697),G674:G677))*P671*4.348),B696/P671*P671)),2)</f>
        <v>0</v>
      </c>
      <c r="C697" s="23">
        <f>ROUND(IFERROR(((LOOKUP(2,1/(B679=A697),((SUM(B692:B694)+SUM(F692:F694))/3)*C679))),0)+IFERROR(((LOOKUP(2,1/(E679=A697),(B698+F698)*F679))),0),2)</f>
        <v>0</v>
      </c>
      <c r="D697" s="23">
        <f>ROUND(IF(B697=0,0,D685/L667*P671),2)</f>
        <v>0</v>
      </c>
      <c r="E697" s="23">
        <f>ROUND(IF(B697=0,0,E685/N663*P671),2)</f>
        <v>0</v>
      </c>
      <c r="F697" s="24">
        <f>ROUND(IF(P671=0,0,IFERROR(((LOOKUP(2,1/(A674:A677=A697),H674:H677))/N663*P671),F696/P671*P671)),2)</f>
        <v>0</v>
      </c>
      <c r="G697" s="27">
        <f t="shared" si="77"/>
        <v>0</v>
      </c>
      <c r="H697" s="76">
        <f>ROUND(IF(SUM(B686:F696)&lt;(L701*11),IF((SUM(B686:F697))&gt;(L701*12),(((L701*12)-(SUM(B686:F697)-C696))*H685)+((SUM(B697:F697)-C696)*H685),SUM(B697:F697)*H685),IF(SUM(B686:F697)&gt;(L701*12),L701*H685,SUM(B697:F697)*H685)),2)</f>
        <v>0</v>
      </c>
      <c r="I697" s="76">
        <f>ROUND(IF(SUM(B686:F696)&lt;(L702*11),IF((SUM(B686:F697))&gt;(L702*12),(((L702*12)-(SUM(B686:F697)-C696))*I685)+((SUM(B697:F697)-C696)*I685),SUM(B697:F697)*I685),IF(SUM(B686:F697)&gt;(L702*12),L702*I685,SUM(B697:F697)*I685)),2)</f>
        <v>0</v>
      </c>
      <c r="J697" s="76">
        <f>ROUND(IF(SUM(B686:F696)&lt;(L702*11),IF((SUM(B686:F697))&gt;(L702*12),(((L702*12)-(SUM(B686:F697)-C696))*J685)+((SUM(B697:F697)-C696)*J685),SUM(B697:F697)*J685),IF(SUM(B686:F697)&gt;(L702*12),L702*J685,SUM(B697:F697)*J685)),2)</f>
        <v>0</v>
      </c>
      <c r="K697" s="76">
        <f>ROUND(IF(SUM(B686:F696)&lt;(L701*11),IF((SUM(B686:F697))&gt;(L701*12),(((L701*12)-(SUM(B686:F697)-C696))*K685)+((SUM(B697:F697)-C696)*K685),SUM(B697:F697)*K685),IF(SUM(B686:F697)&gt;(L701*12),L701*K685,SUM(B697:F697)*K685)),2)</f>
        <v>0</v>
      </c>
      <c r="L697" s="76">
        <f>ROUND(IF(SUM(B686:F696)&lt;(L702*11),IF((SUM(B686:F697))&gt;(L702*12),(((L702*12)-(SUM(B686:F697)-C697))*L685)+((SUM(B697:F697)-C697)*L685),(SUM(B697:F697)-C697)*L685),IF(SUM(B686:F697)&gt;(L702*12),L702*L685,SUM(B697:F697)*L685)),2)</f>
        <v>0</v>
      </c>
      <c r="M697" s="76">
        <f>ROUND(IF(SUM(B686:F696)&lt;(L702*11),IF((SUM(B686:F697))&gt;(L702*12),(((L702*12)-(SUM(B686:F697)-C697))*M685)+((SUM(B697:F697)-C697)*M685),(SUM(B697:F697)-C697)*M685),IF(SUM(B686:F697)&gt;(L702*12),L702*M685,SUM(B697:F697)*M685)),2)</f>
        <v>0</v>
      </c>
      <c r="N697" s="76">
        <f>ROUND(IF(SUM(B686:F696)&lt;(L702*11),IF((SUM(B686:F697))&gt;(L702*12),(((L702*12)-(SUM(B686:F697)-C696))*N685)+((SUM(B697:F697)-C696)*N685),SUM(B697:F697)*N685),IF(SUM(B686:F697)&gt;(L702*12),L702*N685,SUM(B697:F697)*N685)),2)</f>
        <v>0</v>
      </c>
      <c r="O697" s="23">
        <f>ROUND(SUM(B697+C697+F697)*O685,2)</f>
        <v>0</v>
      </c>
      <c r="P697" s="27">
        <f t="shared" si="78"/>
        <v>0</v>
      </c>
    </row>
    <row r="698" spans="1:16" s="14" customFormat="1" ht="15" x14ac:dyDescent="0.25">
      <c r="A698" s="4" t="s">
        <v>2</v>
      </c>
      <c r="B698" s="27">
        <f>SUM(B686:B697)</f>
        <v>0</v>
      </c>
      <c r="C698" s="27">
        <f t="shared" ref="C698:D698" si="79">SUM(C686:C697)</f>
        <v>0</v>
      </c>
      <c r="D698" s="27">
        <f t="shared" si="79"/>
        <v>0</v>
      </c>
      <c r="E698" s="27">
        <f>SUM(E686:E697)</f>
        <v>0</v>
      </c>
      <c r="F698" s="27">
        <f>SUM(F686:F697)</f>
        <v>0</v>
      </c>
      <c r="G698" s="27">
        <f>SUM(G686:G697)</f>
        <v>0</v>
      </c>
      <c r="H698" s="1133">
        <f>SUM(H686:N697)</f>
        <v>0</v>
      </c>
      <c r="I698" s="1134"/>
      <c r="J698" s="1134"/>
      <c r="K698" s="1134"/>
      <c r="L698" s="1134"/>
      <c r="M698" s="1134"/>
      <c r="N698" s="1135"/>
      <c r="O698" s="27">
        <f>SUM(O686:O697)</f>
        <v>0</v>
      </c>
      <c r="P698" s="27">
        <f>SUM(P686:P697)</f>
        <v>0</v>
      </c>
    </row>
    <row r="699" spans="1:16" s="13" customFormat="1" ht="11.25" x14ac:dyDescent="0.2">
      <c r="A699" s="3" t="s">
        <v>1</v>
      </c>
      <c r="B699" s="2"/>
      <c r="C699" s="2"/>
      <c r="D699" s="2"/>
      <c r="E699" s="2"/>
      <c r="F699" s="2"/>
      <c r="G699" s="2"/>
      <c r="H699" s="2"/>
      <c r="I699" s="2"/>
      <c r="J699" s="2"/>
      <c r="K699" s="2"/>
      <c r="L699" s="2"/>
      <c r="M699" s="2"/>
      <c r="N699" s="2"/>
      <c r="O699" s="2"/>
      <c r="P699" s="2"/>
    </row>
    <row r="700" spans="1:16" s="1" customFormat="1" ht="14.25" customHeight="1" x14ac:dyDescent="0.2">
      <c r="A700" s="1136" t="s">
        <v>133</v>
      </c>
      <c r="B700" s="1137"/>
      <c r="C700" s="1137"/>
      <c r="D700" s="1137" t="s">
        <v>134</v>
      </c>
      <c r="E700" s="1137"/>
      <c r="F700" s="94" t="str">
        <f>IF(IF(G698=0,"",'päd.Personal - Leitung'!$F$40)=0,"",IF(G698=0,"",'päd.Personal - Leitung'!$F$40))</f>
        <v/>
      </c>
      <c r="G700" s="77" t="s">
        <v>135</v>
      </c>
      <c r="H700" s="96" t="str">
        <f>IF(IF(G698=0,"",'päd.Personal - Leitung'!$H$40)=0,"",IF(G698=0,"",'päd.Personal - Leitung'!$H$40))</f>
        <v/>
      </c>
      <c r="I700" s="73"/>
      <c r="J700" s="194" t="s">
        <v>160</v>
      </c>
      <c r="K700" s="194" t="str">
        <f>$K$40</f>
        <v>2021</v>
      </c>
      <c r="L700" s="194" t="str">
        <f>$L$40</f>
        <v>anteilig 2021</v>
      </c>
      <c r="M700" s="1138" t="s">
        <v>140</v>
      </c>
      <c r="N700" s="1138"/>
      <c r="O700" s="1139"/>
      <c r="P700" s="27">
        <f>ROUND(IF(F700="",IF(E704="",0,(E704*H704/K704)/L667*L668),G698*F700*H700/1000),2)</f>
        <v>0</v>
      </c>
    </row>
    <row r="701" spans="1:16" s="1" customFormat="1" ht="15" customHeight="1" x14ac:dyDescent="0.2">
      <c r="A701" s="1140" t="s">
        <v>145</v>
      </c>
      <c r="B701" s="1141"/>
      <c r="C701" s="1141"/>
      <c r="D701" s="18"/>
      <c r="E701" s="107" t="s">
        <v>135</v>
      </c>
      <c r="F701" s="95" t="str">
        <f>IF(IF(G698=0,"",'päd.Personal - Leitung'!$F$41)=0,"",IF(G698=0,"",'päd.Personal - Leitung'!$F$41))</f>
        <v/>
      </c>
      <c r="G701" s="48"/>
      <c r="H701" s="47"/>
      <c r="I701" s="48"/>
      <c r="J701" s="195" t="s">
        <v>158</v>
      </c>
      <c r="K701" s="198">
        <f>$K$41</f>
        <v>4837.5</v>
      </c>
      <c r="L701" s="197">
        <f>IF(L667="",K701,K701/L667*L668)</f>
        <v>4837.5</v>
      </c>
      <c r="M701" s="1138" t="s">
        <v>139</v>
      </c>
      <c r="N701" s="1138"/>
      <c r="O701" s="1139"/>
      <c r="P701" s="27">
        <f>ROUND(IF(F701="",0,G698*F701/1000),2)</f>
        <v>0</v>
      </c>
    </row>
    <row r="702" spans="1:16" s="1" customFormat="1" ht="15.75" customHeight="1" x14ac:dyDescent="0.2">
      <c r="A702" s="1142" t="s">
        <v>141</v>
      </c>
      <c r="B702" s="1143"/>
      <c r="C702" s="1143"/>
      <c r="D702" s="1144" t="s">
        <v>143</v>
      </c>
      <c r="E702" s="1144"/>
      <c r="F702" s="1145" t="str">
        <f>IF(IF(G698=0,"",'päd.Personal - Leitung'!$F$42)=0,"",IF(G698=0,"",'päd.Personal - Leitung'!$F$42))</f>
        <v/>
      </c>
      <c r="G702" s="1145"/>
      <c r="H702" s="72"/>
      <c r="I702" s="18"/>
      <c r="J702" s="195" t="s">
        <v>159</v>
      </c>
      <c r="K702" s="197">
        <f>$K$42</f>
        <v>6700</v>
      </c>
      <c r="L702" s="197">
        <f>IF(L667="",K702,K702/L667*L668)</f>
        <v>6700</v>
      </c>
      <c r="M702" s="1138" t="s">
        <v>141</v>
      </c>
      <c r="N702" s="1138"/>
      <c r="O702" s="1139"/>
      <c r="P702" s="23">
        <f>ROUND(IF(F702="",0,IF(G698=0,0,F702/L667*L668)),2)</f>
        <v>0</v>
      </c>
    </row>
    <row r="703" spans="1:16" s="1" customFormat="1" ht="14.25" customHeight="1" x14ac:dyDescent="0.2">
      <c r="A703" s="18"/>
      <c r="B703" s="18"/>
      <c r="C703" s="18"/>
      <c r="D703" s="18"/>
      <c r="E703" s="18"/>
      <c r="F703" s="18"/>
      <c r="G703" s="18"/>
      <c r="H703" s="18"/>
      <c r="I703" s="18"/>
      <c r="J703" s="18"/>
      <c r="K703" s="74"/>
      <c r="L703" s="82"/>
      <c r="M703" s="1127" t="s">
        <v>146</v>
      </c>
      <c r="N703" s="1127"/>
      <c r="O703" s="1128"/>
      <c r="P703" s="23">
        <f>ROUND(IF(G698=0,0,$P$87),2)</f>
        <v>0</v>
      </c>
    </row>
    <row r="704" spans="1:16" s="1" customFormat="1" ht="14.25" customHeight="1" x14ac:dyDescent="0.2">
      <c r="A704" s="1129" t="s">
        <v>142</v>
      </c>
      <c r="B704" s="1130"/>
      <c r="C704" s="126" t="s">
        <v>136</v>
      </c>
      <c r="D704" s="179" t="s">
        <v>137</v>
      </c>
      <c r="E704" s="1131" t="str">
        <f>IF(IF(G698=0,"",'päd.Personal - Leitung'!$E$44)=0,"",IF(G698=0,"",'päd.Personal - Leitung'!$E$44))</f>
        <v/>
      </c>
      <c r="F704" s="1131"/>
      <c r="G704" s="83" t="s">
        <v>138</v>
      </c>
      <c r="H704" s="97" t="str">
        <f>IF(IF(G698=0,"",'päd.Personal - Leitung'!$H$44)=0,"",IF(G698=0,"",'päd.Personal - Leitung'!$H$44))</f>
        <v/>
      </c>
      <c r="I704" s="1132" t="s">
        <v>144</v>
      </c>
      <c r="J704" s="1132"/>
      <c r="K704" s="98" t="str">
        <f>IF(IF(G698=0,"",'päd.Personal - Leitung'!$K$44)=0,"",IF(G698=0,"",'päd.Personal - Leitung'!$K$44))</f>
        <v/>
      </c>
      <c r="L704" s="29"/>
      <c r="M704" s="29"/>
      <c r="N704" s="29"/>
      <c r="O704" s="28" t="s">
        <v>0</v>
      </c>
      <c r="P704" s="27">
        <f>P698+SUM(P700:P703)</f>
        <v>0</v>
      </c>
    </row>
    <row r="705" spans="1:16" s="12" customFormat="1" ht="13.5" customHeight="1" x14ac:dyDescent="0.2">
      <c r="A705" s="1178" t="s">
        <v>18</v>
      </c>
      <c r="B705" s="1178"/>
      <c r="C705" s="1178"/>
      <c r="D705" s="1179" t="str">
        <f>IF($D$1="","",$D$1)</f>
        <v/>
      </c>
      <c r="E705" s="1179"/>
      <c r="F705" s="1179"/>
      <c r="G705" s="1179"/>
      <c r="H705" s="1179"/>
      <c r="I705" s="1179"/>
      <c r="J705" s="1179"/>
      <c r="K705" s="1179"/>
      <c r="L705" s="1179"/>
      <c r="M705" s="1179"/>
      <c r="N705" s="1179"/>
    </row>
    <row r="706" spans="1:16" s="12" customFormat="1" ht="15" customHeight="1" x14ac:dyDescent="0.2">
      <c r="A706" s="1178" t="s">
        <v>17</v>
      </c>
      <c r="B706" s="1178"/>
      <c r="C706" s="1178" t="s">
        <v>15</v>
      </c>
      <c r="D706" s="1179" t="str">
        <f>IF($D$2="","",$D$2)</f>
        <v/>
      </c>
      <c r="E706" s="1179"/>
      <c r="F706" s="1179"/>
      <c r="G706" s="1179"/>
      <c r="H706" s="1179"/>
      <c r="I706" s="1179"/>
      <c r="J706" s="1179"/>
      <c r="K706" s="1179"/>
      <c r="L706" s="1179"/>
      <c r="M706" s="1179"/>
      <c r="N706" s="1179"/>
    </row>
    <row r="707" spans="1:16" s="12" customFormat="1" ht="15" customHeight="1" x14ac:dyDescent="0.2">
      <c r="A707" s="1178" t="s">
        <v>16</v>
      </c>
      <c r="B707" s="1178"/>
      <c r="C707" s="1178" t="s">
        <v>15</v>
      </c>
      <c r="D707" s="1179" t="str">
        <f>IF($D$3="","",$D$3)</f>
        <v/>
      </c>
      <c r="E707" s="1179"/>
      <c r="F707" s="1179"/>
      <c r="G707" s="1179"/>
      <c r="H707" s="1179"/>
      <c r="I707" s="1179"/>
      <c r="J707" s="1179"/>
      <c r="K707" s="1178" t="s">
        <v>103</v>
      </c>
      <c r="L707" s="1178"/>
      <c r="M707" s="1178"/>
      <c r="N707" s="41" t="str">
        <f>IF($N$3="","",$N$3)</f>
        <v/>
      </c>
    </row>
    <row r="708" spans="1:16" s="13" customFormat="1" ht="11.25" x14ac:dyDescent="0.2">
      <c r="A708" s="1182"/>
      <c r="B708" s="1182"/>
      <c r="C708" s="1182"/>
      <c r="D708" s="1183"/>
      <c r="E708" s="1183"/>
      <c r="F708" s="1183"/>
      <c r="G708" s="1183"/>
      <c r="H708" s="1183"/>
      <c r="I708" s="1183"/>
      <c r="J708" s="1183"/>
      <c r="K708" s="11"/>
      <c r="L708" s="11"/>
      <c r="M708" s="11"/>
      <c r="N708" s="11"/>
      <c r="O708" s="11"/>
      <c r="P708" s="11"/>
    </row>
    <row r="709" spans="1:16" s="15" customFormat="1" ht="13.5" customHeight="1" x14ac:dyDescent="0.2">
      <c r="A709" s="1177" t="s">
        <v>166</v>
      </c>
      <c r="B709" s="1177"/>
      <c r="C709" s="1177"/>
      <c r="D709" s="1177"/>
      <c r="E709" s="1177"/>
      <c r="F709" s="1177"/>
      <c r="G709" s="1177"/>
      <c r="H709" s="1177"/>
      <c r="I709" s="1177"/>
      <c r="J709" s="1177"/>
      <c r="K709" s="9"/>
      <c r="L709" s="9"/>
      <c r="M709" s="9"/>
      <c r="N709" s="59" t="s">
        <v>154</v>
      </c>
      <c r="O709" s="191">
        <f>$O$5</f>
        <v>2022</v>
      </c>
      <c r="P709" s="59" t="s">
        <v>154</v>
      </c>
    </row>
    <row r="710" spans="1:16" s="10" customFormat="1" ht="13.5" customHeight="1" x14ac:dyDescent="0.25">
      <c r="B710" s="32"/>
      <c r="C710" s="32"/>
      <c r="D710" s="5" t="s">
        <v>172</v>
      </c>
      <c r="E710" s="31"/>
      <c r="F710" s="31"/>
      <c r="G710" s="31"/>
      <c r="H710" s="31"/>
      <c r="I710" s="26"/>
      <c r="J710" s="1174" t="s">
        <v>14</v>
      </c>
      <c r="K710" s="1174"/>
      <c r="L710" s="180"/>
      <c r="N710" s="84">
        <f>IF(L712="","",L712)</f>
        <v>0</v>
      </c>
      <c r="O710" s="58" t="str">
        <f>$O$6</f>
        <v>Jan                Jul</v>
      </c>
      <c r="P710" s="85">
        <f>IF(N715="","",N715)</f>
        <v>0</v>
      </c>
    </row>
    <row r="711" spans="1:16" s="7" customFormat="1" ht="13.5" customHeight="1" x14ac:dyDescent="0.25">
      <c r="A711" s="1180" t="s">
        <v>71</v>
      </c>
      <c r="B711" s="1180"/>
      <c r="C711" s="1180"/>
      <c r="D711" s="1184"/>
      <c r="E711" s="1184"/>
      <c r="F711" s="1184"/>
      <c r="G711" s="1184"/>
      <c r="H711" s="1184"/>
      <c r="I711" s="1184"/>
      <c r="J711" s="1174" t="s">
        <v>104</v>
      </c>
      <c r="K711" s="1174"/>
      <c r="L711" s="145"/>
      <c r="N711" s="85">
        <f>IF(N710="","",N710)</f>
        <v>0</v>
      </c>
      <c r="O711" s="58" t="str">
        <f>$O$7</f>
        <v>Feb              Aug</v>
      </c>
      <c r="P711" s="85">
        <f>IF(P710="","",P710)</f>
        <v>0</v>
      </c>
    </row>
    <row r="712" spans="1:16" s="1" customFormat="1" ht="13.5" customHeight="1" x14ac:dyDescent="0.2">
      <c r="A712" s="1180" t="s">
        <v>13</v>
      </c>
      <c r="B712" s="1180"/>
      <c r="C712" s="1180"/>
      <c r="D712" s="1181"/>
      <c r="E712" s="1181"/>
      <c r="F712" s="1181"/>
      <c r="G712" s="1181"/>
      <c r="H712" s="1181"/>
      <c r="I712" s="1181"/>
      <c r="J712" s="1174" t="s">
        <v>164</v>
      </c>
      <c r="K712" s="1174"/>
      <c r="L712" s="145">
        <f>IF((L713+L714)&gt;L711,0,L711-L713-L714)</f>
        <v>0</v>
      </c>
      <c r="N712" s="85">
        <f>IF(N711="","",N711)</f>
        <v>0</v>
      </c>
      <c r="O712" s="58" t="str">
        <f>$O$8</f>
        <v>Mrz              Sep</v>
      </c>
      <c r="P712" s="85">
        <f>IF(P711="","",P711)</f>
        <v>0</v>
      </c>
    </row>
    <row r="713" spans="1:16" s="1" customFormat="1" ht="13.5" customHeight="1" x14ac:dyDescent="0.2">
      <c r="A713" s="1180" t="s">
        <v>12</v>
      </c>
      <c r="B713" s="1180"/>
      <c r="C713" s="1180"/>
      <c r="D713" s="1181"/>
      <c r="E713" s="1181"/>
      <c r="F713" s="1181"/>
      <c r="G713" s="1181"/>
      <c r="H713" s="1181"/>
      <c r="I713" s="1181"/>
      <c r="J713" s="1174" t="s">
        <v>165</v>
      </c>
      <c r="K713" s="1174"/>
      <c r="L713" s="145"/>
      <c r="N713" s="85">
        <f>IF(N712="","",N712)</f>
        <v>0</v>
      </c>
      <c r="O713" s="58" t="str">
        <f>$O$9</f>
        <v>Apr               Okt</v>
      </c>
      <c r="P713" s="85">
        <f t="shared" ref="P713:P715" si="80">IF(P712="","",P712)</f>
        <v>0</v>
      </c>
    </row>
    <row r="714" spans="1:16" s="1" customFormat="1" ht="13.5" customHeight="1" x14ac:dyDescent="0.2">
      <c r="A714" s="1180" t="s">
        <v>19</v>
      </c>
      <c r="B714" s="1180"/>
      <c r="C714" s="1180"/>
      <c r="D714" s="1181"/>
      <c r="E714" s="1181"/>
      <c r="F714" s="1181"/>
      <c r="G714" s="1181"/>
      <c r="H714" s="1181"/>
      <c r="I714" s="1181"/>
      <c r="J714" s="1174" t="s">
        <v>252</v>
      </c>
      <c r="K714" s="1174"/>
      <c r="L714" s="145"/>
      <c r="M714" s="92"/>
      <c r="N714" s="85">
        <f>IF(N713="","",N713)</f>
        <v>0</v>
      </c>
      <c r="O714" s="58" t="str">
        <f>$O$10</f>
        <v>Mai               Nov</v>
      </c>
      <c r="P714" s="85">
        <f t="shared" si="80"/>
        <v>0</v>
      </c>
    </row>
    <row r="715" spans="1:16" s="1" customFormat="1" ht="13.5" customHeight="1" x14ac:dyDescent="0.2">
      <c r="B715" s="8"/>
      <c r="C715" s="121" t="s">
        <v>162</v>
      </c>
      <c r="D715" s="1175"/>
      <c r="E715" s="1175"/>
      <c r="F715" s="1176" t="s">
        <v>106</v>
      </c>
      <c r="G715" s="1176"/>
      <c r="H715" s="1186"/>
      <c r="I715" s="1186"/>
      <c r="J715" s="1174" t="s">
        <v>97</v>
      </c>
      <c r="K715" s="1174"/>
      <c r="L715" s="17" t="str">
        <f>IF(IF((COUNTIF(B730:B741,"&gt;0"))=0,0,(COUNTIF(B730:B741,"&gt;0")))&gt;Grundlagen!$C$24,Grundlagen!$C$24,IF((COUNTIF(B730:B741,"&gt;0"))=0,"",(COUNTIF(B730:B741,"&gt;0"))))</f>
        <v/>
      </c>
      <c r="N715" s="85">
        <f>IF(N714="","",N714)</f>
        <v>0</v>
      </c>
      <c r="O715" s="58" t="str">
        <f>'päd.Personal - Leitung'!$O$11</f>
        <v>Jun               Dez</v>
      </c>
      <c r="P715" s="85">
        <f t="shared" si="80"/>
        <v>0</v>
      </c>
    </row>
    <row r="716" spans="1:16" s="1" customFormat="1" ht="13.5" customHeight="1" x14ac:dyDescent="0.2">
      <c r="I716" s="6"/>
      <c r="L716" s="147" t="str">
        <f>IF((SUM(F718:F721))=0,"",IF(P716&gt;L712,L712,IF(L712="","",IF(L715="","",P716))))</f>
        <v/>
      </c>
      <c r="O716" s="174" t="s">
        <v>251</v>
      </c>
      <c r="P716" s="175">
        <f>IF(L715="",0,((IF(SUMIF(B730,"&gt;0"),N710,0))+(IF(SUMIF(B731,"&gt;0"),N711,0))+(IF(SUMIF(B732,"&gt;0"),N712,0))+(IF(SUMIF(B733,"&gt;0"),N713,0))+(IF(SUMIF(B734,"&gt;0"),N714,0))+(IF(SUMIF(B735,"&gt;0"),N715,0))+(IF(SUMIF(B736,"&gt;0"),P710,0))+(IF(SUMIF(B737,"&gt;0"),P711,0))+(IF(SUMIF(B738,"&gt;0"),P712,0))+(IF(SUMIF(B739,"&gt;0"),P713,0))+(IF(SUMIF(B740,"&gt;0"),P714,0))+(IF(SUMIF(B741,"&gt;0"),P715,0)))/Grundlagen!$C$24)</f>
        <v>0</v>
      </c>
    </row>
    <row r="717" spans="1:16" s="52" customFormat="1" ht="13.5" customHeight="1" x14ac:dyDescent="0.2">
      <c r="A717" s="61" t="s">
        <v>148</v>
      </c>
      <c r="B717" s="1168" t="s">
        <v>149</v>
      </c>
      <c r="C717" s="1168"/>
      <c r="D717" s="62" t="s">
        <v>150</v>
      </c>
      <c r="E717" s="63" t="s">
        <v>151</v>
      </c>
      <c r="F717" s="64" t="str">
        <f>CONCATENATE("Entg. ",N707," h/Wo")</f>
        <v>Entg.  h/Wo</v>
      </c>
      <c r="G717" s="65" t="s">
        <v>152</v>
      </c>
      <c r="H717" s="65" t="s">
        <v>153</v>
      </c>
      <c r="K717" s="1169" t="str">
        <f>CONCATENATE("Zuschläge / Zulagen für ",N707,"h/Wo")</f>
        <v>Zuschläge / Zulagen für h/Wo</v>
      </c>
      <c r="L717" s="1169"/>
      <c r="M717" s="66" t="str">
        <f>IF(A718="","",A718)</f>
        <v>Jan 2022</v>
      </c>
      <c r="N717" s="66" t="str">
        <f>IF(A719="","",A719)</f>
        <v/>
      </c>
      <c r="O717" s="66" t="str">
        <f>IF(A720="","",A720)</f>
        <v/>
      </c>
      <c r="P717" s="66" t="str">
        <f>IF(A721="","",A721)</f>
        <v/>
      </c>
    </row>
    <row r="718" spans="1:16" s="52" customFormat="1" ht="13.5" customHeight="1" x14ac:dyDescent="0.25">
      <c r="A718" s="54" t="str">
        <f>A730</f>
        <v>Jan 2022</v>
      </c>
      <c r="B718" s="1170" t="str">
        <f>IF($D$3="","",$D$3)</f>
        <v/>
      </c>
      <c r="C718" s="1171"/>
      <c r="D718" s="181"/>
      <c r="E718" s="181"/>
      <c r="F718" s="87"/>
      <c r="G718" s="56">
        <f>IF(N707="",0,F718/N707/4.348)</f>
        <v>0</v>
      </c>
      <c r="H718" s="53">
        <f>IF(G718=0,0,M723)</f>
        <v>0</v>
      </c>
      <c r="K718" s="1146"/>
      <c r="L718" s="1146"/>
      <c r="M718" s="172"/>
      <c r="N718" s="172"/>
      <c r="O718" s="172"/>
      <c r="P718" s="172"/>
    </row>
    <row r="719" spans="1:16" s="52" customFormat="1" ht="13.5" customHeight="1" x14ac:dyDescent="0.25">
      <c r="A719" s="55"/>
      <c r="B719" s="1172" t="str">
        <f>IF(A719="","",B718)</f>
        <v/>
      </c>
      <c r="C719" s="1173"/>
      <c r="D719" s="181"/>
      <c r="E719" s="181"/>
      <c r="F719" s="87"/>
      <c r="G719" s="56">
        <f>IF(N707="",0,F719/N707/4.348)</f>
        <v>0</v>
      </c>
      <c r="H719" s="53">
        <f>IF(G719=0,0,N723)</f>
        <v>0</v>
      </c>
      <c r="K719" s="1146"/>
      <c r="L719" s="1146"/>
      <c r="M719" s="172"/>
      <c r="N719" s="172"/>
      <c r="O719" s="172"/>
      <c r="P719" s="172"/>
    </row>
    <row r="720" spans="1:16" s="52" customFormat="1" ht="13.5" customHeight="1" x14ac:dyDescent="0.25">
      <c r="A720" s="55"/>
      <c r="B720" s="1172" t="str">
        <f>IF(A720="","",B719)</f>
        <v/>
      </c>
      <c r="C720" s="1173"/>
      <c r="D720" s="181"/>
      <c r="E720" s="181"/>
      <c r="F720" s="87"/>
      <c r="G720" s="56">
        <f>IF(N707="",0,F720/N707/4.348)</f>
        <v>0</v>
      </c>
      <c r="H720" s="53">
        <f>IF(G720=0,0,O723)</f>
        <v>0</v>
      </c>
      <c r="K720" s="1146"/>
      <c r="L720" s="1146"/>
      <c r="M720" s="172"/>
      <c r="N720" s="172"/>
      <c r="O720" s="172"/>
      <c r="P720" s="172"/>
    </row>
    <row r="721" spans="1:16" s="52" customFormat="1" ht="13.5" customHeight="1" x14ac:dyDescent="0.25">
      <c r="A721" s="55"/>
      <c r="B721" s="1172" t="str">
        <f>IF(A721="","",B720)</f>
        <v/>
      </c>
      <c r="C721" s="1173"/>
      <c r="D721" s="181"/>
      <c r="E721" s="181"/>
      <c r="F721" s="87"/>
      <c r="G721" s="56">
        <f>IF(N707="",0,F721/N707/4.348)</f>
        <v>0</v>
      </c>
      <c r="H721" s="53">
        <f>IF(G721=0,0,P723)</f>
        <v>0</v>
      </c>
      <c r="K721" s="1146"/>
      <c r="L721" s="1146"/>
      <c r="M721" s="172"/>
      <c r="N721" s="172"/>
      <c r="O721" s="172"/>
      <c r="P721" s="172"/>
    </row>
    <row r="722" spans="1:16" s="52" customFormat="1" ht="13.5" customHeight="1" x14ac:dyDescent="0.25">
      <c r="B722" s="1167" t="s">
        <v>157</v>
      </c>
      <c r="C722" s="1167"/>
      <c r="E722" s="1167" t="s">
        <v>156</v>
      </c>
      <c r="F722" s="1167"/>
      <c r="J722" s="69"/>
      <c r="K722" s="1146"/>
      <c r="L722" s="1146"/>
      <c r="M722" s="172"/>
      <c r="N722" s="172"/>
      <c r="O722" s="172"/>
      <c r="P722" s="172"/>
    </row>
    <row r="723" spans="1:16" s="52" customFormat="1" ht="13.5" customHeight="1" x14ac:dyDescent="0.25">
      <c r="A723" s="70" t="s">
        <v>167</v>
      </c>
      <c r="B723" s="67"/>
      <c r="C723" s="99" t="str">
        <f>IF(C679="","",C679)</f>
        <v/>
      </c>
      <c r="D723" s="70" t="s">
        <v>167</v>
      </c>
      <c r="E723" s="67"/>
      <c r="F723" s="99" t="str">
        <f>IF(F679="","",F679)</f>
        <v/>
      </c>
      <c r="J723" s="68"/>
      <c r="M723" s="173">
        <f>SUM(M718:M722)</f>
        <v>0</v>
      </c>
      <c r="N723" s="173">
        <f t="shared" ref="N723:P723" si="81">SUM(N718:N722)</f>
        <v>0</v>
      </c>
      <c r="O723" s="173">
        <f t="shared" si="81"/>
        <v>0</v>
      </c>
      <c r="P723" s="173">
        <f t="shared" si="81"/>
        <v>0</v>
      </c>
    </row>
    <row r="724" spans="1:16" s="52" customFormat="1" ht="13.5" customHeight="1" x14ac:dyDescent="0.2">
      <c r="A724" s="60" t="s">
        <v>155</v>
      </c>
    </row>
    <row r="725" spans="1:16" s="1" customFormat="1" ht="14.25" customHeight="1" x14ac:dyDescent="0.2">
      <c r="A725" s="1147"/>
      <c r="B725" s="1149" t="s">
        <v>9</v>
      </c>
      <c r="C725" s="1150"/>
      <c r="D725" s="1150"/>
      <c r="E725" s="1150"/>
      <c r="F725" s="1150"/>
      <c r="G725" s="1151"/>
      <c r="H725" s="1152" t="s">
        <v>119</v>
      </c>
      <c r="I725" s="1153"/>
      <c r="J725" s="1153"/>
      <c r="K725" s="1153"/>
      <c r="L725" s="1153"/>
      <c r="M725" s="1153"/>
      <c r="N725" s="1153"/>
      <c r="O725" s="33"/>
      <c r="P725" s="1154" t="s">
        <v>0</v>
      </c>
    </row>
    <row r="726" spans="1:16" s="1" customFormat="1" ht="14.25" customHeight="1" x14ac:dyDescent="0.2">
      <c r="A726" s="1148"/>
      <c r="B726" s="1157" t="s">
        <v>117</v>
      </c>
      <c r="C726" s="124" t="s">
        <v>115</v>
      </c>
      <c r="D726" s="1159" t="s">
        <v>277</v>
      </c>
      <c r="E726" s="1161" t="s">
        <v>147</v>
      </c>
      <c r="F726" s="127" t="s">
        <v>7</v>
      </c>
      <c r="G726" s="1162" t="s">
        <v>6</v>
      </c>
      <c r="H726" s="1161" t="s">
        <v>129</v>
      </c>
      <c r="I726" s="1161" t="s">
        <v>5</v>
      </c>
      <c r="J726" s="1161" t="s">
        <v>4</v>
      </c>
      <c r="K726" s="1161" t="s">
        <v>3</v>
      </c>
      <c r="L726" s="1161" t="s">
        <v>121</v>
      </c>
      <c r="M726" s="1161" t="s">
        <v>122</v>
      </c>
      <c r="N726" s="1161" t="s">
        <v>123</v>
      </c>
      <c r="O726" s="1160" t="s">
        <v>114</v>
      </c>
      <c r="P726" s="1155"/>
    </row>
    <row r="727" spans="1:16" s="1" customFormat="1" ht="14.25" customHeight="1" x14ac:dyDescent="0.2">
      <c r="A727" s="1148"/>
      <c r="B727" s="1157"/>
      <c r="C727" s="21" t="str">
        <f>IF(C723="","",C723)</f>
        <v/>
      </c>
      <c r="D727" s="1160"/>
      <c r="E727" s="1161"/>
      <c r="F727" s="1165" t="str">
        <f>IF(H718=0,"","siehe Zuschläge / Zulagen")</f>
        <v/>
      </c>
      <c r="G727" s="1162"/>
      <c r="H727" s="1164" t="s">
        <v>127</v>
      </c>
      <c r="I727" s="1164"/>
      <c r="J727" s="1164"/>
      <c r="K727" s="1164"/>
      <c r="L727" s="1164"/>
      <c r="M727" s="1164"/>
      <c r="N727" s="1164"/>
      <c r="O727" s="1160"/>
      <c r="P727" s="1155"/>
    </row>
    <row r="728" spans="1:16" s="1" customFormat="1" x14ac:dyDescent="0.2">
      <c r="A728" s="1148"/>
      <c r="B728" s="1157"/>
      <c r="C728" s="122" t="s">
        <v>70</v>
      </c>
      <c r="D728" s="1160"/>
      <c r="E728" s="1161"/>
      <c r="F728" s="1165"/>
      <c r="G728" s="1162"/>
      <c r="H728" s="43" t="s">
        <v>128</v>
      </c>
      <c r="I728" s="43" t="s">
        <v>255</v>
      </c>
      <c r="J728" s="43" t="s">
        <v>256</v>
      </c>
      <c r="K728" s="43" t="s">
        <v>257</v>
      </c>
      <c r="L728" s="43"/>
      <c r="M728" s="43"/>
      <c r="N728" s="43" t="s">
        <v>254</v>
      </c>
      <c r="O728" s="1160"/>
      <c r="P728" s="1155"/>
    </row>
    <row r="729" spans="1:16" s="1" customFormat="1" x14ac:dyDescent="0.2">
      <c r="A729" s="1148"/>
      <c r="B729" s="1158"/>
      <c r="C729" s="21" t="str">
        <f>IF(F723="","",F723)</f>
        <v/>
      </c>
      <c r="D729" s="51"/>
      <c r="E729" s="51"/>
      <c r="F729" s="1166"/>
      <c r="G729" s="1163"/>
      <c r="H729" s="93"/>
      <c r="I729" s="139">
        <f>$I$69</f>
        <v>0</v>
      </c>
      <c r="J729" s="139">
        <f>$J$69</f>
        <v>0</v>
      </c>
      <c r="K729" s="44">
        <f>$K$69</f>
        <v>0</v>
      </c>
      <c r="L729" s="21"/>
      <c r="M729" s="21"/>
      <c r="N729" s="139">
        <f>$N$69</f>
        <v>0</v>
      </c>
      <c r="O729" s="21">
        <f>O685</f>
        <v>0</v>
      </c>
      <c r="P729" s="1156"/>
    </row>
    <row r="730" spans="1:16" s="1" customFormat="1" x14ac:dyDescent="0.2">
      <c r="A730" s="100" t="str">
        <f>$A$26</f>
        <v>Jan 2022</v>
      </c>
      <c r="B730" s="24">
        <f>ROUND(IF(N710=0,0,(LOOKUP(2,1/(A718:A721=A730),G718:G721))*N710*4.348),2)</f>
        <v>0</v>
      </c>
      <c r="C730" s="23">
        <f>ROUND(IFERROR(((LOOKUP(2,1/(B723=A730),((SUM(B736:B738)+SUM(F736:F738))/3)*C723))),0)+IFERROR(((LOOKUP(2,1/(E723=A730),(B742+F742)*F723))),0),2)</f>
        <v>0</v>
      </c>
      <c r="D730" s="23">
        <f>ROUND(IF(B730=0,0,D729/L711*N710),2)</f>
        <v>0</v>
      </c>
      <c r="E730" s="23">
        <f>ROUND(IF(B730=0,0,E729/N707*N710),2)</f>
        <v>0</v>
      </c>
      <c r="F730" s="24">
        <f>ROUND(IF(N710=0,0,(LOOKUP(2,1/(A718:A721=A730),H718:H721))/N707*N710),2)</f>
        <v>0</v>
      </c>
      <c r="G730" s="27">
        <f>SUM(B730+C730+E730+F730)</f>
        <v>0</v>
      </c>
      <c r="H730" s="76">
        <f>ROUND(IF((SUM(B730:F730))&gt;L745,L745*H729,SUM(B730:F730)*H729),2)</f>
        <v>0</v>
      </c>
      <c r="I730" s="76">
        <f>ROUND(IF((SUM(B730:F730))&gt;L746,L746*I729,SUM(B730:F730)*I729),2)</f>
        <v>0</v>
      </c>
      <c r="J730" s="76">
        <f>ROUND(IF((SUM(B730:F730))&gt;L746,L746*J729,SUM(B730:F730)*J729),2)</f>
        <v>0</v>
      </c>
      <c r="K730" s="76">
        <f>ROUND(IF((SUM(B730:F730))&gt;L745,L745*K729,SUM(B730:F730)*K729),2)</f>
        <v>0</v>
      </c>
      <c r="L730" s="76">
        <f>ROUND(IF((SUM(B730:F730))&gt;L746,L746*L729,(SUM(B730:F730)-C730)*L729),2)</f>
        <v>0</v>
      </c>
      <c r="M730" s="76">
        <f>ROUND(IF((SUM(B730:F730))&gt;L746,L746*M729,(SUM(B730:F730)-C730)*M729),2)</f>
        <v>0</v>
      </c>
      <c r="N730" s="76">
        <f>ROUND(IF((SUM(B730:F730))&gt;L746,L746*N729,SUM(B730:F730)*N729),2)</f>
        <v>0</v>
      </c>
      <c r="O730" s="23">
        <f>ROUND(SUM(B730+C730+F730)*O729,2)</f>
        <v>0</v>
      </c>
      <c r="P730" s="27">
        <f>SUM(G730:O730)</f>
        <v>0</v>
      </c>
    </row>
    <row r="731" spans="1:16" s="1" customFormat="1" x14ac:dyDescent="0.2">
      <c r="A731" s="100" t="str">
        <f>$A$27</f>
        <v>Feb 2022</v>
      </c>
      <c r="B731" s="24">
        <f>ROUND(IF(N711=0,0,IFERROR(((LOOKUP(2,1/(A718:A721=A731),G718:G721))*N711*4.348),B730/N711*N711)),2)</f>
        <v>0</v>
      </c>
      <c r="C731" s="23">
        <f>ROUND(IFERROR(((LOOKUP(2,1/(B723=A731),((SUM(B736:B738)+SUM(F736:F738))/3)*C723))),0)+IFERROR(((LOOKUP(2,1/(E723=A731),(B742+F742)*F723))),0),2)</f>
        <v>0</v>
      </c>
      <c r="D731" s="23">
        <f>ROUND(IF(B731=0,0,D729/L711*N711),2)</f>
        <v>0</v>
      </c>
      <c r="E731" s="23">
        <f>ROUND(IF(B731=0,0,E729/N707*N711),2)</f>
        <v>0</v>
      </c>
      <c r="F731" s="24">
        <f>ROUND(IF(N711=0,0,IFERROR(((LOOKUP(2,1/(A718:A721=A731),H718:H721))/N707*N711),F730/N711*N711)),2)</f>
        <v>0</v>
      </c>
      <c r="G731" s="27">
        <f t="shared" ref="G731:G741" si="82">SUM(B731+C731+E731+F731)</f>
        <v>0</v>
      </c>
      <c r="H731" s="76">
        <f>ROUND(IF(SUM(B730:F730)&lt;(L745*1),IF((SUM(B730:F731))&gt;(L745*2),(((L745*2)-(SUM(B730:F731)-C730))*H729)+((SUM(B731:F731)-C730)*H729),SUM(B731:F731)*H729),IF(SUM(B730:F731)&gt;(L745*2),L745*H729,SUM(B731:F731)*H729)),2)</f>
        <v>0</v>
      </c>
      <c r="I731" s="76">
        <f>ROUND(IF(SUM(B730:F730)&lt;(L746*1),IF((SUM(B730:F731))&gt;(L746*2),(((L746*2)-(SUM(B730:F731)-C730))*I729)+((SUM(B731:F731)-C730)*I729),SUM(B731:F731)*I729),IF(SUM(B730:F731)&gt;(L746*2),L746*I729,SUM(B731:F731)*I729)),2)</f>
        <v>0</v>
      </c>
      <c r="J731" s="76">
        <f>ROUND(IF(SUM(B730:F730)&lt;(L746*1),IF((SUM(B730:F731))&gt;(L746*2),(((L746*2)-(SUM(B730:F731)-C730))*J729)+((SUM(B731:F731)-C730)*J729),SUM(B731:F731)*J729),IF(SUM(B730:F731)&gt;(L746*2),L746*J729,SUM(B731:F731)*J729)),2)</f>
        <v>0</v>
      </c>
      <c r="K731" s="76">
        <f>ROUND(IF(SUM(B730:F730)&lt;(L745*1),IF((SUM(B730:F731))&gt;(L745*2),(((L745*2)-(SUM(B730:F731)-C730))*K729)+((SUM(B731:F731)-C730)*K729),SUM(B731:F731)*K729),IF(SUM(B730:F731)&gt;(L745*2),L745*K729,SUM(B731:F731)*K729)),2)</f>
        <v>0</v>
      </c>
      <c r="L731" s="76">
        <f>ROUND(IF(SUM(B730:F730)&lt;(L746*1),IF((SUM(B730:F731))&gt;(L746*2),(((L746*2)-(SUM(B730:F731)-C731))*L729)+((SUM(B731:F731)-C731)*L729),(SUM(B731:F731)-C731)*L729),IF(SUM(B730:F731)&gt;(L746*2),L746*L729,SUM(B731:F731)*L729)),2)</f>
        <v>0</v>
      </c>
      <c r="M731" s="76">
        <f>ROUND(IF(SUM(B730:F730)&lt;(L746*1),IF((SUM(B730:F731))&gt;(L746*2),(((L746*2)-(SUM(B730:F731)-C731))*M729)+((SUM(B731:F731)-C731)*M729),(SUM(B731:F731)-C731)*M729),IF(SUM(B730:F731)&gt;(L746*2),L746*M729,SUM(B731:F731)*M729)),2)</f>
        <v>0</v>
      </c>
      <c r="N731" s="76">
        <f>ROUND(IF(SUM(B730:F730)&lt;(L746*1),IF((SUM(B730:F731))&gt;(L746*2),(((L746*2)-(SUM(B730:F731)-C730))*N729)+((SUM(B731:F731)-C730)*N729),SUM(B731:F731)*N729),IF(SUM(B730:F731)&gt;(L746*2),L746*N729,SUM(B731:F731)*N729)),2)</f>
        <v>0</v>
      </c>
      <c r="O731" s="23">
        <f>ROUND(SUM(B731+C731+F731)*O729,2)</f>
        <v>0</v>
      </c>
      <c r="P731" s="27">
        <f>SUM(G731:O731)</f>
        <v>0</v>
      </c>
    </row>
    <row r="732" spans="1:16" s="1" customFormat="1" x14ac:dyDescent="0.2">
      <c r="A732" s="100" t="str">
        <f>$A$28</f>
        <v>Mrz 2022</v>
      </c>
      <c r="B732" s="24">
        <f>ROUND(IF(N712=0,0,IFERROR(((LOOKUP(2,1/(A718:A721=A732),G718:G721))*N712*4.348),B731/N712*N712)),2)</f>
        <v>0</v>
      </c>
      <c r="C732" s="23">
        <f>ROUND(IFERROR(((LOOKUP(2,1/(B723=A732),((SUM(B736:B738)+SUM(F736:F738))/3)*C723))),0)+IFERROR(((LOOKUP(2,1/(E723=A732),(B742+F742)*F723))),0),2)</f>
        <v>0</v>
      </c>
      <c r="D732" s="23">
        <f>ROUND(IF(B732=0,0,D729/L711*N712),2)</f>
        <v>0</v>
      </c>
      <c r="E732" s="23">
        <f>ROUND(IF(B732=0,0,E729/N707*N712),2)</f>
        <v>0</v>
      </c>
      <c r="F732" s="24">
        <f>ROUND(IF(N712=0,0,IFERROR(((LOOKUP(2,1/(A718:A721=A732),H718:H721))/N707*N712),F731/N712*N712)),2)</f>
        <v>0</v>
      </c>
      <c r="G732" s="27">
        <f t="shared" si="82"/>
        <v>0</v>
      </c>
      <c r="H732" s="76">
        <f>ROUND(IF(SUM(B730:F731)&lt;(L745*2),IF((SUM(B730:F732))&gt;(L745*3),(((L745*3)-(SUM(B730:F732)-C731))*H729)+((SUM(B732:F732)-C731)*H729),SUM(B732:F732)*H729),IF(SUM(B730:F732)&gt;(L745*3),L745*H729,SUM(B732:F732)*H729)),2)</f>
        <v>0</v>
      </c>
      <c r="I732" s="76">
        <f>ROUND(IF(SUM(B730:F731)&lt;(L746*2),IF((SUM(B730:F732))&gt;(L746*3),(((L746*3)-(SUM(B730:F732)-C731))*I729)+((SUM(B732:F732)-C731)*I729),SUM(B732:F732)*I729),IF(SUM(B730:F732)&gt;(L746*3),L746*I729,SUM(B732:F732)*I729)),2)</f>
        <v>0</v>
      </c>
      <c r="J732" s="76">
        <f>ROUND(IF(SUM(B730:F731)&lt;(L746*2),IF((SUM(B730:F732))&gt;(L746*3),(((L746*3)-(SUM(B730:F732)-C731))*J729)+((SUM(B732:F732)-C731)*J729),SUM(B732:F732)*J729),IF(SUM(B730:F732)&gt;(L746*3),L746*J729,SUM(B732:F732)*J729)),2)</f>
        <v>0</v>
      </c>
      <c r="K732" s="76">
        <f>ROUND(IF(SUM(B730:F731)&lt;(L745*2),IF((SUM(B730:F732))&gt;(L745*3),(((L745*3)-(SUM(B730:F732)-C731))*K729)+((SUM(B732:F732)-C731)*K729),SUM(B732:F732)*K729),IF(SUM(B730:F732)&gt;(L745*3),L745*K729,SUM(B732:F732)*K729)),2)</f>
        <v>0</v>
      </c>
      <c r="L732" s="76">
        <f>ROUND(IF(SUM(B730:F731)&lt;(L746*2),IF((SUM(B730:F732))&gt;(L746*3),(((L746*3)-(SUM(B730:F732)-C732))*L729)+((SUM(B732:F732)-C732)*L729),(SUM(B732:F732)-C732)*L729),IF(SUM(B730:F732)&gt;(L746*3),L746*L729,SUM(B732:F732)*L729)),2)</f>
        <v>0</v>
      </c>
      <c r="M732" s="76">
        <f>ROUND(IF(SUM(B730:F731)&lt;(L746*2),IF((SUM(B730:F732))&gt;(L746*3),(((L746*3)-(SUM(B730:F732)-C732))*M729)+((SUM(B732:F732)-C732)*M729),(SUM(B732:F732)-C732)*M729),IF(SUM(B730:F732)&gt;(L746*3),L746*M729,SUM(B732:F732)*M729)),2)</f>
        <v>0</v>
      </c>
      <c r="N732" s="76">
        <f>ROUND(IF(SUM(B730:F731)&lt;(L746*2),IF((SUM(B730:F732))&gt;(L746*3),(((L746*3)-(SUM(B730:F732)-C731))*N729)+((SUM(B732:F732)-C731)*N729),SUM(B732:F732)*N729),IF(SUM(B730:F732)&gt;(L746*3),L746*N729,SUM(B732:F732)*N729)),2)</f>
        <v>0</v>
      </c>
      <c r="O732" s="23">
        <f>ROUND(SUM(B732+C732+F732)*O729,2)</f>
        <v>0</v>
      </c>
      <c r="P732" s="27">
        <f t="shared" ref="P732:P741" si="83">SUM(G732:O732)</f>
        <v>0</v>
      </c>
    </row>
    <row r="733" spans="1:16" s="1" customFormat="1" x14ac:dyDescent="0.2">
      <c r="A733" s="100" t="str">
        <f>$A$29</f>
        <v>Apr 2022</v>
      </c>
      <c r="B733" s="24">
        <f>ROUND(IF(N713=0,0,IFERROR(((LOOKUP(2,1/(A718:A721=A733),G718:G721))*N713*4.348),B732/N713*N713)),2)</f>
        <v>0</v>
      </c>
      <c r="C733" s="23">
        <f>ROUND(IFERROR(((LOOKUP(2,1/(B723=A733),((SUM(B736:B738)+SUM(F736:F738))/3)*C723))),0)+IFERROR(((LOOKUP(2,1/(E723=A733),(B742+F742)*F723))),0),2)</f>
        <v>0</v>
      </c>
      <c r="D733" s="23">
        <f>ROUND(IF(B733=0,0,D729/L711*N713),2)</f>
        <v>0</v>
      </c>
      <c r="E733" s="23">
        <f>ROUND(IF(B733=0,0,E729/N707*N713),2)</f>
        <v>0</v>
      </c>
      <c r="F733" s="24">
        <f>ROUND(IF(N713=0,0,IFERROR(((LOOKUP(2,1/(A718:A721=A733),H718:H721))/N707*N713),F732/N713*N713)),2)</f>
        <v>0</v>
      </c>
      <c r="G733" s="27">
        <f t="shared" si="82"/>
        <v>0</v>
      </c>
      <c r="H733" s="76">
        <f>ROUND(IF(SUM(B730:F732)&lt;(L745*3),IF((SUM(B730:F733))&gt;(L745*4),(((L745*4)-(SUM(B730:F733)-C732))*H729)+((SUM(B733:F733)-C732)*H729),SUM(B733:F733)*H729),IF(SUM(B730:F733)&gt;(L745*4),L745*H729,SUM(B733:F733)*H729)),2)</f>
        <v>0</v>
      </c>
      <c r="I733" s="76">
        <f>ROUND(IF(SUM(B730:F732)&lt;(L746*3),IF((SUM(B730:F733))&gt;(L746*4),(((L746*4)-(SUM(B730:F733)-C732))*I729)+((SUM(B733:F733)-C732)*I729),SUM(B733:F733)*I729),IF(SUM(B730:F733)&gt;(L746*4),L746*I729,SUM(B733:F733)*I729)),2)</f>
        <v>0</v>
      </c>
      <c r="J733" s="76">
        <f>ROUND(IF(SUM(B730:F732)&lt;(L746*3),IF((SUM(B730:F733))&gt;(L746*4),(((L746*4)-(SUM(B730:F733)-C732))*J729)+((SUM(B733:F733)-C732)*J729),SUM(B733:F733)*J729),IF(SUM(B730:F733)&gt;(L746*4),L746*J729,SUM(B733:F733)*J729)),2)</f>
        <v>0</v>
      </c>
      <c r="K733" s="76">
        <f>ROUND(IF(SUM(B730:F732)&lt;(L745*3),IF((SUM(B730:F733))&gt;(L745*4),(((L745*4)-(SUM(B730:F733)-C732))*K729)+((SUM(B733:F733)-C732)*K729),SUM(B733:F733)*K729),IF(SUM(B730:F733)&gt;(L745*4),L745*K729,SUM(B733:F733)*K729)),2)</f>
        <v>0</v>
      </c>
      <c r="L733" s="76">
        <f>ROUND(IF(SUM(B730:F732)&lt;(L746*3),IF((SUM(B730:F733))&gt;(L746*4),(((L746*4)-(SUM(B730:F733)-C733))*L729)+((SUM(B733:F733)-C733)*L729),(SUM(B733:F733)-C733)*L729),IF(SUM(B730:F733)&gt;(L746*4),L746*L729,SUM(B733:F733)*L729)),2)</f>
        <v>0</v>
      </c>
      <c r="M733" s="76">
        <f>ROUND(IF(SUM(B730:F732)&lt;(L746*3),IF((SUM(B730:F733))&gt;(L746*4),(((L746*4)-(SUM(B730:F733)-C733))*M729)+((SUM(B733:F733)-C733)*M729),(SUM(B733:F733)-C733)*M729),IF(SUM(B730:F733)&gt;(L746*4),L746*M729,SUM(B733:F733)*M729)),2)</f>
        <v>0</v>
      </c>
      <c r="N733" s="76">
        <f>ROUND(IF(SUM(B730:F732)&lt;(L746*3),IF((SUM(B730:F733))&gt;(L746*4),(((L746*4)-(SUM(B730:F733)-C732))*N729)+((SUM(B733:F733)-C732)*N729),SUM(B733:F733)*N729),IF(SUM(B730:F733)&gt;(L746*4),L746*N729,SUM(B733:F733)*N729)),2)</f>
        <v>0</v>
      </c>
      <c r="O733" s="23">
        <f>ROUND(SUM(B733+C733+F733)*O729,2)</f>
        <v>0</v>
      </c>
      <c r="P733" s="27">
        <f t="shared" si="83"/>
        <v>0</v>
      </c>
    </row>
    <row r="734" spans="1:16" s="1" customFormat="1" x14ac:dyDescent="0.2">
      <c r="A734" s="100" t="str">
        <f>$A$30</f>
        <v>Mai 2022</v>
      </c>
      <c r="B734" s="24">
        <f>ROUND(IF(N714=0,0,IFERROR(((LOOKUP(2,1/(A718:A721=A734),G718:G721))*N714*4.348),B733/N714*N714)),2)</f>
        <v>0</v>
      </c>
      <c r="C734" s="23">
        <f>ROUND(IFERROR(((LOOKUP(2,1/(B723=A734),((SUM(B736:B738)+SUM(F736:F738))/3)*C723))),0)+IFERROR(((LOOKUP(2,1/(E723=A734),(B742+F742)*F723))),0),2)</f>
        <v>0</v>
      </c>
      <c r="D734" s="23">
        <f>ROUND(IF(B734=0,0,D729/L711*N714),2)</f>
        <v>0</v>
      </c>
      <c r="E734" s="23">
        <f>ROUND(IF(B734=0,0,E729/N707*N714),2)</f>
        <v>0</v>
      </c>
      <c r="F734" s="24">
        <f>ROUND(IF(N714=0,0,IFERROR(((LOOKUP(2,1/(A718:A721=A734),H718:H721))/N707*N714),F733/N714*N714)),2)</f>
        <v>0</v>
      </c>
      <c r="G734" s="27">
        <f t="shared" si="82"/>
        <v>0</v>
      </c>
      <c r="H734" s="76">
        <f>ROUND(IF(SUM(B730:F733)&lt;(L745*4),IF((SUM(B730:F734))&gt;(L745*5),(((L745*5)-(SUM(B730:F734)-C733))*H729)+((SUM(B734:F734)-C733)*H729),SUM(B734:F734)*H729),IF(SUM(B730:F734)&gt;(L745*5),L745*H729,SUM(B734:F734)*H729)),2)</f>
        <v>0</v>
      </c>
      <c r="I734" s="76">
        <f>ROUND(IF(SUM(B730:F733)&lt;(L746*4),IF((SUM(B730:F734))&gt;(L746*5),(((L746*5)-(SUM(B730:F734)-C733))*I729)+((SUM(B734:F734)-C733)*I729),SUM(B734:F734)*I729),IF(SUM(B730:F734)&gt;(L746*5),L746*I729,SUM(B734:F734)*I729)),2)</f>
        <v>0</v>
      </c>
      <c r="J734" s="76">
        <f>ROUND(IF(SUM(B730:F733)&lt;(L746*4),IF((SUM(B730:F734))&gt;(L746*5),(((L746*5)-(SUM(B730:F734)-C733))*J729)+((SUM(B734:F734)-C733)*J729),SUM(B734:F734)*J729),IF(SUM(B730:F734)&gt;(L746*5),L746*J729,SUM(B734:F734)*J729)),2)</f>
        <v>0</v>
      </c>
      <c r="K734" s="76">
        <f>ROUND(IF(SUM(B730:F733)&lt;(L745*4),IF((SUM(B730:F734))&gt;(L745*5),(((L745*5)-(SUM(B730:F734)-C733))*K729)+((SUM(B734:F734)-C733)*K729),SUM(B734:F734)*K729),IF(SUM(B730:F734)&gt;(L745*5),L745*K729,SUM(B734:F734)*K729)),2)</f>
        <v>0</v>
      </c>
      <c r="L734" s="76">
        <f>ROUND(IF(SUM(B730:F733)&lt;(L746*4),IF((SUM(B730:F734))&gt;(L746*5),(((L746*5)-(SUM(B730:F734)-C734))*L729)+((SUM(B734:F734)-C734)*L729),(SUM(B734:F734)-C734)*L729),IF(SUM(B730:F734)&gt;(L746*5),L746*L729,SUM(B734:F734)*L729)),2)</f>
        <v>0</v>
      </c>
      <c r="M734" s="76">
        <f>ROUND(IF(SUM(B730:F733)&lt;(L746*4),IF((SUM(B730:F734))&gt;(L746*5),(((L746*5)-(SUM(B730:F734)-C734))*M729)+((SUM(B734:F734)-C734)*M729),(SUM(B734:F734)-C734)*M729),IF(SUM(B730:F734)&gt;(L746*5),L746*M729,SUM(B734:F734)*M729)),2)</f>
        <v>0</v>
      </c>
      <c r="N734" s="76">
        <f>ROUND(IF(SUM(B730:F733)&lt;(L746*4),IF((SUM(B730:F734))&gt;(L746*5),(((L746*5)-(SUM(B730:F734)-C733))*N729)+((SUM(B734:F734)-C733)*N729),SUM(B734:F734)*N729),IF(SUM(B730:F734)&gt;(L746*5),L746*N729,SUM(B734:F734)*N729)),2)</f>
        <v>0</v>
      </c>
      <c r="O734" s="23">
        <f>ROUND(SUM(B734+C734+F734)*O729,2)</f>
        <v>0</v>
      </c>
      <c r="P734" s="27">
        <f t="shared" si="83"/>
        <v>0</v>
      </c>
    </row>
    <row r="735" spans="1:16" s="1" customFormat="1" x14ac:dyDescent="0.2">
      <c r="A735" s="100" t="str">
        <f>$A$31</f>
        <v>Jun 2022</v>
      </c>
      <c r="B735" s="24">
        <f>ROUND(IF(N715=0,0,IFERROR(((LOOKUP(2,1/(A718:A721=A735),G718:G721))*N715*4.348),B734/N715*N715)),2)</f>
        <v>0</v>
      </c>
      <c r="C735" s="23">
        <f>ROUND(IFERROR(((LOOKUP(2,1/(B723=A735),((SUM(B736:B738)+SUM(F736:F738))/3)*C723))),0)+IFERROR(((LOOKUP(2,1/(E723=A735),(B742+F742)*F723))),0),2)</f>
        <v>0</v>
      </c>
      <c r="D735" s="23">
        <f>ROUND(IF(B735=0,0,D729/L711*N715),2)</f>
        <v>0</v>
      </c>
      <c r="E735" s="23">
        <f>ROUND(IF(B735=0,0,E729/N707*N715),2)</f>
        <v>0</v>
      </c>
      <c r="F735" s="24">
        <f>ROUND(IF(N715=0,0,IFERROR(((LOOKUP(2,1/(A718:A721=A735),H718:H721))/N707*N715),F734/N715*N715)),2)</f>
        <v>0</v>
      </c>
      <c r="G735" s="27">
        <f t="shared" si="82"/>
        <v>0</v>
      </c>
      <c r="H735" s="76">
        <f>ROUND(IF(SUM(B730:F734)&lt;(L745*5),IF((SUM(B730:F735))&gt;(L745*6),(((L745*6)-(SUM(B730:F735)-C734))*H729)+((SUM(B735:F735)-C734)*H729),SUM(B735:F735)*H729),IF(SUM(B730:F735)&gt;(L745*6),L745*H729,SUM(B735:F735)*H729)),2)</f>
        <v>0</v>
      </c>
      <c r="I735" s="76">
        <f>ROUND(IF(SUM(B730:F734)&lt;(L746*5),IF((SUM(B730:F735))&gt;(L746*6),(((L746*6)-(SUM(B730:F735)-C734))*I729)+((SUM(B735:F735)-C734)*I729),SUM(B735:F735)*I729),IF(SUM(B730:F735)&gt;(L746*6),L746*I729,SUM(B735:F735)*I729)),2)</f>
        <v>0</v>
      </c>
      <c r="J735" s="76">
        <f>ROUND(IF(SUM(B730:F734)&lt;(L746*5),IF((SUM(B730:F735))&gt;(L746*6),(((L746*6)-(SUM(B730:F735)-C734))*J729)+((SUM(B735:F735)-C734)*J729),SUM(B735:F735)*J729),IF(SUM(B730:F735)&gt;(L746*6),L746*J729,SUM(B735:F735)*J729)),2)</f>
        <v>0</v>
      </c>
      <c r="K735" s="76">
        <f>ROUND(IF(SUM(B730:F734)&lt;(L745*5),IF((SUM(B730:F735))&gt;(L745*6),(((L745*6)-(SUM(B730:F735)-C734))*K729)+((SUM(B735:F735)-C734)*K729),SUM(B735:F735)*K729),IF(SUM(B730:F735)&gt;(L745*6),L745*K729,SUM(B735:F735)*K729)),2)</f>
        <v>0</v>
      </c>
      <c r="L735" s="76">
        <f>ROUND(IF(SUM(B730:F734)&lt;(L746*5),IF((SUM(B730:F735))&gt;(L746*6),(((L746*6)-(SUM(B730:F735)-C735))*L729)+((SUM(B735:F735)-C735)*L729),(SUM(B735:F735)-C735)*L729),IF(SUM(B730:F735)&gt;(L746*6),L746*L729,SUM(B735:F735)*L729)),2)</f>
        <v>0</v>
      </c>
      <c r="M735" s="76">
        <f>ROUND(IF(SUM(B730:F734)&lt;(L746*5),IF((SUM(B730:F735))&gt;(L746*6),(((L746*6)-(SUM(B730:F735)-C735))*M729)+((SUM(B735:F735)-C735)*M729),(SUM(B735:F735)-C735)*M729),IF(SUM(B730:F735)&gt;(L746*6),L746*M729,SUM(B735:F735)*M729)),2)</f>
        <v>0</v>
      </c>
      <c r="N735" s="76">
        <f>ROUND(IF(SUM(B730:F734)&lt;(L746*5),IF((SUM(B730:F735))&gt;(L746*6),(((L746*6)-(SUM(B730:F735)-C734))*N729)+((SUM(B735:F735)-C734)*N729),SUM(B735:F735)*N729),IF(SUM(B730:F735)&gt;(L746*6),L746*N729,SUM(B735:F735)*N729)),2)</f>
        <v>0</v>
      </c>
      <c r="O735" s="23">
        <f>ROUND(SUM(B735+C735+F735)*O729,2)</f>
        <v>0</v>
      </c>
      <c r="P735" s="27">
        <f t="shared" si="83"/>
        <v>0</v>
      </c>
    </row>
    <row r="736" spans="1:16" s="1" customFormat="1" x14ac:dyDescent="0.2">
      <c r="A736" s="100" t="str">
        <f>$A$32</f>
        <v>Jul 2022</v>
      </c>
      <c r="B736" s="24">
        <f>ROUND(IF(P710=0,0,IFERROR(((LOOKUP(2,1/(A718:A721=A736),G718:G721))*P710*4.348),B735/P710*P710)),2)</f>
        <v>0</v>
      </c>
      <c r="C736" s="23">
        <f>ROUND(IFERROR(((LOOKUP(2,1/(B723=A736),((SUM(B736:B738)+SUM(F736:F738))/3)*C723))),0)+IFERROR(((LOOKUP(2,1/(E723=A736),(B742+F742)*F723))),0),2)</f>
        <v>0</v>
      </c>
      <c r="D736" s="23">
        <f>ROUND(IF(B736=0,0,D729/L711*P710),2)</f>
        <v>0</v>
      </c>
      <c r="E736" s="23">
        <f>ROUND(IF(B736=0,0,E729/N707*P710),2)</f>
        <v>0</v>
      </c>
      <c r="F736" s="24">
        <f>ROUND(IF(P710=0,0,IFERROR(((LOOKUP(2,1/(A718:A721=A736),H718:H721))/N707*P710),F735/P710*P710)),2)</f>
        <v>0</v>
      </c>
      <c r="G736" s="27">
        <f t="shared" si="82"/>
        <v>0</v>
      </c>
      <c r="H736" s="76">
        <f>ROUND(IF(SUM(B730:F735)&lt;(L745*6),IF((SUM(B730:F736))&gt;(L745*7),(((L745*7)-(SUM(B730:F736)-C735))*H729)+((SUM(B736:F736)-C735)*H729),SUM(B736:F736)*H729),IF(SUM(B730:F736)&gt;(L745*7),L745*H729,SUM(B736:F736)*H729)),2)</f>
        <v>0</v>
      </c>
      <c r="I736" s="76">
        <f>ROUND(IF(SUM(B730:F735)&lt;(L746*6),IF((SUM(B730:F736))&gt;(L746*7),(((L746*7)-(SUM(B730:F736)-C735))*I729)+((SUM(B736:F736)-C735)*I729),SUM(B736:F736)*I729),IF(SUM(B730:F736)&gt;(L746*7),L746*I729,SUM(B736:F736)*I729)),2)</f>
        <v>0</v>
      </c>
      <c r="J736" s="76">
        <f>ROUND(IF(SUM(B730:F735)&lt;(L746*6),IF((SUM(B730:F736))&gt;(L746*7),(((L746*7)-(SUM(B730:F736)-C735))*J729)+((SUM(B736:F736)-C735)*J729),SUM(B736:F736)*J729),IF(SUM(B730:F736)&gt;(L746*7),L746*J729,SUM(B736:F736)*J729)),2)</f>
        <v>0</v>
      </c>
      <c r="K736" s="76">
        <f>ROUND(IF(SUM(B730:F735)&lt;(L745*6),IF((SUM(B730:F736))&gt;(L745*7),(((L745*7)-(SUM(B730:F736)-C735))*K729)+((SUM(B736:F736)-C735)*K729),SUM(B736:F736)*K729),IF(SUM(B730:F736)&gt;(L745*7),L745*K729,SUM(B736:F736)*K729)),2)</f>
        <v>0</v>
      </c>
      <c r="L736" s="76">
        <f>ROUND(IF(SUM(B730:F735)&lt;(L746*6),IF((SUM(B730:F736))&gt;(L746*7),(((L746*7)-(SUM(B730:F736)-C736))*L729)+((SUM(B736:F736)-C736)*L729),(SUM(B736:F736)-C736)*L729),IF(SUM(B730:F736)&gt;(L746*7),L746*L729,SUM(B736:F736)*L729)),2)</f>
        <v>0</v>
      </c>
      <c r="M736" s="76">
        <f>ROUND(IF(SUM(B730:F735)&lt;(L746*6),IF((SUM(B730:F736))&gt;(L746*7),(((L746*7)-(SUM(B730:F736)-C736))*M729)+((SUM(B736:F736)-C736)*M729),(SUM(B736:F736)-C736)*M729),IF(SUM(B730:F736)&gt;(L746*7),L746*M729,SUM(B736:F736)*M729)),2)</f>
        <v>0</v>
      </c>
      <c r="N736" s="76">
        <f>ROUND(IF(SUM(B730:F735)&lt;(L746*6),IF((SUM(B730:F736))&gt;(L746*7),(((L746*7)-(SUM(B730:F736)-C735))*N729)+((SUM(B736:F736)-C735)*N729),SUM(B736:F736)*N729),IF(SUM(B730:F736)&gt;(L746*7),L746*N729,SUM(B736:F736)*N729)),2)</f>
        <v>0</v>
      </c>
      <c r="O736" s="23">
        <f>ROUND(SUM(B736+C736+F736)*O729,2)</f>
        <v>0</v>
      </c>
      <c r="P736" s="27">
        <f t="shared" si="83"/>
        <v>0</v>
      </c>
    </row>
    <row r="737" spans="1:16" s="1" customFormat="1" x14ac:dyDescent="0.2">
      <c r="A737" s="100" t="str">
        <f>$A$33</f>
        <v>Aug 2022</v>
      </c>
      <c r="B737" s="24">
        <f>ROUND(IF(P711=0,0,IFERROR(((LOOKUP(2,1/(A718:A721=A737),G718:G721))*P711*4.348),B736/P711*P711)),2)</f>
        <v>0</v>
      </c>
      <c r="C737" s="23">
        <f>ROUND(IFERROR(((LOOKUP(2,1/(B723=A737),((SUM(B736:B738)+SUM(F736:F738))/3)*C723))),0)+IFERROR(((LOOKUP(2,1/(E723=A737),(B742+F742)*F723))),0),2)</f>
        <v>0</v>
      </c>
      <c r="D737" s="23">
        <f>ROUND(IF(B737=0,0,D729/L711*P711),2)</f>
        <v>0</v>
      </c>
      <c r="E737" s="23">
        <f>ROUND(IF(B737=0,0,E729/N707*P711),2)</f>
        <v>0</v>
      </c>
      <c r="F737" s="24">
        <f>ROUND(IF(P711=0,0,IFERROR(((LOOKUP(2,1/(A718:A721=A737),H718:H721))/N707*P711),F736/P711*P711)),2)</f>
        <v>0</v>
      </c>
      <c r="G737" s="27">
        <f t="shared" si="82"/>
        <v>0</v>
      </c>
      <c r="H737" s="76">
        <f>ROUND(IF(SUM(B730:F736)&lt;(L745*7),IF((SUM(B730:F737))&gt;(L745*8),(((L745*8)-(SUM(B730:F737)-C736))*H729)+((SUM(B737:F737)-C736)*H729),SUM(B737:F737)*H729),IF(SUM(B730:F737)&gt;(L745*8),L745*H729,SUM(B737:F737)*H729)),2)</f>
        <v>0</v>
      </c>
      <c r="I737" s="76">
        <f>ROUND(IF(SUM(B730:F736)&lt;(L746*7),IF((SUM(B730:F737))&gt;(L746*8),(((L746*8)-(SUM(B730:F737)-C736))*I729)+((SUM(B737:F737)-C736)*I729),SUM(B737:F737)*I729),IF(SUM(B730:F737)&gt;(L746*8),L746*I729,SUM(B737:F737)*I729)),2)</f>
        <v>0</v>
      </c>
      <c r="J737" s="76">
        <f>ROUND(IF(SUM(B730:F736)&lt;(L746*7),IF((SUM(B730:F737))&gt;(L746*8),(((L746*8)-(SUM(B730:F737)-C736))*J729)+((SUM(B737:F737)-C736)*J729),SUM(B737:F737)*J729),IF(SUM(B730:F737)&gt;(L746*8),L746*J729,SUM(B737:F737)*J729)),2)</f>
        <v>0</v>
      </c>
      <c r="K737" s="76">
        <f>ROUND(IF(SUM(B730:F736)&lt;(L745*7),IF((SUM(B730:F737))&gt;(L745*8),(((L745*8)-(SUM(B730:F737)-C736))*K729)+((SUM(B737:F737)-C736)*K729),SUM(B737:F737)*K729),IF(SUM(B730:F737)&gt;(L745*8),L745*K729,SUM(B737:F737)*K729)),2)</f>
        <v>0</v>
      </c>
      <c r="L737" s="76">
        <f>ROUND(IF(SUM(B730:F736)&lt;(L746*7),IF((SUM(B730:F737))&gt;(L746*8),(((L746*8)-(SUM(B730:F737)-C737))*L729)+((SUM(B737:F737)-C737)*L729),(SUM(B737:F737)-C737)*L729),IF(SUM(B730:F737)&gt;(L746*8),L746*L729,SUM(B737:F737)*L729)),2)</f>
        <v>0</v>
      </c>
      <c r="M737" s="76">
        <f>ROUND(IF(SUM(B730:F736)&lt;(L746*7),IF((SUM(B730:F737))&gt;(L746*8),(((L746*8)-(SUM(B730:F737)-C737))*M729)+((SUM(B737:F737)-C737)*M729),(SUM(B737:F737)-C737)*M729),IF(SUM(B730:F737)&gt;(L746*8),L746*M729,SUM(B737:F737)*M729)),2)</f>
        <v>0</v>
      </c>
      <c r="N737" s="76">
        <f>ROUND(IF(SUM(B730:F736)&lt;(L746*7),IF((SUM(B730:F737))&gt;(L746*8),(((L746*8)-(SUM(B730:F737)-C736))*N729)+((SUM(B737:F737)-C736)*N729),SUM(B737:F737)*N729),IF(SUM(B730:F737)&gt;(L746*8),L746*N729,SUM(B737:F737)*N729)),2)</f>
        <v>0</v>
      </c>
      <c r="O737" s="23">
        <f>ROUND(SUM(B737+C737+F737)*O729,2)</f>
        <v>0</v>
      </c>
      <c r="P737" s="27">
        <f t="shared" si="83"/>
        <v>0</v>
      </c>
    </row>
    <row r="738" spans="1:16" s="1" customFormat="1" x14ac:dyDescent="0.2">
      <c r="A738" s="100" t="str">
        <f>$A$34</f>
        <v>Sep 2022</v>
      </c>
      <c r="B738" s="24">
        <f>ROUND(IF(P712=0,0,IFERROR(((LOOKUP(2,1/(A718:A721=A738),G718:G721))*P712*4.348),B737/P712*P712)),2)</f>
        <v>0</v>
      </c>
      <c r="C738" s="23">
        <f>ROUND(IFERROR(((LOOKUP(2,1/(B723=A738),((SUM(B736:B738)+SUM(F736:F738))/3)*C723))),0)+IFERROR(((LOOKUP(2,1/(E723=A738),(B742+F742)*F723))),0),2)</f>
        <v>0</v>
      </c>
      <c r="D738" s="23">
        <f>ROUND(IF(B738=0,0,D729/L711*P712),2)</f>
        <v>0</v>
      </c>
      <c r="E738" s="23">
        <f>ROUND(IF(B738=0,0,E729/N707*P712),2)</f>
        <v>0</v>
      </c>
      <c r="F738" s="24">
        <f>ROUND(IF(P712=0,0,IFERROR(((LOOKUP(2,1/(A718:A721=A738),H718:H721))/N707*P712),F737/P712*P712)),2)</f>
        <v>0</v>
      </c>
      <c r="G738" s="27">
        <f t="shared" si="82"/>
        <v>0</v>
      </c>
      <c r="H738" s="76">
        <f>ROUND(IF(SUM(B730:F737)&lt;(L745*8),IF((SUM(B730:F738))&gt;(L745*9),(((L745*9)-(SUM(B730:F738)-C737))*H729)+((SUM(B738:F738)-C737)*H729),SUM(B738:F738)*H729),IF(SUM(B730:F738)&gt;(L745*9),L745*H729,SUM(B738:F738)*H729)),2)</f>
        <v>0</v>
      </c>
      <c r="I738" s="76">
        <f>ROUND(IF(SUM(B730:F737)&lt;(L746*8),IF((SUM(B730:F738))&gt;(L746*9),(((L746*9)-(SUM(B730:F738)-C737))*I729)+((SUM(B738:F738)-C737)*I729),SUM(B738:F738)*I729),IF(SUM(B730:F738)&gt;(L746*9),L746*I729,SUM(B738:F738)*I729)),2)</f>
        <v>0</v>
      </c>
      <c r="J738" s="76">
        <f>ROUND(IF(SUM(B730:F737)&lt;(L746*8),IF((SUM(B730:F738))&gt;(L746*9),(((L746*9)-(SUM(B730:F738)-C737))*J729)+((SUM(B738:F738)-C737)*J729),SUM(B738:F738)*J729),IF(SUM(B730:F738)&gt;(L746*9),L746*J729,SUM(B738:F738)*J729)),2)</f>
        <v>0</v>
      </c>
      <c r="K738" s="76">
        <f>ROUND(IF(SUM(B730:F737)&lt;(L745*8),IF((SUM(B730:F738))&gt;(L745*9),(((L745*9)-(SUM(B730:F738)-C737))*K729)+((SUM(B738:F738)-C737)*K729),SUM(B738:F738)*K729),IF(SUM(B730:F738)&gt;(L745*9),L745*K729,SUM(B738:F738)*K729)),2)</f>
        <v>0</v>
      </c>
      <c r="L738" s="76">
        <f>ROUND(IF(SUM(B730:F737)&lt;(L746*8),IF((SUM(B730:F738))&gt;(L746*9),(((L746*9)-(SUM(B730:F738)-C738))*L729)+((SUM(B738:F738)-C738)*L729),(SUM(B738:F738)-C738)*L729),IF(SUM(B730:F738)&gt;(L746*9),L746*L729,SUM(B738:F738)*L729)),2)</f>
        <v>0</v>
      </c>
      <c r="M738" s="76">
        <f>ROUND(IF(SUM(B730:F737)&lt;(L746*8),IF((SUM(B730:F738))&gt;(L746*9),(((L746*9)-(SUM(B730:F738)-C738))*M729)+((SUM(B738:F738)-C738)*M729),(SUM(B738:F738)-C738)*M729),IF(SUM(B730:F738)&gt;(L746*9),L746*M729,SUM(B738:F738)*M729)),2)</f>
        <v>0</v>
      </c>
      <c r="N738" s="76">
        <f>ROUND(IF(SUM(B730:F737)&lt;(L746*8),IF((SUM(B730:F738))&gt;(L746*9),(((L746*9)-(SUM(B730:F738)-C737))*N729)+((SUM(B738:F738)-C737)*N729),SUM(B738:F738)*N729),IF(SUM(B730:F738)&gt;(L746*9),L746*N729,SUM(B738:F738)*N729)),2)</f>
        <v>0</v>
      </c>
      <c r="O738" s="23">
        <f>ROUND(SUM(B738+C738+F738)*O729,2)</f>
        <v>0</v>
      </c>
      <c r="P738" s="27">
        <f t="shared" si="83"/>
        <v>0</v>
      </c>
    </row>
    <row r="739" spans="1:16" s="1" customFormat="1" x14ac:dyDescent="0.2">
      <c r="A739" s="100" t="str">
        <f>$A$35</f>
        <v>Okt 2022</v>
      </c>
      <c r="B739" s="24">
        <f>ROUND(IF(P713=0,0,IFERROR(((LOOKUP(2,1/(A718:A721=A739),G718:G721))*P713*4.348),B738/P713*P713)),2)</f>
        <v>0</v>
      </c>
      <c r="C739" s="23">
        <f>ROUND(IFERROR(((LOOKUP(2,1/(B723=A739),((SUM(B736:B738)+SUM(F736:F738))/3)*C723))),0)+IFERROR(((LOOKUP(2,1/(E723=A739),(B742+F742)*F723))),0),2)</f>
        <v>0</v>
      </c>
      <c r="D739" s="23">
        <f>ROUND(IF(B739=0,0,D729/L711*P713),2)</f>
        <v>0</v>
      </c>
      <c r="E739" s="23">
        <f>ROUND(IF(B739=0,0,E729/N707*P713),2)</f>
        <v>0</v>
      </c>
      <c r="F739" s="24">
        <f>ROUND(IF(P713=0,0,IFERROR(((LOOKUP(2,1/(A718:A721=A739),H718:H721))/N707*P713),F738/P713*P713)),2)</f>
        <v>0</v>
      </c>
      <c r="G739" s="27">
        <f t="shared" si="82"/>
        <v>0</v>
      </c>
      <c r="H739" s="76">
        <f>ROUND(IF(SUM(B730:F738)&lt;(L745*9),IF((SUM(B730:F739))&gt;(L745*10),(((L745*10)-(SUM(B730:F739)-C738))*H729)+((SUM(B739:F739)-C738)*H729),SUM(B739:F739)*H729),IF(SUM(B730:F739)&gt;(L745*10),L745*H729,SUM(B739:F739)*H729)),2)</f>
        <v>0</v>
      </c>
      <c r="I739" s="76">
        <f>ROUND(IF(SUM(B730:F738)&lt;(L746*9),IF((SUM(B730:F739))&gt;(L746*10),(((L746*10)-(SUM(B730:F739)-C738))*I729)+((SUM(B739:F739)-C738)*I729),SUM(B739:F739)*I729),IF(SUM(B730:F739)&gt;(L746*10),L746*I729,SUM(B739:F739)*I729)),2)</f>
        <v>0</v>
      </c>
      <c r="J739" s="76">
        <f>ROUND(IF(SUM(B730:F738)&lt;(L746*9),IF((SUM(B730:F739))&gt;(L746*10),(((L746*10)-(SUM(B730:F739)-C738))*J729)+((SUM(B739:F739)-C738)*J729),SUM(B739:F739)*J729),IF(SUM(B730:F739)&gt;(L746*10),L746*J729,SUM(B739:F739)*J729)),2)</f>
        <v>0</v>
      </c>
      <c r="K739" s="76">
        <f>ROUND(IF(SUM(B730:F738)&lt;(L745*9),IF((SUM(B730:F739))&gt;(L745*10),(((L745*10)-(SUM(B730:F739)-C738))*K729)+((SUM(B739:F739)-C738)*K729),SUM(B739:F739)*K729),IF(SUM(B730:F739)&gt;(L745*10),L745*K729,SUM(B739:F739)*K729)),2)</f>
        <v>0</v>
      </c>
      <c r="L739" s="76">
        <f>ROUND(IF(SUM(B730:F738)&lt;(L746*9),IF((SUM(B730:F739))&gt;(L746*10),(((L746*10)-(SUM(B730:F739)-C739))*L729)+((SUM(B739:F739)-C739)*L729),(SUM(B739:F739)-C739)*L729),IF(SUM(B730:F739)&gt;(L746*10),L746*L729,SUM(B739:F739)*L729)),2)</f>
        <v>0</v>
      </c>
      <c r="M739" s="76">
        <f>ROUND(IF(SUM(B730:F738)&lt;(L746*9),IF((SUM(B730:F739))&gt;(L746*10),(((L746*10)-(SUM(B730:F739)-C739))*M729)+((SUM(B739:F739)-C739)*M729),(SUM(B739:F739)-C739)*M729),IF(SUM(B730:F739)&gt;(L746*10),L746*M729,SUM(B739:F739)*M729)),2)</f>
        <v>0</v>
      </c>
      <c r="N739" s="76">
        <f>ROUND(IF(SUM(B730:F738)&lt;(L746*9),IF((SUM(B730:F739))&gt;(L746*10),(((L746*10)-(SUM(B730:F739)-C738))*N729)+((SUM(B739:F739)-C738)*N729),SUM(B739:F739)*N729),IF(SUM(B730:F739)&gt;(L746*10),L746*N729,SUM(B739:F739)*N729)),2)</f>
        <v>0</v>
      </c>
      <c r="O739" s="23">
        <f>ROUND(SUM(B739+C739+F739)*O729,2)</f>
        <v>0</v>
      </c>
      <c r="P739" s="27">
        <f t="shared" si="83"/>
        <v>0</v>
      </c>
    </row>
    <row r="740" spans="1:16" s="1" customFormat="1" x14ac:dyDescent="0.2">
      <c r="A740" s="100" t="str">
        <f>$A$36</f>
        <v>Nov 2022</v>
      </c>
      <c r="B740" s="24">
        <f>ROUND(IF(P714=0,0,IFERROR(((LOOKUP(2,1/(A718:A721=A740),G718:G721))*P714*4.348),B739/P714*P714)),2)</f>
        <v>0</v>
      </c>
      <c r="C740" s="23">
        <f>ROUND(IFERROR(((LOOKUP(2,1/(B723=A740),((SUM(B736:B738)+SUM(F736:F738))/3)*C723))),0)+IFERROR(((LOOKUP(2,1/(E723=A740),(B742+F742)*F723))),0),2)</f>
        <v>0</v>
      </c>
      <c r="D740" s="23">
        <f>ROUND(IF(B740=0,0,D729/L711*P714),2)</f>
        <v>0</v>
      </c>
      <c r="E740" s="23">
        <f>ROUND(IF(B740=0,0,E729/N707*P714),2)</f>
        <v>0</v>
      </c>
      <c r="F740" s="24">
        <f>ROUND(IF(P714=0,0,IFERROR(((LOOKUP(2,1/(A718:A721=A740),H718:H721))/N707*P714),F739/P714*P714)),2)</f>
        <v>0</v>
      </c>
      <c r="G740" s="27">
        <f t="shared" si="82"/>
        <v>0</v>
      </c>
      <c r="H740" s="76">
        <f>ROUND(IF(SUM(B730:F739)&lt;(L745*10),IF((SUM(B730:F740))&gt;(L745*11),(((L745*11)-(SUM(B730:F740)-C739))*H729)+((SUM(B740:F740)-C739)*H729),SUM(B740:F740)*H729),IF(SUM(B730:F740)&gt;(L745*11),L745*H729,SUM(B740:F740)*H729)),2)</f>
        <v>0</v>
      </c>
      <c r="I740" s="76">
        <f>ROUND(IF(SUM(B730:F739)&lt;(L746*10),IF((SUM(B730:F740))&gt;(L746*11),(((L746*11)-(SUM(B730:F740)-C739))*I729)+((SUM(B740:F740)-C739)*I729),SUM(B740:F740)*I729),IF(SUM(B730:F740)&gt;(L746*11),L746*I729,SUM(B740:F740)*I729)),2)</f>
        <v>0</v>
      </c>
      <c r="J740" s="76">
        <f>ROUND(IF(SUM(B730:F739)&lt;(L746*10),IF((SUM(B730:F740))&gt;(L746*11),(((L746*11)-(SUM(B730:F740)-C739))*J729)+((SUM(B740:F740)-C739)*J729),SUM(B740:F740)*J729),IF(SUM(B730:F740)&gt;(L746*11),L746*J729,SUM(B740:F740)*J729)),2)</f>
        <v>0</v>
      </c>
      <c r="K740" s="76">
        <f>ROUND(IF(SUM(B730:F739)&lt;(L745*10),IF((SUM(B730:F740))&gt;(L745*11),(((L745*11)-(SUM(B730:F740)-C739))*K729)+((SUM(B740:F740)-C739)*K729),SUM(B740:F740)*K729),IF(SUM(B730:F740)&gt;(L745*11),L745*K729,SUM(B740:F740)*K729)),2)</f>
        <v>0</v>
      </c>
      <c r="L740" s="76">
        <f>ROUND(IF(SUM(B730:F739)&lt;(L746*10),IF((SUM(B730:F740))&gt;(L746*11),(((L746*11)-(SUM(B730:F740)-C740))*L729)+((SUM(B740:F740)-C740)*L729),(SUM(B740:F740)-C740)*L729),IF(SUM(B730:F740)&gt;(L746*11),L746*L729,SUM(B740:F740)*L729)),2)</f>
        <v>0</v>
      </c>
      <c r="M740" s="76">
        <f>ROUND(IF(SUM(B730:F739)&lt;(L746*10),IF((SUM(B730:F740))&gt;(L746*11),(((L746*11)-(SUM(B730:F740)-C740))*M729)+((SUM(B740:F740)-C740)*M729),(SUM(B740:F740)-C740)*M729),IF(SUM(B730:F740)&gt;(L746*11),L746*M729,SUM(B740:F740)*M729)),2)</f>
        <v>0</v>
      </c>
      <c r="N740" s="76">
        <f>ROUND(IF(SUM(B730:F739)&lt;(L746*10),IF((SUM(B730:F740))&gt;(L746*11),(((L746*11)-(SUM(B730:F740)-C739))*N729)+((SUM(B740:F740)-C739)*N729),SUM(B740:F740)*N729),IF(SUM(B730:F740)&gt;(L746*11),L746*N729,SUM(B740:F740)*N729)),2)</f>
        <v>0</v>
      </c>
      <c r="O740" s="23">
        <f>ROUND(SUM(B740+C740+F740)*O729,2)</f>
        <v>0</v>
      </c>
      <c r="P740" s="27">
        <f t="shared" si="83"/>
        <v>0</v>
      </c>
    </row>
    <row r="741" spans="1:16" s="1" customFormat="1" x14ac:dyDescent="0.2">
      <c r="A741" s="100" t="str">
        <f>$A$37</f>
        <v>Dez 2022</v>
      </c>
      <c r="B741" s="24">
        <f>ROUND(IF(P715=0,0,IFERROR(((LOOKUP(2,1/(A718:A721=A741),G718:G721))*P715*4.348),B740/P715*P715)),2)</f>
        <v>0</v>
      </c>
      <c r="C741" s="23">
        <f>ROUND(IFERROR(((LOOKUP(2,1/(B723=A741),((SUM(B736:B738)+SUM(F736:F738))/3)*C723))),0)+IFERROR(((LOOKUP(2,1/(E723=A741),(B742+F742)*F723))),0),2)</f>
        <v>0</v>
      </c>
      <c r="D741" s="23">
        <f>ROUND(IF(B741=0,0,D729/L711*P715),2)</f>
        <v>0</v>
      </c>
      <c r="E741" s="23">
        <f>ROUND(IF(B741=0,0,E729/N707*P715),2)</f>
        <v>0</v>
      </c>
      <c r="F741" s="24">
        <f>ROUND(IF(P715=0,0,IFERROR(((LOOKUP(2,1/(A718:A721=A741),H718:H721))/N707*P715),F740/P715*P715)),2)</f>
        <v>0</v>
      </c>
      <c r="G741" s="27">
        <f t="shared" si="82"/>
        <v>0</v>
      </c>
      <c r="H741" s="76">
        <f>ROUND(IF(SUM(B730:F740)&lt;(L745*11),IF((SUM(B730:F741))&gt;(L745*12),(((L745*12)-(SUM(B730:F741)-C740))*H729)+((SUM(B741:F741)-C740)*H729),SUM(B741:F741)*H729),IF(SUM(B730:F741)&gt;(L745*12),L745*H729,SUM(B741:F741)*H729)),2)</f>
        <v>0</v>
      </c>
      <c r="I741" s="76">
        <f>ROUND(IF(SUM(B730:F740)&lt;(L746*11),IF((SUM(B730:F741))&gt;(L746*12),(((L746*12)-(SUM(B730:F741)-C740))*I729)+((SUM(B741:F741)-C740)*I729),SUM(B741:F741)*I729),IF(SUM(B730:F741)&gt;(L746*12),L746*I729,SUM(B741:F741)*I729)),2)</f>
        <v>0</v>
      </c>
      <c r="J741" s="76">
        <f>ROUND(IF(SUM(B730:F740)&lt;(L746*11),IF((SUM(B730:F741))&gt;(L746*12),(((L746*12)-(SUM(B730:F741)-C740))*J729)+((SUM(B741:F741)-C740)*J729),SUM(B741:F741)*J729),IF(SUM(B730:F741)&gt;(L746*12),L746*J729,SUM(B741:F741)*J729)),2)</f>
        <v>0</v>
      </c>
      <c r="K741" s="76">
        <f>ROUND(IF(SUM(B730:F740)&lt;(L745*11),IF((SUM(B730:F741))&gt;(L745*12),(((L745*12)-(SUM(B730:F741)-C740))*K729)+((SUM(B741:F741)-C740)*K729),SUM(B741:F741)*K729),IF(SUM(B730:F741)&gt;(L745*12),L745*K729,SUM(B741:F741)*K729)),2)</f>
        <v>0</v>
      </c>
      <c r="L741" s="76">
        <f>ROUND(IF(SUM(B730:F740)&lt;(L746*11),IF((SUM(B730:F741))&gt;(L746*12),(((L746*12)-(SUM(B730:F741)-C741))*L729)+((SUM(B741:F741)-C741)*L729),(SUM(B741:F741)-C741)*L729),IF(SUM(B730:F741)&gt;(L746*12),L746*L729,SUM(B741:F741)*L729)),2)</f>
        <v>0</v>
      </c>
      <c r="M741" s="76">
        <f>ROUND(IF(SUM(B730:F740)&lt;(L746*11),IF((SUM(B730:F741))&gt;(L746*12),(((L746*12)-(SUM(B730:F741)-C741))*M729)+((SUM(B741:F741)-C741)*M729),(SUM(B741:F741)-C741)*M729),IF(SUM(B730:F741)&gt;(L746*12),L746*M729,SUM(B741:F741)*M729)),2)</f>
        <v>0</v>
      </c>
      <c r="N741" s="76">
        <f>ROUND(IF(SUM(B730:F740)&lt;(L746*11),IF((SUM(B730:F741))&gt;(L746*12),(((L746*12)-(SUM(B730:F741)-C740))*N729)+((SUM(B741:F741)-C740)*N729),SUM(B741:F741)*N729),IF(SUM(B730:F741)&gt;(L746*12),L746*N729,SUM(B741:F741)*N729)),2)</f>
        <v>0</v>
      </c>
      <c r="O741" s="23">
        <f>ROUND(SUM(B741+C741+F741)*O729,2)</f>
        <v>0</v>
      </c>
      <c r="P741" s="27">
        <f t="shared" si="83"/>
        <v>0</v>
      </c>
    </row>
    <row r="742" spans="1:16" s="14" customFormat="1" ht="15" x14ac:dyDescent="0.25">
      <c r="A742" s="4" t="s">
        <v>2</v>
      </c>
      <c r="B742" s="27">
        <f>SUM(B730:B741)</f>
        <v>0</v>
      </c>
      <c r="C742" s="27">
        <f t="shared" ref="C742:D742" si="84">SUM(C730:C741)</f>
        <v>0</v>
      </c>
      <c r="D742" s="27">
        <f t="shared" si="84"/>
        <v>0</v>
      </c>
      <c r="E742" s="27">
        <f>SUM(E730:E741)</f>
        <v>0</v>
      </c>
      <c r="F742" s="27">
        <f>SUM(F730:F741)</f>
        <v>0</v>
      </c>
      <c r="G742" s="27">
        <f>SUM(G730:G741)</f>
        <v>0</v>
      </c>
      <c r="H742" s="1133">
        <f>SUM(H730:N741)</f>
        <v>0</v>
      </c>
      <c r="I742" s="1134"/>
      <c r="J742" s="1134"/>
      <c r="K742" s="1134"/>
      <c r="L742" s="1134"/>
      <c r="M742" s="1134"/>
      <c r="N742" s="1135"/>
      <c r="O742" s="27">
        <f>SUM(O730:O741)</f>
        <v>0</v>
      </c>
      <c r="P742" s="27">
        <f>SUM(P730:P741)</f>
        <v>0</v>
      </c>
    </row>
    <row r="743" spans="1:16" s="13" customFormat="1" ht="11.25" x14ac:dyDescent="0.2">
      <c r="A743" s="3" t="s">
        <v>1</v>
      </c>
      <c r="B743" s="2"/>
      <c r="C743" s="2"/>
      <c r="D743" s="2"/>
      <c r="E743" s="2"/>
      <c r="F743" s="2"/>
      <c r="G743" s="2"/>
      <c r="H743" s="2"/>
      <c r="I743" s="2"/>
      <c r="J743" s="2"/>
      <c r="K743" s="2"/>
      <c r="L743" s="2"/>
      <c r="M743" s="2"/>
      <c r="N743" s="2"/>
      <c r="O743" s="2"/>
      <c r="P743" s="2"/>
    </row>
    <row r="744" spans="1:16" s="1" customFormat="1" ht="14.25" customHeight="1" x14ac:dyDescent="0.2">
      <c r="A744" s="1136" t="s">
        <v>133</v>
      </c>
      <c r="B744" s="1137"/>
      <c r="C744" s="1137"/>
      <c r="D744" s="1137" t="s">
        <v>134</v>
      </c>
      <c r="E744" s="1137"/>
      <c r="F744" s="94" t="str">
        <f>IF(IF(G742=0,"",'päd.Personal - Leitung'!$F$40)=0,"",IF(G742=0,"",'päd.Personal - Leitung'!$F$40))</f>
        <v/>
      </c>
      <c r="G744" s="77" t="s">
        <v>135</v>
      </c>
      <c r="H744" s="96" t="str">
        <f>IF(IF(G742=0,"",'päd.Personal - Leitung'!$H$40)=0,"",IF(G742=0,"",'päd.Personal - Leitung'!$H$40))</f>
        <v/>
      </c>
      <c r="I744" s="73"/>
      <c r="J744" s="194" t="s">
        <v>160</v>
      </c>
      <c r="K744" s="194" t="str">
        <f>$K$40</f>
        <v>2021</v>
      </c>
      <c r="L744" s="194" t="str">
        <f>$L$40</f>
        <v>anteilig 2021</v>
      </c>
      <c r="M744" s="1138" t="s">
        <v>140</v>
      </c>
      <c r="N744" s="1138"/>
      <c r="O744" s="1139"/>
      <c r="P744" s="27">
        <f>ROUND(IF(F744="",IF(E748="",0,(E748*H748/K748)/L711*L712),G742*F744*H744/1000),2)</f>
        <v>0</v>
      </c>
    </row>
    <row r="745" spans="1:16" s="1" customFormat="1" ht="15" customHeight="1" x14ac:dyDescent="0.2">
      <c r="A745" s="1140" t="s">
        <v>145</v>
      </c>
      <c r="B745" s="1141"/>
      <c r="C745" s="1141"/>
      <c r="D745" s="18"/>
      <c r="E745" s="107" t="s">
        <v>135</v>
      </c>
      <c r="F745" s="95" t="str">
        <f>IF(IF(G742=0,"",'päd.Personal - Leitung'!$F$41)=0,"",IF(G742=0,"",'päd.Personal - Leitung'!$F$41))</f>
        <v/>
      </c>
      <c r="G745" s="48"/>
      <c r="H745" s="47"/>
      <c r="I745" s="48"/>
      <c r="J745" s="195" t="s">
        <v>158</v>
      </c>
      <c r="K745" s="198">
        <f>$K$41</f>
        <v>4837.5</v>
      </c>
      <c r="L745" s="197">
        <f>IF(L711="",K745,K745/L711*L712)</f>
        <v>4837.5</v>
      </c>
      <c r="M745" s="1138" t="s">
        <v>139</v>
      </c>
      <c r="N745" s="1138"/>
      <c r="O745" s="1139"/>
      <c r="P745" s="27">
        <f>ROUND(IF(F745="",0,G742*F745/1000),2)</f>
        <v>0</v>
      </c>
    </row>
    <row r="746" spans="1:16" s="1" customFormat="1" ht="15.75" customHeight="1" x14ac:dyDescent="0.2">
      <c r="A746" s="1142" t="s">
        <v>141</v>
      </c>
      <c r="B746" s="1143"/>
      <c r="C746" s="1143"/>
      <c r="D746" s="1144" t="s">
        <v>143</v>
      </c>
      <c r="E746" s="1144"/>
      <c r="F746" s="1145" t="str">
        <f>IF(IF(G742=0,"",'päd.Personal - Leitung'!$F$42)=0,"",IF(G742=0,"",'päd.Personal - Leitung'!$F$42))</f>
        <v/>
      </c>
      <c r="G746" s="1145"/>
      <c r="H746" s="72"/>
      <c r="I746" s="18"/>
      <c r="J746" s="195" t="s">
        <v>159</v>
      </c>
      <c r="K746" s="197">
        <f>$K$42</f>
        <v>6700</v>
      </c>
      <c r="L746" s="197">
        <f>IF(L711="",K746,K746/L711*L712)</f>
        <v>6700</v>
      </c>
      <c r="M746" s="1138" t="s">
        <v>141</v>
      </c>
      <c r="N746" s="1138"/>
      <c r="O746" s="1139"/>
      <c r="P746" s="23">
        <f>ROUND(IF(F746="",0,IF(G742=0,0,F746/L711*L712)),2)</f>
        <v>0</v>
      </c>
    </row>
    <row r="747" spans="1:16" s="1" customFormat="1" ht="14.25" customHeight="1" x14ac:dyDescent="0.2">
      <c r="A747" s="18"/>
      <c r="B747" s="18"/>
      <c r="C747" s="18"/>
      <c r="D747" s="18"/>
      <c r="E747" s="18"/>
      <c r="F747" s="18"/>
      <c r="G747" s="18"/>
      <c r="H747" s="18"/>
      <c r="I747" s="18"/>
      <c r="J747" s="18"/>
      <c r="K747" s="74"/>
      <c r="L747" s="82"/>
      <c r="M747" s="1127" t="s">
        <v>146</v>
      </c>
      <c r="N747" s="1127"/>
      <c r="O747" s="1128"/>
      <c r="P747" s="23">
        <f>ROUND(IF(G742=0,0,$P$87),2)</f>
        <v>0</v>
      </c>
    </row>
    <row r="748" spans="1:16" s="1" customFormat="1" ht="14.25" customHeight="1" x14ac:dyDescent="0.2">
      <c r="A748" s="1129" t="s">
        <v>142</v>
      </c>
      <c r="B748" s="1130"/>
      <c r="C748" s="126" t="s">
        <v>136</v>
      </c>
      <c r="D748" s="179" t="s">
        <v>137</v>
      </c>
      <c r="E748" s="1131" t="str">
        <f>IF(IF(G742=0,"",'päd.Personal - Leitung'!$E$44)=0,"",IF(G742=0,"",'päd.Personal - Leitung'!$E$44))</f>
        <v/>
      </c>
      <c r="F748" s="1131"/>
      <c r="G748" s="83" t="s">
        <v>138</v>
      </c>
      <c r="H748" s="97" t="str">
        <f>IF(IF(G742=0,"",'päd.Personal - Leitung'!$H$44)=0,"",IF(G742=0,"",'päd.Personal - Leitung'!$H$44))</f>
        <v/>
      </c>
      <c r="I748" s="1132" t="s">
        <v>144</v>
      </c>
      <c r="J748" s="1132"/>
      <c r="K748" s="98" t="str">
        <f>IF(IF(G742=0,"",'päd.Personal - Leitung'!$K$44)=0,"",IF(G742=0,"",'päd.Personal - Leitung'!$K$44))</f>
        <v/>
      </c>
      <c r="L748" s="29"/>
      <c r="M748" s="29"/>
      <c r="N748" s="29"/>
      <c r="O748" s="28" t="s">
        <v>0</v>
      </c>
      <c r="P748" s="27">
        <f>P742+SUM(P744:P747)</f>
        <v>0</v>
      </c>
    </row>
    <row r="749" spans="1:16" s="12" customFormat="1" ht="13.5" customHeight="1" x14ac:dyDescent="0.2">
      <c r="A749" s="1178" t="s">
        <v>18</v>
      </c>
      <c r="B749" s="1178"/>
      <c r="C749" s="1178"/>
      <c r="D749" s="1179" t="str">
        <f>IF($D$1="","",$D$1)</f>
        <v/>
      </c>
      <c r="E749" s="1179"/>
      <c r="F749" s="1179"/>
      <c r="G749" s="1179"/>
      <c r="H749" s="1179"/>
      <c r="I749" s="1179"/>
      <c r="J749" s="1179"/>
      <c r="K749" s="1179"/>
      <c r="L749" s="1179"/>
      <c r="M749" s="1179"/>
      <c r="N749" s="1179"/>
    </row>
    <row r="750" spans="1:16" s="12" customFormat="1" ht="15" customHeight="1" x14ac:dyDescent="0.2">
      <c r="A750" s="1178" t="s">
        <v>17</v>
      </c>
      <c r="B750" s="1178"/>
      <c r="C750" s="1178" t="s">
        <v>15</v>
      </c>
      <c r="D750" s="1179" t="str">
        <f>IF($D$2="","",$D$2)</f>
        <v/>
      </c>
      <c r="E750" s="1179"/>
      <c r="F750" s="1179"/>
      <c r="G750" s="1179"/>
      <c r="H750" s="1179"/>
      <c r="I750" s="1179"/>
      <c r="J750" s="1179"/>
      <c r="K750" s="1179"/>
      <c r="L750" s="1179"/>
      <c r="M750" s="1179"/>
      <c r="N750" s="1179"/>
    </row>
    <row r="751" spans="1:16" s="12" customFormat="1" ht="15" customHeight="1" x14ac:dyDescent="0.2">
      <c r="A751" s="1178" t="s">
        <v>16</v>
      </c>
      <c r="B751" s="1178"/>
      <c r="C751" s="1178" t="s">
        <v>15</v>
      </c>
      <c r="D751" s="1179" t="str">
        <f>IF($D$3="","",$D$3)</f>
        <v/>
      </c>
      <c r="E751" s="1179"/>
      <c r="F751" s="1179"/>
      <c r="G751" s="1179"/>
      <c r="H751" s="1179"/>
      <c r="I751" s="1179"/>
      <c r="J751" s="1179"/>
      <c r="K751" s="1178" t="s">
        <v>103</v>
      </c>
      <c r="L751" s="1178"/>
      <c r="M751" s="1178"/>
      <c r="N751" s="41" t="str">
        <f>IF($N$3="","",$N$3)</f>
        <v/>
      </c>
    </row>
    <row r="752" spans="1:16" s="13" customFormat="1" ht="11.25" x14ac:dyDescent="0.2">
      <c r="A752" s="1182"/>
      <c r="B752" s="1182"/>
      <c r="C752" s="1182"/>
      <c r="D752" s="1183"/>
      <c r="E752" s="1183"/>
      <c r="F752" s="1183"/>
      <c r="G752" s="1183"/>
      <c r="H752" s="1183"/>
      <c r="I752" s="1183"/>
      <c r="J752" s="1183"/>
      <c r="K752" s="11"/>
      <c r="L752" s="11"/>
      <c r="M752" s="11"/>
      <c r="N752" s="11"/>
      <c r="O752" s="11"/>
      <c r="P752" s="11"/>
    </row>
    <row r="753" spans="1:16" s="15" customFormat="1" ht="13.5" customHeight="1" x14ac:dyDescent="0.2">
      <c r="A753" s="1177" t="s">
        <v>166</v>
      </c>
      <c r="B753" s="1177"/>
      <c r="C753" s="1177"/>
      <c r="D753" s="1177"/>
      <c r="E753" s="1177"/>
      <c r="F753" s="1177"/>
      <c r="G753" s="1177"/>
      <c r="H753" s="1177"/>
      <c r="I753" s="1177"/>
      <c r="J753" s="1177"/>
      <c r="K753" s="9"/>
      <c r="L753" s="9"/>
      <c r="M753" s="9"/>
      <c r="N753" s="59" t="s">
        <v>154</v>
      </c>
      <c r="O753" s="191">
        <f>$O$5</f>
        <v>2022</v>
      </c>
      <c r="P753" s="59" t="s">
        <v>154</v>
      </c>
    </row>
    <row r="754" spans="1:16" s="10" customFormat="1" ht="13.5" customHeight="1" x14ac:dyDescent="0.25">
      <c r="B754" s="32"/>
      <c r="C754" s="32"/>
      <c r="D754" s="5" t="s">
        <v>51</v>
      </c>
      <c r="E754" s="31"/>
      <c r="F754" s="31"/>
      <c r="G754" s="31"/>
      <c r="H754" s="31"/>
      <c r="I754" s="26"/>
      <c r="J754" s="1174" t="s">
        <v>14</v>
      </c>
      <c r="K754" s="1174"/>
      <c r="L754" s="180"/>
      <c r="N754" s="84">
        <f>IF(L756="","",L756)</f>
        <v>0</v>
      </c>
      <c r="O754" s="58" t="str">
        <f>$O$6</f>
        <v>Jan                Jul</v>
      </c>
      <c r="P754" s="85">
        <f>IF(N759="","",N759)</f>
        <v>0</v>
      </c>
    </row>
    <row r="755" spans="1:16" s="7" customFormat="1" ht="13.5" customHeight="1" x14ac:dyDescent="0.25">
      <c r="A755" s="1180" t="s">
        <v>71</v>
      </c>
      <c r="B755" s="1180"/>
      <c r="C755" s="1180"/>
      <c r="D755" s="1184"/>
      <c r="E755" s="1184"/>
      <c r="F755" s="1184"/>
      <c r="G755" s="1184"/>
      <c r="H755" s="1184"/>
      <c r="I755" s="1184"/>
      <c r="J755" s="1174" t="s">
        <v>104</v>
      </c>
      <c r="K755" s="1174"/>
      <c r="L755" s="145"/>
      <c r="N755" s="85">
        <f>IF(N754="","",N754)</f>
        <v>0</v>
      </c>
      <c r="O755" s="58" t="str">
        <f>$O$7</f>
        <v>Feb              Aug</v>
      </c>
      <c r="P755" s="85">
        <f>IF(P754="","",P754)</f>
        <v>0</v>
      </c>
    </row>
    <row r="756" spans="1:16" s="1" customFormat="1" ht="13.5" customHeight="1" x14ac:dyDescent="0.2">
      <c r="A756" s="1180" t="s">
        <v>13</v>
      </c>
      <c r="B756" s="1180"/>
      <c r="C756" s="1180"/>
      <c r="D756" s="1181"/>
      <c r="E756" s="1181"/>
      <c r="F756" s="1181"/>
      <c r="G756" s="1181"/>
      <c r="H756" s="1181"/>
      <c r="I756" s="1181"/>
      <c r="J756" s="1174" t="s">
        <v>164</v>
      </c>
      <c r="K756" s="1174"/>
      <c r="L756" s="145">
        <f>IF((L757+L758)&gt;L755,0,L755-L757-L758)</f>
        <v>0</v>
      </c>
      <c r="N756" s="85">
        <f>IF(N755="","",N755)</f>
        <v>0</v>
      </c>
      <c r="O756" s="58" t="str">
        <f>$O$8</f>
        <v>Mrz              Sep</v>
      </c>
      <c r="P756" s="85">
        <f>IF(P755="","",P755)</f>
        <v>0</v>
      </c>
    </row>
    <row r="757" spans="1:16" s="1" customFormat="1" ht="13.5" customHeight="1" x14ac:dyDescent="0.2">
      <c r="A757" s="1180" t="s">
        <v>12</v>
      </c>
      <c r="B757" s="1180"/>
      <c r="C757" s="1180"/>
      <c r="D757" s="1181"/>
      <c r="E757" s="1181"/>
      <c r="F757" s="1181"/>
      <c r="G757" s="1181"/>
      <c r="H757" s="1181"/>
      <c r="I757" s="1181"/>
      <c r="J757" s="1174" t="s">
        <v>165</v>
      </c>
      <c r="K757" s="1174"/>
      <c r="L757" s="145"/>
      <c r="N757" s="85">
        <f>IF(N756="","",N756)</f>
        <v>0</v>
      </c>
      <c r="O757" s="58" t="str">
        <f>$O$9</f>
        <v>Apr               Okt</v>
      </c>
      <c r="P757" s="85">
        <f t="shared" ref="P757:P759" si="85">IF(P756="","",P756)</f>
        <v>0</v>
      </c>
    </row>
    <row r="758" spans="1:16" s="1" customFormat="1" ht="13.5" customHeight="1" x14ac:dyDescent="0.2">
      <c r="A758" s="1180" t="s">
        <v>19</v>
      </c>
      <c r="B758" s="1180"/>
      <c r="C758" s="1180"/>
      <c r="D758" s="1181"/>
      <c r="E758" s="1181"/>
      <c r="F758" s="1181"/>
      <c r="G758" s="1181"/>
      <c r="H758" s="1181"/>
      <c r="I758" s="1181"/>
      <c r="J758" s="1174" t="s">
        <v>252</v>
      </c>
      <c r="K758" s="1174"/>
      <c r="L758" s="145"/>
      <c r="M758" s="92"/>
      <c r="N758" s="85">
        <f>IF(N757="","",N757)</f>
        <v>0</v>
      </c>
      <c r="O758" s="58" t="str">
        <f>$O$10</f>
        <v>Mai               Nov</v>
      </c>
      <c r="P758" s="85">
        <f t="shared" si="85"/>
        <v>0</v>
      </c>
    </row>
    <row r="759" spans="1:16" s="1" customFormat="1" ht="13.5" customHeight="1" x14ac:dyDescent="0.2">
      <c r="B759" s="8"/>
      <c r="C759" s="121" t="s">
        <v>162</v>
      </c>
      <c r="D759" s="1175"/>
      <c r="E759" s="1175"/>
      <c r="F759" s="1176" t="s">
        <v>106</v>
      </c>
      <c r="G759" s="1176"/>
      <c r="H759" s="1186"/>
      <c r="I759" s="1186"/>
      <c r="J759" s="1174" t="s">
        <v>97</v>
      </c>
      <c r="K759" s="1174"/>
      <c r="L759" s="17" t="str">
        <f>IF(IF((COUNTIF(B774:B785,"&gt;0"))=0,0,(COUNTIF(B774:B785,"&gt;0")))&gt;Grundlagen!$C$24,Grundlagen!$C$24,IF((COUNTIF(B774:B785,"&gt;0"))=0,"",(COUNTIF(B774:B785,"&gt;0"))))</f>
        <v/>
      </c>
      <c r="N759" s="85">
        <f>IF(N758="","",N758)</f>
        <v>0</v>
      </c>
      <c r="O759" s="58" t="str">
        <f>'päd.Personal - Leitung'!$O$11</f>
        <v>Jun               Dez</v>
      </c>
      <c r="P759" s="85">
        <f t="shared" si="85"/>
        <v>0</v>
      </c>
    </row>
    <row r="760" spans="1:16" s="1" customFormat="1" ht="13.5" customHeight="1" x14ac:dyDescent="0.2">
      <c r="I760" s="6"/>
      <c r="L760" s="147" t="str">
        <f>IF((SUM(F762:F765))=0,"",IF(P760&gt;L756,L756,IF(L756="","",IF(L759="","",P760))))</f>
        <v/>
      </c>
      <c r="O760" s="174" t="s">
        <v>251</v>
      </c>
      <c r="P760" s="175">
        <f>IF(L759="",0,((IF(SUMIF(B774,"&gt;0"),N754,0))+(IF(SUMIF(B775,"&gt;0"),N755,0))+(IF(SUMIF(B776,"&gt;0"),N756,0))+(IF(SUMIF(B777,"&gt;0"),N757,0))+(IF(SUMIF(B778,"&gt;0"),N758,0))+(IF(SUMIF(B779,"&gt;0"),N759,0))+(IF(SUMIF(B780,"&gt;0"),P754,0))+(IF(SUMIF(B781,"&gt;0"),P755,0))+(IF(SUMIF(B782,"&gt;0"),P756,0))+(IF(SUMIF(B783,"&gt;0"),P757,0))+(IF(SUMIF(B784,"&gt;0"),P758,0))+(IF(SUMIF(B785,"&gt;0"),P759,0)))/Grundlagen!$C$24)</f>
        <v>0</v>
      </c>
    </row>
    <row r="761" spans="1:16" s="52" customFormat="1" ht="13.5" customHeight="1" x14ac:dyDescent="0.2">
      <c r="A761" s="61" t="s">
        <v>148</v>
      </c>
      <c r="B761" s="1168" t="s">
        <v>149</v>
      </c>
      <c r="C761" s="1168"/>
      <c r="D761" s="62" t="s">
        <v>150</v>
      </c>
      <c r="E761" s="63" t="s">
        <v>151</v>
      </c>
      <c r="F761" s="64" t="str">
        <f>CONCATENATE("Entg. ",N751," h/Wo")</f>
        <v>Entg.  h/Wo</v>
      </c>
      <c r="G761" s="65" t="s">
        <v>152</v>
      </c>
      <c r="H761" s="65" t="s">
        <v>153</v>
      </c>
      <c r="K761" s="1169" t="str">
        <f>CONCATENATE("Zuschläge / Zulagen für ",N751,"h/Wo")</f>
        <v>Zuschläge / Zulagen für h/Wo</v>
      </c>
      <c r="L761" s="1169"/>
      <c r="M761" s="66" t="str">
        <f>IF(A762="","",A762)</f>
        <v>Jan 2022</v>
      </c>
      <c r="N761" s="66" t="str">
        <f>IF(A763="","",A763)</f>
        <v/>
      </c>
      <c r="O761" s="66" t="str">
        <f>IF(A764="","",A764)</f>
        <v/>
      </c>
      <c r="P761" s="66" t="str">
        <f>IF(A765="","",A765)</f>
        <v/>
      </c>
    </row>
    <row r="762" spans="1:16" s="52" customFormat="1" ht="13.5" customHeight="1" x14ac:dyDescent="0.25">
      <c r="A762" s="54" t="str">
        <f>A774</f>
        <v>Jan 2022</v>
      </c>
      <c r="B762" s="1170" t="str">
        <f>IF($D$3="","",$D$3)</f>
        <v/>
      </c>
      <c r="C762" s="1171"/>
      <c r="D762" s="181"/>
      <c r="E762" s="181"/>
      <c r="F762" s="87"/>
      <c r="G762" s="56">
        <f>IF(N751="",0,F762/N751/4.348)</f>
        <v>0</v>
      </c>
      <c r="H762" s="53">
        <f>IF(G762=0,0,M767)</f>
        <v>0</v>
      </c>
      <c r="K762" s="1146"/>
      <c r="L762" s="1146"/>
      <c r="M762" s="172"/>
      <c r="N762" s="172"/>
      <c r="O762" s="172"/>
      <c r="P762" s="172"/>
    </row>
    <row r="763" spans="1:16" s="52" customFormat="1" ht="13.5" customHeight="1" x14ac:dyDescent="0.25">
      <c r="A763" s="55"/>
      <c r="B763" s="1172" t="str">
        <f>IF(A763="","",B762)</f>
        <v/>
      </c>
      <c r="C763" s="1173"/>
      <c r="D763" s="181"/>
      <c r="E763" s="181"/>
      <c r="F763" s="87"/>
      <c r="G763" s="56">
        <f>IF(N751="",0,F763/N751/4.348)</f>
        <v>0</v>
      </c>
      <c r="H763" s="53">
        <f>IF(G763=0,0,N767)</f>
        <v>0</v>
      </c>
      <c r="K763" s="1146"/>
      <c r="L763" s="1146"/>
      <c r="M763" s="172"/>
      <c r="N763" s="172"/>
      <c r="O763" s="172"/>
      <c r="P763" s="172"/>
    </row>
    <row r="764" spans="1:16" s="52" customFormat="1" ht="13.5" customHeight="1" x14ac:dyDescent="0.25">
      <c r="A764" s="55"/>
      <c r="B764" s="1172" t="str">
        <f>IF(A764="","",B763)</f>
        <v/>
      </c>
      <c r="C764" s="1173"/>
      <c r="D764" s="181"/>
      <c r="E764" s="181"/>
      <c r="F764" s="87"/>
      <c r="G764" s="56">
        <f>IF(N751="",0,F764/N751/4.348)</f>
        <v>0</v>
      </c>
      <c r="H764" s="53">
        <f>IF(G764=0,0,O767)</f>
        <v>0</v>
      </c>
      <c r="K764" s="1146"/>
      <c r="L764" s="1146"/>
      <c r="M764" s="172"/>
      <c r="N764" s="172"/>
      <c r="O764" s="172"/>
      <c r="P764" s="172"/>
    </row>
    <row r="765" spans="1:16" s="52" customFormat="1" ht="13.5" customHeight="1" x14ac:dyDescent="0.25">
      <c r="A765" s="55"/>
      <c r="B765" s="1172" t="str">
        <f>IF(A765="","",B764)</f>
        <v/>
      </c>
      <c r="C765" s="1173"/>
      <c r="D765" s="181"/>
      <c r="E765" s="181"/>
      <c r="F765" s="87"/>
      <c r="G765" s="56">
        <f>IF(N751="",0,F765/N751/4.348)</f>
        <v>0</v>
      </c>
      <c r="H765" s="53">
        <f>IF(G765=0,0,P767)</f>
        <v>0</v>
      </c>
      <c r="K765" s="1146"/>
      <c r="L765" s="1146"/>
      <c r="M765" s="172"/>
      <c r="N765" s="172"/>
      <c r="O765" s="172"/>
      <c r="P765" s="172"/>
    </row>
    <row r="766" spans="1:16" s="52" customFormat="1" ht="13.5" customHeight="1" x14ac:dyDescent="0.25">
      <c r="B766" s="1167" t="s">
        <v>157</v>
      </c>
      <c r="C766" s="1167"/>
      <c r="E766" s="1167" t="s">
        <v>156</v>
      </c>
      <c r="F766" s="1167"/>
      <c r="J766" s="69"/>
      <c r="K766" s="1146"/>
      <c r="L766" s="1146"/>
      <c r="M766" s="172"/>
      <c r="N766" s="172"/>
      <c r="O766" s="172"/>
      <c r="P766" s="172"/>
    </row>
    <row r="767" spans="1:16" s="52" customFormat="1" ht="13.5" customHeight="1" x14ac:dyDescent="0.25">
      <c r="A767" s="70" t="s">
        <v>167</v>
      </c>
      <c r="B767" s="67"/>
      <c r="C767" s="99" t="str">
        <f>IF(C723="","",C723)</f>
        <v/>
      </c>
      <c r="D767" s="70" t="s">
        <v>167</v>
      </c>
      <c r="E767" s="67"/>
      <c r="F767" s="99" t="str">
        <f>IF(F723="","",F723)</f>
        <v/>
      </c>
      <c r="J767" s="68"/>
      <c r="M767" s="173">
        <f>SUM(M762:M766)</f>
        <v>0</v>
      </c>
      <c r="N767" s="173">
        <f t="shared" ref="N767:P767" si="86">SUM(N762:N766)</f>
        <v>0</v>
      </c>
      <c r="O767" s="173">
        <f t="shared" si="86"/>
        <v>0</v>
      </c>
      <c r="P767" s="173">
        <f t="shared" si="86"/>
        <v>0</v>
      </c>
    </row>
    <row r="768" spans="1:16" s="52" customFormat="1" ht="13.5" customHeight="1" x14ac:dyDescent="0.2">
      <c r="A768" s="60" t="s">
        <v>155</v>
      </c>
    </row>
    <row r="769" spans="1:16" s="1" customFormat="1" ht="14.25" customHeight="1" x14ac:dyDescent="0.2">
      <c r="A769" s="1147"/>
      <c r="B769" s="1149" t="s">
        <v>9</v>
      </c>
      <c r="C769" s="1150"/>
      <c r="D769" s="1150"/>
      <c r="E769" s="1150"/>
      <c r="F769" s="1150"/>
      <c r="G769" s="1151"/>
      <c r="H769" s="1152" t="s">
        <v>119</v>
      </c>
      <c r="I769" s="1153"/>
      <c r="J769" s="1153"/>
      <c r="K769" s="1153"/>
      <c r="L769" s="1153"/>
      <c r="M769" s="1153"/>
      <c r="N769" s="1153"/>
      <c r="O769" s="33"/>
      <c r="P769" s="1154" t="s">
        <v>0</v>
      </c>
    </row>
    <row r="770" spans="1:16" s="1" customFormat="1" ht="14.25" customHeight="1" x14ac:dyDescent="0.2">
      <c r="A770" s="1148"/>
      <c r="B770" s="1157" t="s">
        <v>117</v>
      </c>
      <c r="C770" s="124" t="s">
        <v>115</v>
      </c>
      <c r="D770" s="1159" t="s">
        <v>277</v>
      </c>
      <c r="E770" s="1161" t="s">
        <v>147</v>
      </c>
      <c r="F770" s="127" t="s">
        <v>7</v>
      </c>
      <c r="G770" s="1162" t="s">
        <v>6</v>
      </c>
      <c r="H770" s="1161" t="s">
        <v>129</v>
      </c>
      <c r="I770" s="1161" t="s">
        <v>5</v>
      </c>
      <c r="J770" s="1161" t="s">
        <v>4</v>
      </c>
      <c r="K770" s="1161" t="s">
        <v>3</v>
      </c>
      <c r="L770" s="1161" t="s">
        <v>121</v>
      </c>
      <c r="M770" s="1161" t="s">
        <v>122</v>
      </c>
      <c r="N770" s="1161" t="s">
        <v>123</v>
      </c>
      <c r="O770" s="1160" t="s">
        <v>114</v>
      </c>
      <c r="P770" s="1155"/>
    </row>
    <row r="771" spans="1:16" s="1" customFormat="1" ht="14.25" customHeight="1" x14ac:dyDescent="0.2">
      <c r="A771" s="1148"/>
      <c r="B771" s="1157"/>
      <c r="C771" s="21" t="str">
        <f>IF(C767="","",C767)</f>
        <v/>
      </c>
      <c r="D771" s="1160"/>
      <c r="E771" s="1161"/>
      <c r="F771" s="1165" t="str">
        <f>IF(H762=0,"","siehe Zuschläge / Zulagen")</f>
        <v/>
      </c>
      <c r="G771" s="1162"/>
      <c r="H771" s="1164" t="s">
        <v>127</v>
      </c>
      <c r="I771" s="1164"/>
      <c r="J771" s="1164"/>
      <c r="K771" s="1164"/>
      <c r="L771" s="1164"/>
      <c r="M771" s="1164"/>
      <c r="N771" s="1164"/>
      <c r="O771" s="1160"/>
      <c r="P771" s="1155"/>
    </row>
    <row r="772" spans="1:16" s="1" customFormat="1" x14ac:dyDescent="0.2">
      <c r="A772" s="1148"/>
      <c r="B772" s="1157"/>
      <c r="C772" s="122" t="s">
        <v>70</v>
      </c>
      <c r="D772" s="1160"/>
      <c r="E772" s="1161"/>
      <c r="F772" s="1165"/>
      <c r="G772" s="1162"/>
      <c r="H772" s="43" t="s">
        <v>128</v>
      </c>
      <c r="I772" s="43" t="s">
        <v>255</v>
      </c>
      <c r="J772" s="43" t="s">
        <v>256</v>
      </c>
      <c r="K772" s="43" t="s">
        <v>257</v>
      </c>
      <c r="L772" s="43"/>
      <c r="M772" s="43"/>
      <c r="N772" s="43" t="s">
        <v>254</v>
      </c>
      <c r="O772" s="1160"/>
      <c r="P772" s="1155"/>
    </row>
    <row r="773" spans="1:16" s="1" customFormat="1" x14ac:dyDescent="0.2">
      <c r="A773" s="1148"/>
      <c r="B773" s="1158"/>
      <c r="C773" s="21" t="str">
        <f>IF(F767="","",F767)</f>
        <v/>
      </c>
      <c r="D773" s="51"/>
      <c r="E773" s="51"/>
      <c r="F773" s="1166"/>
      <c r="G773" s="1163"/>
      <c r="H773" s="93"/>
      <c r="I773" s="139">
        <f>$I$69</f>
        <v>0</v>
      </c>
      <c r="J773" s="139">
        <f>$J$69</f>
        <v>0</v>
      </c>
      <c r="K773" s="44">
        <f>$K$69</f>
        <v>0</v>
      </c>
      <c r="L773" s="21"/>
      <c r="M773" s="21"/>
      <c r="N773" s="139">
        <f>$N$69</f>
        <v>0</v>
      </c>
      <c r="O773" s="21">
        <f>O729</f>
        <v>0</v>
      </c>
      <c r="P773" s="1156"/>
    </row>
    <row r="774" spans="1:16" s="1" customFormat="1" x14ac:dyDescent="0.2">
      <c r="A774" s="100" t="str">
        <f>$A$26</f>
        <v>Jan 2022</v>
      </c>
      <c r="B774" s="24">
        <f>ROUND(IF(N754=0,0,(LOOKUP(2,1/(A762:A765=A774),G762:G765))*N754*4.348),2)</f>
        <v>0</v>
      </c>
      <c r="C774" s="23">
        <f>ROUND(IFERROR(((LOOKUP(2,1/(B767=A774),((SUM(B780:B782)+SUM(F780:F782))/3)*C767))),0)+IFERROR(((LOOKUP(2,1/(E767=A774),(B786+F786)*F767))),0),2)</f>
        <v>0</v>
      </c>
      <c r="D774" s="23">
        <f>ROUND(IF(B774=0,0,D773/L755*N754),2)</f>
        <v>0</v>
      </c>
      <c r="E774" s="23">
        <f>ROUND(IF(B774=0,0,E773/N751*N754),2)</f>
        <v>0</v>
      </c>
      <c r="F774" s="24">
        <f>ROUND(IF(N754=0,0,(LOOKUP(2,1/(A762:A765=A774),H762:H765))/N751*N754),2)</f>
        <v>0</v>
      </c>
      <c r="G774" s="27">
        <f>SUM(B774+C774+E774+F774)</f>
        <v>0</v>
      </c>
      <c r="H774" s="76">
        <f>ROUND(IF((SUM(B774:F774))&gt;L789,L789*H773,SUM(B774:F774)*H773),2)</f>
        <v>0</v>
      </c>
      <c r="I774" s="76">
        <f>ROUND(IF((SUM(B774:F774))&gt;L790,L790*I773,SUM(B774:F774)*I773),2)</f>
        <v>0</v>
      </c>
      <c r="J774" s="76">
        <f>ROUND(IF((SUM(B774:F774))&gt;L790,L790*J773,SUM(B774:F774)*J773),2)</f>
        <v>0</v>
      </c>
      <c r="K774" s="76">
        <f>ROUND(IF((SUM(B774:F774))&gt;L789,L789*K773,SUM(B774:F774)*K773),2)</f>
        <v>0</v>
      </c>
      <c r="L774" s="76">
        <f>ROUND(IF((SUM(B774:F774))&gt;L790,L790*L773,(SUM(B774:F774)-C774)*L773),2)</f>
        <v>0</v>
      </c>
      <c r="M774" s="76">
        <f>ROUND(IF((SUM(B774:F774))&gt;L790,L790*M773,(SUM(B774:F774)-C774)*M773),2)</f>
        <v>0</v>
      </c>
      <c r="N774" s="76">
        <f>ROUND(IF((SUM(B774:F774))&gt;L790,L790*N773,SUM(B774:F774)*N773),2)</f>
        <v>0</v>
      </c>
      <c r="O774" s="23">
        <f>ROUND(SUM(B774+C774+F774)*O773,2)</f>
        <v>0</v>
      </c>
      <c r="P774" s="27">
        <f>SUM(G774:O774)</f>
        <v>0</v>
      </c>
    </row>
    <row r="775" spans="1:16" s="1" customFormat="1" x14ac:dyDescent="0.2">
      <c r="A775" s="100" t="str">
        <f>$A$27</f>
        <v>Feb 2022</v>
      </c>
      <c r="B775" s="24">
        <f>ROUND(IF(N755=0,0,IFERROR(((LOOKUP(2,1/(A762:A765=A775),G762:G765))*N755*4.348),B774/N755*N755)),2)</f>
        <v>0</v>
      </c>
      <c r="C775" s="23">
        <f>ROUND(IFERROR(((LOOKUP(2,1/(B767=A775),((SUM(B780:B782)+SUM(F780:F782))/3)*C767))),0)+IFERROR(((LOOKUP(2,1/(E767=A775),(B786+F786)*F767))),0),2)</f>
        <v>0</v>
      </c>
      <c r="D775" s="23">
        <f>ROUND(IF(B775=0,0,D773/L755*N755),2)</f>
        <v>0</v>
      </c>
      <c r="E775" s="23">
        <f>ROUND(IF(B775=0,0,E773/N751*N755),2)</f>
        <v>0</v>
      </c>
      <c r="F775" s="24">
        <f>ROUND(IF(N755=0,0,IFERROR(((LOOKUP(2,1/(A762:A765=A775),H762:H765))/N751*N755),F774/N755*N755)),2)</f>
        <v>0</v>
      </c>
      <c r="G775" s="27">
        <f t="shared" ref="G775:G785" si="87">SUM(B775+C775+E775+F775)</f>
        <v>0</v>
      </c>
      <c r="H775" s="76">
        <f>ROUND(IF(SUM(B774:F774)&lt;(L789*1),IF((SUM(B774:F775))&gt;(L789*2),(((L789*2)-(SUM(B774:F775)-C774))*H773)+((SUM(B775:F775)-C774)*H773),SUM(B775:F775)*H773),IF(SUM(B774:F775)&gt;(L789*2),L789*H773,SUM(B775:F775)*H773)),2)</f>
        <v>0</v>
      </c>
      <c r="I775" s="76">
        <f>ROUND(IF(SUM(B774:F774)&lt;(L790*1),IF((SUM(B774:F775))&gt;(L790*2),(((L790*2)-(SUM(B774:F775)-C774))*I773)+((SUM(B775:F775)-C774)*I773),SUM(B775:F775)*I773),IF(SUM(B774:F775)&gt;(L790*2),L790*I773,SUM(B775:F775)*I773)),2)</f>
        <v>0</v>
      </c>
      <c r="J775" s="76">
        <f>ROUND(IF(SUM(B774:F774)&lt;(L790*1),IF((SUM(B774:F775))&gt;(L790*2),(((L790*2)-(SUM(B774:F775)-C774))*J773)+((SUM(B775:F775)-C774)*J773),SUM(B775:F775)*J773),IF(SUM(B774:F775)&gt;(L790*2),L790*J773,SUM(B775:F775)*J773)),2)</f>
        <v>0</v>
      </c>
      <c r="K775" s="76">
        <f>ROUND(IF(SUM(B774:F774)&lt;(L789*1),IF((SUM(B774:F775))&gt;(L789*2),(((L789*2)-(SUM(B774:F775)-C774))*K773)+((SUM(B775:F775)-C774)*K773),SUM(B775:F775)*K773),IF(SUM(B774:F775)&gt;(L789*2),L789*K773,SUM(B775:F775)*K773)),2)</f>
        <v>0</v>
      </c>
      <c r="L775" s="76">
        <f>ROUND(IF(SUM(B774:F774)&lt;(L790*1),IF((SUM(B774:F775))&gt;(L790*2),(((L790*2)-(SUM(B774:F775)-C775))*L773)+((SUM(B775:F775)-C775)*L773),(SUM(B775:F775)-C775)*L773),IF(SUM(B774:F775)&gt;(L790*2),L790*L773,SUM(B775:F775)*L773)),2)</f>
        <v>0</v>
      </c>
      <c r="M775" s="76">
        <f>ROUND(IF(SUM(B774:F774)&lt;(L790*1),IF((SUM(B774:F775))&gt;(L790*2),(((L790*2)-(SUM(B774:F775)-C775))*M773)+((SUM(B775:F775)-C775)*M773),(SUM(B775:F775)-C775)*M773),IF(SUM(B774:F775)&gt;(L790*2),L790*M773,SUM(B775:F775)*M773)),2)</f>
        <v>0</v>
      </c>
      <c r="N775" s="76">
        <f>ROUND(IF(SUM(B774:F774)&lt;(L790*1),IF((SUM(B774:F775))&gt;(L790*2),(((L790*2)-(SUM(B774:F775)-C774))*N773)+((SUM(B775:F775)-C774)*N773),SUM(B775:F775)*N773),IF(SUM(B774:F775)&gt;(L790*2),L790*N773,SUM(B775:F775)*N773)),2)</f>
        <v>0</v>
      </c>
      <c r="O775" s="23">
        <f>ROUND(SUM(B775+C775+F775)*O773,2)</f>
        <v>0</v>
      </c>
      <c r="P775" s="27">
        <f>SUM(G775:O775)</f>
        <v>0</v>
      </c>
    </row>
    <row r="776" spans="1:16" s="1" customFormat="1" x14ac:dyDescent="0.2">
      <c r="A776" s="100" t="str">
        <f>$A$28</f>
        <v>Mrz 2022</v>
      </c>
      <c r="B776" s="24">
        <f>ROUND(IF(N756=0,0,IFERROR(((LOOKUP(2,1/(A762:A765=A776),G762:G765))*N756*4.348),B775/N756*N756)),2)</f>
        <v>0</v>
      </c>
      <c r="C776" s="23">
        <f>ROUND(IFERROR(((LOOKUP(2,1/(B767=A776),((SUM(B780:B782)+SUM(F780:F782))/3)*C767))),0)+IFERROR(((LOOKUP(2,1/(E767=A776),(B786+F786)*F767))),0),2)</f>
        <v>0</v>
      </c>
      <c r="D776" s="23">
        <f>ROUND(IF(B776=0,0,D773/L755*N756),2)</f>
        <v>0</v>
      </c>
      <c r="E776" s="23">
        <f>ROUND(IF(B776=0,0,E773/N751*N756),2)</f>
        <v>0</v>
      </c>
      <c r="F776" s="24">
        <f>ROUND(IF(N756=0,0,IFERROR(((LOOKUP(2,1/(A762:A765=A776),H762:H765))/N751*N756),F775/N756*N756)),2)</f>
        <v>0</v>
      </c>
      <c r="G776" s="27">
        <f t="shared" si="87"/>
        <v>0</v>
      </c>
      <c r="H776" s="76">
        <f>ROUND(IF(SUM(B774:F775)&lt;(L789*2),IF((SUM(B774:F776))&gt;(L789*3),(((L789*3)-(SUM(B774:F776)-C775))*H773)+((SUM(B776:F776)-C775)*H773),SUM(B776:F776)*H773),IF(SUM(B774:F776)&gt;(L789*3),L789*H773,SUM(B776:F776)*H773)),2)</f>
        <v>0</v>
      </c>
      <c r="I776" s="76">
        <f>ROUND(IF(SUM(B774:F775)&lt;(L790*2),IF((SUM(B774:F776))&gt;(L790*3),(((L790*3)-(SUM(B774:F776)-C775))*I773)+((SUM(B776:F776)-C775)*I773),SUM(B776:F776)*I773),IF(SUM(B774:F776)&gt;(L790*3),L790*I773,SUM(B776:F776)*I773)),2)</f>
        <v>0</v>
      </c>
      <c r="J776" s="76">
        <f>ROUND(IF(SUM(B774:F775)&lt;(L790*2),IF((SUM(B774:F776))&gt;(L790*3),(((L790*3)-(SUM(B774:F776)-C775))*J773)+((SUM(B776:F776)-C775)*J773),SUM(B776:F776)*J773),IF(SUM(B774:F776)&gt;(L790*3),L790*J773,SUM(B776:F776)*J773)),2)</f>
        <v>0</v>
      </c>
      <c r="K776" s="76">
        <f>ROUND(IF(SUM(B774:F775)&lt;(L789*2),IF((SUM(B774:F776))&gt;(L789*3),(((L789*3)-(SUM(B774:F776)-C775))*K773)+((SUM(B776:F776)-C775)*K773),SUM(B776:F776)*K773),IF(SUM(B774:F776)&gt;(L789*3),L789*K773,SUM(B776:F776)*K773)),2)</f>
        <v>0</v>
      </c>
      <c r="L776" s="76">
        <f>ROUND(IF(SUM(B774:F775)&lt;(L790*2),IF((SUM(B774:F776))&gt;(L790*3),(((L790*3)-(SUM(B774:F776)-C776))*L773)+((SUM(B776:F776)-C776)*L773),(SUM(B776:F776)-C776)*L773),IF(SUM(B774:F776)&gt;(L790*3),L790*L773,SUM(B776:F776)*L773)),2)</f>
        <v>0</v>
      </c>
      <c r="M776" s="76">
        <f>ROUND(IF(SUM(B774:F775)&lt;(L790*2),IF((SUM(B774:F776))&gt;(L790*3),(((L790*3)-(SUM(B774:F776)-C776))*M773)+((SUM(B776:F776)-C776)*M773),(SUM(B776:F776)-C776)*M773),IF(SUM(B774:F776)&gt;(L790*3),L790*M773,SUM(B776:F776)*M773)),2)</f>
        <v>0</v>
      </c>
      <c r="N776" s="76">
        <f>ROUND(IF(SUM(B774:F775)&lt;(L790*2),IF((SUM(B774:F776))&gt;(L790*3),(((L790*3)-(SUM(B774:F776)-C775))*N773)+((SUM(B776:F776)-C775)*N773),SUM(B776:F776)*N773),IF(SUM(B774:F776)&gt;(L790*3),L790*N773,SUM(B776:F776)*N773)),2)</f>
        <v>0</v>
      </c>
      <c r="O776" s="23">
        <f>ROUND(SUM(B776+C776+F776)*O773,2)</f>
        <v>0</v>
      </c>
      <c r="P776" s="27">
        <f t="shared" ref="P776:P785" si="88">SUM(G776:O776)</f>
        <v>0</v>
      </c>
    </row>
    <row r="777" spans="1:16" s="1" customFormat="1" x14ac:dyDescent="0.2">
      <c r="A777" s="100" t="str">
        <f>$A$29</f>
        <v>Apr 2022</v>
      </c>
      <c r="B777" s="24">
        <f>ROUND(IF(N757=0,0,IFERROR(((LOOKUP(2,1/(A762:A765=A777),G762:G765))*N757*4.348),B776/N757*N757)),2)</f>
        <v>0</v>
      </c>
      <c r="C777" s="23">
        <f>ROUND(IFERROR(((LOOKUP(2,1/(B767=A777),((SUM(B780:B782)+SUM(F780:F782))/3)*C767))),0)+IFERROR(((LOOKUP(2,1/(E767=A777),(B786+F786)*F767))),0),2)</f>
        <v>0</v>
      </c>
      <c r="D777" s="23">
        <f>ROUND(IF(B777=0,0,D773/L755*N757),2)</f>
        <v>0</v>
      </c>
      <c r="E777" s="23">
        <f>ROUND(IF(B777=0,0,E773/N751*N757),2)</f>
        <v>0</v>
      </c>
      <c r="F777" s="24">
        <f>ROUND(IF(N757=0,0,IFERROR(((LOOKUP(2,1/(A762:A765=A777),H762:H765))/N751*N757),F776/N757*N757)),2)</f>
        <v>0</v>
      </c>
      <c r="G777" s="27">
        <f t="shared" si="87"/>
        <v>0</v>
      </c>
      <c r="H777" s="76">
        <f>ROUND(IF(SUM(B774:F776)&lt;(L789*3),IF((SUM(B774:F777))&gt;(L789*4),(((L789*4)-(SUM(B774:F777)-C776))*H773)+((SUM(B777:F777)-C776)*H773),SUM(B777:F777)*H773),IF(SUM(B774:F777)&gt;(L789*4),L789*H773,SUM(B777:F777)*H773)),2)</f>
        <v>0</v>
      </c>
      <c r="I777" s="76">
        <f>ROUND(IF(SUM(B774:F776)&lt;(L790*3),IF((SUM(B774:F777))&gt;(L790*4),(((L790*4)-(SUM(B774:F777)-C776))*I773)+((SUM(B777:F777)-C776)*I773),SUM(B777:F777)*I773),IF(SUM(B774:F777)&gt;(L790*4),L790*I773,SUM(B777:F777)*I773)),2)</f>
        <v>0</v>
      </c>
      <c r="J777" s="76">
        <f>ROUND(IF(SUM(B774:F776)&lt;(L790*3),IF((SUM(B774:F777))&gt;(L790*4),(((L790*4)-(SUM(B774:F777)-C776))*J773)+((SUM(B777:F777)-C776)*J773),SUM(B777:F777)*J773),IF(SUM(B774:F777)&gt;(L790*4),L790*J773,SUM(B777:F777)*J773)),2)</f>
        <v>0</v>
      </c>
      <c r="K777" s="76">
        <f>ROUND(IF(SUM(B774:F776)&lt;(L789*3),IF((SUM(B774:F777))&gt;(L789*4),(((L789*4)-(SUM(B774:F777)-C776))*K773)+((SUM(B777:F777)-C776)*K773),SUM(B777:F777)*K773),IF(SUM(B774:F777)&gt;(L789*4),L789*K773,SUM(B777:F777)*K773)),2)</f>
        <v>0</v>
      </c>
      <c r="L777" s="76">
        <f>ROUND(IF(SUM(B774:F776)&lt;(L790*3),IF((SUM(B774:F777))&gt;(L790*4),(((L790*4)-(SUM(B774:F777)-C777))*L773)+((SUM(B777:F777)-C777)*L773),(SUM(B777:F777)-C777)*L773),IF(SUM(B774:F777)&gt;(L790*4),L790*L773,SUM(B777:F777)*L773)),2)</f>
        <v>0</v>
      </c>
      <c r="M777" s="76">
        <f>ROUND(IF(SUM(B774:F776)&lt;(L790*3),IF((SUM(B774:F777))&gt;(L790*4),(((L790*4)-(SUM(B774:F777)-C777))*M773)+((SUM(B777:F777)-C777)*M773),(SUM(B777:F777)-C777)*M773),IF(SUM(B774:F777)&gt;(L790*4),L790*M773,SUM(B777:F777)*M773)),2)</f>
        <v>0</v>
      </c>
      <c r="N777" s="76">
        <f>ROUND(IF(SUM(B774:F776)&lt;(L790*3),IF((SUM(B774:F777))&gt;(L790*4),(((L790*4)-(SUM(B774:F777)-C776))*N773)+((SUM(B777:F777)-C776)*N773),SUM(B777:F777)*N773),IF(SUM(B774:F777)&gt;(L790*4),L790*N773,SUM(B777:F777)*N773)),2)</f>
        <v>0</v>
      </c>
      <c r="O777" s="23">
        <f>ROUND(SUM(B777+C777+F777)*O773,2)</f>
        <v>0</v>
      </c>
      <c r="P777" s="27">
        <f t="shared" si="88"/>
        <v>0</v>
      </c>
    </row>
    <row r="778" spans="1:16" s="1" customFormat="1" x14ac:dyDescent="0.2">
      <c r="A778" s="100" t="str">
        <f>$A$30</f>
        <v>Mai 2022</v>
      </c>
      <c r="B778" s="24">
        <f>ROUND(IF(N758=0,0,IFERROR(((LOOKUP(2,1/(A762:A765=A778),G762:G765))*N758*4.348),B777/N758*N758)),2)</f>
        <v>0</v>
      </c>
      <c r="C778" s="23">
        <f>ROUND(IFERROR(((LOOKUP(2,1/(B767=A778),((SUM(B780:B782)+SUM(F780:F782))/3)*C767))),0)+IFERROR(((LOOKUP(2,1/(E767=A778),(B786+F786)*F767))),0),2)</f>
        <v>0</v>
      </c>
      <c r="D778" s="23">
        <f>ROUND(IF(B778=0,0,D773/L755*N758),2)</f>
        <v>0</v>
      </c>
      <c r="E778" s="23">
        <f>ROUND(IF(B778=0,0,E773/N751*N758),2)</f>
        <v>0</v>
      </c>
      <c r="F778" s="24">
        <f>ROUND(IF(N758=0,0,IFERROR(((LOOKUP(2,1/(A762:A765=A778),H762:H765))/N751*N758),F777/N758*N758)),2)</f>
        <v>0</v>
      </c>
      <c r="G778" s="27">
        <f t="shared" si="87"/>
        <v>0</v>
      </c>
      <c r="H778" s="76">
        <f>ROUND(IF(SUM(B774:F777)&lt;(L789*4),IF((SUM(B774:F778))&gt;(L789*5),(((L789*5)-(SUM(B774:F778)-C777))*H773)+((SUM(B778:F778)-C777)*H773),SUM(B778:F778)*H773),IF(SUM(B774:F778)&gt;(L789*5),L789*H773,SUM(B778:F778)*H773)),2)</f>
        <v>0</v>
      </c>
      <c r="I778" s="76">
        <f>ROUND(IF(SUM(B774:F777)&lt;(L790*4),IF((SUM(B774:F778))&gt;(L790*5),(((L790*5)-(SUM(B774:F778)-C777))*I773)+((SUM(B778:F778)-C777)*I773),SUM(B778:F778)*I773),IF(SUM(B774:F778)&gt;(L790*5),L790*I773,SUM(B778:F778)*I773)),2)</f>
        <v>0</v>
      </c>
      <c r="J778" s="76">
        <f>ROUND(IF(SUM(B774:F777)&lt;(L790*4),IF((SUM(B774:F778))&gt;(L790*5),(((L790*5)-(SUM(B774:F778)-C777))*J773)+((SUM(B778:F778)-C777)*J773),SUM(B778:F778)*J773),IF(SUM(B774:F778)&gt;(L790*5),L790*J773,SUM(B778:F778)*J773)),2)</f>
        <v>0</v>
      </c>
      <c r="K778" s="76">
        <f>ROUND(IF(SUM(B774:F777)&lt;(L789*4),IF((SUM(B774:F778))&gt;(L789*5),(((L789*5)-(SUM(B774:F778)-C777))*K773)+((SUM(B778:F778)-C777)*K773),SUM(B778:F778)*K773),IF(SUM(B774:F778)&gt;(L789*5),L789*K773,SUM(B778:F778)*K773)),2)</f>
        <v>0</v>
      </c>
      <c r="L778" s="76">
        <f>ROUND(IF(SUM(B774:F777)&lt;(L790*4),IF((SUM(B774:F778))&gt;(L790*5),(((L790*5)-(SUM(B774:F778)-C778))*L773)+((SUM(B778:F778)-C778)*L773),(SUM(B778:F778)-C778)*L773),IF(SUM(B774:F778)&gt;(L790*5),L790*L773,SUM(B778:F778)*L773)),2)</f>
        <v>0</v>
      </c>
      <c r="M778" s="76">
        <f>ROUND(IF(SUM(B774:F777)&lt;(L790*4),IF((SUM(B774:F778))&gt;(L790*5),(((L790*5)-(SUM(B774:F778)-C778))*M773)+((SUM(B778:F778)-C778)*M773),(SUM(B778:F778)-C778)*M773),IF(SUM(B774:F778)&gt;(L790*5),L790*M773,SUM(B778:F778)*M773)),2)</f>
        <v>0</v>
      </c>
      <c r="N778" s="76">
        <f>ROUND(IF(SUM(B774:F777)&lt;(L790*4),IF((SUM(B774:F778))&gt;(L790*5),(((L790*5)-(SUM(B774:F778)-C777))*N773)+((SUM(B778:F778)-C777)*N773),SUM(B778:F778)*N773),IF(SUM(B774:F778)&gt;(L790*5),L790*N773,SUM(B778:F778)*N773)),2)</f>
        <v>0</v>
      </c>
      <c r="O778" s="23">
        <f>ROUND(SUM(B778+C778+F778)*O773,2)</f>
        <v>0</v>
      </c>
      <c r="P778" s="27">
        <f t="shared" si="88"/>
        <v>0</v>
      </c>
    </row>
    <row r="779" spans="1:16" s="1" customFormat="1" x14ac:dyDescent="0.2">
      <c r="A779" s="100" t="str">
        <f>$A$31</f>
        <v>Jun 2022</v>
      </c>
      <c r="B779" s="24">
        <f>ROUND(IF(N759=0,0,IFERROR(((LOOKUP(2,1/(A762:A765=A779),G762:G765))*N759*4.348),B778/N759*N759)),2)</f>
        <v>0</v>
      </c>
      <c r="C779" s="23">
        <f>ROUND(IFERROR(((LOOKUP(2,1/(B767=A779),((SUM(B780:B782)+SUM(F780:F782))/3)*C767))),0)+IFERROR(((LOOKUP(2,1/(E767=A779),(B786+F786)*F767))),0),2)</f>
        <v>0</v>
      </c>
      <c r="D779" s="23">
        <f>ROUND(IF(B779=0,0,D773/L755*N759),2)</f>
        <v>0</v>
      </c>
      <c r="E779" s="23">
        <f>ROUND(IF(B779=0,0,E773/N751*N759),2)</f>
        <v>0</v>
      </c>
      <c r="F779" s="24">
        <f>ROUND(IF(N759=0,0,IFERROR(((LOOKUP(2,1/(A762:A765=A779),H762:H765))/N751*N759),F778/N759*N759)),2)</f>
        <v>0</v>
      </c>
      <c r="G779" s="27">
        <f t="shared" si="87"/>
        <v>0</v>
      </c>
      <c r="H779" s="76">
        <f>ROUND(IF(SUM(B774:F778)&lt;(L789*5),IF((SUM(B774:F779))&gt;(L789*6),(((L789*6)-(SUM(B774:F779)-C778))*H773)+((SUM(B779:F779)-C778)*H773),SUM(B779:F779)*H773),IF(SUM(B774:F779)&gt;(L789*6),L789*H773,SUM(B779:F779)*H773)),2)</f>
        <v>0</v>
      </c>
      <c r="I779" s="76">
        <f>ROUND(IF(SUM(B774:F778)&lt;(L790*5),IF((SUM(B774:F779))&gt;(L790*6),(((L790*6)-(SUM(B774:F779)-C778))*I773)+((SUM(B779:F779)-C778)*I773),SUM(B779:F779)*I773),IF(SUM(B774:F779)&gt;(L790*6),L790*I773,SUM(B779:F779)*I773)),2)</f>
        <v>0</v>
      </c>
      <c r="J779" s="76">
        <f>ROUND(IF(SUM(B774:F778)&lt;(L790*5),IF((SUM(B774:F779))&gt;(L790*6),(((L790*6)-(SUM(B774:F779)-C778))*J773)+((SUM(B779:F779)-C778)*J773),SUM(B779:F779)*J773),IF(SUM(B774:F779)&gt;(L790*6),L790*J773,SUM(B779:F779)*J773)),2)</f>
        <v>0</v>
      </c>
      <c r="K779" s="76">
        <f>ROUND(IF(SUM(B774:F778)&lt;(L789*5),IF((SUM(B774:F779))&gt;(L789*6),(((L789*6)-(SUM(B774:F779)-C778))*K773)+((SUM(B779:F779)-C778)*K773),SUM(B779:F779)*K773),IF(SUM(B774:F779)&gt;(L789*6),L789*K773,SUM(B779:F779)*K773)),2)</f>
        <v>0</v>
      </c>
      <c r="L779" s="76">
        <f>ROUND(IF(SUM(B774:F778)&lt;(L790*5),IF((SUM(B774:F779))&gt;(L790*6),(((L790*6)-(SUM(B774:F779)-C779))*L773)+((SUM(B779:F779)-C779)*L773),(SUM(B779:F779)-C779)*L773),IF(SUM(B774:F779)&gt;(L790*6),L790*L773,SUM(B779:F779)*L773)),2)</f>
        <v>0</v>
      </c>
      <c r="M779" s="76">
        <f>ROUND(IF(SUM(B774:F778)&lt;(L790*5),IF((SUM(B774:F779))&gt;(L790*6),(((L790*6)-(SUM(B774:F779)-C779))*M773)+((SUM(B779:F779)-C779)*M773),(SUM(B779:F779)-C779)*M773),IF(SUM(B774:F779)&gt;(L790*6),L790*M773,SUM(B779:F779)*M773)),2)</f>
        <v>0</v>
      </c>
      <c r="N779" s="76">
        <f>ROUND(IF(SUM(B774:F778)&lt;(L790*5),IF((SUM(B774:F779))&gt;(L790*6),(((L790*6)-(SUM(B774:F779)-C778))*N773)+((SUM(B779:F779)-C778)*N773),SUM(B779:F779)*N773),IF(SUM(B774:F779)&gt;(L790*6),L790*N773,SUM(B779:F779)*N773)),2)</f>
        <v>0</v>
      </c>
      <c r="O779" s="23">
        <f>ROUND(SUM(B779+C779+F779)*O773,2)</f>
        <v>0</v>
      </c>
      <c r="P779" s="27">
        <f t="shared" si="88"/>
        <v>0</v>
      </c>
    </row>
    <row r="780" spans="1:16" s="1" customFormat="1" x14ac:dyDescent="0.2">
      <c r="A780" s="100" t="str">
        <f>$A$32</f>
        <v>Jul 2022</v>
      </c>
      <c r="B780" s="24">
        <f>ROUND(IF(P754=0,0,IFERROR(((LOOKUP(2,1/(A762:A765=A780),G762:G765))*P754*4.348),B779/P754*P754)),2)</f>
        <v>0</v>
      </c>
      <c r="C780" s="23">
        <f>ROUND(IFERROR(((LOOKUP(2,1/(B767=A780),((SUM(B780:B782)+SUM(F780:F782))/3)*C767))),0)+IFERROR(((LOOKUP(2,1/(E767=A780),(B786+F786)*F767))),0),2)</f>
        <v>0</v>
      </c>
      <c r="D780" s="23">
        <f>ROUND(IF(B780=0,0,D773/L755*P754),2)</f>
        <v>0</v>
      </c>
      <c r="E780" s="23">
        <f>ROUND(IF(B780=0,0,E773/N751*P754),2)</f>
        <v>0</v>
      </c>
      <c r="F780" s="24">
        <f>ROUND(IF(P754=0,0,IFERROR(((LOOKUP(2,1/(A762:A765=A780),H762:H765))/N751*P754),F779/P754*P754)),2)</f>
        <v>0</v>
      </c>
      <c r="G780" s="27">
        <f t="shared" si="87"/>
        <v>0</v>
      </c>
      <c r="H780" s="76">
        <f>ROUND(IF(SUM(B774:F779)&lt;(L789*6),IF((SUM(B774:F780))&gt;(L789*7),(((L789*7)-(SUM(B774:F780)-C779))*H773)+((SUM(B780:F780)-C779)*H773),SUM(B780:F780)*H773),IF(SUM(B774:F780)&gt;(L789*7),L789*H773,SUM(B780:F780)*H773)),2)</f>
        <v>0</v>
      </c>
      <c r="I780" s="76">
        <f>ROUND(IF(SUM(B774:F779)&lt;(L790*6),IF((SUM(B774:F780))&gt;(L790*7),(((L790*7)-(SUM(B774:F780)-C779))*I773)+((SUM(B780:F780)-C779)*I773),SUM(B780:F780)*I773),IF(SUM(B774:F780)&gt;(L790*7),L790*I773,SUM(B780:F780)*I773)),2)</f>
        <v>0</v>
      </c>
      <c r="J780" s="76">
        <f>ROUND(IF(SUM(B774:F779)&lt;(L790*6),IF((SUM(B774:F780))&gt;(L790*7),(((L790*7)-(SUM(B774:F780)-C779))*J773)+((SUM(B780:F780)-C779)*J773),SUM(B780:F780)*J773),IF(SUM(B774:F780)&gt;(L790*7),L790*J773,SUM(B780:F780)*J773)),2)</f>
        <v>0</v>
      </c>
      <c r="K780" s="76">
        <f>ROUND(IF(SUM(B774:F779)&lt;(L789*6),IF((SUM(B774:F780))&gt;(L789*7),(((L789*7)-(SUM(B774:F780)-C779))*K773)+((SUM(B780:F780)-C779)*K773),SUM(B780:F780)*K773),IF(SUM(B774:F780)&gt;(L789*7),L789*K773,SUM(B780:F780)*K773)),2)</f>
        <v>0</v>
      </c>
      <c r="L780" s="76">
        <f>ROUND(IF(SUM(B774:F779)&lt;(L790*6),IF((SUM(B774:F780))&gt;(L790*7),(((L790*7)-(SUM(B774:F780)-C780))*L773)+((SUM(B780:F780)-C780)*L773),(SUM(B780:F780)-C780)*L773),IF(SUM(B774:F780)&gt;(L790*7),L790*L773,SUM(B780:F780)*L773)),2)</f>
        <v>0</v>
      </c>
      <c r="M780" s="76">
        <f>ROUND(IF(SUM(B774:F779)&lt;(L790*6),IF((SUM(B774:F780))&gt;(L790*7),(((L790*7)-(SUM(B774:F780)-C780))*M773)+((SUM(B780:F780)-C780)*M773),(SUM(B780:F780)-C780)*M773),IF(SUM(B774:F780)&gt;(L790*7),L790*M773,SUM(B780:F780)*M773)),2)</f>
        <v>0</v>
      </c>
      <c r="N780" s="76">
        <f>ROUND(IF(SUM(B774:F779)&lt;(L790*6),IF((SUM(B774:F780))&gt;(L790*7),(((L790*7)-(SUM(B774:F780)-C779))*N773)+((SUM(B780:F780)-C779)*N773),SUM(B780:F780)*N773),IF(SUM(B774:F780)&gt;(L790*7),L790*N773,SUM(B780:F780)*N773)),2)</f>
        <v>0</v>
      </c>
      <c r="O780" s="23">
        <f>ROUND(SUM(B780+C780+F780)*O773,2)</f>
        <v>0</v>
      </c>
      <c r="P780" s="27">
        <f t="shared" si="88"/>
        <v>0</v>
      </c>
    </row>
    <row r="781" spans="1:16" s="1" customFormat="1" x14ac:dyDescent="0.2">
      <c r="A781" s="100" t="str">
        <f>$A$33</f>
        <v>Aug 2022</v>
      </c>
      <c r="B781" s="24">
        <f>ROUND(IF(P755=0,0,IFERROR(((LOOKUP(2,1/(A762:A765=A781),G762:G765))*P755*4.348),B780/P755*P755)),2)</f>
        <v>0</v>
      </c>
      <c r="C781" s="23">
        <f>ROUND(IFERROR(((LOOKUP(2,1/(B767=A781),((SUM(B780:B782)+SUM(F780:F782))/3)*C767))),0)+IFERROR(((LOOKUP(2,1/(E767=A781),(B786+F786)*F767))),0),2)</f>
        <v>0</v>
      </c>
      <c r="D781" s="23">
        <f>ROUND(IF(B781=0,0,D773/L755*P755),2)</f>
        <v>0</v>
      </c>
      <c r="E781" s="23">
        <f>ROUND(IF(B781=0,0,E773/N751*P755),2)</f>
        <v>0</v>
      </c>
      <c r="F781" s="24">
        <f>ROUND(IF(P755=0,0,IFERROR(((LOOKUP(2,1/(A762:A765=A781),H762:H765))/N751*P755),F780/P755*P755)),2)</f>
        <v>0</v>
      </c>
      <c r="G781" s="27">
        <f t="shared" si="87"/>
        <v>0</v>
      </c>
      <c r="H781" s="76">
        <f>ROUND(IF(SUM(B774:F780)&lt;(L789*7),IF((SUM(B774:F781))&gt;(L789*8),(((L789*8)-(SUM(B774:F781)-C780))*H773)+((SUM(B781:F781)-C780)*H773),SUM(B781:F781)*H773),IF(SUM(B774:F781)&gt;(L789*8),L789*H773,SUM(B781:F781)*H773)),2)</f>
        <v>0</v>
      </c>
      <c r="I781" s="76">
        <f>ROUND(IF(SUM(B774:F780)&lt;(L790*7),IF((SUM(B774:F781))&gt;(L790*8),(((L790*8)-(SUM(B774:F781)-C780))*I773)+((SUM(B781:F781)-C780)*I773),SUM(B781:F781)*I773),IF(SUM(B774:F781)&gt;(L790*8),L790*I773,SUM(B781:F781)*I773)),2)</f>
        <v>0</v>
      </c>
      <c r="J781" s="76">
        <f>ROUND(IF(SUM(B774:F780)&lt;(L790*7),IF((SUM(B774:F781))&gt;(L790*8),(((L790*8)-(SUM(B774:F781)-C780))*J773)+((SUM(B781:F781)-C780)*J773),SUM(B781:F781)*J773),IF(SUM(B774:F781)&gt;(L790*8),L790*J773,SUM(B781:F781)*J773)),2)</f>
        <v>0</v>
      </c>
      <c r="K781" s="76">
        <f>ROUND(IF(SUM(B774:F780)&lt;(L789*7),IF((SUM(B774:F781))&gt;(L789*8),(((L789*8)-(SUM(B774:F781)-C780))*K773)+((SUM(B781:F781)-C780)*K773),SUM(B781:F781)*K773),IF(SUM(B774:F781)&gt;(L789*8),L789*K773,SUM(B781:F781)*K773)),2)</f>
        <v>0</v>
      </c>
      <c r="L781" s="76">
        <f>ROUND(IF(SUM(B774:F780)&lt;(L790*7),IF((SUM(B774:F781))&gt;(L790*8),(((L790*8)-(SUM(B774:F781)-C781))*L773)+((SUM(B781:F781)-C781)*L773),(SUM(B781:F781)-C781)*L773),IF(SUM(B774:F781)&gt;(L790*8),L790*L773,SUM(B781:F781)*L773)),2)</f>
        <v>0</v>
      </c>
      <c r="M781" s="76">
        <f>ROUND(IF(SUM(B774:F780)&lt;(L790*7),IF((SUM(B774:F781))&gt;(L790*8),(((L790*8)-(SUM(B774:F781)-C781))*M773)+((SUM(B781:F781)-C781)*M773),(SUM(B781:F781)-C781)*M773),IF(SUM(B774:F781)&gt;(L790*8),L790*M773,SUM(B781:F781)*M773)),2)</f>
        <v>0</v>
      </c>
      <c r="N781" s="76">
        <f>ROUND(IF(SUM(B774:F780)&lt;(L790*7),IF((SUM(B774:F781))&gt;(L790*8),(((L790*8)-(SUM(B774:F781)-C780))*N773)+((SUM(B781:F781)-C780)*N773),SUM(B781:F781)*N773),IF(SUM(B774:F781)&gt;(L790*8),L790*N773,SUM(B781:F781)*N773)),2)</f>
        <v>0</v>
      </c>
      <c r="O781" s="23">
        <f>ROUND(SUM(B781+C781+F781)*O773,2)</f>
        <v>0</v>
      </c>
      <c r="P781" s="27">
        <f t="shared" si="88"/>
        <v>0</v>
      </c>
    </row>
    <row r="782" spans="1:16" s="1" customFormat="1" x14ac:dyDescent="0.2">
      <c r="A782" s="100" t="str">
        <f>$A$34</f>
        <v>Sep 2022</v>
      </c>
      <c r="B782" s="24">
        <f>ROUND(IF(P756=0,0,IFERROR(((LOOKUP(2,1/(A762:A765=A782),G762:G765))*P756*4.348),B781/P756*P756)),2)</f>
        <v>0</v>
      </c>
      <c r="C782" s="23">
        <f>ROUND(IFERROR(((LOOKUP(2,1/(B767=A782),((SUM(B780:B782)+SUM(F780:F782))/3)*C767))),0)+IFERROR(((LOOKUP(2,1/(E767=A782),(B786+F786)*F767))),0),2)</f>
        <v>0</v>
      </c>
      <c r="D782" s="23">
        <f>ROUND(IF(B782=0,0,D773/L755*P756),2)</f>
        <v>0</v>
      </c>
      <c r="E782" s="23">
        <f>ROUND(IF(B782=0,0,E773/N751*P756),2)</f>
        <v>0</v>
      </c>
      <c r="F782" s="24">
        <f>ROUND(IF(P756=0,0,IFERROR(((LOOKUP(2,1/(A762:A765=A782),H762:H765))/N751*P756),F781/P756*P756)),2)</f>
        <v>0</v>
      </c>
      <c r="G782" s="27">
        <f t="shared" si="87"/>
        <v>0</v>
      </c>
      <c r="H782" s="76">
        <f>ROUND(IF(SUM(B774:F781)&lt;(L789*8),IF((SUM(B774:F782))&gt;(L789*9),(((L789*9)-(SUM(B774:F782)-C781))*H773)+((SUM(B782:F782)-C781)*H773),SUM(B782:F782)*H773),IF(SUM(B774:F782)&gt;(L789*9),L789*H773,SUM(B782:F782)*H773)),2)</f>
        <v>0</v>
      </c>
      <c r="I782" s="76">
        <f>ROUND(IF(SUM(B774:F781)&lt;(L790*8),IF((SUM(B774:F782))&gt;(L790*9),(((L790*9)-(SUM(B774:F782)-C781))*I773)+((SUM(B782:F782)-C781)*I773),SUM(B782:F782)*I773),IF(SUM(B774:F782)&gt;(L790*9),L790*I773,SUM(B782:F782)*I773)),2)</f>
        <v>0</v>
      </c>
      <c r="J782" s="76">
        <f>ROUND(IF(SUM(B774:F781)&lt;(L790*8),IF((SUM(B774:F782))&gt;(L790*9),(((L790*9)-(SUM(B774:F782)-C781))*J773)+((SUM(B782:F782)-C781)*J773),SUM(B782:F782)*J773),IF(SUM(B774:F782)&gt;(L790*9),L790*J773,SUM(B782:F782)*J773)),2)</f>
        <v>0</v>
      </c>
      <c r="K782" s="76">
        <f>ROUND(IF(SUM(B774:F781)&lt;(L789*8),IF((SUM(B774:F782))&gt;(L789*9),(((L789*9)-(SUM(B774:F782)-C781))*K773)+((SUM(B782:F782)-C781)*K773),SUM(B782:F782)*K773),IF(SUM(B774:F782)&gt;(L789*9),L789*K773,SUM(B782:F782)*K773)),2)</f>
        <v>0</v>
      </c>
      <c r="L782" s="76">
        <f>ROUND(IF(SUM(B774:F781)&lt;(L790*8),IF((SUM(B774:F782))&gt;(L790*9),(((L790*9)-(SUM(B774:F782)-C782))*L773)+((SUM(B782:F782)-C782)*L773),(SUM(B782:F782)-C782)*L773),IF(SUM(B774:F782)&gt;(L790*9),L790*L773,SUM(B782:F782)*L773)),2)</f>
        <v>0</v>
      </c>
      <c r="M782" s="76">
        <f>ROUND(IF(SUM(B774:F781)&lt;(L790*8),IF((SUM(B774:F782))&gt;(L790*9),(((L790*9)-(SUM(B774:F782)-C782))*M773)+((SUM(B782:F782)-C782)*M773),(SUM(B782:F782)-C782)*M773),IF(SUM(B774:F782)&gt;(L790*9),L790*M773,SUM(B782:F782)*M773)),2)</f>
        <v>0</v>
      </c>
      <c r="N782" s="76">
        <f>ROUND(IF(SUM(B774:F781)&lt;(L790*8),IF((SUM(B774:F782))&gt;(L790*9),(((L790*9)-(SUM(B774:F782)-C781))*N773)+((SUM(B782:F782)-C781)*N773),SUM(B782:F782)*N773),IF(SUM(B774:F782)&gt;(L790*9),L790*N773,SUM(B782:F782)*N773)),2)</f>
        <v>0</v>
      </c>
      <c r="O782" s="23">
        <f>ROUND(SUM(B782+C782+F782)*O773,2)</f>
        <v>0</v>
      </c>
      <c r="P782" s="27">
        <f t="shared" si="88"/>
        <v>0</v>
      </c>
    </row>
    <row r="783" spans="1:16" s="1" customFormat="1" x14ac:dyDescent="0.2">
      <c r="A783" s="100" t="str">
        <f>$A$35</f>
        <v>Okt 2022</v>
      </c>
      <c r="B783" s="24">
        <f>ROUND(IF(P757=0,0,IFERROR(((LOOKUP(2,1/(A762:A765=A783),G762:G765))*P757*4.348),B782/P757*P757)),2)</f>
        <v>0</v>
      </c>
      <c r="C783" s="23">
        <f>ROUND(IFERROR(((LOOKUP(2,1/(B767=A783),((SUM(B780:B782)+SUM(F780:F782))/3)*C767))),0)+IFERROR(((LOOKUP(2,1/(E767=A783),(B786+F786)*F767))),0),2)</f>
        <v>0</v>
      </c>
      <c r="D783" s="23">
        <f>ROUND(IF(B783=0,0,D773/L755*P757),2)</f>
        <v>0</v>
      </c>
      <c r="E783" s="23">
        <f>ROUND(IF(B783=0,0,E773/N751*P757),2)</f>
        <v>0</v>
      </c>
      <c r="F783" s="24">
        <f>ROUND(IF(P757=0,0,IFERROR(((LOOKUP(2,1/(A762:A765=A783),H762:H765))/N751*P757),F782/P757*P757)),2)</f>
        <v>0</v>
      </c>
      <c r="G783" s="27">
        <f t="shared" si="87"/>
        <v>0</v>
      </c>
      <c r="H783" s="76">
        <f>ROUND(IF(SUM(B774:F782)&lt;(L789*9),IF((SUM(B774:F783))&gt;(L789*10),(((L789*10)-(SUM(B774:F783)-C782))*H773)+((SUM(B783:F783)-C782)*H773),SUM(B783:F783)*H773),IF(SUM(B774:F783)&gt;(L789*10),L789*H773,SUM(B783:F783)*H773)),2)</f>
        <v>0</v>
      </c>
      <c r="I783" s="76">
        <f>ROUND(IF(SUM(B774:F782)&lt;(L790*9),IF((SUM(B774:F783))&gt;(L790*10),(((L790*10)-(SUM(B774:F783)-C782))*I773)+((SUM(B783:F783)-C782)*I773),SUM(B783:F783)*I773),IF(SUM(B774:F783)&gt;(L790*10),L790*I773,SUM(B783:F783)*I773)),2)</f>
        <v>0</v>
      </c>
      <c r="J783" s="76">
        <f>ROUND(IF(SUM(B774:F782)&lt;(L790*9),IF((SUM(B774:F783))&gt;(L790*10),(((L790*10)-(SUM(B774:F783)-C782))*J773)+((SUM(B783:F783)-C782)*J773),SUM(B783:F783)*J773),IF(SUM(B774:F783)&gt;(L790*10),L790*J773,SUM(B783:F783)*J773)),2)</f>
        <v>0</v>
      </c>
      <c r="K783" s="76">
        <f>ROUND(IF(SUM(B774:F782)&lt;(L789*9),IF((SUM(B774:F783))&gt;(L789*10),(((L789*10)-(SUM(B774:F783)-C782))*K773)+((SUM(B783:F783)-C782)*K773),SUM(B783:F783)*K773),IF(SUM(B774:F783)&gt;(L789*10),L789*K773,SUM(B783:F783)*K773)),2)</f>
        <v>0</v>
      </c>
      <c r="L783" s="76">
        <f>ROUND(IF(SUM(B774:F782)&lt;(L790*9),IF((SUM(B774:F783))&gt;(L790*10),(((L790*10)-(SUM(B774:F783)-C783))*L773)+((SUM(B783:F783)-C783)*L773),(SUM(B783:F783)-C783)*L773),IF(SUM(B774:F783)&gt;(L790*10),L790*L773,SUM(B783:F783)*L773)),2)</f>
        <v>0</v>
      </c>
      <c r="M783" s="76">
        <f>ROUND(IF(SUM(B774:F782)&lt;(L790*9),IF((SUM(B774:F783))&gt;(L790*10),(((L790*10)-(SUM(B774:F783)-C783))*M773)+((SUM(B783:F783)-C783)*M773),(SUM(B783:F783)-C783)*M773),IF(SUM(B774:F783)&gt;(L790*10),L790*M773,SUM(B783:F783)*M773)),2)</f>
        <v>0</v>
      </c>
      <c r="N783" s="76">
        <f>ROUND(IF(SUM(B774:F782)&lt;(L790*9),IF((SUM(B774:F783))&gt;(L790*10),(((L790*10)-(SUM(B774:F783)-C782))*N773)+((SUM(B783:F783)-C782)*N773),SUM(B783:F783)*N773),IF(SUM(B774:F783)&gt;(L790*10),L790*N773,SUM(B783:F783)*N773)),2)</f>
        <v>0</v>
      </c>
      <c r="O783" s="23">
        <f>ROUND(SUM(B783+C783+F783)*O773,2)</f>
        <v>0</v>
      </c>
      <c r="P783" s="27">
        <f t="shared" si="88"/>
        <v>0</v>
      </c>
    </row>
    <row r="784" spans="1:16" s="1" customFormat="1" x14ac:dyDescent="0.2">
      <c r="A784" s="100" t="str">
        <f>$A$36</f>
        <v>Nov 2022</v>
      </c>
      <c r="B784" s="24">
        <f>ROUND(IF(P758=0,0,IFERROR(((LOOKUP(2,1/(A762:A765=A784),G762:G765))*P758*4.348),B783/P758*P758)),2)</f>
        <v>0</v>
      </c>
      <c r="C784" s="23">
        <f>ROUND(IFERROR(((LOOKUP(2,1/(B767=A784),((SUM(B780:B782)+SUM(F780:F782))/3)*C767))),0)+IFERROR(((LOOKUP(2,1/(E767=A784),(B786+F786)*F767))),0),2)</f>
        <v>0</v>
      </c>
      <c r="D784" s="23">
        <f>ROUND(IF(B784=0,0,D773/L755*P758),2)</f>
        <v>0</v>
      </c>
      <c r="E784" s="23">
        <f>ROUND(IF(B784=0,0,E773/N751*P758),2)</f>
        <v>0</v>
      </c>
      <c r="F784" s="24">
        <f>ROUND(IF(P758=0,0,IFERROR(((LOOKUP(2,1/(A762:A765=A784),H762:H765))/N751*P758),F783/P758*P758)),2)</f>
        <v>0</v>
      </c>
      <c r="G784" s="27">
        <f t="shared" si="87"/>
        <v>0</v>
      </c>
      <c r="H784" s="76">
        <f>ROUND(IF(SUM(B774:F783)&lt;(L789*10),IF((SUM(B774:F784))&gt;(L789*11),(((L789*11)-(SUM(B774:F784)-C783))*H773)+((SUM(B784:F784)-C783)*H773),SUM(B784:F784)*H773),IF(SUM(B774:F784)&gt;(L789*11),L789*H773,SUM(B784:F784)*H773)),2)</f>
        <v>0</v>
      </c>
      <c r="I784" s="76">
        <f>ROUND(IF(SUM(B774:F783)&lt;(L790*10),IF((SUM(B774:F784))&gt;(L790*11),(((L790*11)-(SUM(B774:F784)-C783))*I773)+((SUM(B784:F784)-C783)*I773),SUM(B784:F784)*I773),IF(SUM(B774:F784)&gt;(L790*11),L790*I773,SUM(B784:F784)*I773)),2)</f>
        <v>0</v>
      </c>
      <c r="J784" s="76">
        <f>ROUND(IF(SUM(B774:F783)&lt;(L790*10),IF((SUM(B774:F784))&gt;(L790*11),(((L790*11)-(SUM(B774:F784)-C783))*J773)+((SUM(B784:F784)-C783)*J773),SUM(B784:F784)*J773),IF(SUM(B774:F784)&gt;(L790*11),L790*J773,SUM(B784:F784)*J773)),2)</f>
        <v>0</v>
      </c>
      <c r="K784" s="76">
        <f>ROUND(IF(SUM(B774:F783)&lt;(L789*10),IF((SUM(B774:F784))&gt;(L789*11),(((L789*11)-(SUM(B774:F784)-C783))*K773)+((SUM(B784:F784)-C783)*K773),SUM(B784:F784)*K773),IF(SUM(B774:F784)&gt;(L789*11),L789*K773,SUM(B784:F784)*K773)),2)</f>
        <v>0</v>
      </c>
      <c r="L784" s="76">
        <f>ROUND(IF(SUM(B774:F783)&lt;(L790*10),IF((SUM(B774:F784))&gt;(L790*11),(((L790*11)-(SUM(B774:F784)-C784))*L773)+((SUM(B784:F784)-C784)*L773),(SUM(B784:F784)-C784)*L773),IF(SUM(B774:F784)&gt;(L790*11),L790*L773,SUM(B784:F784)*L773)),2)</f>
        <v>0</v>
      </c>
      <c r="M784" s="76">
        <f>ROUND(IF(SUM(B774:F783)&lt;(L790*10),IF((SUM(B774:F784))&gt;(L790*11),(((L790*11)-(SUM(B774:F784)-C784))*M773)+((SUM(B784:F784)-C784)*M773),(SUM(B784:F784)-C784)*M773),IF(SUM(B774:F784)&gt;(L790*11),L790*M773,SUM(B784:F784)*M773)),2)</f>
        <v>0</v>
      </c>
      <c r="N784" s="76">
        <f>ROUND(IF(SUM(B774:F783)&lt;(L790*10),IF((SUM(B774:F784))&gt;(L790*11),(((L790*11)-(SUM(B774:F784)-C783))*N773)+((SUM(B784:F784)-C783)*N773),SUM(B784:F784)*N773),IF(SUM(B774:F784)&gt;(L790*11),L790*N773,SUM(B784:F784)*N773)),2)</f>
        <v>0</v>
      </c>
      <c r="O784" s="23">
        <f>ROUND(SUM(B784+C784+F784)*O773,2)</f>
        <v>0</v>
      </c>
      <c r="P784" s="27">
        <f t="shared" si="88"/>
        <v>0</v>
      </c>
    </row>
    <row r="785" spans="1:16" s="1" customFormat="1" x14ac:dyDescent="0.2">
      <c r="A785" s="100" t="str">
        <f>$A$37</f>
        <v>Dez 2022</v>
      </c>
      <c r="B785" s="24">
        <f>ROUND(IF(P759=0,0,IFERROR(((LOOKUP(2,1/(A762:A765=A785),G762:G765))*P759*4.348),B784/P759*P759)),2)</f>
        <v>0</v>
      </c>
      <c r="C785" s="23">
        <f>ROUND(IFERROR(((LOOKUP(2,1/(B767=A785),((SUM(B780:B782)+SUM(F780:F782))/3)*C767))),0)+IFERROR(((LOOKUP(2,1/(E767=A785),(B786+F786)*F767))),0),2)</f>
        <v>0</v>
      </c>
      <c r="D785" s="23">
        <f>ROUND(IF(B785=0,0,D773/L755*P759),2)</f>
        <v>0</v>
      </c>
      <c r="E785" s="23">
        <f>ROUND(IF(B785=0,0,E773/N751*P759),2)</f>
        <v>0</v>
      </c>
      <c r="F785" s="24">
        <f>ROUND(IF(P759=0,0,IFERROR(((LOOKUP(2,1/(A762:A765=A785),H762:H765))/N751*P759),F784/P759*P759)),2)</f>
        <v>0</v>
      </c>
      <c r="G785" s="27">
        <f t="shared" si="87"/>
        <v>0</v>
      </c>
      <c r="H785" s="76">
        <f>ROUND(IF(SUM(B774:F784)&lt;(L789*11),IF((SUM(B774:F785))&gt;(L789*12),(((L789*12)-(SUM(B774:F785)-C784))*H773)+((SUM(B785:F785)-C784)*H773),SUM(B785:F785)*H773),IF(SUM(B774:F785)&gt;(L789*12),L789*H773,SUM(B785:F785)*H773)),2)</f>
        <v>0</v>
      </c>
      <c r="I785" s="76">
        <f>ROUND(IF(SUM(B774:F784)&lt;(L790*11),IF((SUM(B774:F785))&gt;(L790*12),(((L790*12)-(SUM(B774:F785)-C784))*I773)+((SUM(B785:F785)-C784)*I773),SUM(B785:F785)*I773),IF(SUM(B774:F785)&gt;(L790*12),L790*I773,SUM(B785:F785)*I773)),2)</f>
        <v>0</v>
      </c>
      <c r="J785" s="76">
        <f>ROUND(IF(SUM(B774:F784)&lt;(L790*11),IF((SUM(B774:F785))&gt;(L790*12),(((L790*12)-(SUM(B774:F785)-C784))*J773)+((SUM(B785:F785)-C784)*J773),SUM(B785:F785)*J773),IF(SUM(B774:F785)&gt;(L790*12),L790*J773,SUM(B785:F785)*J773)),2)</f>
        <v>0</v>
      </c>
      <c r="K785" s="76">
        <f>ROUND(IF(SUM(B774:F784)&lt;(L789*11),IF((SUM(B774:F785))&gt;(L789*12),(((L789*12)-(SUM(B774:F785)-C784))*K773)+((SUM(B785:F785)-C784)*K773),SUM(B785:F785)*K773),IF(SUM(B774:F785)&gt;(L789*12),L789*K773,SUM(B785:F785)*K773)),2)</f>
        <v>0</v>
      </c>
      <c r="L785" s="76">
        <f>ROUND(IF(SUM(B774:F784)&lt;(L790*11),IF((SUM(B774:F785))&gt;(L790*12),(((L790*12)-(SUM(B774:F785)-C785))*L773)+((SUM(B785:F785)-C785)*L773),(SUM(B785:F785)-C785)*L773),IF(SUM(B774:F785)&gt;(L790*12),L790*L773,SUM(B785:F785)*L773)),2)</f>
        <v>0</v>
      </c>
      <c r="M785" s="76">
        <f>ROUND(IF(SUM(B774:F784)&lt;(L790*11),IF((SUM(B774:F785))&gt;(L790*12),(((L790*12)-(SUM(B774:F785)-C785))*M773)+((SUM(B785:F785)-C785)*M773),(SUM(B785:F785)-C785)*M773),IF(SUM(B774:F785)&gt;(L790*12),L790*M773,SUM(B785:F785)*M773)),2)</f>
        <v>0</v>
      </c>
      <c r="N785" s="76">
        <f>ROUND(IF(SUM(B774:F784)&lt;(L790*11),IF((SUM(B774:F785))&gt;(L790*12),(((L790*12)-(SUM(B774:F785)-C784))*N773)+((SUM(B785:F785)-C784)*N773),SUM(B785:F785)*N773),IF(SUM(B774:F785)&gt;(L790*12),L790*N773,SUM(B785:F785)*N773)),2)</f>
        <v>0</v>
      </c>
      <c r="O785" s="23">
        <f>ROUND(SUM(B785+C785+F785)*O773,2)</f>
        <v>0</v>
      </c>
      <c r="P785" s="27">
        <f t="shared" si="88"/>
        <v>0</v>
      </c>
    </row>
    <row r="786" spans="1:16" s="14" customFormat="1" ht="15" x14ac:dyDescent="0.25">
      <c r="A786" s="4" t="s">
        <v>2</v>
      </c>
      <c r="B786" s="27">
        <f>SUM(B774:B785)</f>
        <v>0</v>
      </c>
      <c r="C786" s="27">
        <f t="shared" ref="C786:D786" si="89">SUM(C774:C785)</f>
        <v>0</v>
      </c>
      <c r="D786" s="27">
        <f t="shared" si="89"/>
        <v>0</v>
      </c>
      <c r="E786" s="27">
        <f>SUM(E774:E785)</f>
        <v>0</v>
      </c>
      <c r="F786" s="27">
        <f>SUM(F774:F785)</f>
        <v>0</v>
      </c>
      <c r="G786" s="27">
        <f>SUM(G774:G785)</f>
        <v>0</v>
      </c>
      <c r="H786" s="1133">
        <f>SUM(H774:N785)</f>
        <v>0</v>
      </c>
      <c r="I786" s="1134"/>
      <c r="J786" s="1134"/>
      <c r="K786" s="1134"/>
      <c r="L786" s="1134"/>
      <c r="M786" s="1134"/>
      <c r="N786" s="1135"/>
      <c r="O786" s="27">
        <f>SUM(O774:O785)</f>
        <v>0</v>
      </c>
      <c r="P786" s="27">
        <f>SUM(P774:P785)</f>
        <v>0</v>
      </c>
    </row>
    <row r="787" spans="1:16" s="13" customFormat="1" ht="11.25" x14ac:dyDescent="0.2">
      <c r="A787" s="3" t="s">
        <v>1</v>
      </c>
      <c r="B787" s="2"/>
      <c r="C787" s="2"/>
      <c r="D787" s="2"/>
      <c r="E787" s="2"/>
      <c r="F787" s="2"/>
      <c r="G787" s="2"/>
      <c r="H787" s="2"/>
      <c r="I787" s="2"/>
      <c r="J787" s="2"/>
      <c r="K787" s="2"/>
      <c r="L787" s="2"/>
      <c r="M787" s="2"/>
      <c r="N787" s="2"/>
      <c r="O787" s="2"/>
      <c r="P787" s="2"/>
    </row>
    <row r="788" spans="1:16" s="1" customFormat="1" ht="14.25" customHeight="1" x14ac:dyDescent="0.2">
      <c r="A788" s="1136" t="s">
        <v>133</v>
      </c>
      <c r="B788" s="1137"/>
      <c r="C788" s="1137"/>
      <c r="D788" s="1137" t="s">
        <v>134</v>
      </c>
      <c r="E788" s="1137"/>
      <c r="F788" s="94" t="str">
        <f>IF(IF(G786=0,"",'päd.Personal - Leitung'!$F$40)=0,"",IF(G786=0,"",'päd.Personal - Leitung'!$F$40))</f>
        <v/>
      </c>
      <c r="G788" s="77" t="s">
        <v>135</v>
      </c>
      <c r="H788" s="96" t="str">
        <f>IF(IF(G786=0,"",'päd.Personal - Leitung'!$H$40)=0,"",IF(G786=0,"",'päd.Personal - Leitung'!$H$40))</f>
        <v/>
      </c>
      <c r="I788" s="73"/>
      <c r="J788" s="194" t="s">
        <v>160</v>
      </c>
      <c r="K788" s="194" t="str">
        <f>$K$40</f>
        <v>2021</v>
      </c>
      <c r="L788" s="194" t="str">
        <f>$L$40</f>
        <v>anteilig 2021</v>
      </c>
      <c r="M788" s="1138" t="s">
        <v>140</v>
      </c>
      <c r="N788" s="1138"/>
      <c r="O788" s="1139"/>
      <c r="P788" s="27">
        <f>ROUND(IF(F788="",IF(E792="",0,(E792*H792/K792)/L755*L756),G786*F788*H788/1000),2)</f>
        <v>0</v>
      </c>
    </row>
    <row r="789" spans="1:16" s="1" customFormat="1" ht="15" customHeight="1" x14ac:dyDescent="0.2">
      <c r="A789" s="1140" t="s">
        <v>145</v>
      </c>
      <c r="B789" s="1141"/>
      <c r="C789" s="1141"/>
      <c r="D789" s="18"/>
      <c r="E789" s="107" t="s">
        <v>135</v>
      </c>
      <c r="F789" s="95" t="str">
        <f>IF(IF(G786=0,"",'päd.Personal - Leitung'!$F$41)=0,"",IF(G786=0,"",'päd.Personal - Leitung'!$F$41))</f>
        <v/>
      </c>
      <c r="G789" s="48"/>
      <c r="H789" s="47"/>
      <c r="I789" s="48"/>
      <c r="J789" s="195" t="s">
        <v>158</v>
      </c>
      <c r="K789" s="198">
        <f>$K$41</f>
        <v>4837.5</v>
      </c>
      <c r="L789" s="197">
        <f>IF(L755="",K789,K789/L755*L756)</f>
        <v>4837.5</v>
      </c>
      <c r="M789" s="1138" t="s">
        <v>139</v>
      </c>
      <c r="N789" s="1138"/>
      <c r="O789" s="1139"/>
      <c r="P789" s="27">
        <f>ROUND(IF(F789="",0,G786*F789/1000),2)</f>
        <v>0</v>
      </c>
    </row>
    <row r="790" spans="1:16" s="1" customFormat="1" ht="15.75" customHeight="1" x14ac:dyDescent="0.2">
      <c r="A790" s="1142" t="s">
        <v>141</v>
      </c>
      <c r="B790" s="1143"/>
      <c r="C790" s="1143"/>
      <c r="D790" s="1144" t="s">
        <v>143</v>
      </c>
      <c r="E790" s="1144"/>
      <c r="F790" s="1145" t="str">
        <f>IF(IF(G786=0,"",'päd.Personal - Leitung'!$F$42)=0,"",IF(G786=0,"",'päd.Personal - Leitung'!$F$42))</f>
        <v/>
      </c>
      <c r="G790" s="1145"/>
      <c r="H790" s="72"/>
      <c r="I790" s="18"/>
      <c r="J790" s="195" t="s">
        <v>159</v>
      </c>
      <c r="K790" s="197">
        <f>$K$42</f>
        <v>6700</v>
      </c>
      <c r="L790" s="197">
        <f>IF(L755="",K790,K790/L755*L756)</f>
        <v>6700</v>
      </c>
      <c r="M790" s="1138" t="s">
        <v>141</v>
      </c>
      <c r="N790" s="1138"/>
      <c r="O790" s="1139"/>
      <c r="P790" s="23">
        <f>ROUND(IF(F790="",0,IF(G786=0,0,F790/L755*L756)),2)</f>
        <v>0</v>
      </c>
    </row>
    <row r="791" spans="1:16" s="1" customFormat="1" ht="14.25" customHeight="1" x14ac:dyDescent="0.2">
      <c r="A791" s="18"/>
      <c r="B791" s="18"/>
      <c r="C791" s="18"/>
      <c r="D791" s="18"/>
      <c r="E791" s="18"/>
      <c r="F791" s="18"/>
      <c r="G791" s="18"/>
      <c r="H791" s="18"/>
      <c r="I791" s="18"/>
      <c r="J791" s="18"/>
      <c r="K791" s="74"/>
      <c r="L791" s="82"/>
      <c r="M791" s="1127" t="s">
        <v>146</v>
      </c>
      <c r="N791" s="1127"/>
      <c r="O791" s="1128"/>
      <c r="P791" s="23">
        <f>ROUND(IF(G786=0,0,$P$87),2)</f>
        <v>0</v>
      </c>
    </row>
    <row r="792" spans="1:16" s="1" customFormat="1" ht="14.25" customHeight="1" x14ac:dyDescent="0.2">
      <c r="A792" s="1129" t="s">
        <v>142</v>
      </c>
      <c r="B792" s="1130"/>
      <c r="C792" s="126" t="s">
        <v>136</v>
      </c>
      <c r="D792" s="179" t="s">
        <v>137</v>
      </c>
      <c r="E792" s="1131" t="str">
        <f>IF(IF(G786=0,"",'päd.Personal - Leitung'!$E$44)=0,"",IF(G786=0,"",'päd.Personal - Leitung'!$E$44))</f>
        <v/>
      </c>
      <c r="F792" s="1131"/>
      <c r="G792" s="83" t="s">
        <v>138</v>
      </c>
      <c r="H792" s="97" t="str">
        <f>IF(IF(G786=0,"",'päd.Personal - Leitung'!$H$44)=0,"",IF(G786=0,"",'päd.Personal - Leitung'!$H$44))</f>
        <v/>
      </c>
      <c r="I792" s="1132" t="s">
        <v>144</v>
      </c>
      <c r="J792" s="1132"/>
      <c r="K792" s="98" t="str">
        <f>IF(IF(G786=0,"",'päd.Personal - Leitung'!$K$44)=0,"",IF(G786=0,"",'päd.Personal - Leitung'!$K$44))</f>
        <v/>
      </c>
      <c r="L792" s="29"/>
      <c r="M792" s="29"/>
      <c r="N792" s="29"/>
      <c r="O792" s="28" t="s">
        <v>0</v>
      </c>
      <c r="P792" s="27">
        <f>P786+SUM(P788:P791)</f>
        <v>0</v>
      </c>
    </row>
    <row r="793" spans="1:16" s="12" customFormat="1" ht="13.5" customHeight="1" x14ac:dyDescent="0.2">
      <c r="A793" s="1178" t="s">
        <v>18</v>
      </c>
      <c r="B793" s="1178"/>
      <c r="C793" s="1178"/>
      <c r="D793" s="1179" t="str">
        <f>IF($D$1="","",$D$1)</f>
        <v/>
      </c>
      <c r="E793" s="1179"/>
      <c r="F793" s="1179"/>
      <c r="G793" s="1179"/>
      <c r="H793" s="1179"/>
      <c r="I793" s="1179"/>
      <c r="J793" s="1179"/>
      <c r="K793" s="1179"/>
      <c r="L793" s="1179"/>
      <c r="M793" s="1179"/>
      <c r="N793" s="1179"/>
    </row>
    <row r="794" spans="1:16" s="12" customFormat="1" ht="15" customHeight="1" x14ac:dyDescent="0.2">
      <c r="A794" s="1178" t="s">
        <v>17</v>
      </c>
      <c r="B794" s="1178"/>
      <c r="C794" s="1178" t="s">
        <v>15</v>
      </c>
      <c r="D794" s="1179" t="str">
        <f>IF($D$2="","",$D$2)</f>
        <v/>
      </c>
      <c r="E794" s="1179"/>
      <c r="F794" s="1179"/>
      <c r="G794" s="1179"/>
      <c r="H794" s="1179"/>
      <c r="I794" s="1179"/>
      <c r="J794" s="1179"/>
      <c r="K794" s="1179"/>
      <c r="L794" s="1179"/>
      <c r="M794" s="1179"/>
      <c r="N794" s="1179"/>
    </row>
    <row r="795" spans="1:16" s="12" customFormat="1" ht="15" customHeight="1" x14ac:dyDescent="0.2">
      <c r="A795" s="1178" t="s">
        <v>16</v>
      </c>
      <c r="B795" s="1178"/>
      <c r="C795" s="1178" t="s">
        <v>15</v>
      </c>
      <c r="D795" s="1179" t="str">
        <f>IF($D$3="","",$D$3)</f>
        <v/>
      </c>
      <c r="E795" s="1179"/>
      <c r="F795" s="1179"/>
      <c r="G795" s="1179"/>
      <c r="H795" s="1179"/>
      <c r="I795" s="1179"/>
      <c r="J795" s="1179"/>
      <c r="K795" s="1178" t="s">
        <v>103</v>
      </c>
      <c r="L795" s="1178"/>
      <c r="M795" s="1178"/>
      <c r="N795" s="41" t="str">
        <f>IF($N$3="","",$N$3)</f>
        <v/>
      </c>
    </row>
    <row r="796" spans="1:16" s="13" customFormat="1" ht="11.25" x14ac:dyDescent="0.2">
      <c r="A796" s="1182"/>
      <c r="B796" s="1182"/>
      <c r="C796" s="1182"/>
      <c r="D796" s="1183"/>
      <c r="E796" s="1183"/>
      <c r="F796" s="1183"/>
      <c r="G796" s="1183"/>
      <c r="H796" s="1183"/>
      <c r="I796" s="1183"/>
      <c r="J796" s="1183"/>
      <c r="K796" s="11"/>
      <c r="L796" s="11"/>
      <c r="M796" s="11"/>
      <c r="N796" s="11"/>
      <c r="O796" s="11"/>
      <c r="P796" s="11"/>
    </row>
    <row r="797" spans="1:16" s="15" customFormat="1" ht="13.5" customHeight="1" x14ac:dyDescent="0.2">
      <c r="A797" s="1177" t="s">
        <v>166</v>
      </c>
      <c r="B797" s="1177"/>
      <c r="C797" s="1177"/>
      <c r="D797" s="1177"/>
      <c r="E797" s="1177"/>
      <c r="F797" s="1177"/>
      <c r="G797" s="1177"/>
      <c r="H797" s="1177"/>
      <c r="I797" s="1177"/>
      <c r="J797" s="1177"/>
      <c r="K797" s="9"/>
      <c r="L797" s="9"/>
      <c r="M797" s="9"/>
      <c r="N797" s="59" t="s">
        <v>154</v>
      </c>
      <c r="O797" s="191">
        <f>$O$5</f>
        <v>2022</v>
      </c>
      <c r="P797" s="59" t="s">
        <v>154</v>
      </c>
    </row>
    <row r="798" spans="1:16" s="10" customFormat="1" ht="13.5" customHeight="1" x14ac:dyDescent="0.25">
      <c r="B798" s="32"/>
      <c r="C798" s="32"/>
      <c r="D798" s="5" t="s">
        <v>52</v>
      </c>
      <c r="E798" s="31"/>
      <c r="F798" s="31"/>
      <c r="G798" s="31"/>
      <c r="H798" s="31"/>
      <c r="I798" s="26"/>
      <c r="J798" s="1174" t="s">
        <v>14</v>
      </c>
      <c r="K798" s="1174"/>
      <c r="L798" s="180"/>
      <c r="N798" s="84">
        <f>IF(L800="","",L800)</f>
        <v>0</v>
      </c>
      <c r="O798" s="58" t="str">
        <f>$O$6</f>
        <v>Jan                Jul</v>
      </c>
      <c r="P798" s="85">
        <f>IF(N803="","",N803)</f>
        <v>0</v>
      </c>
    </row>
    <row r="799" spans="1:16" s="7" customFormat="1" ht="13.5" customHeight="1" x14ac:dyDescent="0.25">
      <c r="A799" s="1180" t="s">
        <v>71</v>
      </c>
      <c r="B799" s="1180"/>
      <c r="C799" s="1180"/>
      <c r="D799" s="1184"/>
      <c r="E799" s="1184"/>
      <c r="F799" s="1184"/>
      <c r="G799" s="1184"/>
      <c r="H799" s="1184"/>
      <c r="I799" s="1184"/>
      <c r="J799" s="1174" t="s">
        <v>104</v>
      </c>
      <c r="K799" s="1174"/>
      <c r="L799" s="145"/>
      <c r="N799" s="85">
        <f>IF(N798="","",N798)</f>
        <v>0</v>
      </c>
      <c r="O799" s="58" t="str">
        <f>$O$7</f>
        <v>Feb              Aug</v>
      </c>
      <c r="P799" s="85">
        <f>IF(P798="","",P798)</f>
        <v>0</v>
      </c>
    </row>
    <row r="800" spans="1:16" s="1" customFormat="1" ht="13.5" customHeight="1" x14ac:dyDescent="0.2">
      <c r="A800" s="1180" t="s">
        <v>13</v>
      </c>
      <c r="B800" s="1180"/>
      <c r="C800" s="1180"/>
      <c r="D800" s="1181"/>
      <c r="E800" s="1181"/>
      <c r="F800" s="1181"/>
      <c r="G800" s="1181"/>
      <c r="H800" s="1181"/>
      <c r="I800" s="1181"/>
      <c r="J800" s="1174" t="s">
        <v>164</v>
      </c>
      <c r="K800" s="1174"/>
      <c r="L800" s="145">
        <f>IF((L801+L802)&gt;L799,0,L799-L801-L802)</f>
        <v>0</v>
      </c>
      <c r="N800" s="85">
        <f>IF(N799="","",N799)</f>
        <v>0</v>
      </c>
      <c r="O800" s="58" t="str">
        <f>$O$8</f>
        <v>Mrz              Sep</v>
      </c>
      <c r="P800" s="85">
        <f>IF(P799="","",P799)</f>
        <v>0</v>
      </c>
    </row>
    <row r="801" spans="1:16" s="1" customFormat="1" ht="13.5" customHeight="1" x14ac:dyDescent="0.2">
      <c r="A801" s="1180" t="s">
        <v>12</v>
      </c>
      <c r="B801" s="1180"/>
      <c r="C801" s="1180"/>
      <c r="D801" s="1181"/>
      <c r="E801" s="1181"/>
      <c r="F801" s="1181"/>
      <c r="G801" s="1181"/>
      <c r="H801" s="1181"/>
      <c r="I801" s="1181"/>
      <c r="J801" s="1174" t="s">
        <v>165</v>
      </c>
      <c r="K801" s="1174"/>
      <c r="L801" s="145"/>
      <c r="N801" s="85">
        <f>IF(N800="","",N800)</f>
        <v>0</v>
      </c>
      <c r="O801" s="58" t="str">
        <f>$O$9</f>
        <v>Apr               Okt</v>
      </c>
      <c r="P801" s="85">
        <f t="shared" ref="P801:P803" si="90">IF(P800="","",P800)</f>
        <v>0</v>
      </c>
    </row>
    <row r="802" spans="1:16" s="1" customFormat="1" ht="13.5" customHeight="1" x14ac:dyDescent="0.2">
      <c r="A802" s="1180" t="s">
        <v>19</v>
      </c>
      <c r="B802" s="1180"/>
      <c r="C802" s="1180"/>
      <c r="D802" s="1181"/>
      <c r="E802" s="1181"/>
      <c r="F802" s="1181"/>
      <c r="G802" s="1181"/>
      <c r="H802" s="1181"/>
      <c r="I802" s="1181"/>
      <c r="J802" s="1174" t="s">
        <v>252</v>
      </c>
      <c r="K802" s="1174"/>
      <c r="L802" s="145"/>
      <c r="M802" s="92"/>
      <c r="N802" s="85">
        <f>IF(N801="","",N801)</f>
        <v>0</v>
      </c>
      <c r="O802" s="58" t="str">
        <f>$O$10</f>
        <v>Mai               Nov</v>
      </c>
      <c r="P802" s="85">
        <f t="shared" si="90"/>
        <v>0</v>
      </c>
    </row>
    <row r="803" spans="1:16" s="1" customFormat="1" ht="13.5" customHeight="1" x14ac:dyDescent="0.2">
      <c r="B803" s="8"/>
      <c r="C803" s="121" t="s">
        <v>162</v>
      </c>
      <c r="D803" s="1175"/>
      <c r="E803" s="1175"/>
      <c r="F803" s="1176" t="s">
        <v>106</v>
      </c>
      <c r="G803" s="1176"/>
      <c r="H803" s="1186"/>
      <c r="I803" s="1186"/>
      <c r="J803" s="1174" t="s">
        <v>97</v>
      </c>
      <c r="K803" s="1174"/>
      <c r="L803" s="17" t="str">
        <f>IF(IF((COUNTIF(B818:B829,"&gt;0"))=0,0,(COUNTIF(B818:B829,"&gt;0")))&gt;Grundlagen!$C$24,Grundlagen!$C$24,IF((COUNTIF(B818:B829,"&gt;0"))=0,"",(COUNTIF(B818:B829,"&gt;0"))))</f>
        <v/>
      </c>
      <c r="N803" s="85">
        <f>IF(N802="","",N802)</f>
        <v>0</v>
      </c>
      <c r="O803" s="58" t="str">
        <f>'päd.Personal - Leitung'!$O$11</f>
        <v>Jun               Dez</v>
      </c>
      <c r="P803" s="85">
        <f t="shared" si="90"/>
        <v>0</v>
      </c>
    </row>
    <row r="804" spans="1:16" s="1" customFormat="1" ht="13.5" customHeight="1" x14ac:dyDescent="0.2">
      <c r="I804" s="6"/>
      <c r="L804" s="147" t="str">
        <f>IF((SUM(F806:F809))=0,"",IF(P804&gt;L800,L800,IF(L800="","",IF(L803="","",P804))))</f>
        <v/>
      </c>
      <c r="O804" s="174" t="s">
        <v>251</v>
      </c>
      <c r="P804" s="175">
        <f>IF(L803="",0,((IF(SUMIF(B818,"&gt;0"),N798,0))+(IF(SUMIF(B819,"&gt;0"),N799,0))+(IF(SUMIF(B820,"&gt;0"),N800,0))+(IF(SUMIF(B821,"&gt;0"),N801,0))+(IF(SUMIF(B822,"&gt;0"),N802,0))+(IF(SUMIF(B823,"&gt;0"),N803,0))+(IF(SUMIF(B824,"&gt;0"),P798,0))+(IF(SUMIF(B825,"&gt;0"),P799,0))+(IF(SUMIF(B826,"&gt;0"),P800,0))+(IF(SUMIF(B827,"&gt;0"),P801,0))+(IF(SUMIF(B828,"&gt;0"),P802,0))+(IF(SUMIF(B829,"&gt;0"),P803,0)))/Grundlagen!$C$24)</f>
        <v>0</v>
      </c>
    </row>
    <row r="805" spans="1:16" s="52" customFormat="1" ht="13.5" customHeight="1" x14ac:dyDescent="0.2">
      <c r="A805" s="61" t="s">
        <v>148</v>
      </c>
      <c r="B805" s="1168" t="s">
        <v>149</v>
      </c>
      <c r="C805" s="1168"/>
      <c r="D805" s="62" t="s">
        <v>150</v>
      </c>
      <c r="E805" s="63" t="s">
        <v>151</v>
      </c>
      <c r="F805" s="64" t="str">
        <f>CONCATENATE("Entg. ",N795," h/Wo")</f>
        <v>Entg.  h/Wo</v>
      </c>
      <c r="G805" s="65" t="s">
        <v>152</v>
      </c>
      <c r="H805" s="65" t="s">
        <v>153</v>
      </c>
      <c r="K805" s="1169" t="str">
        <f>CONCATENATE("Zuschläge / Zulagen für ",N795,"h/Wo")</f>
        <v>Zuschläge / Zulagen für h/Wo</v>
      </c>
      <c r="L805" s="1169"/>
      <c r="M805" s="66" t="str">
        <f>IF(A806="","",A806)</f>
        <v>Jan 2022</v>
      </c>
      <c r="N805" s="66" t="str">
        <f>IF(A807="","",A807)</f>
        <v/>
      </c>
      <c r="O805" s="66" t="str">
        <f>IF(A808="","",A808)</f>
        <v/>
      </c>
      <c r="P805" s="66" t="str">
        <f>IF(A809="","",A809)</f>
        <v/>
      </c>
    </row>
    <row r="806" spans="1:16" s="52" customFormat="1" ht="13.5" customHeight="1" x14ac:dyDescent="0.25">
      <c r="A806" s="54" t="str">
        <f>A818</f>
        <v>Jan 2022</v>
      </c>
      <c r="B806" s="1170" t="str">
        <f>IF($D$3="","",$D$3)</f>
        <v/>
      </c>
      <c r="C806" s="1171"/>
      <c r="D806" s="181"/>
      <c r="E806" s="181"/>
      <c r="F806" s="87"/>
      <c r="G806" s="56">
        <f>IF(N795="",0,F806/N795/4.348)</f>
        <v>0</v>
      </c>
      <c r="H806" s="53">
        <f>IF(G806=0,0,M811)</f>
        <v>0</v>
      </c>
      <c r="K806" s="1146"/>
      <c r="L806" s="1146"/>
      <c r="M806" s="172"/>
      <c r="N806" s="172"/>
      <c r="O806" s="172"/>
      <c r="P806" s="172"/>
    </row>
    <row r="807" spans="1:16" s="52" customFormat="1" ht="13.5" customHeight="1" x14ac:dyDescent="0.25">
      <c r="A807" s="55"/>
      <c r="B807" s="1172" t="str">
        <f>IF(A807="","",B806)</f>
        <v/>
      </c>
      <c r="C807" s="1173"/>
      <c r="D807" s="181"/>
      <c r="E807" s="181"/>
      <c r="F807" s="87"/>
      <c r="G807" s="56">
        <f>IF(N795="",0,F807/N795/4.348)</f>
        <v>0</v>
      </c>
      <c r="H807" s="53">
        <f>IF(G807=0,0,N811)</f>
        <v>0</v>
      </c>
      <c r="K807" s="1146"/>
      <c r="L807" s="1146"/>
      <c r="M807" s="172"/>
      <c r="N807" s="172"/>
      <c r="O807" s="172"/>
      <c r="P807" s="172"/>
    </row>
    <row r="808" spans="1:16" s="52" customFormat="1" ht="13.5" customHeight="1" x14ac:dyDescent="0.25">
      <c r="A808" s="55"/>
      <c r="B808" s="1172" t="str">
        <f>IF(A808="","",B807)</f>
        <v/>
      </c>
      <c r="C808" s="1173"/>
      <c r="D808" s="181"/>
      <c r="E808" s="181"/>
      <c r="F808" s="87"/>
      <c r="G808" s="56">
        <f>IF(N795="",0,F808/N795/4.348)</f>
        <v>0</v>
      </c>
      <c r="H808" s="53">
        <f>IF(G808=0,0,O811)</f>
        <v>0</v>
      </c>
      <c r="K808" s="1146"/>
      <c r="L808" s="1146"/>
      <c r="M808" s="172"/>
      <c r="N808" s="172"/>
      <c r="O808" s="172"/>
      <c r="P808" s="172"/>
    </row>
    <row r="809" spans="1:16" s="52" customFormat="1" ht="13.5" customHeight="1" x14ac:dyDescent="0.25">
      <c r="A809" s="55"/>
      <c r="B809" s="1172" t="str">
        <f>IF(A809="","",B808)</f>
        <v/>
      </c>
      <c r="C809" s="1173"/>
      <c r="D809" s="181"/>
      <c r="E809" s="181"/>
      <c r="F809" s="87"/>
      <c r="G809" s="56">
        <f>IF(N795="",0,F809/N795/4.348)</f>
        <v>0</v>
      </c>
      <c r="H809" s="53">
        <f>IF(G809=0,0,P811)</f>
        <v>0</v>
      </c>
      <c r="K809" s="1146"/>
      <c r="L809" s="1146"/>
      <c r="M809" s="172"/>
      <c r="N809" s="172"/>
      <c r="O809" s="172"/>
      <c r="P809" s="172"/>
    </row>
    <row r="810" spans="1:16" s="52" customFormat="1" ht="13.5" customHeight="1" x14ac:dyDescent="0.25">
      <c r="B810" s="1167" t="s">
        <v>157</v>
      </c>
      <c r="C810" s="1167"/>
      <c r="E810" s="1167" t="s">
        <v>156</v>
      </c>
      <c r="F810" s="1167"/>
      <c r="J810" s="69"/>
      <c r="K810" s="1146"/>
      <c r="L810" s="1146"/>
      <c r="M810" s="172"/>
      <c r="N810" s="172"/>
      <c r="O810" s="172"/>
      <c r="P810" s="172"/>
    </row>
    <row r="811" spans="1:16" s="52" customFormat="1" ht="13.5" customHeight="1" x14ac:dyDescent="0.25">
      <c r="A811" s="70" t="s">
        <v>167</v>
      </c>
      <c r="B811" s="67"/>
      <c r="C811" s="99" t="str">
        <f>IF(C767="","",C767)</f>
        <v/>
      </c>
      <c r="D811" s="70" t="s">
        <v>167</v>
      </c>
      <c r="E811" s="67"/>
      <c r="F811" s="99" t="str">
        <f>IF(F767="","",F767)</f>
        <v/>
      </c>
      <c r="J811" s="68"/>
      <c r="M811" s="173">
        <f>SUM(M806:M810)</f>
        <v>0</v>
      </c>
      <c r="N811" s="173">
        <f t="shared" ref="N811:P811" si="91">SUM(N806:N810)</f>
        <v>0</v>
      </c>
      <c r="O811" s="173">
        <f t="shared" si="91"/>
        <v>0</v>
      </c>
      <c r="P811" s="173">
        <f t="shared" si="91"/>
        <v>0</v>
      </c>
    </row>
    <row r="812" spans="1:16" s="52" customFormat="1" ht="13.5" customHeight="1" x14ac:dyDescent="0.2">
      <c r="A812" s="60" t="s">
        <v>155</v>
      </c>
    </row>
    <row r="813" spans="1:16" s="1" customFormat="1" ht="14.25" customHeight="1" x14ac:dyDescent="0.2">
      <c r="A813" s="1147"/>
      <c r="B813" s="1149" t="s">
        <v>9</v>
      </c>
      <c r="C813" s="1150"/>
      <c r="D813" s="1150"/>
      <c r="E813" s="1150"/>
      <c r="F813" s="1150"/>
      <c r="G813" s="1151"/>
      <c r="H813" s="1152" t="s">
        <v>119</v>
      </c>
      <c r="I813" s="1153"/>
      <c r="J813" s="1153"/>
      <c r="K813" s="1153"/>
      <c r="L813" s="1153"/>
      <c r="M813" s="1153"/>
      <c r="N813" s="1153"/>
      <c r="O813" s="33"/>
      <c r="P813" s="1154" t="s">
        <v>0</v>
      </c>
    </row>
    <row r="814" spans="1:16" s="1" customFormat="1" ht="14.25" customHeight="1" x14ac:dyDescent="0.2">
      <c r="A814" s="1148"/>
      <c r="B814" s="1157" t="s">
        <v>117</v>
      </c>
      <c r="C814" s="124" t="s">
        <v>115</v>
      </c>
      <c r="D814" s="1159" t="s">
        <v>277</v>
      </c>
      <c r="E814" s="1161" t="s">
        <v>147</v>
      </c>
      <c r="F814" s="127" t="s">
        <v>7</v>
      </c>
      <c r="G814" s="1162" t="s">
        <v>6</v>
      </c>
      <c r="H814" s="1161" t="s">
        <v>129</v>
      </c>
      <c r="I814" s="1161" t="s">
        <v>5</v>
      </c>
      <c r="J814" s="1161" t="s">
        <v>4</v>
      </c>
      <c r="K814" s="1161" t="s">
        <v>3</v>
      </c>
      <c r="L814" s="1161" t="s">
        <v>121</v>
      </c>
      <c r="M814" s="1161" t="s">
        <v>122</v>
      </c>
      <c r="N814" s="1161" t="s">
        <v>123</v>
      </c>
      <c r="O814" s="1160" t="s">
        <v>114</v>
      </c>
      <c r="P814" s="1155"/>
    </row>
    <row r="815" spans="1:16" s="1" customFormat="1" ht="14.25" customHeight="1" x14ac:dyDescent="0.2">
      <c r="A815" s="1148"/>
      <c r="B815" s="1157"/>
      <c r="C815" s="21" t="str">
        <f>IF(C811="","",C811)</f>
        <v/>
      </c>
      <c r="D815" s="1160"/>
      <c r="E815" s="1161"/>
      <c r="F815" s="1165" t="str">
        <f>IF(H806=0,"","siehe Zuschläge / Zulagen")</f>
        <v/>
      </c>
      <c r="G815" s="1162"/>
      <c r="H815" s="1164" t="s">
        <v>127</v>
      </c>
      <c r="I815" s="1164"/>
      <c r="J815" s="1164"/>
      <c r="K815" s="1164"/>
      <c r="L815" s="1164"/>
      <c r="M815" s="1164"/>
      <c r="N815" s="1164"/>
      <c r="O815" s="1160"/>
      <c r="P815" s="1155"/>
    </row>
    <row r="816" spans="1:16" s="1" customFormat="1" x14ac:dyDescent="0.2">
      <c r="A816" s="1148"/>
      <c r="B816" s="1157"/>
      <c r="C816" s="122" t="s">
        <v>70</v>
      </c>
      <c r="D816" s="1160"/>
      <c r="E816" s="1161"/>
      <c r="F816" s="1165"/>
      <c r="G816" s="1162"/>
      <c r="H816" s="43" t="s">
        <v>128</v>
      </c>
      <c r="I816" s="43" t="s">
        <v>255</v>
      </c>
      <c r="J816" s="43" t="s">
        <v>256</v>
      </c>
      <c r="K816" s="43" t="s">
        <v>257</v>
      </c>
      <c r="L816" s="43"/>
      <c r="M816" s="43"/>
      <c r="N816" s="43" t="s">
        <v>254</v>
      </c>
      <c r="O816" s="1160"/>
      <c r="P816" s="1155"/>
    </row>
    <row r="817" spans="1:16" s="1" customFormat="1" x14ac:dyDescent="0.2">
      <c r="A817" s="1148"/>
      <c r="B817" s="1158"/>
      <c r="C817" s="21" t="str">
        <f>IF(F811="","",F811)</f>
        <v/>
      </c>
      <c r="D817" s="51"/>
      <c r="E817" s="51"/>
      <c r="F817" s="1166"/>
      <c r="G817" s="1163"/>
      <c r="H817" s="93"/>
      <c r="I817" s="139">
        <f>$I$69</f>
        <v>0</v>
      </c>
      <c r="J817" s="139">
        <f>$J$69</f>
        <v>0</v>
      </c>
      <c r="K817" s="44">
        <f>$K$69</f>
        <v>0</v>
      </c>
      <c r="L817" s="21"/>
      <c r="M817" s="21"/>
      <c r="N817" s="139">
        <f>$N$69</f>
        <v>0</v>
      </c>
      <c r="O817" s="21">
        <f>O773</f>
        <v>0</v>
      </c>
      <c r="P817" s="1156"/>
    </row>
    <row r="818" spans="1:16" s="1" customFormat="1" x14ac:dyDescent="0.2">
      <c r="A818" s="100" t="str">
        <f>$A$26</f>
        <v>Jan 2022</v>
      </c>
      <c r="B818" s="24">
        <f>ROUND(IF(N798=0,0,(LOOKUP(2,1/(A806:A809=A818),G806:G809))*N798*4.348),2)</f>
        <v>0</v>
      </c>
      <c r="C818" s="23">
        <f>ROUND(IFERROR(((LOOKUP(2,1/(B811=A818),((SUM(B824:B826)+SUM(F824:F826))/3)*C811))),0)+IFERROR(((LOOKUP(2,1/(E811=A818),(B830+F830)*F811))),0),2)</f>
        <v>0</v>
      </c>
      <c r="D818" s="23">
        <f>ROUND(IF(B818=0,0,D817/L799*N798),2)</f>
        <v>0</v>
      </c>
      <c r="E818" s="23">
        <f>ROUND(IF(B818=0,0,E817/N795*N798),2)</f>
        <v>0</v>
      </c>
      <c r="F818" s="24">
        <f>ROUND(IF(N798=0,0,(LOOKUP(2,1/(A806:A809=A818),H806:H809))/N795*N798),2)</f>
        <v>0</v>
      </c>
      <c r="G818" s="27">
        <f>SUM(B818+C818+E818+F818)</f>
        <v>0</v>
      </c>
      <c r="H818" s="76">
        <f>ROUND(IF((SUM(B818:F818))&gt;L833,L833*H817,SUM(B818:F818)*H817),2)</f>
        <v>0</v>
      </c>
      <c r="I818" s="76">
        <f>ROUND(IF((SUM(B818:F818))&gt;L834,L834*I817,SUM(B818:F818)*I817),2)</f>
        <v>0</v>
      </c>
      <c r="J818" s="76">
        <f>ROUND(IF((SUM(B818:F818))&gt;L834,L834*J817,SUM(B818:F818)*J817),2)</f>
        <v>0</v>
      </c>
      <c r="K818" s="76">
        <f>ROUND(IF((SUM(B818:F818))&gt;L833,L833*K817,SUM(B818:F818)*K817),2)</f>
        <v>0</v>
      </c>
      <c r="L818" s="76">
        <f>ROUND(IF((SUM(B818:F818))&gt;L834,L834*L817,(SUM(B818:F818)-C818)*L817),2)</f>
        <v>0</v>
      </c>
      <c r="M818" s="76">
        <f>ROUND(IF((SUM(B818:F818))&gt;L834,L834*M817,(SUM(B818:F818)-C818)*M817),2)</f>
        <v>0</v>
      </c>
      <c r="N818" s="76">
        <f>ROUND(IF((SUM(B818:F818))&gt;L834,L834*N817,SUM(B818:F818)*N817),2)</f>
        <v>0</v>
      </c>
      <c r="O818" s="23">
        <f>ROUND(SUM(B818+C818+F818)*O817,2)</f>
        <v>0</v>
      </c>
      <c r="P818" s="27">
        <f>SUM(G818:O818)</f>
        <v>0</v>
      </c>
    </row>
    <row r="819" spans="1:16" s="1" customFormat="1" x14ac:dyDescent="0.2">
      <c r="A819" s="100" t="str">
        <f>$A$27</f>
        <v>Feb 2022</v>
      </c>
      <c r="B819" s="24">
        <f>ROUND(IF(N799=0,0,IFERROR(((LOOKUP(2,1/(A806:A809=A819),G806:G809))*N799*4.348),B818/N799*N799)),2)</f>
        <v>0</v>
      </c>
      <c r="C819" s="23">
        <f>ROUND(IFERROR(((LOOKUP(2,1/(B811=A819),((SUM(B824:B826)+SUM(F824:F826))/3)*C811))),0)+IFERROR(((LOOKUP(2,1/(E811=A819),(B830+F830)*F811))),0),2)</f>
        <v>0</v>
      </c>
      <c r="D819" s="23">
        <f>ROUND(IF(B819=0,0,D817/L799*N799),2)</f>
        <v>0</v>
      </c>
      <c r="E819" s="23">
        <f>ROUND(IF(B819=0,0,E817/N795*N799),2)</f>
        <v>0</v>
      </c>
      <c r="F819" s="24">
        <f>ROUND(IF(N799=0,0,IFERROR(((LOOKUP(2,1/(A806:A809=A819),H806:H809))/N795*N799),F818/N799*N799)),2)</f>
        <v>0</v>
      </c>
      <c r="G819" s="27">
        <f t="shared" ref="G819:G829" si="92">SUM(B819+C819+E819+F819)</f>
        <v>0</v>
      </c>
      <c r="H819" s="76">
        <f>ROUND(IF(SUM(B818:F818)&lt;(L833*1),IF((SUM(B818:F819))&gt;(L833*2),(((L833*2)-(SUM(B818:F819)-C818))*H817)+((SUM(B819:F819)-C818)*H817),SUM(B819:F819)*H817),IF(SUM(B818:F819)&gt;(L833*2),L833*H817,SUM(B819:F819)*H817)),2)</f>
        <v>0</v>
      </c>
      <c r="I819" s="76">
        <f>ROUND(IF(SUM(B818:F818)&lt;(L834*1),IF((SUM(B818:F819))&gt;(L834*2),(((L834*2)-(SUM(B818:F819)-C818))*I817)+((SUM(B819:F819)-C818)*I817),SUM(B819:F819)*I817),IF(SUM(B818:F819)&gt;(L834*2),L834*I817,SUM(B819:F819)*I817)),2)</f>
        <v>0</v>
      </c>
      <c r="J819" s="76">
        <f>ROUND(IF(SUM(B818:F818)&lt;(L834*1),IF((SUM(B818:F819))&gt;(L834*2),(((L834*2)-(SUM(B818:F819)-C818))*J817)+((SUM(B819:F819)-C818)*J817),SUM(B819:F819)*J817),IF(SUM(B818:F819)&gt;(L834*2),L834*J817,SUM(B819:F819)*J817)),2)</f>
        <v>0</v>
      </c>
      <c r="K819" s="76">
        <f>ROUND(IF(SUM(B818:F818)&lt;(L833*1),IF((SUM(B818:F819))&gt;(L833*2),(((L833*2)-(SUM(B818:F819)-C818))*K817)+((SUM(B819:F819)-C818)*K817),SUM(B819:F819)*K817),IF(SUM(B818:F819)&gt;(L833*2),L833*K817,SUM(B819:F819)*K817)),2)</f>
        <v>0</v>
      </c>
      <c r="L819" s="76">
        <f>ROUND(IF(SUM(B818:F818)&lt;(L834*1),IF((SUM(B818:F819))&gt;(L834*2),(((L834*2)-(SUM(B818:F819)-C819))*L817)+((SUM(B819:F819)-C819)*L817),(SUM(B819:F819)-C819)*L817),IF(SUM(B818:F819)&gt;(L834*2),L834*L817,SUM(B819:F819)*L817)),2)</f>
        <v>0</v>
      </c>
      <c r="M819" s="76">
        <f>ROUND(IF(SUM(B818:F818)&lt;(L834*1),IF((SUM(B818:F819))&gt;(L834*2),(((L834*2)-(SUM(B818:F819)-C819))*M817)+((SUM(B819:F819)-C819)*M817),(SUM(B819:F819)-C819)*M817),IF(SUM(B818:F819)&gt;(L834*2),L834*M817,SUM(B819:F819)*M817)),2)</f>
        <v>0</v>
      </c>
      <c r="N819" s="76">
        <f>ROUND(IF(SUM(B818:F818)&lt;(L834*1),IF((SUM(B818:F819))&gt;(L834*2),(((L834*2)-(SUM(B818:F819)-C818))*N817)+((SUM(B819:F819)-C818)*N817),SUM(B819:F819)*N817),IF(SUM(B818:F819)&gt;(L834*2),L834*N817,SUM(B819:F819)*N817)),2)</f>
        <v>0</v>
      </c>
      <c r="O819" s="23">
        <f>ROUND(SUM(B819+C819+F819)*O817,2)</f>
        <v>0</v>
      </c>
      <c r="P819" s="27">
        <f>SUM(G819:O819)</f>
        <v>0</v>
      </c>
    </row>
    <row r="820" spans="1:16" s="1" customFormat="1" x14ac:dyDescent="0.2">
      <c r="A820" s="100" t="str">
        <f>$A$28</f>
        <v>Mrz 2022</v>
      </c>
      <c r="B820" s="24">
        <f>ROUND(IF(N800=0,0,IFERROR(((LOOKUP(2,1/(A806:A809=A820),G806:G809))*N800*4.348),B819/N800*N800)),2)</f>
        <v>0</v>
      </c>
      <c r="C820" s="23">
        <f>ROUND(IFERROR(((LOOKUP(2,1/(B811=A820),((SUM(B824:B826)+SUM(F824:F826))/3)*C811))),0)+IFERROR(((LOOKUP(2,1/(E811=A820),(B830+F830)*F811))),0),2)</f>
        <v>0</v>
      </c>
      <c r="D820" s="23">
        <f>ROUND(IF(B820=0,0,D817/L799*N800),2)</f>
        <v>0</v>
      </c>
      <c r="E820" s="23">
        <f>ROUND(IF(B820=0,0,E817/N795*N800),2)</f>
        <v>0</v>
      </c>
      <c r="F820" s="24">
        <f>ROUND(IF(N800=0,0,IFERROR(((LOOKUP(2,1/(A806:A809=A820),H806:H809))/N795*N800),F819/N800*N800)),2)</f>
        <v>0</v>
      </c>
      <c r="G820" s="27">
        <f t="shared" si="92"/>
        <v>0</v>
      </c>
      <c r="H820" s="76">
        <f>ROUND(IF(SUM(B818:F819)&lt;(L833*2),IF((SUM(B818:F820))&gt;(L833*3),(((L833*3)-(SUM(B818:F820)-C819))*H817)+((SUM(B820:F820)-C819)*H817),SUM(B820:F820)*H817),IF(SUM(B818:F820)&gt;(L833*3),L833*H817,SUM(B820:F820)*H817)),2)</f>
        <v>0</v>
      </c>
      <c r="I820" s="76">
        <f>ROUND(IF(SUM(B818:F819)&lt;(L834*2),IF((SUM(B818:F820))&gt;(L834*3),(((L834*3)-(SUM(B818:F820)-C819))*I817)+((SUM(B820:F820)-C819)*I817),SUM(B820:F820)*I817),IF(SUM(B818:F820)&gt;(L834*3),L834*I817,SUM(B820:F820)*I817)),2)</f>
        <v>0</v>
      </c>
      <c r="J820" s="76">
        <f>ROUND(IF(SUM(B818:F819)&lt;(L834*2),IF((SUM(B818:F820))&gt;(L834*3),(((L834*3)-(SUM(B818:F820)-C819))*J817)+((SUM(B820:F820)-C819)*J817),SUM(B820:F820)*J817),IF(SUM(B818:F820)&gt;(L834*3),L834*J817,SUM(B820:F820)*J817)),2)</f>
        <v>0</v>
      </c>
      <c r="K820" s="76">
        <f>ROUND(IF(SUM(B818:F819)&lt;(L833*2),IF((SUM(B818:F820))&gt;(L833*3),(((L833*3)-(SUM(B818:F820)-C819))*K817)+((SUM(B820:F820)-C819)*K817),SUM(B820:F820)*K817),IF(SUM(B818:F820)&gt;(L833*3),L833*K817,SUM(B820:F820)*K817)),2)</f>
        <v>0</v>
      </c>
      <c r="L820" s="76">
        <f>ROUND(IF(SUM(B818:F819)&lt;(L834*2),IF((SUM(B818:F820))&gt;(L834*3),(((L834*3)-(SUM(B818:F820)-C820))*L817)+((SUM(B820:F820)-C820)*L817),(SUM(B820:F820)-C820)*L817),IF(SUM(B818:F820)&gt;(L834*3),L834*L817,SUM(B820:F820)*L817)),2)</f>
        <v>0</v>
      </c>
      <c r="M820" s="76">
        <f>ROUND(IF(SUM(B818:F819)&lt;(L834*2),IF((SUM(B818:F820))&gt;(L834*3),(((L834*3)-(SUM(B818:F820)-C820))*M817)+((SUM(B820:F820)-C820)*M817),(SUM(B820:F820)-C820)*M817),IF(SUM(B818:F820)&gt;(L834*3),L834*M817,SUM(B820:F820)*M817)),2)</f>
        <v>0</v>
      </c>
      <c r="N820" s="76">
        <f>ROUND(IF(SUM(B818:F819)&lt;(L834*2),IF((SUM(B818:F820))&gt;(L834*3),(((L834*3)-(SUM(B818:F820)-C819))*N817)+((SUM(B820:F820)-C819)*N817),SUM(B820:F820)*N817),IF(SUM(B818:F820)&gt;(L834*3),L834*N817,SUM(B820:F820)*N817)),2)</f>
        <v>0</v>
      </c>
      <c r="O820" s="23">
        <f>ROUND(SUM(B820+C820+F820)*O817,2)</f>
        <v>0</v>
      </c>
      <c r="P820" s="27">
        <f t="shared" ref="P820:P829" si="93">SUM(G820:O820)</f>
        <v>0</v>
      </c>
    </row>
    <row r="821" spans="1:16" s="1" customFormat="1" x14ac:dyDescent="0.2">
      <c r="A821" s="100" t="str">
        <f>$A$29</f>
        <v>Apr 2022</v>
      </c>
      <c r="B821" s="24">
        <f>ROUND(IF(N801=0,0,IFERROR(((LOOKUP(2,1/(A806:A809=A821),G806:G809))*N801*4.348),B820/N801*N801)),2)</f>
        <v>0</v>
      </c>
      <c r="C821" s="23">
        <f>ROUND(IFERROR(((LOOKUP(2,1/(B811=A821),((SUM(B824:B826)+SUM(F824:F826))/3)*C811))),0)+IFERROR(((LOOKUP(2,1/(E811=A821),(B830+F830)*F811))),0),2)</f>
        <v>0</v>
      </c>
      <c r="D821" s="23">
        <f>ROUND(IF(B821=0,0,D817/L799*N801),2)</f>
        <v>0</v>
      </c>
      <c r="E821" s="23">
        <f>ROUND(IF(B821=0,0,E817/N795*N801),2)</f>
        <v>0</v>
      </c>
      <c r="F821" s="24">
        <f>ROUND(IF(N801=0,0,IFERROR(((LOOKUP(2,1/(A806:A809=A821),H806:H809))/N795*N801),F820/N801*N801)),2)</f>
        <v>0</v>
      </c>
      <c r="G821" s="27">
        <f t="shared" si="92"/>
        <v>0</v>
      </c>
      <c r="H821" s="76">
        <f>ROUND(IF(SUM(B818:F820)&lt;(L833*3),IF((SUM(B818:F821))&gt;(L833*4),(((L833*4)-(SUM(B818:F821)-C820))*H817)+((SUM(B821:F821)-C820)*H817),SUM(B821:F821)*H817),IF(SUM(B818:F821)&gt;(L833*4),L833*H817,SUM(B821:F821)*H817)),2)</f>
        <v>0</v>
      </c>
      <c r="I821" s="76">
        <f>ROUND(IF(SUM(B818:F820)&lt;(L834*3),IF((SUM(B818:F821))&gt;(L834*4),(((L834*4)-(SUM(B818:F821)-C820))*I817)+((SUM(B821:F821)-C820)*I817),SUM(B821:F821)*I817),IF(SUM(B818:F821)&gt;(L834*4),L834*I817,SUM(B821:F821)*I817)),2)</f>
        <v>0</v>
      </c>
      <c r="J821" s="76">
        <f>ROUND(IF(SUM(B818:F820)&lt;(L834*3),IF((SUM(B818:F821))&gt;(L834*4),(((L834*4)-(SUM(B818:F821)-C820))*J817)+((SUM(B821:F821)-C820)*J817),SUM(B821:F821)*J817),IF(SUM(B818:F821)&gt;(L834*4),L834*J817,SUM(B821:F821)*J817)),2)</f>
        <v>0</v>
      </c>
      <c r="K821" s="76">
        <f>ROUND(IF(SUM(B818:F820)&lt;(L833*3),IF((SUM(B818:F821))&gt;(L833*4),(((L833*4)-(SUM(B818:F821)-C820))*K817)+((SUM(B821:F821)-C820)*K817),SUM(B821:F821)*K817),IF(SUM(B818:F821)&gt;(L833*4),L833*K817,SUM(B821:F821)*K817)),2)</f>
        <v>0</v>
      </c>
      <c r="L821" s="76">
        <f>ROUND(IF(SUM(B818:F820)&lt;(L834*3),IF((SUM(B818:F821))&gt;(L834*4),(((L834*4)-(SUM(B818:F821)-C821))*L817)+((SUM(B821:F821)-C821)*L817),(SUM(B821:F821)-C821)*L817),IF(SUM(B818:F821)&gt;(L834*4),L834*L817,SUM(B821:F821)*L817)),2)</f>
        <v>0</v>
      </c>
      <c r="M821" s="76">
        <f>ROUND(IF(SUM(B818:F820)&lt;(L834*3),IF((SUM(B818:F821))&gt;(L834*4),(((L834*4)-(SUM(B818:F821)-C821))*M817)+((SUM(B821:F821)-C821)*M817),(SUM(B821:F821)-C821)*M817),IF(SUM(B818:F821)&gt;(L834*4),L834*M817,SUM(B821:F821)*M817)),2)</f>
        <v>0</v>
      </c>
      <c r="N821" s="76">
        <f>ROUND(IF(SUM(B818:F820)&lt;(L834*3),IF((SUM(B818:F821))&gt;(L834*4),(((L834*4)-(SUM(B818:F821)-C820))*N817)+((SUM(B821:F821)-C820)*N817),SUM(B821:F821)*N817),IF(SUM(B818:F821)&gt;(L834*4),L834*N817,SUM(B821:F821)*N817)),2)</f>
        <v>0</v>
      </c>
      <c r="O821" s="23">
        <f>ROUND(SUM(B821+C821+F821)*O817,2)</f>
        <v>0</v>
      </c>
      <c r="P821" s="27">
        <f t="shared" si="93"/>
        <v>0</v>
      </c>
    </row>
    <row r="822" spans="1:16" s="1" customFormat="1" x14ac:dyDescent="0.2">
      <c r="A822" s="100" t="str">
        <f>$A$30</f>
        <v>Mai 2022</v>
      </c>
      <c r="B822" s="24">
        <f>ROUND(IF(N802=0,0,IFERROR(((LOOKUP(2,1/(A806:A809=A822),G806:G809))*N802*4.348),B821/N802*N802)),2)</f>
        <v>0</v>
      </c>
      <c r="C822" s="23">
        <f>ROUND(IFERROR(((LOOKUP(2,1/(B811=A822),((SUM(B824:B826)+SUM(F824:F826))/3)*C811))),0)+IFERROR(((LOOKUP(2,1/(E811=A822),(B830+F830)*F811))),0),2)</f>
        <v>0</v>
      </c>
      <c r="D822" s="23">
        <f>ROUND(IF(B822=0,0,D817/L799*N802),2)</f>
        <v>0</v>
      </c>
      <c r="E822" s="23">
        <f>ROUND(IF(B822=0,0,E817/N795*N802),2)</f>
        <v>0</v>
      </c>
      <c r="F822" s="24">
        <f>ROUND(IF(N802=0,0,IFERROR(((LOOKUP(2,1/(A806:A809=A822),H806:H809))/N795*N802),F821/N802*N802)),2)</f>
        <v>0</v>
      </c>
      <c r="G822" s="27">
        <f t="shared" si="92"/>
        <v>0</v>
      </c>
      <c r="H822" s="76">
        <f>ROUND(IF(SUM(B818:F821)&lt;(L833*4),IF((SUM(B818:F822))&gt;(L833*5),(((L833*5)-(SUM(B818:F822)-C821))*H817)+((SUM(B822:F822)-C821)*H817),SUM(B822:F822)*H817),IF(SUM(B818:F822)&gt;(L833*5),L833*H817,SUM(B822:F822)*H817)),2)</f>
        <v>0</v>
      </c>
      <c r="I822" s="76">
        <f>ROUND(IF(SUM(B818:F821)&lt;(L834*4),IF((SUM(B818:F822))&gt;(L834*5),(((L834*5)-(SUM(B818:F822)-C821))*I817)+((SUM(B822:F822)-C821)*I817),SUM(B822:F822)*I817),IF(SUM(B818:F822)&gt;(L834*5),L834*I817,SUM(B822:F822)*I817)),2)</f>
        <v>0</v>
      </c>
      <c r="J822" s="76">
        <f>ROUND(IF(SUM(B818:F821)&lt;(L834*4),IF((SUM(B818:F822))&gt;(L834*5),(((L834*5)-(SUM(B818:F822)-C821))*J817)+((SUM(B822:F822)-C821)*J817),SUM(B822:F822)*J817),IF(SUM(B818:F822)&gt;(L834*5),L834*J817,SUM(B822:F822)*J817)),2)</f>
        <v>0</v>
      </c>
      <c r="K822" s="76">
        <f>ROUND(IF(SUM(B818:F821)&lt;(L833*4),IF((SUM(B818:F822))&gt;(L833*5),(((L833*5)-(SUM(B818:F822)-C821))*K817)+((SUM(B822:F822)-C821)*K817),SUM(B822:F822)*K817),IF(SUM(B818:F822)&gt;(L833*5),L833*K817,SUM(B822:F822)*K817)),2)</f>
        <v>0</v>
      </c>
      <c r="L822" s="76">
        <f>ROUND(IF(SUM(B818:F821)&lt;(L834*4),IF((SUM(B818:F822))&gt;(L834*5),(((L834*5)-(SUM(B818:F822)-C822))*L817)+((SUM(B822:F822)-C822)*L817),(SUM(B822:F822)-C822)*L817),IF(SUM(B818:F822)&gt;(L834*5),L834*L817,SUM(B822:F822)*L817)),2)</f>
        <v>0</v>
      </c>
      <c r="M822" s="76">
        <f>ROUND(IF(SUM(B818:F821)&lt;(L834*4),IF((SUM(B818:F822))&gt;(L834*5),(((L834*5)-(SUM(B818:F822)-C822))*M817)+((SUM(B822:F822)-C822)*M817),(SUM(B822:F822)-C822)*M817),IF(SUM(B818:F822)&gt;(L834*5),L834*M817,SUM(B822:F822)*M817)),2)</f>
        <v>0</v>
      </c>
      <c r="N822" s="76">
        <f>ROUND(IF(SUM(B818:F821)&lt;(L834*4),IF((SUM(B818:F822))&gt;(L834*5),(((L834*5)-(SUM(B818:F822)-C821))*N817)+((SUM(B822:F822)-C821)*N817),SUM(B822:F822)*N817),IF(SUM(B818:F822)&gt;(L834*5),L834*N817,SUM(B822:F822)*N817)),2)</f>
        <v>0</v>
      </c>
      <c r="O822" s="23">
        <f>ROUND(SUM(B822+C822+F822)*O817,2)</f>
        <v>0</v>
      </c>
      <c r="P822" s="27">
        <f t="shared" si="93"/>
        <v>0</v>
      </c>
    </row>
    <row r="823" spans="1:16" s="1" customFormat="1" x14ac:dyDescent="0.2">
      <c r="A823" s="100" t="str">
        <f>$A$31</f>
        <v>Jun 2022</v>
      </c>
      <c r="B823" s="24">
        <f>ROUND(IF(N803=0,0,IFERROR(((LOOKUP(2,1/(A806:A809=A823),G806:G809))*N803*4.348),B822/N803*N803)),2)</f>
        <v>0</v>
      </c>
      <c r="C823" s="23">
        <f>ROUND(IFERROR(((LOOKUP(2,1/(B811=A823),((SUM(B824:B826)+SUM(F824:F826))/3)*C811))),0)+IFERROR(((LOOKUP(2,1/(E811=A823),(B830+F830)*F811))),0),2)</f>
        <v>0</v>
      </c>
      <c r="D823" s="23">
        <f>ROUND(IF(B823=0,0,D817/L799*N803),2)</f>
        <v>0</v>
      </c>
      <c r="E823" s="23">
        <f>ROUND(IF(B823=0,0,E817/N795*N803),2)</f>
        <v>0</v>
      </c>
      <c r="F823" s="24">
        <f>ROUND(IF(N803=0,0,IFERROR(((LOOKUP(2,1/(A806:A809=A823),H806:H809))/N795*N803),F822/N803*N803)),2)</f>
        <v>0</v>
      </c>
      <c r="G823" s="27">
        <f t="shared" si="92"/>
        <v>0</v>
      </c>
      <c r="H823" s="76">
        <f>ROUND(IF(SUM(B818:F822)&lt;(L833*5),IF((SUM(B818:F823))&gt;(L833*6),(((L833*6)-(SUM(B818:F823)-C822))*H817)+((SUM(B823:F823)-C822)*H817),SUM(B823:F823)*H817),IF(SUM(B818:F823)&gt;(L833*6),L833*H817,SUM(B823:F823)*H817)),2)</f>
        <v>0</v>
      </c>
      <c r="I823" s="76">
        <f>ROUND(IF(SUM(B818:F822)&lt;(L834*5),IF((SUM(B818:F823))&gt;(L834*6),(((L834*6)-(SUM(B818:F823)-C822))*I817)+((SUM(B823:F823)-C822)*I817),SUM(B823:F823)*I817),IF(SUM(B818:F823)&gt;(L834*6),L834*I817,SUM(B823:F823)*I817)),2)</f>
        <v>0</v>
      </c>
      <c r="J823" s="76">
        <f>ROUND(IF(SUM(B818:F822)&lt;(L834*5),IF((SUM(B818:F823))&gt;(L834*6),(((L834*6)-(SUM(B818:F823)-C822))*J817)+((SUM(B823:F823)-C822)*J817),SUM(B823:F823)*J817),IF(SUM(B818:F823)&gt;(L834*6),L834*J817,SUM(B823:F823)*J817)),2)</f>
        <v>0</v>
      </c>
      <c r="K823" s="76">
        <f>ROUND(IF(SUM(B818:F822)&lt;(L833*5),IF((SUM(B818:F823))&gt;(L833*6),(((L833*6)-(SUM(B818:F823)-C822))*K817)+((SUM(B823:F823)-C822)*K817),SUM(B823:F823)*K817),IF(SUM(B818:F823)&gt;(L833*6),L833*K817,SUM(B823:F823)*K817)),2)</f>
        <v>0</v>
      </c>
      <c r="L823" s="76">
        <f>ROUND(IF(SUM(B818:F822)&lt;(L834*5),IF((SUM(B818:F823))&gt;(L834*6),(((L834*6)-(SUM(B818:F823)-C823))*L817)+((SUM(B823:F823)-C823)*L817),(SUM(B823:F823)-C823)*L817),IF(SUM(B818:F823)&gt;(L834*6),L834*L817,SUM(B823:F823)*L817)),2)</f>
        <v>0</v>
      </c>
      <c r="M823" s="76">
        <f>ROUND(IF(SUM(B818:F822)&lt;(L834*5),IF((SUM(B818:F823))&gt;(L834*6),(((L834*6)-(SUM(B818:F823)-C823))*M817)+((SUM(B823:F823)-C823)*M817),(SUM(B823:F823)-C823)*M817),IF(SUM(B818:F823)&gt;(L834*6),L834*M817,SUM(B823:F823)*M817)),2)</f>
        <v>0</v>
      </c>
      <c r="N823" s="76">
        <f>ROUND(IF(SUM(B818:F822)&lt;(L834*5),IF((SUM(B818:F823))&gt;(L834*6),(((L834*6)-(SUM(B818:F823)-C822))*N817)+((SUM(B823:F823)-C822)*N817),SUM(B823:F823)*N817),IF(SUM(B818:F823)&gt;(L834*6),L834*N817,SUM(B823:F823)*N817)),2)</f>
        <v>0</v>
      </c>
      <c r="O823" s="23">
        <f>ROUND(SUM(B823+C823+F823)*O817,2)</f>
        <v>0</v>
      </c>
      <c r="P823" s="27">
        <f t="shared" si="93"/>
        <v>0</v>
      </c>
    </row>
    <row r="824" spans="1:16" s="1" customFormat="1" x14ac:dyDescent="0.2">
      <c r="A824" s="100" t="str">
        <f>$A$32</f>
        <v>Jul 2022</v>
      </c>
      <c r="B824" s="24">
        <f>ROUND(IF(P798=0,0,IFERROR(((LOOKUP(2,1/(A806:A809=A824),G806:G809))*P798*4.348),B823/P798*P798)),2)</f>
        <v>0</v>
      </c>
      <c r="C824" s="23">
        <f>ROUND(IFERROR(((LOOKUP(2,1/(B811=A824),((SUM(B824:B826)+SUM(F824:F826))/3)*C811))),0)+IFERROR(((LOOKUP(2,1/(E811=A824),(B830+F830)*F811))),0),2)</f>
        <v>0</v>
      </c>
      <c r="D824" s="23">
        <f>ROUND(IF(B824=0,0,D817/L799*P798),2)</f>
        <v>0</v>
      </c>
      <c r="E824" s="23">
        <f>ROUND(IF(B824=0,0,E817/N795*P798),2)</f>
        <v>0</v>
      </c>
      <c r="F824" s="24">
        <f>ROUND(IF(P798=0,0,IFERROR(((LOOKUP(2,1/(A806:A809=A824),H806:H809))/N795*P798),F823/P798*P798)),2)</f>
        <v>0</v>
      </c>
      <c r="G824" s="27">
        <f t="shared" si="92"/>
        <v>0</v>
      </c>
      <c r="H824" s="76">
        <f>ROUND(IF(SUM(B818:F823)&lt;(L833*6),IF((SUM(B818:F824))&gt;(L833*7),(((L833*7)-(SUM(B818:F824)-C823))*H817)+((SUM(B824:F824)-C823)*H817),SUM(B824:F824)*H817),IF(SUM(B818:F824)&gt;(L833*7),L833*H817,SUM(B824:F824)*H817)),2)</f>
        <v>0</v>
      </c>
      <c r="I824" s="76">
        <f>ROUND(IF(SUM(B818:F823)&lt;(L834*6),IF((SUM(B818:F824))&gt;(L834*7),(((L834*7)-(SUM(B818:F824)-C823))*I817)+((SUM(B824:F824)-C823)*I817),SUM(B824:F824)*I817),IF(SUM(B818:F824)&gt;(L834*7),L834*I817,SUM(B824:F824)*I817)),2)</f>
        <v>0</v>
      </c>
      <c r="J824" s="76">
        <f>ROUND(IF(SUM(B818:F823)&lt;(L834*6),IF((SUM(B818:F824))&gt;(L834*7),(((L834*7)-(SUM(B818:F824)-C823))*J817)+((SUM(B824:F824)-C823)*J817),SUM(B824:F824)*J817),IF(SUM(B818:F824)&gt;(L834*7),L834*J817,SUM(B824:F824)*J817)),2)</f>
        <v>0</v>
      </c>
      <c r="K824" s="76">
        <f>ROUND(IF(SUM(B818:F823)&lt;(L833*6),IF((SUM(B818:F824))&gt;(L833*7),(((L833*7)-(SUM(B818:F824)-C823))*K817)+((SUM(B824:F824)-C823)*K817),SUM(B824:F824)*K817),IF(SUM(B818:F824)&gt;(L833*7),L833*K817,SUM(B824:F824)*K817)),2)</f>
        <v>0</v>
      </c>
      <c r="L824" s="76">
        <f>ROUND(IF(SUM(B818:F823)&lt;(L834*6),IF((SUM(B818:F824))&gt;(L834*7),(((L834*7)-(SUM(B818:F824)-C824))*L817)+((SUM(B824:F824)-C824)*L817),(SUM(B824:F824)-C824)*L817),IF(SUM(B818:F824)&gt;(L834*7),L834*L817,SUM(B824:F824)*L817)),2)</f>
        <v>0</v>
      </c>
      <c r="M824" s="76">
        <f>ROUND(IF(SUM(B818:F823)&lt;(L834*6),IF((SUM(B818:F824))&gt;(L834*7),(((L834*7)-(SUM(B818:F824)-C824))*M817)+((SUM(B824:F824)-C824)*M817),(SUM(B824:F824)-C824)*M817),IF(SUM(B818:F824)&gt;(L834*7),L834*M817,SUM(B824:F824)*M817)),2)</f>
        <v>0</v>
      </c>
      <c r="N824" s="76">
        <f>ROUND(IF(SUM(B818:F823)&lt;(L834*6),IF((SUM(B818:F824))&gt;(L834*7),(((L834*7)-(SUM(B818:F824)-C823))*N817)+((SUM(B824:F824)-C823)*N817),SUM(B824:F824)*N817),IF(SUM(B818:F824)&gt;(L834*7),L834*N817,SUM(B824:F824)*N817)),2)</f>
        <v>0</v>
      </c>
      <c r="O824" s="23">
        <f>ROUND(SUM(B824+C824+F824)*O817,2)</f>
        <v>0</v>
      </c>
      <c r="P824" s="27">
        <f t="shared" si="93"/>
        <v>0</v>
      </c>
    </row>
    <row r="825" spans="1:16" s="1" customFormat="1" x14ac:dyDescent="0.2">
      <c r="A825" s="100" t="str">
        <f>$A$33</f>
        <v>Aug 2022</v>
      </c>
      <c r="B825" s="24">
        <f>ROUND(IF(P799=0,0,IFERROR(((LOOKUP(2,1/(A806:A809=A825),G806:G809))*P799*4.348),B824/P799*P799)),2)</f>
        <v>0</v>
      </c>
      <c r="C825" s="23">
        <f>ROUND(IFERROR(((LOOKUP(2,1/(B811=A825),((SUM(B824:B826)+SUM(F824:F826))/3)*C811))),0)+IFERROR(((LOOKUP(2,1/(E811=A825),(B830+F830)*F811))),0),2)</f>
        <v>0</v>
      </c>
      <c r="D825" s="23">
        <f>ROUND(IF(B825=0,0,D817/L799*P799),2)</f>
        <v>0</v>
      </c>
      <c r="E825" s="23">
        <f>ROUND(IF(B825=0,0,E817/N795*P799),2)</f>
        <v>0</v>
      </c>
      <c r="F825" s="24">
        <f>ROUND(IF(P799=0,0,IFERROR(((LOOKUP(2,1/(A806:A809=A825),H806:H809))/N795*P799),F824/P799*P799)),2)</f>
        <v>0</v>
      </c>
      <c r="G825" s="27">
        <f t="shared" si="92"/>
        <v>0</v>
      </c>
      <c r="H825" s="76">
        <f>ROUND(IF(SUM(B818:F824)&lt;(L833*7),IF((SUM(B818:F825))&gt;(L833*8),(((L833*8)-(SUM(B818:F825)-C824))*H817)+((SUM(B825:F825)-C824)*H817),SUM(B825:F825)*H817),IF(SUM(B818:F825)&gt;(L833*8),L833*H817,SUM(B825:F825)*H817)),2)</f>
        <v>0</v>
      </c>
      <c r="I825" s="76">
        <f>ROUND(IF(SUM(B818:F824)&lt;(L834*7),IF((SUM(B818:F825))&gt;(L834*8),(((L834*8)-(SUM(B818:F825)-C824))*I817)+((SUM(B825:F825)-C824)*I817),SUM(B825:F825)*I817),IF(SUM(B818:F825)&gt;(L834*8),L834*I817,SUM(B825:F825)*I817)),2)</f>
        <v>0</v>
      </c>
      <c r="J825" s="76">
        <f>ROUND(IF(SUM(B818:F824)&lt;(L834*7),IF((SUM(B818:F825))&gt;(L834*8),(((L834*8)-(SUM(B818:F825)-C824))*J817)+((SUM(B825:F825)-C824)*J817),SUM(B825:F825)*J817),IF(SUM(B818:F825)&gt;(L834*8),L834*J817,SUM(B825:F825)*J817)),2)</f>
        <v>0</v>
      </c>
      <c r="K825" s="76">
        <f>ROUND(IF(SUM(B818:F824)&lt;(L833*7),IF((SUM(B818:F825))&gt;(L833*8),(((L833*8)-(SUM(B818:F825)-C824))*K817)+((SUM(B825:F825)-C824)*K817),SUM(B825:F825)*K817),IF(SUM(B818:F825)&gt;(L833*8),L833*K817,SUM(B825:F825)*K817)),2)</f>
        <v>0</v>
      </c>
      <c r="L825" s="76">
        <f>ROUND(IF(SUM(B818:F824)&lt;(L834*7),IF((SUM(B818:F825))&gt;(L834*8),(((L834*8)-(SUM(B818:F825)-C825))*L817)+((SUM(B825:F825)-C825)*L817),(SUM(B825:F825)-C825)*L817),IF(SUM(B818:F825)&gt;(L834*8),L834*L817,SUM(B825:F825)*L817)),2)</f>
        <v>0</v>
      </c>
      <c r="M825" s="76">
        <f>ROUND(IF(SUM(B818:F824)&lt;(L834*7),IF((SUM(B818:F825))&gt;(L834*8),(((L834*8)-(SUM(B818:F825)-C825))*M817)+((SUM(B825:F825)-C825)*M817),(SUM(B825:F825)-C825)*M817),IF(SUM(B818:F825)&gt;(L834*8),L834*M817,SUM(B825:F825)*M817)),2)</f>
        <v>0</v>
      </c>
      <c r="N825" s="76">
        <f>ROUND(IF(SUM(B818:F824)&lt;(L834*7),IF((SUM(B818:F825))&gt;(L834*8),(((L834*8)-(SUM(B818:F825)-C824))*N817)+((SUM(B825:F825)-C824)*N817),SUM(B825:F825)*N817),IF(SUM(B818:F825)&gt;(L834*8),L834*N817,SUM(B825:F825)*N817)),2)</f>
        <v>0</v>
      </c>
      <c r="O825" s="23">
        <f>ROUND(SUM(B825+C825+F825)*O817,2)</f>
        <v>0</v>
      </c>
      <c r="P825" s="27">
        <f t="shared" si="93"/>
        <v>0</v>
      </c>
    </row>
    <row r="826" spans="1:16" s="1" customFormat="1" x14ac:dyDescent="0.2">
      <c r="A826" s="100" t="str">
        <f>$A$34</f>
        <v>Sep 2022</v>
      </c>
      <c r="B826" s="24">
        <f>ROUND(IF(P800=0,0,IFERROR(((LOOKUP(2,1/(A806:A809=A826),G806:G809))*P800*4.348),B825/P800*P800)),2)</f>
        <v>0</v>
      </c>
      <c r="C826" s="23">
        <f>ROUND(IFERROR(((LOOKUP(2,1/(B811=A826),((SUM(B824:B826)+SUM(F824:F826))/3)*C811))),0)+IFERROR(((LOOKUP(2,1/(E811=A826),(B830+F830)*F811))),0),2)</f>
        <v>0</v>
      </c>
      <c r="D826" s="23">
        <f>ROUND(IF(B826=0,0,D817/L799*P800),2)</f>
        <v>0</v>
      </c>
      <c r="E826" s="23">
        <f>ROUND(IF(B826=0,0,E817/N795*P800),2)</f>
        <v>0</v>
      </c>
      <c r="F826" s="24">
        <f>ROUND(IF(P800=0,0,IFERROR(((LOOKUP(2,1/(A806:A809=A826),H806:H809))/N795*P800),F825/P800*P800)),2)</f>
        <v>0</v>
      </c>
      <c r="G826" s="27">
        <f t="shared" si="92"/>
        <v>0</v>
      </c>
      <c r="H826" s="76">
        <f>ROUND(IF(SUM(B818:F825)&lt;(L833*8),IF((SUM(B818:F826))&gt;(L833*9),(((L833*9)-(SUM(B818:F826)-C825))*H817)+((SUM(B826:F826)-C825)*H817),SUM(B826:F826)*H817),IF(SUM(B818:F826)&gt;(L833*9),L833*H817,SUM(B826:F826)*H817)),2)</f>
        <v>0</v>
      </c>
      <c r="I826" s="76">
        <f>ROUND(IF(SUM(B818:F825)&lt;(L834*8),IF((SUM(B818:F826))&gt;(L834*9),(((L834*9)-(SUM(B818:F826)-C825))*I817)+((SUM(B826:F826)-C825)*I817),SUM(B826:F826)*I817),IF(SUM(B818:F826)&gt;(L834*9),L834*I817,SUM(B826:F826)*I817)),2)</f>
        <v>0</v>
      </c>
      <c r="J826" s="76">
        <f>ROUND(IF(SUM(B818:F825)&lt;(L834*8),IF((SUM(B818:F826))&gt;(L834*9),(((L834*9)-(SUM(B818:F826)-C825))*J817)+((SUM(B826:F826)-C825)*J817),SUM(B826:F826)*J817),IF(SUM(B818:F826)&gt;(L834*9),L834*J817,SUM(B826:F826)*J817)),2)</f>
        <v>0</v>
      </c>
      <c r="K826" s="76">
        <f>ROUND(IF(SUM(B818:F825)&lt;(L833*8),IF((SUM(B818:F826))&gt;(L833*9),(((L833*9)-(SUM(B818:F826)-C825))*K817)+((SUM(B826:F826)-C825)*K817),SUM(B826:F826)*K817),IF(SUM(B818:F826)&gt;(L833*9),L833*K817,SUM(B826:F826)*K817)),2)</f>
        <v>0</v>
      </c>
      <c r="L826" s="76">
        <f>ROUND(IF(SUM(B818:F825)&lt;(L834*8),IF((SUM(B818:F826))&gt;(L834*9),(((L834*9)-(SUM(B818:F826)-C826))*L817)+((SUM(B826:F826)-C826)*L817),(SUM(B826:F826)-C826)*L817),IF(SUM(B818:F826)&gt;(L834*9),L834*L817,SUM(B826:F826)*L817)),2)</f>
        <v>0</v>
      </c>
      <c r="M826" s="76">
        <f>ROUND(IF(SUM(B818:F825)&lt;(L834*8),IF((SUM(B818:F826))&gt;(L834*9),(((L834*9)-(SUM(B818:F826)-C826))*M817)+((SUM(B826:F826)-C826)*M817),(SUM(B826:F826)-C826)*M817),IF(SUM(B818:F826)&gt;(L834*9),L834*M817,SUM(B826:F826)*M817)),2)</f>
        <v>0</v>
      </c>
      <c r="N826" s="76">
        <f>ROUND(IF(SUM(B818:F825)&lt;(L834*8),IF((SUM(B818:F826))&gt;(L834*9),(((L834*9)-(SUM(B818:F826)-C825))*N817)+((SUM(B826:F826)-C825)*N817),SUM(B826:F826)*N817),IF(SUM(B818:F826)&gt;(L834*9),L834*N817,SUM(B826:F826)*N817)),2)</f>
        <v>0</v>
      </c>
      <c r="O826" s="23">
        <f>ROUND(SUM(B826+C826+F826)*O817,2)</f>
        <v>0</v>
      </c>
      <c r="P826" s="27">
        <f t="shared" si="93"/>
        <v>0</v>
      </c>
    </row>
    <row r="827" spans="1:16" s="1" customFormat="1" x14ac:dyDescent="0.2">
      <c r="A827" s="100" t="str">
        <f>$A$35</f>
        <v>Okt 2022</v>
      </c>
      <c r="B827" s="24">
        <f>ROUND(IF(P801=0,0,IFERROR(((LOOKUP(2,1/(A806:A809=A827),G806:G809))*P801*4.348),B826/P801*P801)),2)</f>
        <v>0</v>
      </c>
      <c r="C827" s="23">
        <f>ROUND(IFERROR(((LOOKUP(2,1/(B811=A827),((SUM(B824:B826)+SUM(F824:F826))/3)*C811))),0)+IFERROR(((LOOKUP(2,1/(E811=A827),(B830+F830)*F811))),0),2)</f>
        <v>0</v>
      </c>
      <c r="D827" s="23">
        <f>ROUND(IF(B827=0,0,D817/L799*P801),2)</f>
        <v>0</v>
      </c>
      <c r="E827" s="23">
        <f>ROUND(IF(B827=0,0,E817/N795*P801),2)</f>
        <v>0</v>
      </c>
      <c r="F827" s="24">
        <f>ROUND(IF(P801=0,0,IFERROR(((LOOKUP(2,1/(A806:A809=A827),H806:H809))/N795*P801),F826/P801*P801)),2)</f>
        <v>0</v>
      </c>
      <c r="G827" s="27">
        <f t="shared" si="92"/>
        <v>0</v>
      </c>
      <c r="H827" s="76">
        <f>ROUND(IF(SUM(B818:F826)&lt;(L833*9),IF((SUM(B818:F827))&gt;(L833*10),(((L833*10)-(SUM(B818:F827)-C826))*H817)+((SUM(B827:F827)-C826)*H817),SUM(B827:F827)*H817),IF(SUM(B818:F827)&gt;(L833*10),L833*H817,SUM(B827:F827)*H817)),2)</f>
        <v>0</v>
      </c>
      <c r="I827" s="76">
        <f>ROUND(IF(SUM(B818:F826)&lt;(L834*9),IF((SUM(B818:F827))&gt;(L834*10),(((L834*10)-(SUM(B818:F827)-C826))*I817)+((SUM(B827:F827)-C826)*I817),SUM(B827:F827)*I817),IF(SUM(B818:F827)&gt;(L834*10),L834*I817,SUM(B827:F827)*I817)),2)</f>
        <v>0</v>
      </c>
      <c r="J827" s="76">
        <f>ROUND(IF(SUM(B818:F826)&lt;(L834*9),IF((SUM(B818:F827))&gt;(L834*10),(((L834*10)-(SUM(B818:F827)-C826))*J817)+((SUM(B827:F827)-C826)*J817),SUM(B827:F827)*J817),IF(SUM(B818:F827)&gt;(L834*10),L834*J817,SUM(B827:F827)*J817)),2)</f>
        <v>0</v>
      </c>
      <c r="K827" s="76">
        <f>ROUND(IF(SUM(B818:F826)&lt;(L833*9),IF((SUM(B818:F827))&gt;(L833*10),(((L833*10)-(SUM(B818:F827)-C826))*K817)+((SUM(B827:F827)-C826)*K817),SUM(B827:F827)*K817),IF(SUM(B818:F827)&gt;(L833*10),L833*K817,SUM(B827:F827)*K817)),2)</f>
        <v>0</v>
      </c>
      <c r="L827" s="76">
        <f>ROUND(IF(SUM(B818:F826)&lt;(L834*9),IF((SUM(B818:F827))&gt;(L834*10),(((L834*10)-(SUM(B818:F827)-C827))*L817)+((SUM(B827:F827)-C827)*L817),(SUM(B827:F827)-C827)*L817),IF(SUM(B818:F827)&gt;(L834*10),L834*L817,SUM(B827:F827)*L817)),2)</f>
        <v>0</v>
      </c>
      <c r="M827" s="76">
        <f>ROUND(IF(SUM(B818:F826)&lt;(L834*9),IF((SUM(B818:F827))&gt;(L834*10),(((L834*10)-(SUM(B818:F827)-C827))*M817)+((SUM(B827:F827)-C827)*M817),(SUM(B827:F827)-C827)*M817),IF(SUM(B818:F827)&gt;(L834*10),L834*M817,SUM(B827:F827)*M817)),2)</f>
        <v>0</v>
      </c>
      <c r="N827" s="76">
        <f>ROUND(IF(SUM(B818:F826)&lt;(L834*9),IF((SUM(B818:F827))&gt;(L834*10),(((L834*10)-(SUM(B818:F827)-C826))*N817)+((SUM(B827:F827)-C826)*N817),SUM(B827:F827)*N817),IF(SUM(B818:F827)&gt;(L834*10),L834*N817,SUM(B827:F827)*N817)),2)</f>
        <v>0</v>
      </c>
      <c r="O827" s="23">
        <f>ROUND(SUM(B827+C827+F827)*O817,2)</f>
        <v>0</v>
      </c>
      <c r="P827" s="27">
        <f t="shared" si="93"/>
        <v>0</v>
      </c>
    </row>
    <row r="828" spans="1:16" s="1" customFormat="1" x14ac:dyDescent="0.2">
      <c r="A828" s="100" t="str">
        <f>$A$36</f>
        <v>Nov 2022</v>
      </c>
      <c r="B828" s="24">
        <f>ROUND(IF(P802=0,0,IFERROR(((LOOKUP(2,1/(A806:A809=A828),G806:G809))*P802*4.348),B827/P802*P802)),2)</f>
        <v>0</v>
      </c>
      <c r="C828" s="23">
        <f>ROUND(IFERROR(((LOOKUP(2,1/(B811=A828),((SUM(B824:B826)+SUM(F824:F826))/3)*C811))),0)+IFERROR(((LOOKUP(2,1/(E811=A828),(B830+F830)*F811))),0),2)</f>
        <v>0</v>
      </c>
      <c r="D828" s="23">
        <f>ROUND(IF(B828=0,0,D817/L799*P802),2)</f>
        <v>0</v>
      </c>
      <c r="E828" s="23">
        <f>ROUND(IF(B828=0,0,E817/N795*P802),2)</f>
        <v>0</v>
      </c>
      <c r="F828" s="24">
        <f>ROUND(IF(P802=0,0,IFERROR(((LOOKUP(2,1/(A806:A809=A828),H806:H809))/N795*P802),F827/P802*P802)),2)</f>
        <v>0</v>
      </c>
      <c r="G828" s="27">
        <f t="shared" si="92"/>
        <v>0</v>
      </c>
      <c r="H828" s="76">
        <f>ROUND(IF(SUM(B818:F827)&lt;(L833*10),IF((SUM(B818:F828))&gt;(L833*11),(((L833*11)-(SUM(B818:F828)-C827))*H817)+((SUM(B828:F828)-C827)*H817),SUM(B828:F828)*H817),IF(SUM(B818:F828)&gt;(L833*11),L833*H817,SUM(B828:F828)*H817)),2)</f>
        <v>0</v>
      </c>
      <c r="I828" s="76">
        <f>ROUND(IF(SUM(B818:F827)&lt;(L834*10),IF((SUM(B818:F828))&gt;(L834*11),(((L834*11)-(SUM(B818:F828)-C827))*I817)+((SUM(B828:F828)-C827)*I817),SUM(B828:F828)*I817),IF(SUM(B818:F828)&gt;(L834*11),L834*I817,SUM(B828:F828)*I817)),2)</f>
        <v>0</v>
      </c>
      <c r="J828" s="76">
        <f>ROUND(IF(SUM(B818:F827)&lt;(L834*10),IF((SUM(B818:F828))&gt;(L834*11),(((L834*11)-(SUM(B818:F828)-C827))*J817)+((SUM(B828:F828)-C827)*J817),SUM(B828:F828)*J817),IF(SUM(B818:F828)&gt;(L834*11),L834*J817,SUM(B828:F828)*J817)),2)</f>
        <v>0</v>
      </c>
      <c r="K828" s="76">
        <f>ROUND(IF(SUM(B818:F827)&lt;(L833*10),IF((SUM(B818:F828))&gt;(L833*11),(((L833*11)-(SUM(B818:F828)-C827))*K817)+((SUM(B828:F828)-C827)*K817),SUM(B828:F828)*K817),IF(SUM(B818:F828)&gt;(L833*11),L833*K817,SUM(B828:F828)*K817)),2)</f>
        <v>0</v>
      </c>
      <c r="L828" s="76">
        <f>ROUND(IF(SUM(B818:F827)&lt;(L834*10),IF((SUM(B818:F828))&gt;(L834*11),(((L834*11)-(SUM(B818:F828)-C828))*L817)+((SUM(B828:F828)-C828)*L817),(SUM(B828:F828)-C828)*L817),IF(SUM(B818:F828)&gt;(L834*11),L834*L817,SUM(B828:F828)*L817)),2)</f>
        <v>0</v>
      </c>
      <c r="M828" s="76">
        <f>ROUND(IF(SUM(B818:F827)&lt;(L834*10),IF((SUM(B818:F828))&gt;(L834*11),(((L834*11)-(SUM(B818:F828)-C828))*M817)+((SUM(B828:F828)-C828)*M817),(SUM(B828:F828)-C828)*M817),IF(SUM(B818:F828)&gt;(L834*11),L834*M817,SUM(B828:F828)*M817)),2)</f>
        <v>0</v>
      </c>
      <c r="N828" s="76">
        <f>ROUND(IF(SUM(B818:F827)&lt;(L834*10),IF((SUM(B818:F828))&gt;(L834*11),(((L834*11)-(SUM(B818:F828)-C827))*N817)+((SUM(B828:F828)-C827)*N817),SUM(B828:F828)*N817),IF(SUM(B818:F828)&gt;(L834*11),L834*N817,SUM(B828:F828)*N817)),2)</f>
        <v>0</v>
      </c>
      <c r="O828" s="23">
        <f>ROUND(SUM(B828+C828+F828)*O817,2)</f>
        <v>0</v>
      </c>
      <c r="P828" s="27">
        <f t="shared" si="93"/>
        <v>0</v>
      </c>
    </row>
    <row r="829" spans="1:16" s="1" customFormat="1" x14ac:dyDescent="0.2">
      <c r="A829" s="100" t="str">
        <f>$A$37</f>
        <v>Dez 2022</v>
      </c>
      <c r="B829" s="24">
        <f>ROUND(IF(P803=0,0,IFERROR(((LOOKUP(2,1/(A806:A809=A829),G806:G809))*P803*4.348),B828/P803*P803)),2)</f>
        <v>0</v>
      </c>
      <c r="C829" s="23">
        <f>ROUND(IFERROR(((LOOKUP(2,1/(B811=A829),((SUM(B824:B826)+SUM(F824:F826))/3)*C811))),0)+IFERROR(((LOOKUP(2,1/(E811=A829),(B830+F830)*F811))),0),2)</f>
        <v>0</v>
      </c>
      <c r="D829" s="23">
        <f>ROUND(IF(B829=0,0,D817/L799*P803),2)</f>
        <v>0</v>
      </c>
      <c r="E829" s="23">
        <f>ROUND(IF(B829=0,0,E817/N795*P803),2)</f>
        <v>0</v>
      </c>
      <c r="F829" s="24">
        <f>ROUND(IF(P803=0,0,IFERROR(((LOOKUP(2,1/(A806:A809=A829),H806:H809))/N795*P803),F828/P803*P803)),2)</f>
        <v>0</v>
      </c>
      <c r="G829" s="27">
        <f t="shared" si="92"/>
        <v>0</v>
      </c>
      <c r="H829" s="76">
        <f>ROUND(IF(SUM(B818:F828)&lt;(L833*11),IF((SUM(B818:F829))&gt;(L833*12),(((L833*12)-(SUM(B818:F829)-C828))*H817)+((SUM(B829:F829)-C828)*H817),SUM(B829:F829)*H817),IF(SUM(B818:F829)&gt;(L833*12),L833*H817,SUM(B829:F829)*H817)),2)</f>
        <v>0</v>
      </c>
      <c r="I829" s="76">
        <f>ROUND(IF(SUM(B818:F828)&lt;(L834*11),IF((SUM(B818:F829))&gt;(L834*12),(((L834*12)-(SUM(B818:F829)-C828))*I817)+((SUM(B829:F829)-C828)*I817),SUM(B829:F829)*I817),IF(SUM(B818:F829)&gt;(L834*12),L834*I817,SUM(B829:F829)*I817)),2)</f>
        <v>0</v>
      </c>
      <c r="J829" s="76">
        <f>ROUND(IF(SUM(B818:F828)&lt;(L834*11),IF((SUM(B818:F829))&gt;(L834*12),(((L834*12)-(SUM(B818:F829)-C828))*J817)+((SUM(B829:F829)-C828)*J817),SUM(B829:F829)*J817),IF(SUM(B818:F829)&gt;(L834*12),L834*J817,SUM(B829:F829)*J817)),2)</f>
        <v>0</v>
      </c>
      <c r="K829" s="76">
        <f>ROUND(IF(SUM(B818:F828)&lt;(L833*11),IF((SUM(B818:F829))&gt;(L833*12),(((L833*12)-(SUM(B818:F829)-C828))*K817)+((SUM(B829:F829)-C828)*K817),SUM(B829:F829)*K817),IF(SUM(B818:F829)&gt;(L833*12),L833*K817,SUM(B829:F829)*K817)),2)</f>
        <v>0</v>
      </c>
      <c r="L829" s="76">
        <f>ROUND(IF(SUM(B818:F828)&lt;(L834*11),IF((SUM(B818:F829))&gt;(L834*12),(((L834*12)-(SUM(B818:F829)-C829))*L817)+((SUM(B829:F829)-C829)*L817),(SUM(B829:F829)-C829)*L817),IF(SUM(B818:F829)&gt;(L834*12),L834*L817,SUM(B829:F829)*L817)),2)</f>
        <v>0</v>
      </c>
      <c r="M829" s="76">
        <f>ROUND(IF(SUM(B818:F828)&lt;(L834*11),IF((SUM(B818:F829))&gt;(L834*12),(((L834*12)-(SUM(B818:F829)-C829))*M817)+((SUM(B829:F829)-C829)*M817),(SUM(B829:F829)-C829)*M817),IF(SUM(B818:F829)&gt;(L834*12),L834*M817,SUM(B829:F829)*M817)),2)</f>
        <v>0</v>
      </c>
      <c r="N829" s="76">
        <f>ROUND(IF(SUM(B818:F828)&lt;(L834*11),IF((SUM(B818:F829))&gt;(L834*12),(((L834*12)-(SUM(B818:F829)-C828))*N817)+((SUM(B829:F829)-C828)*N817),SUM(B829:F829)*N817),IF(SUM(B818:F829)&gt;(L834*12),L834*N817,SUM(B829:F829)*N817)),2)</f>
        <v>0</v>
      </c>
      <c r="O829" s="23">
        <f>ROUND(SUM(B829+C829+F829)*O817,2)</f>
        <v>0</v>
      </c>
      <c r="P829" s="27">
        <f t="shared" si="93"/>
        <v>0</v>
      </c>
    </row>
    <row r="830" spans="1:16" s="14" customFormat="1" ht="15" x14ac:dyDescent="0.25">
      <c r="A830" s="4" t="s">
        <v>2</v>
      </c>
      <c r="B830" s="27">
        <f>SUM(B818:B829)</f>
        <v>0</v>
      </c>
      <c r="C830" s="27">
        <f t="shared" ref="C830:D830" si="94">SUM(C818:C829)</f>
        <v>0</v>
      </c>
      <c r="D830" s="27">
        <f t="shared" si="94"/>
        <v>0</v>
      </c>
      <c r="E830" s="27">
        <f>SUM(E818:E829)</f>
        <v>0</v>
      </c>
      <c r="F830" s="27">
        <f>SUM(F818:F829)</f>
        <v>0</v>
      </c>
      <c r="G830" s="27">
        <f>SUM(G818:G829)</f>
        <v>0</v>
      </c>
      <c r="H830" s="1133">
        <f>SUM(H818:N829)</f>
        <v>0</v>
      </c>
      <c r="I830" s="1134"/>
      <c r="J830" s="1134"/>
      <c r="K830" s="1134"/>
      <c r="L830" s="1134"/>
      <c r="M830" s="1134"/>
      <c r="N830" s="1135"/>
      <c r="O830" s="27">
        <f>SUM(O818:O829)</f>
        <v>0</v>
      </c>
      <c r="P830" s="27">
        <f>SUM(P818:P829)</f>
        <v>0</v>
      </c>
    </row>
    <row r="831" spans="1:16" s="13" customFormat="1" ht="11.25" x14ac:dyDescent="0.2">
      <c r="A831" s="3" t="s">
        <v>1</v>
      </c>
      <c r="B831" s="2"/>
      <c r="C831" s="2"/>
      <c r="D831" s="2"/>
      <c r="E831" s="2"/>
      <c r="F831" s="2"/>
      <c r="G831" s="2"/>
      <c r="H831" s="2"/>
      <c r="I831" s="2"/>
      <c r="J831" s="2"/>
      <c r="K831" s="2"/>
      <c r="L831" s="2"/>
      <c r="M831" s="2"/>
      <c r="N831" s="2"/>
      <c r="O831" s="2"/>
      <c r="P831" s="2"/>
    </row>
    <row r="832" spans="1:16" s="1" customFormat="1" ht="14.25" customHeight="1" x14ac:dyDescent="0.2">
      <c r="A832" s="1136" t="s">
        <v>133</v>
      </c>
      <c r="B832" s="1137"/>
      <c r="C832" s="1137"/>
      <c r="D832" s="1137" t="s">
        <v>134</v>
      </c>
      <c r="E832" s="1137"/>
      <c r="F832" s="94" t="str">
        <f>IF(IF(G830=0,"",'päd.Personal - Leitung'!$F$40)=0,"",IF(G830=0,"",'päd.Personal - Leitung'!$F$40))</f>
        <v/>
      </c>
      <c r="G832" s="77" t="s">
        <v>135</v>
      </c>
      <c r="H832" s="96" t="str">
        <f>IF(IF(G830=0,"",'päd.Personal - Leitung'!$H$40)=0,"",IF(G830=0,"",'päd.Personal - Leitung'!$H$40))</f>
        <v/>
      </c>
      <c r="I832" s="73"/>
      <c r="J832" s="194" t="s">
        <v>160</v>
      </c>
      <c r="K832" s="194" t="str">
        <f>$K$40</f>
        <v>2021</v>
      </c>
      <c r="L832" s="194" t="str">
        <f>$L$40</f>
        <v>anteilig 2021</v>
      </c>
      <c r="M832" s="1138" t="s">
        <v>140</v>
      </c>
      <c r="N832" s="1138"/>
      <c r="O832" s="1139"/>
      <c r="P832" s="27">
        <f>ROUND(IF(F832="",IF(E836="",0,(E836*H836/K836)/L799*L800),G830*F832*H832/1000),2)</f>
        <v>0</v>
      </c>
    </row>
    <row r="833" spans="1:16" s="1" customFormat="1" ht="15" customHeight="1" x14ac:dyDescent="0.2">
      <c r="A833" s="1140" t="s">
        <v>145</v>
      </c>
      <c r="B833" s="1141"/>
      <c r="C833" s="1141"/>
      <c r="D833" s="18"/>
      <c r="E833" s="107" t="s">
        <v>135</v>
      </c>
      <c r="F833" s="95" t="str">
        <f>IF(IF(G830=0,"",'päd.Personal - Leitung'!$F$41)=0,"",IF(G830=0,"",'päd.Personal - Leitung'!$F$41))</f>
        <v/>
      </c>
      <c r="G833" s="48"/>
      <c r="H833" s="47"/>
      <c r="I833" s="48"/>
      <c r="J833" s="195" t="s">
        <v>158</v>
      </c>
      <c r="K833" s="198">
        <f>$K$41</f>
        <v>4837.5</v>
      </c>
      <c r="L833" s="197">
        <f>IF(L799="",K833,K833/L799*L800)</f>
        <v>4837.5</v>
      </c>
      <c r="M833" s="1138" t="s">
        <v>139</v>
      </c>
      <c r="N833" s="1138"/>
      <c r="O833" s="1139"/>
      <c r="P833" s="27">
        <f>ROUND(IF(F833="",0,G830*F833/1000),2)</f>
        <v>0</v>
      </c>
    </row>
    <row r="834" spans="1:16" s="1" customFormat="1" ht="15.75" customHeight="1" x14ac:dyDescent="0.2">
      <c r="A834" s="1142" t="s">
        <v>141</v>
      </c>
      <c r="B834" s="1143"/>
      <c r="C834" s="1143"/>
      <c r="D834" s="1144" t="s">
        <v>143</v>
      </c>
      <c r="E834" s="1144"/>
      <c r="F834" s="1145" t="str">
        <f>IF(IF(G830=0,"",'päd.Personal - Leitung'!$F$42)=0,"",IF(G830=0,"",'päd.Personal - Leitung'!$F$42))</f>
        <v/>
      </c>
      <c r="G834" s="1145"/>
      <c r="H834" s="72"/>
      <c r="I834" s="18"/>
      <c r="J834" s="195" t="s">
        <v>159</v>
      </c>
      <c r="K834" s="197">
        <f>$K$42</f>
        <v>6700</v>
      </c>
      <c r="L834" s="197">
        <f>IF(L799="",K834,K834/L799*L800)</f>
        <v>6700</v>
      </c>
      <c r="M834" s="1138" t="s">
        <v>141</v>
      </c>
      <c r="N834" s="1138"/>
      <c r="O834" s="1139"/>
      <c r="P834" s="23">
        <f>ROUND(IF(F834="",0,IF(G830=0,0,F834/L799*L800)),2)</f>
        <v>0</v>
      </c>
    </row>
    <row r="835" spans="1:16" s="1" customFormat="1" ht="14.25" customHeight="1" x14ac:dyDescent="0.2">
      <c r="A835" s="18"/>
      <c r="B835" s="18"/>
      <c r="C835" s="18"/>
      <c r="D835" s="18"/>
      <c r="E835" s="18"/>
      <c r="F835" s="18"/>
      <c r="G835" s="18"/>
      <c r="H835" s="18"/>
      <c r="I835" s="18"/>
      <c r="J835" s="18"/>
      <c r="K835" s="74"/>
      <c r="L835" s="82"/>
      <c r="M835" s="1127" t="s">
        <v>146</v>
      </c>
      <c r="N835" s="1127"/>
      <c r="O835" s="1128"/>
      <c r="P835" s="23">
        <f>ROUND(IF(G830=0,0,$P$87),2)</f>
        <v>0</v>
      </c>
    </row>
    <row r="836" spans="1:16" s="1" customFormat="1" ht="14.25" customHeight="1" x14ac:dyDescent="0.2">
      <c r="A836" s="1129" t="s">
        <v>142</v>
      </c>
      <c r="B836" s="1130"/>
      <c r="C836" s="126" t="s">
        <v>136</v>
      </c>
      <c r="D836" s="179" t="s">
        <v>137</v>
      </c>
      <c r="E836" s="1131" t="str">
        <f>IF(IF(G830=0,"",'päd.Personal - Leitung'!$E$44)=0,"",IF(G830=0,"",'päd.Personal - Leitung'!$E$44))</f>
        <v/>
      </c>
      <c r="F836" s="1131"/>
      <c r="G836" s="83" t="s">
        <v>138</v>
      </c>
      <c r="H836" s="97" t="str">
        <f>IF(IF(G830=0,"",'päd.Personal - Leitung'!$H$44)=0,"",IF(G830=0,"",'päd.Personal - Leitung'!$H$44))</f>
        <v/>
      </c>
      <c r="I836" s="1132" t="s">
        <v>144</v>
      </c>
      <c r="J836" s="1132"/>
      <c r="K836" s="98" t="str">
        <f>IF(IF(G830=0,"",'päd.Personal - Leitung'!$K$44)=0,"",IF(G830=0,"",'päd.Personal - Leitung'!$K$44))</f>
        <v/>
      </c>
      <c r="L836" s="29"/>
      <c r="M836" s="29"/>
      <c r="N836" s="29"/>
      <c r="O836" s="28" t="s">
        <v>0</v>
      </c>
      <c r="P836" s="27">
        <f>P830+SUM(P832:P835)</f>
        <v>0</v>
      </c>
    </row>
    <row r="837" spans="1:16" s="12" customFormat="1" ht="13.5" customHeight="1" x14ac:dyDescent="0.2">
      <c r="A837" s="1178" t="s">
        <v>18</v>
      </c>
      <c r="B837" s="1178"/>
      <c r="C837" s="1178"/>
      <c r="D837" s="1179" t="str">
        <f>IF($D$1="","",$D$1)</f>
        <v/>
      </c>
      <c r="E837" s="1179"/>
      <c r="F837" s="1179"/>
      <c r="G837" s="1179"/>
      <c r="H837" s="1179"/>
      <c r="I837" s="1179"/>
      <c r="J837" s="1179"/>
      <c r="K837" s="1179"/>
      <c r="L837" s="1179"/>
      <c r="M837" s="1179"/>
      <c r="N837" s="1179"/>
    </row>
    <row r="838" spans="1:16" s="12" customFormat="1" ht="15" customHeight="1" x14ac:dyDescent="0.2">
      <c r="A838" s="1178" t="s">
        <v>17</v>
      </c>
      <c r="B838" s="1178"/>
      <c r="C838" s="1178" t="s">
        <v>15</v>
      </c>
      <c r="D838" s="1179" t="str">
        <f>IF($D$2="","",$D$2)</f>
        <v/>
      </c>
      <c r="E838" s="1179"/>
      <c r="F838" s="1179"/>
      <c r="G838" s="1179"/>
      <c r="H838" s="1179"/>
      <c r="I838" s="1179"/>
      <c r="J838" s="1179"/>
      <c r="K838" s="1179"/>
      <c r="L838" s="1179"/>
      <c r="M838" s="1179"/>
      <c r="N838" s="1179"/>
    </row>
    <row r="839" spans="1:16" s="12" customFormat="1" ht="15" customHeight="1" x14ac:dyDescent="0.2">
      <c r="A839" s="1178" t="s">
        <v>16</v>
      </c>
      <c r="B839" s="1178"/>
      <c r="C839" s="1178" t="s">
        <v>15</v>
      </c>
      <c r="D839" s="1179" t="str">
        <f>IF($D$3="","",$D$3)</f>
        <v/>
      </c>
      <c r="E839" s="1179"/>
      <c r="F839" s="1179"/>
      <c r="G839" s="1179"/>
      <c r="H839" s="1179"/>
      <c r="I839" s="1179"/>
      <c r="J839" s="1179"/>
      <c r="K839" s="1178" t="s">
        <v>103</v>
      </c>
      <c r="L839" s="1178"/>
      <c r="M839" s="1178"/>
      <c r="N839" s="41" t="str">
        <f>IF($N$3="","",$N$3)</f>
        <v/>
      </c>
    </row>
    <row r="840" spans="1:16" s="13" customFormat="1" ht="11.25" x14ac:dyDescent="0.2">
      <c r="A840" s="1182"/>
      <c r="B840" s="1182"/>
      <c r="C840" s="1182"/>
      <c r="D840" s="1183"/>
      <c r="E840" s="1183"/>
      <c r="F840" s="1183"/>
      <c r="G840" s="1183"/>
      <c r="H840" s="1183"/>
      <c r="I840" s="1183"/>
      <c r="J840" s="1183"/>
      <c r="K840" s="11"/>
      <c r="L840" s="11"/>
      <c r="M840" s="11"/>
      <c r="N840" s="11"/>
      <c r="O840" s="11"/>
      <c r="P840" s="11"/>
    </row>
    <row r="841" spans="1:16" s="15" customFormat="1" ht="13.5" customHeight="1" x14ac:dyDescent="0.2">
      <c r="A841" s="1177" t="s">
        <v>166</v>
      </c>
      <c r="B841" s="1177"/>
      <c r="C841" s="1177"/>
      <c r="D841" s="1177"/>
      <c r="E841" s="1177"/>
      <c r="F841" s="1177"/>
      <c r="G841" s="1177"/>
      <c r="H841" s="1177"/>
      <c r="I841" s="1177"/>
      <c r="J841" s="1177"/>
      <c r="K841" s="9"/>
      <c r="L841" s="9"/>
      <c r="M841" s="9"/>
      <c r="N841" s="59" t="s">
        <v>154</v>
      </c>
      <c r="O841" s="191">
        <f>$O$5</f>
        <v>2022</v>
      </c>
      <c r="P841" s="59" t="s">
        <v>154</v>
      </c>
    </row>
    <row r="842" spans="1:16" s="10" customFormat="1" ht="13.5" customHeight="1" x14ac:dyDescent="0.25">
      <c r="B842" s="32"/>
      <c r="C842" s="32"/>
      <c r="D842" s="5" t="s">
        <v>53</v>
      </c>
      <c r="E842" s="31"/>
      <c r="F842" s="31"/>
      <c r="G842" s="31"/>
      <c r="H842" s="31"/>
      <c r="I842" s="26"/>
      <c r="J842" s="1174" t="s">
        <v>14</v>
      </c>
      <c r="K842" s="1174"/>
      <c r="L842" s="180"/>
      <c r="N842" s="84">
        <f>IF(L844="","",L844)</f>
        <v>0</v>
      </c>
      <c r="O842" s="58" t="str">
        <f>$O$6</f>
        <v>Jan                Jul</v>
      </c>
      <c r="P842" s="85">
        <f>IF(N847="","",N847)</f>
        <v>0</v>
      </c>
    </row>
    <row r="843" spans="1:16" s="7" customFormat="1" ht="13.5" customHeight="1" x14ac:dyDescent="0.25">
      <c r="A843" s="1180" t="s">
        <v>71</v>
      </c>
      <c r="B843" s="1180"/>
      <c r="C843" s="1180"/>
      <c r="D843" s="1184"/>
      <c r="E843" s="1184"/>
      <c r="F843" s="1184"/>
      <c r="G843" s="1184"/>
      <c r="H843" s="1184"/>
      <c r="I843" s="1184"/>
      <c r="J843" s="1174" t="s">
        <v>104</v>
      </c>
      <c r="K843" s="1174"/>
      <c r="L843" s="145"/>
      <c r="N843" s="85">
        <f>IF(N842="","",N842)</f>
        <v>0</v>
      </c>
      <c r="O843" s="58" t="str">
        <f>$O$7</f>
        <v>Feb              Aug</v>
      </c>
      <c r="P843" s="85">
        <f>IF(P842="","",P842)</f>
        <v>0</v>
      </c>
    </row>
    <row r="844" spans="1:16" s="1" customFormat="1" ht="13.5" customHeight="1" x14ac:dyDescent="0.2">
      <c r="A844" s="1180" t="s">
        <v>13</v>
      </c>
      <c r="B844" s="1180"/>
      <c r="C844" s="1180"/>
      <c r="D844" s="1181"/>
      <c r="E844" s="1181"/>
      <c r="F844" s="1181"/>
      <c r="G844" s="1181"/>
      <c r="H844" s="1181"/>
      <c r="I844" s="1181"/>
      <c r="J844" s="1174" t="s">
        <v>164</v>
      </c>
      <c r="K844" s="1174"/>
      <c r="L844" s="145">
        <f>IF((L845+L846)&gt;L843,0,L843-L845-L846)</f>
        <v>0</v>
      </c>
      <c r="N844" s="85">
        <f>IF(N843="","",N843)</f>
        <v>0</v>
      </c>
      <c r="O844" s="58" t="str">
        <f>$O$8</f>
        <v>Mrz              Sep</v>
      </c>
      <c r="P844" s="85">
        <f>IF(P843="","",P843)</f>
        <v>0</v>
      </c>
    </row>
    <row r="845" spans="1:16" s="1" customFormat="1" ht="13.5" customHeight="1" x14ac:dyDescent="0.2">
      <c r="A845" s="1180" t="s">
        <v>12</v>
      </c>
      <c r="B845" s="1180"/>
      <c r="C845" s="1180"/>
      <c r="D845" s="1181"/>
      <c r="E845" s="1181"/>
      <c r="F845" s="1181"/>
      <c r="G845" s="1181"/>
      <c r="H845" s="1181"/>
      <c r="I845" s="1181"/>
      <c r="J845" s="1174" t="s">
        <v>165</v>
      </c>
      <c r="K845" s="1174"/>
      <c r="L845" s="145"/>
      <c r="N845" s="85">
        <f>IF(N844="","",N844)</f>
        <v>0</v>
      </c>
      <c r="O845" s="58" t="str">
        <f>$O$9</f>
        <v>Apr               Okt</v>
      </c>
      <c r="P845" s="85">
        <f t="shared" ref="P845:P847" si="95">IF(P844="","",P844)</f>
        <v>0</v>
      </c>
    </row>
    <row r="846" spans="1:16" s="1" customFormat="1" ht="13.5" customHeight="1" x14ac:dyDescent="0.2">
      <c r="A846" s="1180" t="s">
        <v>19</v>
      </c>
      <c r="B846" s="1180"/>
      <c r="C846" s="1180"/>
      <c r="D846" s="1181"/>
      <c r="E846" s="1181"/>
      <c r="F846" s="1181"/>
      <c r="G846" s="1181"/>
      <c r="H846" s="1181"/>
      <c r="I846" s="1181"/>
      <c r="J846" s="1174" t="s">
        <v>252</v>
      </c>
      <c r="K846" s="1174"/>
      <c r="L846" s="145"/>
      <c r="M846" s="92"/>
      <c r="N846" s="85">
        <f>IF(N845="","",N845)</f>
        <v>0</v>
      </c>
      <c r="O846" s="58" t="str">
        <f>$O$10</f>
        <v>Mai               Nov</v>
      </c>
      <c r="P846" s="85">
        <f t="shared" si="95"/>
        <v>0</v>
      </c>
    </row>
    <row r="847" spans="1:16" s="1" customFormat="1" ht="13.5" customHeight="1" x14ac:dyDescent="0.2">
      <c r="B847" s="8"/>
      <c r="C847" s="121" t="s">
        <v>162</v>
      </c>
      <c r="D847" s="1175"/>
      <c r="E847" s="1175"/>
      <c r="F847" s="1176" t="s">
        <v>106</v>
      </c>
      <c r="G847" s="1176"/>
      <c r="H847" s="1186"/>
      <c r="I847" s="1186"/>
      <c r="J847" s="1174" t="s">
        <v>97</v>
      </c>
      <c r="K847" s="1174"/>
      <c r="L847" s="17" t="str">
        <f>IF(IF((COUNTIF(B862:B873,"&gt;0"))=0,0,(COUNTIF(B862:B873,"&gt;0")))&gt;Grundlagen!$C$24,Grundlagen!$C$24,IF((COUNTIF(B862:B873,"&gt;0"))=0,"",(COUNTIF(B862:B873,"&gt;0"))))</f>
        <v/>
      </c>
      <c r="N847" s="85">
        <f>IF(N846="","",N846)</f>
        <v>0</v>
      </c>
      <c r="O847" s="58" t="str">
        <f>'päd.Personal - Leitung'!$O$11</f>
        <v>Jun               Dez</v>
      </c>
      <c r="P847" s="85">
        <f t="shared" si="95"/>
        <v>0</v>
      </c>
    </row>
    <row r="848" spans="1:16" s="1" customFormat="1" ht="13.5" customHeight="1" x14ac:dyDescent="0.2">
      <c r="I848" s="6"/>
      <c r="L848" s="147" t="str">
        <f>IF((SUM(F850:F853))=0,"",IF(P848&gt;L844,L844,IF(L844="","",IF(L847="","",P848))))</f>
        <v/>
      </c>
      <c r="O848" s="174" t="s">
        <v>251</v>
      </c>
      <c r="P848" s="175">
        <f>IF(L847="",0,((IF(SUMIF(B862,"&gt;0"),N842,0))+(IF(SUMIF(B863,"&gt;0"),N843,0))+(IF(SUMIF(B864,"&gt;0"),N844,0))+(IF(SUMIF(B865,"&gt;0"),N845,0))+(IF(SUMIF(B866,"&gt;0"),N846,0))+(IF(SUMIF(B867,"&gt;0"),N847,0))+(IF(SUMIF(B868,"&gt;0"),P842,0))+(IF(SUMIF(B869,"&gt;0"),P843,0))+(IF(SUMIF(B870,"&gt;0"),P844,0))+(IF(SUMIF(B871,"&gt;0"),P845,0))+(IF(SUMIF(B872,"&gt;0"),P846,0))+(IF(SUMIF(B873,"&gt;0"),P847,0)))/Grundlagen!$C$24)</f>
        <v>0</v>
      </c>
    </row>
    <row r="849" spans="1:16" s="52" customFormat="1" ht="13.5" customHeight="1" x14ac:dyDescent="0.2">
      <c r="A849" s="61" t="s">
        <v>148</v>
      </c>
      <c r="B849" s="1168" t="s">
        <v>149</v>
      </c>
      <c r="C849" s="1168"/>
      <c r="D849" s="62" t="s">
        <v>150</v>
      </c>
      <c r="E849" s="63" t="s">
        <v>151</v>
      </c>
      <c r="F849" s="64" t="str">
        <f>CONCATENATE("Entg. ",N839," h/Wo")</f>
        <v>Entg.  h/Wo</v>
      </c>
      <c r="G849" s="65" t="s">
        <v>152</v>
      </c>
      <c r="H849" s="65" t="s">
        <v>153</v>
      </c>
      <c r="K849" s="1169" t="str">
        <f>CONCATENATE("Zuschläge / Zulagen für ",N839,"h/Wo")</f>
        <v>Zuschläge / Zulagen für h/Wo</v>
      </c>
      <c r="L849" s="1169"/>
      <c r="M849" s="66" t="str">
        <f>IF(A850="","",A850)</f>
        <v>Jan 2022</v>
      </c>
      <c r="N849" s="66" t="str">
        <f>IF(A851="","",A851)</f>
        <v/>
      </c>
      <c r="O849" s="66" t="str">
        <f>IF(A852="","",A852)</f>
        <v/>
      </c>
      <c r="P849" s="66" t="str">
        <f>IF(A853="","",A853)</f>
        <v/>
      </c>
    </row>
    <row r="850" spans="1:16" s="52" customFormat="1" ht="13.5" customHeight="1" x14ac:dyDescent="0.25">
      <c r="A850" s="54" t="str">
        <f>A862</f>
        <v>Jan 2022</v>
      </c>
      <c r="B850" s="1170" t="str">
        <f>IF($D$3="","",$D$3)</f>
        <v/>
      </c>
      <c r="C850" s="1171"/>
      <c r="D850" s="181"/>
      <c r="E850" s="181"/>
      <c r="F850" s="87"/>
      <c r="G850" s="56">
        <f>IF(N839="",0,F850/N839/4.348)</f>
        <v>0</v>
      </c>
      <c r="H850" s="53">
        <f>IF(G850=0,0,M855)</f>
        <v>0</v>
      </c>
      <c r="K850" s="1146"/>
      <c r="L850" s="1146"/>
      <c r="M850" s="172"/>
      <c r="N850" s="172"/>
      <c r="O850" s="172"/>
      <c r="P850" s="172"/>
    </row>
    <row r="851" spans="1:16" s="52" customFormat="1" ht="13.5" customHeight="1" x14ac:dyDescent="0.25">
      <c r="A851" s="55"/>
      <c r="B851" s="1172" t="str">
        <f>IF(A851="","",B850)</f>
        <v/>
      </c>
      <c r="C851" s="1173"/>
      <c r="D851" s="181"/>
      <c r="E851" s="181"/>
      <c r="F851" s="87"/>
      <c r="G851" s="56">
        <f>IF(N839="",0,F851/N839/4.348)</f>
        <v>0</v>
      </c>
      <c r="H851" s="53">
        <f>IF(G851=0,0,N855)</f>
        <v>0</v>
      </c>
      <c r="K851" s="1146"/>
      <c r="L851" s="1146"/>
      <c r="M851" s="172"/>
      <c r="N851" s="172"/>
      <c r="O851" s="172"/>
      <c r="P851" s="172"/>
    </row>
    <row r="852" spans="1:16" s="52" customFormat="1" ht="13.5" customHeight="1" x14ac:dyDescent="0.25">
      <c r="A852" s="55"/>
      <c r="B852" s="1172" t="str">
        <f>IF(A852="","",B851)</f>
        <v/>
      </c>
      <c r="C852" s="1173"/>
      <c r="D852" s="181"/>
      <c r="E852" s="181"/>
      <c r="F852" s="87"/>
      <c r="G852" s="56">
        <f>IF(N839="",0,F852/N839/4.348)</f>
        <v>0</v>
      </c>
      <c r="H852" s="53">
        <f>IF(G852=0,0,O855)</f>
        <v>0</v>
      </c>
      <c r="K852" s="1146"/>
      <c r="L852" s="1146"/>
      <c r="M852" s="172"/>
      <c r="N852" s="172"/>
      <c r="O852" s="172"/>
      <c r="P852" s="172"/>
    </row>
    <row r="853" spans="1:16" s="52" customFormat="1" ht="13.5" customHeight="1" x14ac:dyDescent="0.25">
      <c r="A853" s="55"/>
      <c r="B853" s="1172" t="str">
        <f>IF(A853="","",B852)</f>
        <v/>
      </c>
      <c r="C853" s="1173"/>
      <c r="D853" s="181"/>
      <c r="E853" s="181"/>
      <c r="F853" s="87"/>
      <c r="G853" s="56">
        <f>IF(N839="",0,F853/N839/4.348)</f>
        <v>0</v>
      </c>
      <c r="H853" s="53">
        <f>IF(G853=0,0,P855)</f>
        <v>0</v>
      </c>
      <c r="K853" s="1146"/>
      <c r="L853" s="1146"/>
      <c r="M853" s="172"/>
      <c r="N853" s="172"/>
      <c r="O853" s="172"/>
      <c r="P853" s="172"/>
    </row>
    <row r="854" spans="1:16" s="52" customFormat="1" ht="13.5" customHeight="1" x14ac:dyDescent="0.25">
      <c r="B854" s="1167" t="s">
        <v>157</v>
      </c>
      <c r="C854" s="1167"/>
      <c r="E854" s="1167" t="s">
        <v>156</v>
      </c>
      <c r="F854" s="1167"/>
      <c r="J854" s="69"/>
      <c r="K854" s="1146"/>
      <c r="L854" s="1146"/>
      <c r="M854" s="172"/>
      <c r="N854" s="172"/>
      <c r="O854" s="172"/>
      <c r="P854" s="172"/>
    </row>
    <row r="855" spans="1:16" s="52" customFormat="1" ht="13.5" customHeight="1" x14ac:dyDescent="0.25">
      <c r="A855" s="70" t="s">
        <v>167</v>
      </c>
      <c r="B855" s="67"/>
      <c r="C855" s="99" t="str">
        <f>IF(C811="","",C811)</f>
        <v/>
      </c>
      <c r="D855" s="70" t="s">
        <v>167</v>
      </c>
      <c r="E855" s="67"/>
      <c r="F855" s="99" t="str">
        <f>IF(F811="","",F811)</f>
        <v/>
      </c>
      <c r="J855" s="68"/>
      <c r="M855" s="173">
        <f>SUM(M850:M854)</f>
        <v>0</v>
      </c>
      <c r="N855" s="173">
        <f t="shared" ref="N855:P855" si="96">SUM(N850:N854)</f>
        <v>0</v>
      </c>
      <c r="O855" s="173">
        <f t="shared" si="96"/>
        <v>0</v>
      </c>
      <c r="P855" s="173">
        <f t="shared" si="96"/>
        <v>0</v>
      </c>
    </row>
    <row r="856" spans="1:16" s="52" customFormat="1" ht="13.5" customHeight="1" x14ac:dyDescent="0.2">
      <c r="A856" s="60" t="s">
        <v>155</v>
      </c>
    </row>
    <row r="857" spans="1:16" s="1" customFormat="1" ht="14.25" customHeight="1" x14ac:dyDescent="0.2">
      <c r="A857" s="1147"/>
      <c r="B857" s="1149" t="s">
        <v>9</v>
      </c>
      <c r="C857" s="1150"/>
      <c r="D857" s="1150"/>
      <c r="E857" s="1150"/>
      <c r="F857" s="1150"/>
      <c r="G857" s="1151"/>
      <c r="H857" s="1152" t="s">
        <v>119</v>
      </c>
      <c r="I857" s="1153"/>
      <c r="J857" s="1153"/>
      <c r="K857" s="1153"/>
      <c r="L857" s="1153"/>
      <c r="M857" s="1153"/>
      <c r="N857" s="1153"/>
      <c r="O857" s="33"/>
      <c r="P857" s="1154" t="s">
        <v>0</v>
      </c>
    </row>
    <row r="858" spans="1:16" s="1" customFormat="1" ht="14.25" customHeight="1" x14ac:dyDescent="0.2">
      <c r="A858" s="1148"/>
      <c r="B858" s="1157" t="s">
        <v>117</v>
      </c>
      <c r="C858" s="124" t="s">
        <v>115</v>
      </c>
      <c r="D858" s="1159" t="s">
        <v>277</v>
      </c>
      <c r="E858" s="1161" t="s">
        <v>147</v>
      </c>
      <c r="F858" s="127" t="s">
        <v>7</v>
      </c>
      <c r="G858" s="1162" t="s">
        <v>6</v>
      </c>
      <c r="H858" s="1161" t="s">
        <v>129</v>
      </c>
      <c r="I858" s="1161" t="s">
        <v>5</v>
      </c>
      <c r="J858" s="1161" t="s">
        <v>4</v>
      </c>
      <c r="K858" s="1161" t="s">
        <v>3</v>
      </c>
      <c r="L858" s="1161" t="s">
        <v>121</v>
      </c>
      <c r="M858" s="1161" t="s">
        <v>122</v>
      </c>
      <c r="N858" s="1161" t="s">
        <v>123</v>
      </c>
      <c r="O858" s="1160" t="s">
        <v>114</v>
      </c>
      <c r="P858" s="1155"/>
    </row>
    <row r="859" spans="1:16" s="1" customFormat="1" ht="14.25" customHeight="1" x14ac:dyDescent="0.2">
      <c r="A859" s="1148"/>
      <c r="B859" s="1157"/>
      <c r="C859" s="21" t="str">
        <f>IF(C855="","",C855)</f>
        <v/>
      </c>
      <c r="D859" s="1160"/>
      <c r="E859" s="1161"/>
      <c r="F859" s="1165" t="str">
        <f>IF(H850=0,"","siehe Zuschläge / Zulagen")</f>
        <v/>
      </c>
      <c r="G859" s="1162"/>
      <c r="H859" s="1164" t="s">
        <v>127</v>
      </c>
      <c r="I859" s="1164"/>
      <c r="J859" s="1164"/>
      <c r="K859" s="1164"/>
      <c r="L859" s="1164"/>
      <c r="M859" s="1164"/>
      <c r="N859" s="1164"/>
      <c r="O859" s="1160"/>
      <c r="P859" s="1155"/>
    </row>
    <row r="860" spans="1:16" s="1" customFormat="1" x14ac:dyDescent="0.2">
      <c r="A860" s="1148"/>
      <c r="B860" s="1157"/>
      <c r="C860" s="122" t="s">
        <v>70</v>
      </c>
      <c r="D860" s="1160"/>
      <c r="E860" s="1161"/>
      <c r="F860" s="1165"/>
      <c r="G860" s="1162"/>
      <c r="H860" s="43" t="s">
        <v>128</v>
      </c>
      <c r="I860" s="43" t="s">
        <v>255</v>
      </c>
      <c r="J860" s="43" t="s">
        <v>256</v>
      </c>
      <c r="K860" s="43" t="s">
        <v>257</v>
      </c>
      <c r="L860" s="43"/>
      <c r="M860" s="43"/>
      <c r="N860" s="43" t="s">
        <v>254</v>
      </c>
      <c r="O860" s="1160"/>
      <c r="P860" s="1155"/>
    </row>
    <row r="861" spans="1:16" s="1" customFormat="1" x14ac:dyDescent="0.2">
      <c r="A861" s="1148"/>
      <c r="B861" s="1158"/>
      <c r="C861" s="21" t="str">
        <f>IF(F855="","",F855)</f>
        <v/>
      </c>
      <c r="D861" s="51"/>
      <c r="E861" s="51"/>
      <c r="F861" s="1166"/>
      <c r="G861" s="1163"/>
      <c r="H861" s="93"/>
      <c r="I861" s="139">
        <f>$I$69</f>
        <v>0</v>
      </c>
      <c r="J861" s="139">
        <f>$J$69</f>
        <v>0</v>
      </c>
      <c r="K861" s="44">
        <f>$K$69</f>
        <v>0</v>
      </c>
      <c r="L861" s="21"/>
      <c r="M861" s="21"/>
      <c r="N861" s="139">
        <f>$N$69</f>
        <v>0</v>
      </c>
      <c r="O861" s="21">
        <f>O817</f>
        <v>0</v>
      </c>
      <c r="P861" s="1156"/>
    </row>
    <row r="862" spans="1:16" s="1" customFormat="1" x14ac:dyDescent="0.2">
      <c r="A862" s="100" t="str">
        <f>$A$26</f>
        <v>Jan 2022</v>
      </c>
      <c r="B862" s="24">
        <f>ROUND(IF(N842=0,0,(LOOKUP(2,1/(A850:A853=A862),G850:G853))*N842*4.348),2)</f>
        <v>0</v>
      </c>
      <c r="C862" s="23">
        <f>ROUND(IFERROR(((LOOKUP(2,1/(B855=A862),((SUM(B868:B870)+SUM(F868:F870))/3)*C855))),0)+IFERROR(((LOOKUP(2,1/(E855=A862),(B874+F874)*F855))),0),2)</f>
        <v>0</v>
      </c>
      <c r="D862" s="23">
        <f>ROUND(IF(B862=0,0,D861/L843*N842),2)</f>
        <v>0</v>
      </c>
      <c r="E862" s="23">
        <f>ROUND(IF(B862=0,0,E861/N839*N842),2)</f>
        <v>0</v>
      </c>
      <c r="F862" s="24">
        <f>ROUND(IF(N842=0,0,(LOOKUP(2,1/(A850:A853=A862),H850:H853))/N839*N842),2)</f>
        <v>0</v>
      </c>
      <c r="G862" s="27">
        <f>SUM(B862+C862+E862+F862)</f>
        <v>0</v>
      </c>
      <c r="H862" s="76">
        <f>ROUND(IF((SUM(B862:F862))&gt;L877,L877*H861,SUM(B862:F862)*H861),2)</f>
        <v>0</v>
      </c>
      <c r="I862" s="76">
        <f>ROUND(IF((SUM(B862:F862))&gt;L878,L878*I861,SUM(B862:F862)*I861),2)</f>
        <v>0</v>
      </c>
      <c r="J862" s="76">
        <f>ROUND(IF((SUM(B862:F862))&gt;L878,L878*J861,SUM(B862:F862)*J861),2)</f>
        <v>0</v>
      </c>
      <c r="K862" s="76">
        <f>ROUND(IF((SUM(B862:F862))&gt;L877,L877*K861,SUM(B862:F862)*K861),2)</f>
        <v>0</v>
      </c>
      <c r="L862" s="76">
        <f>ROUND(IF((SUM(B862:F862))&gt;L878,L878*L861,(SUM(B862:F862)-C862)*L861),2)</f>
        <v>0</v>
      </c>
      <c r="M862" s="76">
        <f>ROUND(IF((SUM(B862:F862))&gt;L878,L878*M861,(SUM(B862:F862)-C862)*M861),2)</f>
        <v>0</v>
      </c>
      <c r="N862" s="76">
        <f>ROUND(IF((SUM(B862:F862))&gt;L878,L878*N861,SUM(B862:F862)*N861),2)</f>
        <v>0</v>
      </c>
      <c r="O862" s="23">
        <f>ROUND(SUM(B862+C862+F862)*O861,2)</f>
        <v>0</v>
      </c>
      <c r="P862" s="27">
        <f>SUM(G862:O862)</f>
        <v>0</v>
      </c>
    </row>
    <row r="863" spans="1:16" s="1" customFormat="1" x14ac:dyDescent="0.2">
      <c r="A863" s="100" t="str">
        <f>$A$27</f>
        <v>Feb 2022</v>
      </c>
      <c r="B863" s="24">
        <f>ROUND(IF(N843=0,0,IFERROR(((LOOKUP(2,1/(A850:A853=A863),G850:G853))*N843*4.348),B862/N843*N843)),2)</f>
        <v>0</v>
      </c>
      <c r="C863" s="23">
        <f>ROUND(IFERROR(((LOOKUP(2,1/(B855=A863),((SUM(B868:B870)+SUM(F868:F870))/3)*C855))),0)+IFERROR(((LOOKUP(2,1/(E855=A863),(B874+F874)*F855))),0),2)</f>
        <v>0</v>
      </c>
      <c r="D863" s="23">
        <f>ROUND(IF(B863=0,0,D861/L843*N843),2)</f>
        <v>0</v>
      </c>
      <c r="E863" s="23">
        <f>ROUND(IF(B863=0,0,E861/N839*N843),2)</f>
        <v>0</v>
      </c>
      <c r="F863" s="24">
        <f>ROUND(IF(N843=0,0,IFERROR(((LOOKUP(2,1/(A850:A853=A863),H850:H853))/N839*N843),F862/N843*N843)),2)</f>
        <v>0</v>
      </c>
      <c r="G863" s="27">
        <f t="shared" ref="G863:G873" si="97">SUM(B863+C863+E863+F863)</f>
        <v>0</v>
      </c>
      <c r="H863" s="76">
        <f>ROUND(IF(SUM(B862:F862)&lt;(L877*1),IF((SUM(B862:F863))&gt;(L877*2),(((L877*2)-(SUM(B862:F863)-C862))*H861)+((SUM(B863:F863)-C862)*H861),SUM(B863:F863)*H861),IF(SUM(B862:F863)&gt;(L877*2),L877*H861,SUM(B863:F863)*H861)),2)</f>
        <v>0</v>
      </c>
      <c r="I863" s="76">
        <f>ROUND(IF(SUM(B862:F862)&lt;(L878*1),IF((SUM(B862:F863))&gt;(L878*2),(((L878*2)-(SUM(B862:F863)-C862))*I861)+((SUM(B863:F863)-C862)*I861),SUM(B863:F863)*I861),IF(SUM(B862:F863)&gt;(L878*2),L878*I861,SUM(B863:F863)*I861)),2)</f>
        <v>0</v>
      </c>
      <c r="J863" s="76">
        <f>ROUND(IF(SUM(B862:F862)&lt;(L878*1),IF((SUM(B862:F863))&gt;(L878*2),(((L878*2)-(SUM(B862:F863)-C862))*J861)+((SUM(B863:F863)-C862)*J861),SUM(B863:F863)*J861),IF(SUM(B862:F863)&gt;(L878*2),L878*J861,SUM(B863:F863)*J861)),2)</f>
        <v>0</v>
      </c>
      <c r="K863" s="76">
        <f>ROUND(IF(SUM(B862:F862)&lt;(L877*1),IF((SUM(B862:F863))&gt;(L877*2),(((L877*2)-(SUM(B862:F863)-C862))*K861)+((SUM(B863:F863)-C862)*K861),SUM(B863:F863)*K861),IF(SUM(B862:F863)&gt;(L877*2),L877*K861,SUM(B863:F863)*K861)),2)</f>
        <v>0</v>
      </c>
      <c r="L863" s="76">
        <f>ROUND(IF(SUM(B862:F862)&lt;(L878*1),IF((SUM(B862:F863))&gt;(L878*2),(((L878*2)-(SUM(B862:F863)-C863))*L861)+((SUM(B863:F863)-C863)*L861),(SUM(B863:F863)-C863)*L861),IF(SUM(B862:F863)&gt;(L878*2),L878*L861,SUM(B863:F863)*L861)),2)</f>
        <v>0</v>
      </c>
      <c r="M863" s="76">
        <f>ROUND(IF(SUM(B862:F862)&lt;(L878*1),IF((SUM(B862:F863))&gt;(L878*2),(((L878*2)-(SUM(B862:F863)-C863))*M861)+((SUM(B863:F863)-C863)*M861),(SUM(B863:F863)-C863)*M861),IF(SUM(B862:F863)&gt;(L878*2),L878*M861,SUM(B863:F863)*M861)),2)</f>
        <v>0</v>
      </c>
      <c r="N863" s="76">
        <f>ROUND(IF(SUM(B862:F862)&lt;(L878*1),IF((SUM(B862:F863))&gt;(L878*2),(((L878*2)-(SUM(B862:F863)-C862))*N861)+((SUM(B863:F863)-C862)*N861),SUM(B863:F863)*N861),IF(SUM(B862:F863)&gt;(L878*2),L878*N861,SUM(B863:F863)*N861)),2)</f>
        <v>0</v>
      </c>
      <c r="O863" s="23">
        <f>ROUND(SUM(B863+C863+F863)*O861,2)</f>
        <v>0</v>
      </c>
      <c r="P863" s="27">
        <f>SUM(G863:O863)</f>
        <v>0</v>
      </c>
    </row>
    <row r="864" spans="1:16" s="1" customFormat="1" x14ac:dyDescent="0.2">
      <c r="A864" s="100" t="str">
        <f>$A$28</f>
        <v>Mrz 2022</v>
      </c>
      <c r="B864" s="24">
        <f>ROUND(IF(N844=0,0,IFERROR(((LOOKUP(2,1/(A850:A853=A864),G850:G853))*N844*4.348),B863/N844*N844)),2)</f>
        <v>0</v>
      </c>
      <c r="C864" s="23">
        <f>ROUND(IFERROR(((LOOKUP(2,1/(B855=A864),((SUM(B868:B870)+SUM(F868:F870))/3)*C855))),0)+IFERROR(((LOOKUP(2,1/(E855=A864),(B874+F874)*F855))),0),2)</f>
        <v>0</v>
      </c>
      <c r="D864" s="23">
        <f>ROUND(IF(B864=0,0,D861/L843*N844),2)</f>
        <v>0</v>
      </c>
      <c r="E864" s="23">
        <f>ROUND(IF(B864=0,0,E861/N839*N844),2)</f>
        <v>0</v>
      </c>
      <c r="F864" s="24">
        <f>ROUND(IF(N844=0,0,IFERROR(((LOOKUP(2,1/(A850:A853=A864),H850:H853))/N839*N844),F863/N844*N844)),2)</f>
        <v>0</v>
      </c>
      <c r="G864" s="27">
        <f t="shared" si="97"/>
        <v>0</v>
      </c>
      <c r="H864" s="76">
        <f>ROUND(IF(SUM(B862:F863)&lt;(L877*2),IF((SUM(B862:F864))&gt;(L877*3),(((L877*3)-(SUM(B862:F864)-C863))*H861)+((SUM(B864:F864)-C863)*H861),SUM(B864:F864)*H861),IF(SUM(B862:F864)&gt;(L877*3),L877*H861,SUM(B864:F864)*H861)),2)</f>
        <v>0</v>
      </c>
      <c r="I864" s="76">
        <f>ROUND(IF(SUM(B862:F863)&lt;(L878*2),IF((SUM(B862:F864))&gt;(L878*3),(((L878*3)-(SUM(B862:F864)-C863))*I861)+((SUM(B864:F864)-C863)*I861),SUM(B864:F864)*I861),IF(SUM(B862:F864)&gt;(L878*3),L878*I861,SUM(B864:F864)*I861)),2)</f>
        <v>0</v>
      </c>
      <c r="J864" s="76">
        <f>ROUND(IF(SUM(B862:F863)&lt;(L878*2),IF((SUM(B862:F864))&gt;(L878*3),(((L878*3)-(SUM(B862:F864)-C863))*J861)+((SUM(B864:F864)-C863)*J861),SUM(B864:F864)*J861),IF(SUM(B862:F864)&gt;(L878*3),L878*J861,SUM(B864:F864)*J861)),2)</f>
        <v>0</v>
      </c>
      <c r="K864" s="76">
        <f>ROUND(IF(SUM(B862:F863)&lt;(L877*2),IF((SUM(B862:F864))&gt;(L877*3),(((L877*3)-(SUM(B862:F864)-C863))*K861)+((SUM(B864:F864)-C863)*K861),SUM(B864:F864)*K861),IF(SUM(B862:F864)&gt;(L877*3),L877*K861,SUM(B864:F864)*K861)),2)</f>
        <v>0</v>
      </c>
      <c r="L864" s="76">
        <f>ROUND(IF(SUM(B862:F863)&lt;(L878*2),IF((SUM(B862:F864))&gt;(L878*3),(((L878*3)-(SUM(B862:F864)-C864))*L861)+((SUM(B864:F864)-C864)*L861),(SUM(B864:F864)-C864)*L861),IF(SUM(B862:F864)&gt;(L878*3),L878*L861,SUM(B864:F864)*L861)),2)</f>
        <v>0</v>
      </c>
      <c r="M864" s="76">
        <f>ROUND(IF(SUM(B862:F863)&lt;(L878*2),IF((SUM(B862:F864))&gt;(L878*3),(((L878*3)-(SUM(B862:F864)-C864))*M861)+((SUM(B864:F864)-C864)*M861),(SUM(B864:F864)-C864)*M861),IF(SUM(B862:F864)&gt;(L878*3),L878*M861,SUM(B864:F864)*M861)),2)</f>
        <v>0</v>
      </c>
      <c r="N864" s="76">
        <f>ROUND(IF(SUM(B862:F863)&lt;(L878*2),IF((SUM(B862:F864))&gt;(L878*3),(((L878*3)-(SUM(B862:F864)-C863))*N861)+((SUM(B864:F864)-C863)*N861),SUM(B864:F864)*N861),IF(SUM(B862:F864)&gt;(L878*3),L878*N861,SUM(B864:F864)*N861)),2)</f>
        <v>0</v>
      </c>
      <c r="O864" s="23">
        <f>ROUND(SUM(B864+C864+F864)*O861,2)</f>
        <v>0</v>
      </c>
      <c r="P864" s="27">
        <f t="shared" ref="P864:P873" si="98">SUM(G864:O864)</f>
        <v>0</v>
      </c>
    </row>
    <row r="865" spans="1:16" s="1" customFormat="1" x14ac:dyDescent="0.2">
      <c r="A865" s="100" t="str">
        <f>$A$29</f>
        <v>Apr 2022</v>
      </c>
      <c r="B865" s="24">
        <f>ROUND(IF(N845=0,0,IFERROR(((LOOKUP(2,1/(A850:A853=A865),G850:G853))*N845*4.348),B864/N845*N845)),2)</f>
        <v>0</v>
      </c>
      <c r="C865" s="23">
        <f>ROUND(IFERROR(((LOOKUP(2,1/(B855=A865),((SUM(B868:B870)+SUM(F868:F870))/3)*C855))),0)+IFERROR(((LOOKUP(2,1/(E855=A865),(B874+F874)*F855))),0),2)</f>
        <v>0</v>
      </c>
      <c r="D865" s="23">
        <f>ROUND(IF(B865=0,0,D861/L843*N845),2)</f>
        <v>0</v>
      </c>
      <c r="E865" s="23">
        <f>ROUND(IF(B865=0,0,E861/N839*N845),2)</f>
        <v>0</v>
      </c>
      <c r="F865" s="24">
        <f>ROUND(IF(N845=0,0,IFERROR(((LOOKUP(2,1/(A850:A853=A865),H850:H853))/N839*N845),F864/N845*N845)),2)</f>
        <v>0</v>
      </c>
      <c r="G865" s="27">
        <f t="shared" si="97"/>
        <v>0</v>
      </c>
      <c r="H865" s="76">
        <f>ROUND(IF(SUM(B862:F864)&lt;(L877*3),IF((SUM(B862:F865))&gt;(L877*4),(((L877*4)-(SUM(B862:F865)-C864))*H861)+((SUM(B865:F865)-C864)*H861),SUM(B865:F865)*H861),IF(SUM(B862:F865)&gt;(L877*4),L877*H861,SUM(B865:F865)*H861)),2)</f>
        <v>0</v>
      </c>
      <c r="I865" s="76">
        <f>ROUND(IF(SUM(B862:F864)&lt;(L878*3),IF((SUM(B862:F865))&gt;(L878*4),(((L878*4)-(SUM(B862:F865)-C864))*I861)+((SUM(B865:F865)-C864)*I861),SUM(B865:F865)*I861),IF(SUM(B862:F865)&gt;(L878*4),L878*I861,SUM(B865:F865)*I861)),2)</f>
        <v>0</v>
      </c>
      <c r="J865" s="76">
        <f>ROUND(IF(SUM(B862:F864)&lt;(L878*3),IF((SUM(B862:F865))&gt;(L878*4),(((L878*4)-(SUM(B862:F865)-C864))*J861)+((SUM(B865:F865)-C864)*J861),SUM(B865:F865)*J861),IF(SUM(B862:F865)&gt;(L878*4),L878*J861,SUM(B865:F865)*J861)),2)</f>
        <v>0</v>
      </c>
      <c r="K865" s="76">
        <f>ROUND(IF(SUM(B862:F864)&lt;(L877*3),IF((SUM(B862:F865))&gt;(L877*4),(((L877*4)-(SUM(B862:F865)-C864))*K861)+((SUM(B865:F865)-C864)*K861),SUM(B865:F865)*K861),IF(SUM(B862:F865)&gt;(L877*4),L877*K861,SUM(B865:F865)*K861)),2)</f>
        <v>0</v>
      </c>
      <c r="L865" s="76">
        <f>ROUND(IF(SUM(B862:F864)&lt;(L878*3),IF((SUM(B862:F865))&gt;(L878*4),(((L878*4)-(SUM(B862:F865)-C865))*L861)+((SUM(B865:F865)-C865)*L861),(SUM(B865:F865)-C865)*L861),IF(SUM(B862:F865)&gt;(L878*4),L878*L861,SUM(B865:F865)*L861)),2)</f>
        <v>0</v>
      </c>
      <c r="M865" s="76">
        <f>ROUND(IF(SUM(B862:F864)&lt;(L878*3),IF((SUM(B862:F865))&gt;(L878*4),(((L878*4)-(SUM(B862:F865)-C865))*M861)+((SUM(B865:F865)-C865)*M861),(SUM(B865:F865)-C865)*M861),IF(SUM(B862:F865)&gt;(L878*4),L878*M861,SUM(B865:F865)*M861)),2)</f>
        <v>0</v>
      </c>
      <c r="N865" s="76">
        <f>ROUND(IF(SUM(B862:F864)&lt;(L878*3),IF((SUM(B862:F865))&gt;(L878*4),(((L878*4)-(SUM(B862:F865)-C864))*N861)+((SUM(B865:F865)-C864)*N861),SUM(B865:F865)*N861),IF(SUM(B862:F865)&gt;(L878*4),L878*N861,SUM(B865:F865)*N861)),2)</f>
        <v>0</v>
      </c>
      <c r="O865" s="23">
        <f>ROUND(SUM(B865+C865+F865)*O861,2)</f>
        <v>0</v>
      </c>
      <c r="P865" s="27">
        <f t="shared" si="98"/>
        <v>0</v>
      </c>
    </row>
    <row r="866" spans="1:16" s="1" customFormat="1" x14ac:dyDescent="0.2">
      <c r="A866" s="100" t="str">
        <f>$A$30</f>
        <v>Mai 2022</v>
      </c>
      <c r="B866" s="24">
        <f>ROUND(IF(N846=0,0,IFERROR(((LOOKUP(2,1/(A850:A853=A866),G850:G853))*N846*4.348),B865/N846*N846)),2)</f>
        <v>0</v>
      </c>
      <c r="C866" s="23">
        <f>ROUND(IFERROR(((LOOKUP(2,1/(B855=A866),((SUM(B868:B870)+SUM(F868:F870))/3)*C855))),0)+IFERROR(((LOOKUP(2,1/(E855=A866),(B874+F874)*F855))),0),2)</f>
        <v>0</v>
      </c>
      <c r="D866" s="23">
        <f>ROUND(IF(B866=0,0,D861/L843*N846),2)</f>
        <v>0</v>
      </c>
      <c r="E866" s="23">
        <f>ROUND(IF(B866=0,0,E861/N839*N846),2)</f>
        <v>0</v>
      </c>
      <c r="F866" s="24">
        <f>ROUND(IF(N846=0,0,IFERROR(((LOOKUP(2,1/(A850:A853=A866),H850:H853))/N839*N846),F865/N846*N846)),2)</f>
        <v>0</v>
      </c>
      <c r="G866" s="27">
        <f t="shared" si="97"/>
        <v>0</v>
      </c>
      <c r="H866" s="76">
        <f>ROUND(IF(SUM(B862:F865)&lt;(L877*4),IF((SUM(B862:F866))&gt;(L877*5),(((L877*5)-(SUM(B862:F866)-C865))*H861)+((SUM(B866:F866)-C865)*H861),SUM(B866:F866)*H861),IF(SUM(B862:F866)&gt;(L877*5),L877*H861,SUM(B866:F866)*H861)),2)</f>
        <v>0</v>
      </c>
      <c r="I866" s="76">
        <f>ROUND(IF(SUM(B862:F865)&lt;(L878*4),IF((SUM(B862:F866))&gt;(L878*5),(((L878*5)-(SUM(B862:F866)-C865))*I861)+((SUM(B866:F866)-C865)*I861),SUM(B866:F866)*I861),IF(SUM(B862:F866)&gt;(L878*5),L878*I861,SUM(B866:F866)*I861)),2)</f>
        <v>0</v>
      </c>
      <c r="J866" s="76">
        <f>ROUND(IF(SUM(B862:F865)&lt;(L878*4),IF((SUM(B862:F866))&gt;(L878*5),(((L878*5)-(SUM(B862:F866)-C865))*J861)+((SUM(B866:F866)-C865)*J861),SUM(B866:F866)*J861),IF(SUM(B862:F866)&gt;(L878*5),L878*J861,SUM(B866:F866)*J861)),2)</f>
        <v>0</v>
      </c>
      <c r="K866" s="76">
        <f>ROUND(IF(SUM(B862:F865)&lt;(L877*4),IF((SUM(B862:F866))&gt;(L877*5),(((L877*5)-(SUM(B862:F866)-C865))*K861)+((SUM(B866:F866)-C865)*K861),SUM(B866:F866)*K861),IF(SUM(B862:F866)&gt;(L877*5),L877*K861,SUM(B866:F866)*K861)),2)</f>
        <v>0</v>
      </c>
      <c r="L866" s="76">
        <f>ROUND(IF(SUM(B862:F865)&lt;(L878*4),IF((SUM(B862:F866))&gt;(L878*5),(((L878*5)-(SUM(B862:F866)-C866))*L861)+((SUM(B866:F866)-C866)*L861),(SUM(B866:F866)-C866)*L861),IF(SUM(B862:F866)&gt;(L878*5),L878*L861,SUM(B866:F866)*L861)),2)</f>
        <v>0</v>
      </c>
      <c r="M866" s="76">
        <f>ROUND(IF(SUM(B862:F865)&lt;(L878*4),IF((SUM(B862:F866))&gt;(L878*5),(((L878*5)-(SUM(B862:F866)-C866))*M861)+((SUM(B866:F866)-C866)*M861),(SUM(B866:F866)-C866)*M861),IF(SUM(B862:F866)&gt;(L878*5),L878*M861,SUM(B866:F866)*M861)),2)</f>
        <v>0</v>
      </c>
      <c r="N866" s="76">
        <f>ROUND(IF(SUM(B862:F865)&lt;(L878*4),IF((SUM(B862:F866))&gt;(L878*5),(((L878*5)-(SUM(B862:F866)-C865))*N861)+((SUM(B866:F866)-C865)*N861),SUM(B866:F866)*N861),IF(SUM(B862:F866)&gt;(L878*5),L878*N861,SUM(B866:F866)*N861)),2)</f>
        <v>0</v>
      </c>
      <c r="O866" s="23">
        <f>ROUND(SUM(B866+C866+F866)*O861,2)</f>
        <v>0</v>
      </c>
      <c r="P866" s="27">
        <f t="shared" si="98"/>
        <v>0</v>
      </c>
    </row>
    <row r="867" spans="1:16" s="1" customFormat="1" x14ac:dyDescent="0.2">
      <c r="A867" s="100" t="str">
        <f>$A$31</f>
        <v>Jun 2022</v>
      </c>
      <c r="B867" s="24">
        <f>ROUND(IF(N847=0,0,IFERROR(((LOOKUP(2,1/(A850:A853=A867),G850:G853))*N847*4.348),B866/N847*N847)),2)</f>
        <v>0</v>
      </c>
      <c r="C867" s="23">
        <f>ROUND(IFERROR(((LOOKUP(2,1/(B855=A867),((SUM(B868:B870)+SUM(F868:F870))/3)*C855))),0)+IFERROR(((LOOKUP(2,1/(E855=A867),(B874+F874)*F855))),0),2)</f>
        <v>0</v>
      </c>
      <c r="D867" s="23">
        <f>ROUND(IF(B867=0,0,D861/L843*N847),2)</f>
        <v>0</v>
      </c>
      <c r="E867" s="23">
        <f>ROUND(IF(B867=0,0,E861/N839*N847),2)</f>
        <v>0</v>
      </c>
      <c r="F867" s="24">
        <f>ROUND(IF(N847=0,0,IFERROR(((LOOKUP(2,1/(A850:A853=A867),H850:H853))/N839*N847),F866/N847*N847)),2)</f>
        <v>0</v>
      </c>
      <c r="G867" s="27">
        <f t="shared" si="97"/>
        <v>0</v>
      </c>
      <c r="H867" s="76">
        <f>ROUND(IF(SUM(B862:F866)&lt;(L877*5),IF((SUM(B862:F867))&gt;(L877*6),(((L877*6)-(SUM(B862:F867)-C866))*H861)+((SUM(B867:F867)-C866)*H861),SUM(B867:F867)*H861),IF(SUM(B862:F867)&gt;(L877*6),L877*H861,SUM(B867:F867)*H861)),2)</f>
        <v>0</v>
      </c>
      <c r="I867" s="76">
        <f>ROUND(IF(SUM(B862:F866)&lt;(L878*5),IF((SUM(B862:F867))&gt;(L878*6),(((L878*6)-(SUM(B862:F867)-C866))*I861)+((SUM(B867:F867)-C866)*I861),SUM(B867:F867)*I861),IF(SUM(B862:F867)&gt;(L878*6),L878*I861,SUM(B867:F867)*I861)),2)</f>
        <v>0</v>
      </c>
      <c r="J867" s="76">
        <f>ROUND(IF(SUM(B862:F866)&lt;(L878*5),IF((SUM(B862:F867))&gt;(L878*6),(((L878*6)-(SUM(B862:F867)-C866))*J861)+((SUM(B867:F867)-C866)*J861),SUM(B867:F867)*J861),IF(SUM(B862:F867)&gt;(L878*6),L878*J861,SUM(B867:F867)*J861)),2)</f>
        <v>0</v>
      </c>
      <c r="K867" s="76">
        <f>ROUND(IF(SUM(B862:F866)&lt;(L877*5),IF((SUM(B862:F867))&gt;(L877*6),(((L877*6)-(SUM(B862:F867)-C866))*K861)+((SUM(B867:F867)-C866)*K861),SUM(B867:F867)*K861),IF(SUM(B862:F867)&gt;(L877*6),L877*K861,SUM(B867:F867)*K861)),2)</f>
        <v>0</v>
      </c>
      <c r="L867" s="76">
        <f>ROUND(IF(SUM(B862:F866)&lt;(L878*5),IF((SUM(B862:F867))&gt;(L878*6),(((L878*6)-(SUM(B862:F867)-C867))*L861)+((SUM(B867:F867)-C867)*L861),(SUM(B867:F867)-C867)*L861),IF(SUM(B862:F867)&gt;(L878*6),L878*L861,SUM(B867:F867)*L861)),2)</f>
        <v>0</v>
      </c>
      <c r="M867" s="76">
        <f>ROUND(IF(SUM(B862:F866)&lt;(L878*5),IF((SUM(B862:F867))&gt;(L878*6),(((L878*6)-(SUM(B862:F867)-C867))*M861)+((SUM(B867:F867)-C867)*M861),(SUM(B867:F867)-C867)*M861),IF(SUM(B862:F867)&gt;(L878*6),L878*M861,SUM(B867:F867)*M861)),2)</f>
        <v>0</v>
      </c>
      <c r="N867" s="76">
        <f>ROUND(IF(SUM(B862:F866)&lt;(L878*5),IF((SUM(B862:F867))&gt;(L878*6),(((L878*6)-(SUM(B862:F867)-C866))*N861)+((SUM(B867:F867)-C866)*N861),SUM(B867:F867)*N861),IF(SUM(B862:F867)&gt;(L878*6),L878*N861,SUM(B867:F867)*N861)),2)</f>
        <v>0</v>
      </c>
      <c r="O867" s="23">
        <f>ROUND(SUM(B867+C867+F867)*O861,2)</f>
        <v>0</v>
      </c>
      <c r="P867" s="27">
        <f t="shared" si="98"/>
        <v>0</v>
      </c>
    </row>
    <row r="868" spans="1:16" s="1" customFormat="1" x14ac:dyDescent="0.2">
      <c r="A868" s="100" t="str">
        <f>$A$32</f>
        <v>Jul 2022</v>
      </c>
      <c r="B868" s="24">
        <f>ROUND(IF(P842=0,0,IFERROR(((LOOKUP(2,1/(A850:A853=A868),G850:G853))*P842*4.348),B867/P842*P842)),2)</f>
        <v>0</v>
      </c>
      <c r="C868" s="23">
        <f>ROUND(IFERROR(((LOOKUP(2,1/(B855=A868),((SUM(B868:B870)+SUM(F868:F870))/3)*C855))),0)+IFERROR(((LOOKUP(2,1/(E855=A868),(B874+F874)*F855))),0),2)</f>
        <v>0</v>
      </c>
      <c r="D868" s="23">
        <f>ROUND(IF(B868=0,0,D861/L843*P842),2)</f>
        <v>0</v>
      </c>
      <c r="E868" s="23">
        <f>ROUND(IF(B868=0,0,E861/N839*P842),2)</f>
        <v>0</v>
      </c>
      <c r="F868" s="24">
        <f>ROUND(IF(P842=0,0,IFERROR(((LOOKUP(2,1/(A850:A853=A868),H850:H853))/N839*P842),F867/P842*P842)),2)</f>
        <v>0</v>
      </c>
      <c r="G868" s="27">
        <f t="shared" si="97"/>
        <v>0</v>
      </c>
      <c r="H868" s="76">
        <f>ROUND(IF(SUM(B862:F867)&lt;(L877*6),IF((SUM(B862:F868))&gt;(L877*7),(((L877*7)-(SUM(B862:F868)-C867))*H861)+((SUM(B868:F868)-C867)*H861),SUM(B868:F868)*H861),IF(SUM(B862:F868)&gt;(L877*7),L877*H861,SUM(B868:F868)*H861)),2)</f>
        <v>0</v>
      </c>
      <c r="I868" s="76">
        <f>ROUND(IF(SUM(B862:F867)&lt;(L878*6),IF((SUM(B862:F868))&gt;(L878*7),(((L878*7)-(SUM(B862:F868)-C867))*I861)+((SUM(B868:F868)-C867)*I861),SUM(B868:F868)*I861),IF(SUM(B862:F868)&gt;(L878*7),L878*I861,SUM(B868:F868)*I861)),2)</f>
        <v>0</v>
      </c>
      <c r="J868" s="76">
        <f>ROUND(IF(SUM(B862:F867)&lt;(L878*6),IF((SUM(B862:F868))&gt;(L878*7),(((L878*7)-(SUM(B862:F868)-C867))*J861)+((SUM(B868:F868)-C867)*J861),SUM(B868:F868)*J861),IF(SUM(B862:F868)&gt;(L878*7),L878*J861,SUM(B868:F868)*J861)),2)</f>
        <v>0</v>
      </c>
      <c r="K868" s="76">
        <f>ROUND(IF(SUM(B862:F867)&lt;(L877*6),IF((SUM(B862:F868))&gt;(L877*7),(((L877*7)-(SUM(B862:F868)-C867))*K861)+((SUM(B868:F868)-C867)*K861),SUM(B868:F868)*K861),IF(SUM(B862:F868)&gt;(L877*7),L877*K861,SUM(B868:F868)*K861)),2)</f>
        <v>0</v>
      </c>
      <c r="L868" s="76">
        <f>ROUND(IF(SUM(B862:F867)&lt;(L878*6),IF((SUM(B862:F868))&gt;(L878*7),(((L878*7)-(SUM(B862:F868)-C868))*L861)+((SUM(B868:F868)-C868)*L861),(SUM(B868:F868)-C868)*L861),IF(SUM(B862:F868)&gt;(L878*7),L878*L861,SUM(B868:F868)*L861)),2)</f>
        <v>0</v>
      </c>
      <c r="M868" s="76">
        <f>ROUND(IF(SUM(B862:F867)&lt;(L878*6),IF((SUM(B862:F868))&gt;(L878*7),(((L878*7)-(SUM(B862:F868)-C868))*M861)+((SUM(B868:F868)-C868)*M861),(SUM(B868:F868)-C868)*M861),IF(SUM(B862:F868)&gt;(L878*7),L878*M861,SUM(B868:F868)*M861)),2)</f>
        <v>0</v>
      </c>
      <c r="N868" s="76">
        <f>ROUND(IF(SUM(B862:F867)&lt;(L878*6),IF((SUM(B862:F868))&gt;(L878*7),(((L878*7)-(SUM(B862:F868)-C867))*N861)+((SUM(B868:F868)-C867)*N861),SUM(B868:F868)*N861),IF(SUM(B862:F868)&gt;(L878*7),L878*N861,SUM(B868:F868)*N861)),2)</f>
        <v>0</v>
      </c>
      <c r="O868" s="23">
        <f>ROUND(SUM(B868+C868+F868)*O861,2)</f>
        <v>0</v>
      </c>
      <c r="P868" s="27">
        <f t="shared" si="98"/>
        <v>0</v>
      </c>
    </row>
    <row r="869" spans="1:16" s="1" customFormat="1" x14ac:dyDescent="0.2">
      <c r="A869" s="100" t="str">
        <f>$A$33</f>
        <v>Aug 2022</v>
      </c>
      <c r="B869" s="24">
        <f>ROUND(IF(P843=0,0,IFERROR(((LOOKUP(2,1/(A850:A853=A869),G850:G853))*P843*4.348),B868/P843*P843)),2)</f>
        <v>0</v>
      </c>
      <c r="C869" s="23">
        <f>ROUND(IFERROR(((LOOKUP(2,1/(B855=A869),((SUM(B868:B870)+SUM(F868:F870))/3)*C855))),0)+IFERROR(((LOOKUP(2,1/(E855=A869),(B874+F874)*F855))),0),2)</f>
        <v>0</v>
      </c>
      <c r="D869" s="23">
        <f>ROUND(IF(B869=0,0,D861/L843*P843),2)</f>
        <v>0</v>
      </c>
      <c r="E869" s="23">
        <f>ROUND(IF(B869=0,0,E861/N839*P843),2)</f>
        <v>0</v>
      </c>
      <c r="F869" s="24">
        <f>ROUND(IF(P843=0,0,IFERROR(((LOOKUP(2,1/(A850:A853=A869),H850:H853))/N839*P843),F868/P843*P843)),2)</f>
        <v>0</v>
      </c>
      <c r="G869" s="27">
        <f t="shared" si="97"/>
        <v>0</v>
      </c>
      <c r="H869" s="76">
        <f>ROUND(IF(SUM(B862:F868)&lt;(L877*7),IF((SUM(B862:F869))&gt;(L877*8),(((L877*8)-(SUM(B862:F869)-C868))*H861)+((SUM(B869:F869)-C868)*H861),SUM(B869:F869)*H861),IF(SUM(B862:F869)&gt;(L877*8),L877*H861,SUM(B869:F869)*H861)),2)</f>
        <v>0</v>
      </c>
      <c r="I869" s="76">
        <f>ROUND(IF(SUM(B862:F868)&lt;(L878*7),IF((SUM(B862:F869))&gt;(L878*8),(((L878*8)-(SUM(B862:F869)-C868))*I861)+((SUM(B869:F869)-C868)*I861),SUM(B869:F869)*I861),IF(SUM(B862:F869)&gt;(L878*8),L878*I861,SUM(B869:F869)*I861)),2)</f>
        <v>0</v>
      </c>
      <c r="J869" s="76">
        <f>ROUND(IF(SUM(B862:F868)&lt;(L878*7),IF((SUM(B862:F869))&gt;(L878*8),(((L878*8)-(SUM(B862:F869)-C868))*J861)+((SUM(B869:F869)-C868)*J861),SUM(B869:F869)*J861),IF(SUM(B862:F869)&gt;(L878*8),L878*J861,SUM(B869:F869)*J861)),2)</f>
        <v>0</v>
      </c>
      <c r="K869" s="76">
        <f>ROUND(IF(SUM(B862:F868)&lt;(L877*7),IF((SUM(B862:F869))&gt;(L877*8),(((L877*8)-(SUM(B862:F869)-C868))*K861)+((SUM(B869:F869)-C868)*K861),SUM(B869:F869)*K861),IF(SUM(B862:F869)&gt;(L877*8),L877*K861,SUM(B869:F869)*K861)),2)</f>
        <v>0</v>
      </c>
      <c r="L869" s="76">
        <f>ROUND(IF(SUM(B862:F868)&lt;(L878*7),IF((SUM(B862:F869))&gt;(L878*8),(((L878*8)-(SUM(B862:F869)-C869))*L861)+((SUM(B869:F869)-C869)*L861),(SUM(B869:F869)-C869)*L861),IF(SUM(B862:F869)&gt;(L878*8),L878*L861,SUM(B869:F869)*L861)),2)</f>
        <v>0</v>
      </c>
      <c r="M869" s="76">
        <f>ROUND(IF(SUM(B862:F868)&lt;(L878*7),IF((SUM(B862:F869))&gt;(L878*8),(((L878*8)-(SUM(B862:F869)-C869))*M861)+((SUM(B869:F869)-C869)*M861),(SUM(B869:F869)-C869)*M861),IF(SUM(B862:F869)&gt;(L878*8),L878*M861,SUM(B869:F869)*M861)),2)</f>
        <v>0</v>
      </c>
      <c r="N869" s="76">
        <f>ROUND(IF(SUM(B862:F868)&lt;(L878*7),IF((SUM(B862:F869))&gt;(L878*8),(((L878*8)-(SUM(B862:F869)-C868))*N861)+((SUM(B869:F869)-C868)*N861),SUM(B869:F869)*N861),IF(SUM(B862:F869)&gt;(L878*8),L878*N861,SUM(B869:F869)*N861)),2)</f>
        <v>0</v>
      </c>
      <c r="O869" s="23">
        <f>ROUND(SUM(B869+C869+F869)*O861,2)</f>
        <v>0</v>
      </c>
      <c r="P869" s="27">
        <f t="shared" si="98"/>
        <v>0</v>
      </c>
    </row>
    <row r="870" spans="1:16" s="1" customFormat="1" x14ac:dyDescent="0.2">
      <c r="A870" s="100" t="str">
        <f>$A$34</f>
        <v>Sep 2022</v>
      </c>
      <c r="B870" s="24">
        <f>ROUND(IF(P844=0,0,IFERROR(((LOOKUP(2,1/(A850:A853=A870),G850:G853))*P844*4.348),B869/P844*P844)),2)</f>
        <v>0</v>
      </c>
      <c r="C870" s="23">
        <f>ROUND(IFERROR(((LOOKUP(2,1/(B855=A870),((SUM(B868:B870)+SUM(F868:F870))/3)*C855))),0)+IFERROR(((LOOKUP(2,1/(E855=A870),(B874+F874)*F855))),0),2)</f>
        <v>0</v>
      </c>
      <c r="D870" s="23">
        <f>ROUND(IF(B870=0,0,D861/L843*P844),2)</f>
        <v>0</v>
      </c>
      <c r="E870" s="23">
        <f>ROUND(IF(B870=0,0,E861/N839*P844),2)</f>
        <v>0</v>
      </c>
      <c r="F870" s="24">
        <f>ROUND(IF(P844=0,0,IFERROR(((LOOKUP(2,1/(A850:A853=A870),H850:H853))/N839*P844),F869/P844*P844)),2)</f>
        <v>0</v>
      </c>
      <c r="G870" s="27">
        <f t="shared" si="97"/>
        <v>0</v>
      </c>
      <c r="H870" s="76">
        <f>ROUND(IF(SUM(B862:F869)&lt;(L877*8),IF((SUM(B862:F870))&gt;(L877*9),(((L877*9)-(SUM(B862:F870)-C869))*H861)+((SUM(B870:F870)-C869)*H861),SUM(B870:F870)*H861),IF(SUM(B862:F870)&gt;(L877*9),L877*H861,SUM(B870:F870)*H861)),2)</f>
        <v>0</v>
      </c>
      <c r="I870" s="76">
        <f>ROUND(IF(SUM(B862:F869)&lt;(L878*8),IF((SUM(B862:F870))&gt;(L878*9),(((L878*9)-(SUM(B862:F870)-C869))*I861)+((SUM(B870:F870)-C869)*I861),SUM(B870:F870)*I861),IF(SUM(B862:F870)&gt;(L878*9),L878*I861,SUM(B870:F870)*I861)),2)</f>
        <v>0</v>
      </c>
      <c r="J870" s="76">
        <f>ROUND(IF(SUM(B862:F869)&lt;(L878*8),IF((SUM(B862:F870))&gt;(L878*9),(((L878*9)-(SUM(B862:F870)-C869))*J861)+((SUM(B870:F870)-C869)*J861),SUM(B870:F870)*J861),IF(SUM(B862:F870)&gt;(L878*9),L878*J861,SUM(B870:F870)*J861)),2)</f>
        <v>0</v>
      </c>
      <c r="K870" s="76">
        <f>ROUND(IF(SUM(B862:F869)&lt;(L877*8),IF((SUM(B862:F870))&gt;(L877*9),(((L877*9)-(SUM(B862:F870)-C869))*K861)+((SUM(B870:F870)-C869)*K861),SUM(B870:F870)*K861),IF(SUM(B862:F870)&gt;(L877*9),L877*K861,SUM(B870:F870)*K861)),2)</f>
        <v>0</v>
      </c>
      <c r="L870" s="76">
        <f>ROUND(IF(SUM(B862:F869)&lt;(L878*8),IF((SUM(B862:F870))&gt;(L878*9),(((L878*9)-(SUM(B862:F870)-C870))*L861)+((SUM(B870:F870)-C870)*L861),(SUM(B870:F870)-C870)*L861),IF(SUM(B862:F870)&gt;(L878*9),L878*L861,SUM(B870:F870)*L861)),2)</f>
        <v>0</v>
      </c>
      <c r="M870" s="76">
        <f>ROUND(IF(SUM(B862:F869)&lt;(L878*8),IF((SUM(B862:F870))&gt;(L878*9),(((L878*9)-(SUM(B862:F870)-C870))*M861)+((SUM(B870:F870)-C870)*M861),(SUM(B870:F870)-C870)*M861),IF(SUM(B862:F870)&gt;(L878*9),L878*M861,SUM(B870:F870)*M861)),2)</f>
        <v>0</v>
      </c>
      <c r="N870" s="76">
        <f>ROUND(IF(SUM(B862:F869)&lt;(L878*8),IF((SUM(B862:F870))&gt;(L878*9),(((L878*9)-(SUM(B862:F870)-C869))*N861)+((SUM(B870:F870)-C869)*N861),SUM(B870:F870)*N861),IF(SUM(B862:F870)&gt;(L878*9),L878*N861,SUM(B870:F870)*N861)),2)</f>
        <v>0</v>
      </c>
      <c r="O870" s="23">
        <f>ROUND(SUM(B870+C870+F870)*O861,2)</f>
        <v>0</v>
      </c>
      <c r="P870" s="27">
        <f t="shared" si="98"/>
        <v>0</v>
      </c>
    </row>
    <row r="871" spans="1:16" s="1" customFormat="1" x14ac:dyDescent="0.2">
      <c r="A871" s="100" t="str">
        <f>$A$35</f>
        <v>Okt 2022</v>
      </c>
      <c r="B871" s="24">
        <f>ROUND(IF(P845=0,0,IFERROR(((LOOKUP(2,1/(A850:A853=A871),G850:G853))*P845*4.348),B870/P845*P845)),2)</f>
        <v>0</v>
      </c>
      <c r="C871" s="23">
        <f>ROUND(IFERROR(((LOOKUP(2,1/(B855=A871),((SUM(B868:B870)+SUM(F868:F870))/3)*C855))),0)+IFERROR(((LOOKUP(2,1/(E855=A871),(B874+F874)*F855))),0),2)</f>
        <v>0</v>
      </c>
      <c r="D871" s="23">
        <f>ROUND(IF(B871=0,0,D861/L843*P845),2)</f>
        <v>0</v>
      </c>
      <c r="E871" s="23">
        <f>ROUND(IF(B871=0,0,E861/N839*P845),2)</f>
        <v>0</v>
      </c>
      <c r="F871" s="24">
        <f>ROUND(IF(P845=0,0,IFERROR(((LOOKUP(2,1/(A850:A853=A871),H850:H853))/N839*P845),F870/P845*P845)),2)</f>
        <v>0</v>
      </c>
      <c r="G871" s="27">
        <f t="shared" si="97"/>
        <v>0</v>
      </c>
      <c r="H871" s="76">
        <f>ROUND(IF(SUM(B862:F870)&lt;(L877*9),IF((SUM(B862:F871))&gt;(L877*10),(((L877*10)-(SUM(B862:F871)-C870))*H861)+((SUM(B871:F871)-C870)*H861),SUM(B871:F871)*H861),IF(SUM(B862:F871)&gt;(L877*10),L877*H861,SUM(B871:F871)*H861)),2)</f>
        <v>0</v>
      </c>
      <c r="I871" s="76">
        <f>ROUND(IF(SUM(B862:F870)&lt;(L878*9),IF((SUM(B862:F871))&gt;(L878*10),(((L878*10)-(SUM(B862:F871)-C870))*I861)+((SUM(B871:F871)-C870)*I861),SUM(B871:F871)*I861),IF(SUM(B862:F871)&gt;(L878*10),L878*I861,SUM(B871:F871)*I861)),2)</f>
        <v>0</v>
      </c>
      <c r="J871" s="76">
        <f>ROUND(IF(SUM(B862:F870)&lt;(L878*9),IF((SUM(B862:F871))&gt;(L878*10),(((L878*10)-(SUM(B862:F871)-C870))*J861)+((SUM(B871:F871)-C870)*J861),SUM(B871:F871)*J861),IF(SUM(B862:F871)&gt;(L878*10),L878*J861,SUM(B871:F871)*J861)),2)</f>
        <v>0</v>
      </c>
      <c r="K871" s="76">
        <f>ROUND(IF(SUM(B862:F870)&lt;(L877*9),IF((SUM(B862:F871))&gt;(L877*10),(((L877*10)-(SUM(B862:F871)-C870))*K861)+((SUM(B871:F871)-C870)*K861),SUM(B871:F871)*K861),IF(SUM(B862:F871)&gt;(L877*10),L877*K861,SUM(B871:F871)*K861)),2)</f>
        <v>0</v>
      </c>
      <c r="L871" s="76">
        <f>ROUND(IF(SUM(B862:F870)&lt;(L878*9),IF((SUM(B862:F871))&gt;(L878*10),(((L878*10)-(SUM(B862:F871)-C871))*L861)+((SUM(B871:F871)-C871)*L861),(SUM(B871:F871)-C871)*L861),IF(SUM(B862:F871)&gt;(L878*10),L878*L861,SUM(B871:F871)*L861)),2)</f>
        <v>0</v>
      </c>
      <c r="M871" s="76">
        <f>ROUND(IF(SUM(B862:F870)&lt;(L878*9),IF((SUM(B862:F871))&gt;(L878*10),(((L878*10)-(SUM(B862:F871)-C871))*M861)+((SUM(B871:F871)-C871)*M861),(SUM(B871:F871)-C871)*M861),IF(SUM(B862:F871)&gt;(L878*10),L878*M861,SUM(B871:F871)*M861)),2)</f>
        <v>0</v>
      </c>
      <c r="N871" s="76">
        <f>ROUND(IF(SUM(B862:F870)&lt;(L878*9),IF((SUM(B862:F871))&gt;(L878*10),(((L878*10)-(SUM(B862:F871)-C870))*N861)+((SUM(B871:F871)-C870)*N861),SUM(B871:F871)*N861),IF(SUM(B862:F871)&gt;(L878*10),L878*N861,SUM(B871:F871)*N861)),2)</f>
        <v>0</v>
      </c>
      <c r="O871" s="23">
        <f>ROUND(SUM(B871+C871+F871)*O861,2)</f>
        <v>0</v>
      </c>
      <c r="P871" s="27">
        <f t="shared" si="98"/>
        <v>0</v>
      </c>
    </row>
    <row r="872" spans="1:16" s="1" customFormat="1" x14ac:dyDescent="0.2">
      <c r="A872" s="100" t="str">
        <f>$A$36</f>
        <v>Nov 2022</v>
      </c>
      <c r="B872" s="24">
        <f>ROUND(IF(P846=0,0,IFERROR(((LOOKUP(2,1/(A850:A853=A872),G850:G853))*P846*4.348),B871/P846*P846)),2)</f>
        <v>0</v>
      </c>
      <c r="C872" s="23">
        <f>ROUND(IFERROR(((LOOKUP(2,1/(B855=A872),((SUM(B868:B870)+SUM(F868:F870))/3)*C855))),0)+IFERROR(((LOOKUP(2,1/(E855=A872),(B874+F874)*F855))),0),2)</f>
        <v>0</v>
      </c>
      <c r="D872" s="23">
        <f>ROUND(IF(B872=0,0,D861/L843*P846),2)</f>
        <v>0</v>
      </c>
      <c r="E872" s="23">
        <f>ROUND(IF(B872=0,0,E861/N839*P846),2)</f>
        <v>0</v>
      </c>
      <c r="F872" s="24">
        <f>ROUND(IF(P846=0,0,IFERROR(((LOOKUP(2,1/(A850:A853=A872),H850:H853))/N839*P846),F871/P846*P846)),2)</f>
        <v>0</v>
      </c>
      <c r="G872" s="27">
        <f t="shared" si="97"/>
        <v>0</v>
      </c>
      <c r="H872" s="76">
        <f>ROUND(IF(SUM(B862:F871)&lt;(L877*10),IF((SUM(B862:F872))&gt;(L877*11),(((L877*11)-(SUM(B862:F872)-C871))*H861)+((SUM(B872:F872)-C871)*H861),SUM(B872:F872)*H861),IF(SUM(B862:F872)&gt;(L877*11),L877*H861,SUM(B872:F872)*H861)),2)</f>
        <v>0</v>
      </c>
      <c r="I872" s="76">
        <f>ROUND(IF(SUM(B862:F871)&lt;(L878*10),IF((SUM(B862:F872))&gt;(L878*11),(((L878*11)-(SUM(B862:F872)-C871))*I861)+((SUM(B872:F872)-C871)*I861),SUM(B872:F872)*I861),IF(SUM(B862:F872)&gt;(L878*11),L878*I861,SUM(B872:F872)*I861)),2)</f>
        <v>0</v>
      </c>
      <c r="J872" s="76">
        <f>ROUND(IF(SUM(B862:F871)&lt;(L878*10),IF((SUM(B862:F872))&gt;(L878*11),(((L878*11)-(SUM(B862:F872)-C871))*J861)+((SUM(B872:F872)-C871)*J861),SUM(B872:F872)*J861),IF(SUM(B862:F872)&gt;(L878*11),L878*J861,SUM(B872:F872)*J861)),2)</f>
        <v>0</v>
      </c>
      <c r="K872" s="76">
        <f>ROUND(IF(SUM(B862:F871)&lt;(L877*10),IF((SUM(B862:F872))&gt;(L877*11),(((L877*11)-(SUM(B862:F872)-C871))*K861)+((SUM(B872:F872)-C871)*K861),SUM(B872:F872)*K861),IF(SUM(B862:F872)&gt;(L877*11),L877*K861,SUM(B872:F872)*K861)),2)</f>
        <v>0</v>
      </c>
      <c r="L872" s="76">
        <f>ROUND(IF(SUM(B862:F871)&lt;(L878*10),IF((SUM(B862:F872))&gt;(L878*11),(((L878*11)-(SUM(B862:F872)-C872))*L861)+((SUM(B872:F872)-C872)*L861),(SUM(B872:F872)-C872)*L861),IF(SUM(B862:F872)&gt;(L878*11),L878*L861,SUM(B872:F872)*L861)),2)</f>
        <v>0</v>
      </c>
      <c r="M872" s="76">
        <f>ROUND(IF(SUM(B862:F871)&lt;(L878*10),IF((SUM(B862:F872))&gt;(L878*11),(((L878*11)-(SUM(B862:F872)-C872))*M861)+((SUM(B872:F872)-C872)*M861),(SUM(B872:F872)-C872)*M861),IF(SUM(B862:F872)&gt;(L878*11),L878*M861,SUM(B872:F872)*M861)),2)</f>
        <v>0</v>
      </c>
      <c r="N872" s="76">
        <f>ROUND(IF(SUM(B862:F871)&lt;(L878*10),IF((SUM(B862:F872))&gt;(L878*11),(((L878*11)-(SUM(B862:F872)-C871))*N861)+((SUM(B872:F872)-C871)*N861),SUM(B872:F872)*N861),IF(SUM(B862:F872)&gt;(L878*11),L878*N861,SUM(B872:F872)*N861)),2)</f>
        <v>0</v>
      </c>
      <c r="O872" s="23">
        <f>ROUND(SUM(B872+C872+F872)*O861,2)</f>
        <v>0</v>
      </c>
      <c r="P872" s="27">
        <f t="shared" si="98"/>
        <v>0</v>
      </c>
    </row>
    <row r="873" spans="1:16" s="1" customFormat="1" x14ac:dyDescent="0.2">
      <c r="A873" s="100" t="str">
        <f>$A$37</f>
        <v>Dez 2022</v>
      </c>
      <c r="B873" s="24">
        <f>ROUND(IF(P847=0,0,IFERROR(((LOOKUP(2,1/(A850:A853=A873),G850:G853))*P847*4.348),B872/P847*P847)),2)</f>
        <v>0</v>
      </c>
      <c r="C873" s="23">
        <f>ROUND(IFERROR(((LOOKUP(2,1/(B855=A873),((SUM(B868:B870)+SUM(F868:F870))/3)*C855))),0)+IFERROR(((LOOKUP(2,1/(E855=A873),(B874+F874)*F855))),0),2)</f>
        <v>0</v>
      </c>
      <c r="D873" s="23">
        <f>ROUND(IF(B873=0,0,D861/L843*P847),2)</f>
        <v>0</v>
      </c>
      <c r="E873" s="23">
        <f>ROUND(IF(B873=0,0,E861/N839*P847),2)</f>
        <v>0</v>
      </c>
      <c r="F873" s="24">
        <f>ROUND(IF(P847=0,0,IFERROR(((LOOKUP(2,1/(A850:A853=A873),H850:H853))/N839*P847),F872/P847*P847)),2)</f>
        <v>0</v>
      </c>
      <c r="G873" s="27">
        <f t="shared" si="97"/>
        <v>0</v>
      </c>
      <c r="H873" s="76">
        <f>ROUND(IF(SUM(B862:F872)&lt;(L877*11),IF((SUM(B862:F873))&gt;(L877*12),(((L877*12)-(SUM(B862:F873)-C872))*H861)+((SUM(B873:F873)-C872)*H861),SUM(B873:F873)*H861),IF(SUM(B862:F873)&gt;(L877*12),L877*H861,SUM(B873:F873)*H861)),2)</f>
        <v>0</v>
      </c>
      <c r="I873" s="76">
        <f>ROUND(IF(SUM(B862:F872)&lt;(L878*11),IF((SUM(B862:F873))&gt;(L878*12),(((L878*12)-(SUM(B862:F873)-C872))*I861)+((SUM(B873:F873)-C872)*I861),SUM(B873:F873)*I861),IF(SUM(B862:F873)&gt;(L878*12),L878*I861,SUM(B873:F873)*I861)),2)</f>
        <v>0</v>
      </c>
      <c r="J873" s="76">
        <f>ROUND(IF(SUM(B862:F872)&lt;(L878*11),IF((SUM(B862:F873))&gt;(L878*12),(((L878*12)-(SUM(B862:F873)-C872))*J861)+((SUM(B873:F873)-C872)*J861),SUM(B873:F873)*J861),IF(SUM(B862:F873)&gt;(L878*12),L878*J861,SUM(B873:F873)*J861)),2)</f>
        <v>0</v>
      </c>
      <c r="K873" s="76">
        <f>ROUND(IF(SUM(B862:F872)&lt;(L877*11),IF((SUM(B862:F873))&gt;(L877*12),(((L877*12)-(SUM(B862:F873)-C872))*K861)+((SUM(B873:F873)-C872)*K861),SUM(B873:F873)*K861),IF(SUM(B862:F873)&gt;(L877*12),L877*K861,SUM(B873:F873)*K861)),2)</f>
        <v>0</v>
      </c>
      <c r="L873" s="76">
        <f>ROUND(IF(SUM(B862:F872)&lt;(L878*11),IF((SUM(B862:F873))&gt;(L878*12),(((L878*12)-(SUM(B862:F873)-C873))*L861)+((SUM(B873:F873)-C873)*L861),(SUM(B873:F873)-C873)*L861),IF(SUM(B862:F873)&gt;(L878*12),L878*L861,SUM(B873:F873)*L861)),2)</f>
        <v>0</v>
      </c>
      <c r="M873" s="76">
        <f>ROUND(IF(SUM(B862:F872)&lt;(L878*11),IF((SUM(B862:F873))&gt;(L878*12),(((L878*12)-(SUM(B862:F873)-C873))*M861)+((SUM(B873:F873)-C873)*M861),(SUM(B873:F873)-C873)*M861),IF(SUM(B862:F873)&gt;(L878*12),L878*M861,SUM(B873:F873)*M861)),2)</f>
        <v>0</v>
      </c>
      <c r="N873" s="76">
        <f>ROUND(IF(SUM(B862:F872)&lt;(L878*11),IF((SUM(B862:F873))&gt;(L878*12),(((L878*12)-(SUM(B862:F873)-C872))*N861)+((SUM(B873:F873)-C872)*N861),SUM(B873:F873)*N861),IF(SUM(B862:F873)&gt;(L878*12),L878*N861,SUM(B873:F873)*N861)),2)</f>
        <v>0</v>
      </c>
      <c r="O873" s="23">
        <f>ROUND(SUM(B873+C873+F873)*O861,2)</f>
        <v>0</v>
      </c>
      <c r="P873" s="27">
        <f t="shared" si="98"/>
        <v>0</v>
      </c>
    </row>
    <row r="874" spans="1:16" s="14" customFormat="1" ht="15" x14ac:dyDescent="0.25">
      <c r="A874" s="4" t="s">
        <v>2</v>
      </c>
      <c r="B874" s="27">
        <f>SUM(B862:B873)</f>
        <v>0</v>
      </c>
      <c r="C874" s="27">
        <f t="shared" ref="C874:D874" si="99">SUM(C862:C873)</f>
        <v>0</v>
      </c>
      <c r="D874" s="27">
        <f t="shared" si="99"/>
        <v>0</v>
      </c>
      <c r="E874" s="27">
        <f>SUM(E862:E873)</f>
        <v>0</v>
      </c>
      <c r="F874" s="27">
        <f>SUM(F862:F873)</f>
        <v>0</v>
      </c>
      <c r="G874" s="27">
        <f>SUM(G862:G873)</f>
        <v>0</v>
      </c>
      <c r="H874" s="1133">
        <f>SUM(H862:N873)</f>
        <v>0</v>
      </c>
      <c r="I874" s="1134"/>
      <c r="J874" s="1134"/>
      <c r="K874" s="1134"/>
      <c r="L874" s="1134"/>
      <c r="M874" s="1134"/>
      <c r="N874" s="1135"/>
      <c r="O874" s="27">
        <f>SUM(O862:O873)</f>
        <v>0</v>
      </c>
      <c r="P874" s="27">
        <f>SUM(P862:P873)</f>
        <v>0</v>
      </c>
    </row>
    <row r="875" spans="1:16" s="13" customFormat="1" ht="11.25" x14ac:dyDescent="0.2">
      <c r="A875" s="3" t="s">
        <v>1</v>
      </c>
      <c r="B875" s="2"/>
      <c r="C875" s="2"/>
      <c r="D875" s="2"/>
      <c r="E875" s="2"/>
      <c r="F875" s="2"/>
      <c r="G875" s="2"/>
      <c r="H875" s="2"/>
      <c r="I875" s="2"/>
      <c r="J875" s="2"/>
      <c r="K875" s="2"/>
      <c r="L875" s="2"/>
      <c r="M875" s="2"/>
      <c r="N875" s="2"/>
      <c r="O875" s="2"/>
      <c r="P875" s="2"/>
    </row>
    <row r="876" spans="1:16" s="1" customFormat="1" ht="14.25" customHeight="1" x14ac:dyDescent="0.2">
      <c r="A876" s="1136" t="s">
        <v>133</v>
      </c>
      <c r="B876" s="1137"/>
      <c r="C876" s="1137"/>
      <c r="D876" s="1137" t="s">
        <v>134</v>
      </c>
      <c r="E876" s="1137"/>
      <c r="F876" s="94" t="str">
        <f>IF(IF(G874=0,"",'päd.Personal - Leitung'!$F$40)=0,"",IF(G874=0,"",'päd.Personal - Leitung'!$F$40))</f>
        <v/>
      </c>
      <c r="G876" s="77" t="s">
        <v>135</v>
      </c>
      <c r="H876" s="96" t="str">
        <f>IF(IF(G874=0,"",'päd.Personal - Leitung'!$H$40)=0,"",IF(G874=0,"",'päd.Personal - Leitung'!$H$40))</f>
        <v/>
      </c>
      <c r="I876" s="73"/>
      <c r="J876" s="194" t="s">
        <v>160</v>
      </c>
      <c r="K876" s="194" t="str">
        <f>$K$40</f>
        <v>2021</v>
      </c>
      <c r="L876" s="194" t="str">
        <f>$L$40</f>
        <v>anteilig 2021</v>
      </c>
      <c r="M876" s="1138" t="s">
        <v>140</v>
      </c>
      <c r="N876" s="1138"/>
      <c r="O876" s="1139"/>
      <c r="P876" s="27">
        <f>ROUND(IF(F876="",IF(E880="",0,(E880*H880/K880)/L843*L844),G874*F876*H876/1000),2)</f>
        <v>0</v>
      </c>
    </row>
    <row r="877" spans="1:16" s="1" customFormat="1" ht="15" customHeight="1" x14ac:dyDescent="0.2">
      <c r="A877" s="1140" t="s">
        <v>145</v>
      </c>
      <c r="B877" s="1141"/>
      <c r="C877" s="1141"/>
      <c r="D877" s="18"/>
      <c r="E877" s="107" t="s">
        <v>135</v>
      </c>
      <c r="F877" s="95" t="str">
        <f>IF(IF(G874=0,"",'päd.Personal - Leitung'!$F$41)=0,"",IF(G874=0,"",'päd.Personal - Leitung'!$F$41))</f>
        <v/>
      </c>
      <c r="G877" s="48"/>
      <c r="H877" s="47"/>
      <c r="I877" s="48"/>
      <c r="J877" s="195" t="s">
        <v>158</v>
      </c>
      <c r="K877" s="198">
        <f>$K$41</f>
        <v>4837.5</v>
      </c>
      <c r="L877" s="197">
        <f>IF(L843="",K877,K877/L843*L844)</f>
        <v>4837.5</v>
      </c>
      <c r="M877" s="1138" t="s">
        <v>139</v>
      </c>
      <c r="N877" s="1138"/>
      <c r="O877" s="1139"/>
      <c r="P877" s="27">
        <f>ROUND(IF(F877="",0,G874*F877/1000),2)</f>
        <v>0</v>
      </c>
    </row>
    <row r="878" spans="1:16" s="1" customFormat="1" ht="15.75" customHeight="1" x14ac:dyDescent="0.2">
      <c r="A878" s="1142" t="s">
        <v>141</v>
      </c>
      <c r="B878" s="1143"/>
      <c r="C878" s="1143"/>
      <c r="D878" s="1144" t="s">
        <v>143</v>
      </c>
      <c r="E878" s="1144"/>
      <c r="F878" s="1145" t="str">
        <f>IF(IF(G874=0,"",'päd.Personal - Leitung'!$F$42)=0,"",IF(G874=0,"",'päd.Personal - Leitung'!$F$42))</f>
        <v/>
      </c>
      <c r="G878" s="1145"/>
      <c r="H878" s="72"/>
      <c r="I878" s="18"/>
      <c r="J878" s="195" t="s">
        <v>159</v>
      </c>
      <c r="K878" s="197">
        <f>$K$42</f>
        <v>6700</v>
      </c>
      <c r="L878" s="197">
        <f>IF(L843="",K878,K878/L843*L844)</f>
        <v>6700</v>
      </c>
      <c r="M878" s="1138" t="s">
        <v>141</v>
      </c>
      <c r="N878" s="1138"/>
      <c r="O878" s="1139"/>
      <c r="P878" s="23">
        <f>ROUND(IF(F878="",0,IF(G874=0,0,F878/L843*L844)),2)</f>
        <v>0</v>
      </c>
    </row>
    <row r="879" spans="1:16" s="1" customFormat="1" ht="14.25" customHeight="1" x14ac:dyDescent="0.2">
      <c r="A879" s="18"/>
      <c r="B879" s="18"/>
      <c r="C879" s="18"/>
      <c r="D879" s="18"/>
      <c r="E879" s="18"/>
      <c r="F879" s="18"/>
      <c r="G879" s="18"/>
      <c r="H879" s="18"/>
      <c r="I879" s="18"/>
      <c r="J879" s="18"/>
      <c r="K879" s="74"/>
      <c r="L879" s="82"/>
      <c r="M879" s="1127" t="s">
        <v>146</v>
      </c>
      <c r="N879" s="1127"/>
      <c r="O879" s="1128"/>
      <c r="P879" s="23">
        <f>ROUND(IF(G874=0,0,$P$87),2)</f>
        <v>0</v>
      </c>
    </row>
    <row r="880" spans="1:16" s="1" customFormat="1" ht="14.25" customHeight="1" x14ac:dyDescent="0.2">
      <c r="A880" s="1129" t="s">
        <v>142</v>
      </c>
      <c r="B880" s="1130"/>
      <c r="C880" s="126" t="s">
        <v>136</v>
      </c>
      <c r="D880" s="179" t="s">
        <v>137</v>
      </c>
      <c r="E880" s="1131" t="str">
        <f>IF(IF(G874=0,"",'päd.Personal - Leitung'!$E$44)=0,"",IF(G874=0,"",'päd.Personal - Leitung'!$E$44))</f>
        <v/>
      </c>
      <c r="F880" s="1131"/>
      <c r="G880" s="83" t="s">
        <v>138</v>
      </c>
      <c r="H880" s="97" t="str">
        <f>IF(IF(G874=0,"",'päd.Personal - Leitung'!$H$44)=0,"",IF(G874=0,"",'päd.Personal - Leitung'!$H$44))</f>
        <v/>
      </c>
      <c r="I880" s="1132" t="s">
        <v>144</v>
      </c>
      <c r="J880" s="1132"/>
      <c r="K880" s="98" t="str">
        <f>IF(IF(G874=0,"",'päd.Personal - Leitung'!$K$44)=0,"",IF(G874=0,"",'päd.Personal - Leitung'!$K$44))</f>
        <v/>
      </c>
      <c r="L880" s="29"/>
      <c r="M880" s="29"/>
      <c r="N880" s="29"/>
      <c r="O880" s="28" t="s">
        <v>0</v>
      </c>
      <c r="P880" s="27">
        <f>P874+SUM(P876:P879)</f>
        <v>0</v>
      </c>
    </row>
    <row r="881" spans="1:16" s="12" customFormat="1" ht="13.5" customHeight="1" x14ac:dyDescent="0.2">
      <c r="A881" s="1178" t="s">
        <v>18</v>
      </c>
      <c r="B881" s="1178"/>
      <c r="C881" s="1178"/>
      <c r="D881" s="1179" t="str">
        <f>IF($D$1="","",$D$1)</f>
        <v/>
      </c>
      <c r="E881" s="1179"/>
      <c r="F881" s="1179"/>
      <c r="G881" s="1179"/>
      <c r="H881" s="1179"/>
      <c r="I881" s="1179"/>
      <c r="J881" s="1179"/>
      <c r="K881" s="1179"/>
      <c r="L881" s="1179"/>
      <c r="M881" s="1179"/>
      <c r="N881" s="1179"/>
    </row>
    <row r="882" spans="1:16" s="12" customFormat="1" ht="15" customHeight="1" x14ac:dyDescent="0.2">
      <c r="A882" s="1178" t="s">
        <v>17</v>
      </c>
      <c r="B882" s="1178"/>
      <c r="C882" s="1178" t="s">
        <v>15</v>
      </c>
      <c r="D882" s="1179" t="str">
        <f>IF($D$2="","",$D$2)</f>
        <v/>
      </c>
      <c r="E882" s="1179"/>
      <c r="F882" s="1179"/>
      <c r="G882" s="1179"/>
      <c r="H882" s="1179"/>
      <c r="I882" s="1179"/>
      <c r="J882" s="1179"/>
      <c r="K882" s="1179"/>
      <c r="L882" s="1179"/>
      <c r="M882" s="1179"/>
      <c r="N882" s="1179"/>
    </row>
    <row r="883" spans="1:16" s="12" customFormat="1" ht="15" customHeight="1" x14ac:dyDescent="0.2">
      <c r="A883" s="1178" t="s">
        <v>16</v>
      </c>
      <c r="B883" s="1178"/>
      <c r="C883" s="1178" t="s">
        <v>15</v>
      </c>
      <c r="D883" s="1179" t="str">
        <f>IF($D$3="","",$D$3)</f>
        <v/>
      </c>
      <c r="E883" s="1179"/>
      <c r="F883" s="1179"/>
      <c r="G883" s="1179"/>
      <c r="H883" s="1179"/>
      <c r="I883" s="1179"/>
      <c r="J883" s="1179"/>
      <c r="K883" s="1178" t="s">
        <v>103</v>
      </c>
      <c r="L883" s="1178"/>
      <c r="M883" s="1178"/>
      <c r="N883" s="41" t="str">
        <f>IF($N$3="","",$N$3)</f>
        <v/>
      </c>
    </row>
    <row r="884" spans="1:16" s="13" customFormat="1" ht="11.25" x14ac:dyDescent="0.2">
      <c r="A884" s="1182"/>
      <c r="B884" s="1182"/>
      <c r="C884" s="1182"/>
      <c r="D884" s="1183"/>
      <c r="E884" s="1183"/>
      <c r="F884" s="1183"/>
      <c r="G884" s="1183"/>
      <c r="H884" s="1183"/>
      <c r="I884" s="1183"/>
      <c r="J884" s="1183"/>
      <c r="K884" s="11"/>
      <c r="L884" s="11"/>
      <c r="M884" s="11"/>
      <c r="N884" s="11"/>
      <c r="O884" s="11"/>
      <c r="P884" s="11"/>
    </row>
    <row r="885" spans="1:16" s="15" customFormat="1" ht="13.5" customHeight="1" x14ac:dyDescent="0.2">
      <c r="A885" s="1177" t="s">
        <v>166</v>
      </c>
      <c r="B885" s="1177"/>
      <c r="C885" s="1177"/>
      <c r="D885" s="1177"/>
      <c r="E885" s="1177"/>
      <c r="F885" s="1177"/>
      <c r="G885" s="1177"/>
      <c r="H885" s="1177"/>
      <c r="I885" s="1177"/>
      <c r="J885" s="1177"/>
      <c r="K885" s="9"/>
      <c r="L885" s="9"/>
      <c r="M885" s="9"/>
      <c r="N885" s="59" t="s">
        <v>154</v>
      </c>
      <c r="O885" s="191">
        <f>$O$5</f>
        <v>2022</v>
      </c>
      <c r="P885" s="59" t="s">
        <v>154</v>
      </c>
    </row>
    <row r="886" spans="1:16" s="10" customFormat="1" ht="13.5" customHeight="1" x14ac:dyDescent="0.25">
      <c r="B886" s="32"/>
      <c r="C886" s="32"/>
      <c r="D886" s="5" t="s">
        <v>54</v>
      </c>
      <c r="E886" s="31"/>
      <c r="F886" s="31"/>
      <c r="G886" s="31"/>
      <c r="H886" s="31"/>
      <c r="I886" s="26"/>
      <c r="J886" s="1174" t="s">
        <v>14</v>
      </c>
      <c r="K886" s="1174"/>
      <c r="L886" s="180"/>
      <c r="N886" s="84">
        <f>IF(L888="","",L888)</f>
        <v>0</v>
      </c>
      <c r="O886" s="58" t="str">
        <f>$O$6</f>
        <v>Jan                Jul</v>
      </c>
      <c r="P886" s="85">
        <f>IF(N891="","",N891)</f>
        <v>0</v>
      </c>
    </row>
    <row r="887" spans="1:16" s="7" customFormat="1" ht="13.5" customHeight="1" x14ac:dyDescent="0.25">
      <c r="A887" s="1180" t="s">
        <v>71</v>
      </c>
      <c r="B887" s="1180"/>
      <c r="C887" s="1180"/>
      <c r="D887" s="1184"/>
      <c r="E887" s="1184"/>
      <c r="F887" s="1184"/>
      <c r="G887" s="1184"/>
      <c r="H887" s="1184"/>
      <c r="I887" s="1184"/>
      <c r="J887" s="1174" t="s">
        <v>104</v>
      </c>
      <c r="K887" s="1174"/>
      <c r="L887" s="145"/>
      <c r="N887" s="85">
        <f>IF(N886="","",N886)</f>
        <v>0</v>
      </c>
      <c r="O887" s="58" t="str">
        <f>$O$7</f>
        <v>Feb              Aug</v>
      </c>
      <c r="P887" s="85">
        <f>IF(P886="","",P886)</f>
        <v>0</v>
      </c>
    </row>
    <row r="888" spans="1:16" s="1" customFormat="1" ht="13.5" customHeight="1" x14ac:dyDescent="0.2">
      <c r="A888" s="1180" t="s">
        <v>13</v>
      </c>
      <c r="B888" s="1180"/>
      <c r="C888" s="1180"/>
      <c r="D888" s="1181"/>
      <c r="E888" s="1181"/>
      <c r="F888" s="1181"/>
      <c r="G888" s="1181"/>
      <c r="H888" s="1181"/>
      <c r="I888" s="1181"/>
      <c r="J888" s="1174" t="s">
        <v>164</v>
      </c>
      <c r="K888" s="1174"/>
      <c r="L888" s="145">
        <f>IF((L889+L890)&gt;L887,0,L887-L889-L890)</f>
        <v>0</v>
      </c>
      <c r="N888" s="85">
        <f>IF(N887="","",N887)</f>
        <v>0</v>
      </c>
      <c r="O888" s="58" t="str">
        <f>$O$8</f>
        <v>Mrz              Sep</v>
      </c>
      <c r="P888" s="85">
        <f>IF(P887="","",P887)</f>
        <v>0</v>
      </c>
    </row>
    <row r="889" spans="1:16" s="1" customFormat="1" ht="13.5" customHeight="1" x14ac:dyDescent="0.2">
      <c r="A889" s="1180" t="s">
        <v>12</v>
      </c>
      <c r="B889" s="1180"/>
      <c r="C889" s="1180"/>
      <c r="D889" s="1181"/>
      <c r="E889" s="1181"/>
      <c r="F889" s="1181"/>
      <c r="G889" s="1181"/>
      <c r="H889" s="1181"/>
      <c r="I889" s="1181"/>
      <c r="J889" s="1174" t="s">
        <v>165</v>
      </c>
      <c r="K889" s="1174"/>
      <c r="L889" s="145"/>
      <c r="N889" s="85">
        <f>IF(N888="","",N888)</f>
        <v>0</v>
      </c>
      <c r="O889" s="58" t="str">
        <f>$O$9</f>
        <v>Apr               Okt</v>
      </c>
      <c r="P889" s="85">
        <f t="shared" ref="P889:P891" si="100">IF(P888="","",P888)</f>
        <v>0</v>
      </c>
    </row>
    <row r="890" spans="1:16" s="1" customFormat="1" ht="13.5" customHeight="1" x14ac:dyDescent="0.2">
      <c r="A890" s="1180" t="s">
        <v>19</v>
      </c>
      <c r="B890" s="1180"/>
      <c r="C890" s="1180"/>
      <c r="D890" s="1181"/>
      <c r="E890" s="1181"/>
      <c r="F890" s="1181"/>
      <c r="G890" s="1181"/>
      <c r="H890" s="1181"/>
      <c r="I890" s="1181"/>
      <c r="J890" s="1174" t="s">
        <v>252</v>
      </c>
      <c r="K890" s="1174"/>
      <c r="L890" s="145"/>
      <c r="M890" s="92"/>
      <c r="N890" s="85">
        <f>IF(N889="","",N889)</f>
        <v>0</v>
      </c>
      <c r="O890" s="58" t="str">
        <f>$O$10</f>
        <v>Mai               Nov</v>
      </c>
      <c r="P890" s="85">
        <f t="shared" si="100"/>
        <v>0</v>
      </c>
    </row>
    <row r="891" spans="1:16" s="1" customFormat="1" ht="13.5" customHeight="1" x14ac:dyDescent="0.2">
      <c r="B891" s="8"/>
      <c r="C891" s="121" t="s">
        <v>162</v>
      </c>
      <c r="D891" s="1175"/>
      <c r="E891" s="1175"/>
      <c r="F891" s="1176" t="s">
        <v>106</v>
      </c>
      <c r="G891" s="1176"/>
      <c r="H891" s="1186"/>
      <c r="I891" s="1186"/>
      <c r="J891" s="1174" t="s">
        <v>97</v>
      </c>
      <c r="K891" s="1174"/>
      <c r="L891" s="17" t="str">
        <f>IF(IF((COUNTIF(B906:B917,"&gt;0"))=0,0,(COUNTIF(B906:B917,"&gt;0")))&gt;Grundlagen!$C$24,Grundlagen!$C$24,IF((COUNTIF(B906:B917,"&gt;0"))=0,"",(COUNTIF(B906:B917,"&gt;0"))))</f>
        <v/>
      </c>
      <c r="N891" s="85">
        <f>IF(N890="","",N890)</f>
        <v>0</v>
      </c>
      <c r="O891" s="58" t="str">
        <f>'päd.Personal - Leitung'!$O$11</f>
        <v>Jun               Dez</v>
      </c>
      <c r="P891" s="85">
        <f t="shared" si="100"/>
        <v>0</v>
      </c>
    </row>
    <row r="892" spans="1:16" s="1" customFormat="1" ht="13.5" customHeight="1" x14ac:dyDescent="0.2">
      <c r="I892" s="6"/>
      <c r="L892" s="147" t="str">
        <f>IF((SUM(F894:F897))=0,"",IF(P892&gt;L888,L888,IF(L888="","",IF(L891="","",P892))))</f>
        <v/>
      </c>
      <c r="O892" s="174" t="s">
        <v>251</v>
      </c>
      <c r="P892" s="175">
        <f>IF(L891="",0,((IF(SUMIF(B906,"&gt;0"),N886,0))+(IF(SUMIF(B907,"&gt;0"),N887,0))+(IF(SUMIF(B908,"&gt;0"),N888,0))+(IF(SUMIF(B909,"&gt;0"),N889,0))+(IF(SUMIF(B910,"&gt;0"),N890,0))+(IF(SUMIF(B911,"&gt;0"),N891,0))+(IF(SUMIF(B912,"&gt;0"),P886,0))+(IF(SUMIF(B913,"&gt;0"),P887,0))+(IF(SUMIF(B914,"&gt;0"),P888,0))+(IF(SUMIF(B915,"&gt;0"),P889,0))+(IF(SUMIF(B916,"&gt;0"),P890,0))+(IF(SUMIF(B917,"&gt;0"),P891,0)))/Grundlagen!$C$24)</f>
        <v>0</v>
      </c>
    </row>
    <row r="893" spans="1:16" s="52" customFormat="1" ht="13.5" customHeight="1" x14ac:dyDescent="0.2">
      <c r="A893" s="61" t="s">
        <v>148</v>
      </c>
      <c r="B893" s="1168" t="s">
        <v>149</v>
      </c>
      <c r="C893" s="1168"/>
      <c r="D893" s="62" t="s">
        <v>150</v>
      </c>
      <c r="E893" s="63" t="s">
        <v>151</v>
      </c>
      <c r="F893" s="64" t="str">
        <f>CONCATENATE("Entg. ",N883," h/Wo")</f>
        <v>Entg.  h/Wo</v>
      </c>
      <c r="G893" s="65" t="s">
        <v>152</v>
      </c>
      <c r="H893" s="65" t="s">
        <v>153</v>
      </c>
      <c r="K893" s="1169" t="str">
        <f>CONCATENATE("Zuschläge / Zulagen für ",N883,"h/Wo")</f>
        <v>Zuschläge / Zulagen für h/Wo</v>
      </c>
      <c r="L893" s="1169"/>
      <c r="M893" s="66" t="str">
        <f>IF(A894="","",A894)</f>
        <v>Jan 2022</v>
      </c>
      <c r="N893" s="66" t="str">
        <f>IF(A895="","",A895)</f>
        <v/>
      </c>
      <c r="O893" s="66" t="str">
        <f>IF(A896="","",A896)</f>
        <v/>
      </c>
      <c r="P893" s="66" t="str">
        <f>IF(A897="","",A897)</f>
        <v/>
      </c>
    </row>
    <row r="894" spans="1:16" s="52" customFormat="1" ht="13.5" customHeight="1" x14ac:dyDescent="0.25">
      <c r="A894" s="54" t="str">
        <f>A906</f>
        <v>Jan 2022</v>
      </c>
      <c r="B894" s="1170" t="str">
        <f>IF($D$3="","",$D$3)</f>
        <v/>
      </c>
      <c r="C894" s="1171"/>
      <c r="D894" s="181"/>
      <c r="E894" s="181"/>
      <c r="F894" s="87"/>
      <c r="G894" s="56">
        <f>IF(N883="",0,F894/N883/4.348)</f>
        <v>0</v>
      </c>
      <c r="H894" s="53">
        <f>IF(G894=0,0,M899)</f>
        <v>0</v>
      </c>
      <c r="K894" s="1146"/>
      <c r="L894" s="1146"/>
      <c r="M894" s="172"/>
      <c r="N894" s="172"/>
      <c r="O894" s="172"/>
      <c r="P894" s="172"/>
    </row>
    <row r="895" spans="1:16" s="52" customFormat="1" ht="13.5" customHeight="1" x14ac:dyDescent="0.25">
      <c r="A895" s="55"/>
      <c r="B895" s="1172" t="str">
        <f>IF(A895="","",B894)</f>
        <v/>
      </c>
      <c r="C895" s="1173"/>
      <c r="D895" s="181"/>
      <c r="E895" s="181"/>
      <c r="F895" s="87"/>
      <c r="G895" s="56">
        <f>IF(N883="",0,F895/N883/4.348)</f>
        <v>0</v>
      </c>
      <c r="H895" s="53">
        <f>IF(G895=0,0,N899)</f>
        <v>0</v>
      </c>
      <c r="K895" s="1146"/>
      <c r="L895" s="1146"/>
      <c r="M895" s="172"/>
      <c r="N895" s="172"/>
      <c r="O895" s="172"/>
      <c r="P895" s="172"/>
    </row>
    <row r="896" spans="1:16" s="52" customFormat="1" ht="13.5" customHeight="1" x14ac:dyDescent="0.25">
      <c r="A896" s="55"/>
      <c r="B896" s="1172" t="str">
        <f>IF(A896="","",B895)</f>
        <v/>
      </c>
      <c r="C896" s="1173"/>
      <c r="D896" s="181"/>
      <c r="E896" s="181"/>
      <c r="F896" s="87"/>
      <c r="G896" s="56">
        <f>IF(N883="",0,F896/N883/4.348)</f>
        <v>0</v>
      </c>
      <c r="H896" s="53">
        <f>IF(G896=0,0,O899)</f>
        <v>0</v>
      </c>
      <c r="K896" s="1146"/>
      <c r="L896" s="1146"/>
      <c r="M896" s="172"/>
      <c r="N896" s="172"/>
      <c r="O896" s="172"/>
      <c r="P896" s="172"/>
    </row>
    <row r="897" spans="1:16" s="52" customFormat="1" ht="13.5" customHeight="1" x14ac:dyDescent="0.25">
      <c r="A897" s="55"/>
      <c r="B897" s="1172" t="str">
        <f>IF(A897="","",B896)</f>
        <v/>
      </c>
      <c r="C897" s="1173"/>
      <c r="D897" s="181"/>
      <c r="E897" s="181"/>
      <c r="F897" s="87"/>
      <c r="G897" s="56">
        <f>IF(N883="",0,F897/N883/4.348)</f>
        <v>0</v>
      </c>
      <c r="H897" s="53">
        <f>IF(G897=0,0,P899)</f>
        <v>0</v>
      </c>
      <c r="K897" s="1146"/>
      <c r="L897" s="1146"/>
      <c r="M897" s="172"/>
      <c r="N897" s="172"/>
      <c r="O897" s="172"/>
      <c r="P897" s="172"/>
    </row>
    <row r="898" spans="1:16" s="52" customFormat="1" ht="13.5" customHeight="1" x14ac:dyDescent="0.25">
      <c r="B898" s="1167" t="s">
        <v>157</v>
      </c>
      <c r="C898" s="1167"/>
      <c r="E898" s="1167" t="s">
        <v>156</v>
      </c>
      <c r="F898" s="1167"/>
      <c r="J898" s="69"/>
      <c r="K898" s="1146"/>
      <c r="L898" s="1146"/>
      <c r="M898" s="172"/>
      <c r="N898" s="172"/>
      <c r="O898" s="172"/>
      <c r="P898" s="172"/>
    </row>
    <row r="899" spans="1:16" s="52" customFormat="1" ht="13.5" customHeight="1" x14ac:dyDescent="0.25">
      <c r="A899" s="70" t="s">
        <v>167</v>
      </c>
      <c r="B899" s="67"/>
      <c r="C899" s="99" t="str">
        <f>IF(C855="","",C855)</f>
        <v/>
      </c>
      <c r="D899" s="70" t="s">
        <v>167</v>
      </c>
      <c r="E899" s="67"/>
      <c r="F899" s="99" t="str">
        <f>IF(F855="","",F855)</f>
        <v/>
      </c>
      <c r="J899" s="68"/>
      <c r="M899" s="173">
        <f>SUM(M894:M898)</f>
        <v>0</v>
      </c>
      <c r="N899" s="173">
        <f t="shared" ref="N899:P899" si="101">SUM(N894:N898)</f>
        <v>0</v>
      </c>
      <c r="O899" s="173">
        <f t="shared" si="101"/>
        <v>0</v>
      </c>
      <c r="P899" s="173">
        <f t="shared" si="101"/>
        <v>0</v>
      </c>
    </row>
    <row r="900" spans="1:16" s="52" customFormat="1" ht="13.5" customHeight="1" x14ac:dyDescent="0.2">
      <c r="A900" s="60" t="s">
        <v>155</v>
      </c>
    </row>
    <row r="901" spans="1:16" s="1" customFormat="1" ht="14.25" customHeight="1" x14ac:dyDescent="0.2">
      <c r="A901" s="1147"/>
      <c r="B901" s="1149" t="s">
        <v>9</v>
      </c>
      <c r="C901" s="1150"/>
      <c r="D901" s="1150"/>
      <c r="E901" s="1150"/>
      <c r="F901" s="1150"/>
      <c r="G901" s="1151"/>
      <c r="H901" s="1152" t="s">
        <v>119</v>
      </c>
      <c r="I901" s="1153"/>
      <c r="J901" s="1153"/>
      <c r="K901" s="1153"/>
      <c r="L901" s="1153"/>
      <c r="M901" s="1153"/>
      <c r="N901" s="1153"/>
      <c r="O901" s="33"/>
      <c r="P901" s="1154" t="s">
        <v>0</v>
      </c>
    </row>
    <row r="902" spans="1:16" s="1" customFormat="1" ht="14.25" customHeight="1" x14ac:dyDescent="0.2">
      <c r="A902" s="1148"/>
      <c r="B902" s="1157" t="s">
        <v>117</v>
      </c>
      <c r="C902" s="124" t="s">
        <v>115</v>
      </c>
      <c r="D902" s="1159" t="s">
        <v>277</v>
      </c>
      <c r="E902" s="1161" t="s">
        <v>147</v>
      </c>
      <c r="F902" s="127" t="s">
        <v>7</v>
      </c>
      <c r="G902" s="1162" t="s">
        <v>6</v>
      </c>
      <c r="H902" s="1161" t="s">
        <v>129</v>
      </c>
      <c r="I902" s="1161" t="s">
        <v>5</v>
      </c>
      <c r="J902" s="1161" t="s">
        <v>4</v>
      </c>
      <c r="K902" s="1161" t="s">
        <v>3</v>
      </c>
      <c r="L902" s="1161" t="s">
        <v>121</v>
      </c>
      <c r="M902" s="1161" t="s">
        <v>122</v>
      </c>
      <c r="N902" s="1161" t="s">
        <v>123</v>
      </c>
      <c r="O902" s="1160" t="s">
        <v>114</v>
      </c>
      <c r="P902" s="1155"/>
    </row>
    <row r="903" spans="1:16" s="1" customFormat="1" ht="14.25" customHeight="1" x14ac:dyDescent="0.2">
      <c r="A903" s="1148"/>
      <c r="B903" s="1157"/>
      <c r="C903" s="21" t="str">
        <f>IF(C899="","",C899)</f>
        <v/>
      </c>
      <c r="D903" s="1160"/>
      <c r="E903" s="1161"/>
      <c r="F903" s="1165" t="str">
        <f>IF(H894=0,"","siehe Zuschläge / Zulagen")</f>
        <v/>
      </c>
      <c r="G903" s="1162"/>
      <c r="H903" s="1164" t="s">
        <v>127</v>
      </c>
      <c r="I903" s="1164"/>
      <c r="J903" s="1164"/>
      <c r="K903" s="1164"/>
      <c r="L903" s="1164"/>
      <c r="M903" s="1164"/>
      <c r="N903" s="1164"/>
      <c r="O903" s="1160"/>
      <c r="P903" s="1155"/>
    </row>
    <row r="904" spans="1:16" s="1" customFormat="1" x14ac:dyDescent="0.2">
      <c r="A904" s="1148"/>
      <c r="B904" s="1157"/>
      <c r="C904" s="122" t="s">
        <v>70</v>
      </c>
      <c r="D904" s="1160"/>
      <c r="E904" s="1161"/>
      <c r="F904" s="1165"/>
      <c r="G904" s="1162"/>
      <c r="H904" s="43" t="s">
        <v>128</v>
      </c>
      <c r="I904" s="43" t="s">
        <v>255</v>
      </c>
      <c r="J904" s="43" t="s">
        <v>256</v>
      </c>
      <c r="K904" s="43" t="s">
        <v>257</v>
      </c>
      <c r="L904" s="43"/>
      <c r="M904" s="43"/>
      <c r="N904" s="43" t="s">
        <v>254</v>
      </c>
      <c r="O904" s="1160"/>
      <c r="P904" s="1155"/>
    </row>
    <row r="905" spans="1:16" s="1" customFormat="1" x14ac:dyDescent="0.2">
      <c r="A905" s="1148"/>
      <c r="B905" s="1158"/>
      <c r="C905" s="21" t="str">
        <f>IF(F899="","",F899)</f>
        <v/>
      </c>
      <c r="D905" s="51"/>
      <c r="E905" s="51"/>
      <c r="F905" s="1166"/>
      <c r="G905" s="1163"/>
      <c r="H905" s="93"/>
      <c r="I905" s="139">
        <f>$I$69</f>
        <v>0</v>
      </c>
      <c r="J905" s="139">
        <f>$J$69</f>
        <v>0</v>
      </c>
      <c r="K905" s="44">
        <f>$K$69</f>
        <v>0</v>
      </c>
      <c r="L905" s="21"/>
      <c r="M905" s="21"/>
      <c r="N905" s="139">
        <f>$N$69</f>
        <v>0</v>
      </c>
      <c r="O905" s="21">
        <f>O861</f>
        <v>0</v>
      </c>
      <c r="P905" s="1156"/>
    </row>
    <row r="906" spans="1:16" s="1" customFormat="1" x14ac:dyDescent="0.2">
      <c r="A906" s="100" t="str">
        <f>$A$26</f>
        <v>Jan 2022</v>
      </c>
      <c r="B906" s="24">
        <f>ROUND(IF(N886=0,0,(LOOKUP(2,1/(A894:A897=A906),G894:G897))*N886*4.348),2)</f>
        <v>0</v>
      </c>
      <c r="C906" s="23">
        <f>ROUND(IFERROR(((LOOKUP(2,1/(B899=A906),((SUM(B912:B914)+SUM(F912:F914))/3)*C899))),0)+IFERROR(((LOOKUP(2,1/(E899=A906),(B918+F918)*F899))),0),2)</f>
        <v>0</v>
      </c>
      <c r="D906" s="23">
        <f>ROUND(IF(B906=0,0,D905/L887*N886),2)</f>
        <v>0</v>
      </c>
      <c r="E906" s="23">
        <f>ROUND(IF(B906=0,0,E905/N883*N886),2)</f>
        <v>0</v>
      </c>
      <c r="F906" s="24">
        <f>ROUND(IF(N886=0,0,(LOOKUP(2,1/(A894:A897=A906),H894:H897))/N883*N886),2)</f>
        <v>0</v>
      </c>
      <c r="G906" s="27">
        <f>SUM(B906+C906+E906+F906)</f>
        <v>0</v>
      </c>
      <c r="H906" s="76">
        <f>ROUND(IF((SUM(B906:F906))&gt;L921,L921*H905,SUM(B906:F906)*H905),2)</f>
        <v>0</v>
      </c>
      <c r="I906" s="76">
        <f>ROUND(IF((SUM(B906:F906))&gt;L922,L922*I905,SUM(B906:F906)*I905),2)</f>
        <v>0</v>
      </c>
      <c r="J906" s="76">
        <f>ROUND(IF((SUM(B906:F906))&gt;L922,L922*J905,SUM(B906:F906)*J905),2)</f>
        <v>0</v>
      </c>
      <c r="K906" s="76">
        <f>ROUND(IF((SUM(B906:F906))&gt;L921,L921*K905,SUM(B906:F906)*K905),2)</f>
        <v>0</v>
      </c>
      <c r="L906" s="76">
        <f>ROUND(IF((SUM(B906:F906))&gt;L922,L922*L905,(SUM(B906:F906)-C906)*L905),2)</f>
        <v>0</v>
      </c>
      <c r="M906" s="76">
        <f>ROUND(IF((SUM(B906:F906))&gt;L922,L922*M905,(SUM(B906:F906)-C906)*M905),2)</f>
        <v>0</v>
      </c>
      <c r="N906" s="76">
        <f>ROUND(IF((SUM(B906:F906))&gt;L922,L922*N905,SUM(B906:F906)*N905),2)</f>
        <v>0</v>
      </c>
      <c r="O906" s="23">
        <f>ROUND(SUM(B906+C906+F906)*O905,2)</f>
        <v>0</v>
      </c>
      <c r="P906" s="27">
        <f>SUM(G906:O906)</f>
        <v>0</v>
      </c>
    </row>
    <row r="907" spans="1:16" s="1" customFormat="1" x14ac:dyDescent="0.2">
      <c r="A907" s="100" t="str">
        <f>$A$27</f>
        <v>Feb 2022</v>
      </c>
      <c r="B907" s="24">
        <f>ROUND(IF(N887=0,0,IFERROR(((LOOKUP(2,1/(A894:A897=A907),G894:G897))*N887*4.348),B906/N887*N887)),2)</f>
        <v>0</v>
      </c>
      <c r="C907" s="23">
        <f>ROUND(IFERROR(((LOOKUP(2,1/(B899=A907),((SUM(B912:B914)+SUM(F912:F914))/3)*C899))),0)+IFERROR(((LOOKUP(2,1/(E899=A907),(B918+F918)*F899))),0),2)</f>
        <v>0</v>
      </c>
      <c r="D907" s="23">
        <f>ROUND(IF(B907=0,0,D905/L887*N887),2)</f>
        <v>0</v>
      </c>
      <c r="E907" s="23">
        <f>ROUND(IF(B907=0,0,E905/N883*N887),2)</f>
        <v>0</v>
      </c>
      <c r="F907" s="24">
        <f>ROUND(IF(N887=0,0,IFERROR(((LOOKUP(2,1/(A894:A897=A907),H894:H897))/N883*N887),F906/N887*N887)),2)</f>
        <v>0</v>
      </c>
      <c r="G907" s="27">
        <f t="shared" ref="G907:G917" si="102">SUM(B907+C907+E907+F907)</f>
        <v>0</v>
      </c>
      <c r="H907" s="76">
        <f>ROUND(IF(SUM(B906:F906)&lt;(L921*1),IF((SUM(B906:F907))&gt;(L921*2),(((L921*2)-(SUM(B906:F907)-C906))*H905)+((SUM(B907:F907)-C906)*H905),SUM(B907:F907)*H905),IF(SUM(B906:F907)&gt;(L921*2),L921*H905,SUM(B907:F907)*H905)),2)</f>
        <v>0</v>
      </c>
      <c r="I907" s="76">
        <f>ROUND(IF(SUM(B906:F906)&lt;(L922*1),IF((SUM(B906:F907))&gt;(L922*2),(((L922*2)-(SUM(B906:F907)-C906))*I905)+((SUM(B907:F907)-C906)*I905),SUM(B907:F907)*I905),IF(SUM(B906:F907)&gt;(L922*2),L922*I905,SUM(B907:F907)*I905)),2)</f>
        <v>0</v>
      </c>
      <c r="J907" s="76">
        <f>ROUND(IF(SUM(B906:F906)&lt;(L922*1),IF((SUM(B906:F907))&gt;(L922*2),(((L922*2)-(SUM(B906:F907)-C906))*J905)+((SUM(B907:F907)-C906)*J905),SUM(B907:F907)*J905),IF(SUM(B906:F907)&gt;(L922*2),L922*J905,SUM(B907:F907)*J905)),2)</f>
        <v>0</v>
      </c>
      <c r="K907" s="76">
        <f>ROUND(IF(SUM(B906:F906)&lt;(L921*1),IF((SUM(B906:F907))&gt;(L921*2),(((L921*2)-(SUM(B906:F907)-C906))*K905)+((SUM(B907:F907)-C906)*K905),SUM(B907:F907)*K905),IF(SUM(B906:F907)&gt;(L921*2),L921*K905,SUM(B907:F907)*K905)),2)</f>
        <v>0</v>
      </c>
      <c r="L907" s="76">
        <f>ROUND(IF(SUM(B906:F906)&lt;(L922*1),IF((SUM(B906:F907))&gt;(L922*2),(((L922*2)-(SUM(B906:F907)-C907))*L905)+((SUM(B907:F907)-C907)*L905),(SUM(B907:F907)-C907)*L905),IF(SUM(B906:F907)&gt;(L922*2),L922*L905,SUM(B907:F907)*L905)),2)</f>
        <v>0</v>
      </c>
      <c r="M907" s="76">
        <f>ROUND(IF(SUM(B906:F906)&lt;(L922*1),IF((SUM(B906:F907))&gt;(L922*2),(((L922*2)-(SUM(B906:F907)-C907))*M905)+((SUM(B907:F907)-C907)*M905),(SUM(B907:F907)-C907)*M905),IF(SUM(B906:F907)&gt;(L922*2),L922*M905,SUM(B907:F907)*M905)),2)</f>
        <v>0</v>
      </c>
      <c r="N907" s="76">
        <f>ROUND(IF(SUM(B906:F906)&lt;(L922*1),IF((SUM(B906:F907))&gt;(L922*2),(((L922*2)-(SUM(B906:F907)-C906))*N905)+((SUM(B907:F907)-C906)*N905),SUM(B907:F907)*N905),IF(SUM(B906:F907)&gt;(L922*2),L922*N905,SUM(B907:F907)*N905)),2)</f>
        <v>0</v>
      </c>
      <c r="O907" s="23">
        <f>ROUND(SUM(B907+C907+F907)*O905,2)</f>
        <v>0</v>
      </c>
      <c r="P907" s="27">
        <f>SUM(G907:O907)</f>
        <v>0</v>
      </c>
    </row>
    <row r="908" spans="1:16" s="1" customFormat="1" x14ac:dyDescent="0.2">
      <c r="A908" s="100" t="str">
        <f>$A$28</f>
        <v>Mrz 2022</v>
      </c>
      <c r="B908" s="24">
        <f>ROUND(IF(N888=0,0,IFERROR(((LOOKUP(2,1/(A894:A897=A908),G894:G897))*N888*4.348),B907/N888*N888)),2)</f>
        <v>0</v>
      </c>
      <c r="C908" s="23">
        <f>ROUND(IFERROR(((LOOKUP(2,1/(B899=A908),((SUM(B912:B914)+SUM(F912:F914))/3)*C899))),0)+IFERROR(((LOOKUP(2,1/(E899=A908),(B918+F918)*F899))),0),2)</f>
        <v>0</v>
      </c>
      <c r="D908" s="23">
        <f>ROUND(IF(B908=0,0,D905/L887*N888),2)</f>
        <v>0</v>
      </c>
      <c r="E908" s="23">
        <f>ROUND(IF(B908=0,0,E905/N883*N888),2)</f>
        <v>0</v>
      </c>
      <c r="F908" s="24">
        <f>ROUND(IF(N888=0,0,IFERROR(((LOOKUP(2,1/(A894:A897=A908),H894:H897))/N883*N888),F907/N888*N888)),2)</f>
        <v>0</v>
      </c>
      <c r="G908" s="27">
        <f t="shared" si="102"/>
        <v>0</v>
      </c>
      <c r="H908" s="76">
        <f>ROUND(IF(SUM(B906:F907)&lt;(L921*2),IF((SUM(B906:F908))&gt;(L921*3),(((L921*3)-(SUM(B906:F908)-C907))*H905)+((SUM(B908:F908)-C907)*H905),SUM(B908:F908)*H905),IF(SUM(B906:F908)&gt;(L921*3),L921*H905,SUM(B908:F908)*H905)),2)</f>
        <v>0</v>
      </c>
      <c r="I908" s="76">
        <f>ROUND(IF(SUM(B906:F907)&lt;(L922*2),IF((SUM(B906:F908))&gt;(L922*3),(((L922*3)-(SUM(B906:F908)-C907))*I905)+((SUM(B908:F908)-C907)*I905),SUM(B908:F908)*I905),IF(SUM(B906:F908)&gt;(L922*3),L922*I905,SUM(B908:F908)*I905)),2)</f>
        <v>0</v>
      </c>
      <c r="J908" s="76">
        <f>ROUND(IF(SUM(B906:F907)&lt;(L922*2),IF((SUM(B906:F908))&gt;(L922*3),(((L922*3)-(SUM(B906:F908)-C907))*J905)+((SUM(B908:F908)-C907)*J905),SUM(B908:F908)*J905),IF(SUM(B906:F908)&gt;(L922*3),L922*J905,SUM(B908:F908)*J905)),2)</f>
        <v>0</v>
      </c>
      <c r="K908" s="76">
        <f>ROUND(IF(SUM(B906:F907)&lt;(L921*2),IF((SUM(B906:F908))&gt;(L921*3),(((L921*3)-(SUM(B906:F908)-C907))*K905)+((SUM(B908:F908)-C907)*K905),SUM(B908:F908)*K905),IF(SUM(B906:F908)&gt;(L921*3),L921*K905,SUM(B908:F908)*K905)),2)</f>
        <v>0</v>
      </c>
      <c r="L908" s="76">
        <f>ROUND(IF(SUM(B906:F907)&lt;(L922*2),IF((SUM(B906:F908))&gt;(L922*3),(((L922*3)-(SUM(B906:F908)-C908))*L905)+((SUM(B908:F908)-C908)*L905),(SUM(B908:F908)-C908)*L905),IF(SUM(B906:F908)&gt;(L922*3),L922*L905,SUM(B908:F908)*L905)),2)</f>
        <v>0</v>
      </c>
      <c r="M908" s="76">
        <f>ROUND(IF(SUM(B906:F907)&lt;(L922*2),IF((SUM(B906:F908))&gt;(L922*3),(((L922*3)-(SUM(B906:F908)-C908))*M905)+((SUM(B908:F908)-C908)*M905),(SUM(B908:F908)-C908)*M905),IF(SUM(B906:F908)&gt;(L922*3),L922*M905,SUM(B908:F908)*M905)),2)</f>
        <v>0</v>
      </c>
      <c r="N908" s="76">
        <f>ROUND(IF(SUM(B906:F907)&lt;(L922*2),IF((SUM(B906:F908))&gt;(L922*3),(((L922*3)-(SUM(B906:F908)-C907))*N905)+((SUM(B908:F908)-C907)*N905),SUM(B908:F908)*N905),IF(SUM(B906:F908)&gt;(L922*3),L922*N905,SUM(B908:F908)*N905)),2)</f>
        <v>0</v>
      </c>
      <c r="O908" s="23">
        <f>ROUND(SUM(B908+C908+F908)*O905,2)</f>
        <v>0</v>
      </c>
      <c r="P908" s="27">
        <f t="shared" ref="P908:P917" si="103">SUM(G908:O908)</f>
        <v>0</v>
      </c>
    </row>
    <row r="909" spans="1:16" s="1" customFormat="1" x14ac:dyDescent="0.2">
      <c r="A909" s="100" t="str">
        <f>$A$29</f>
        <v>Apr 2022</v>
      </c>
      <c r="B909" s="24">
        <f>ROUND(IF(N889=0,0,IFERROR(((LOOKUP(2,1/(A894:A897=A909),G894:G897))*N889*4.348),B908/N889*N889)),2)</f>
        <v>0</v>
      </c>
      <c r="C909" s="23">
        <f>ROUND(IFERROR(((LOOKUP(2,1/(B899=A909),((SUM(B912:B914)+SUM(F912:F914))/3)*C899))),0)+IFERROR(((LOOKUP(2,1/(E899=A909),(B918+F918)*F899))),0),2)</f>
        <v>0</v>
      </c>
      <c r="D909" s="23">
        <f>ROUND(IF(B909=0,0,D905/L887*N889),2)</f>
        <v>0</v>
      </c>
      <c r="E909" s="23">
        <f>ROUND(IF(B909=0,0,E905/N883*N889),2)</f>
        <v>0</v>
      </c>
      <c r="F909" s="24">
        <f>ROUND(IF(N889=0,0,IFERROR(((LOOKUP(2,1/(A894:A897=A909),H894:H897))/N883*N889),F908/N889*N889)),2)</f>
        <v>0</v>
      </c>
      <c r="G909" s="27">
        <f t="shared" si="102"/>
        <v>0</v>
      </c>
      <c r="H909" s="76">
        <f>ROUND(IF(SUM(B906:F908)&lt;(L921*3),IF((SUM(B906:F909))&gt;(L921*4),(((L921*4)-(SUM(B906:F909)-C908))*H905)+((SUM(B909:F909)-C908)*H905),SUM(B909:F909)*H905),IF(SUM(B906:F909)&gt;(L921*4),L921*H905,SUM(B909:F909)*H905)),2)</f>
        <v>0</v>
      </c>
      <c r="I909" s="76">
        <f>ROUND(IF(SUM(B906:F908)&lt;(L922*3),IF((SUM(B906:F909))&gt;(L922*4),(((L922*4)-(SUM(B906:F909)-C908))*I905)+((SUM(B909:F909)-C908)*I905),SUM(B909:F909)*I905),IF(SUM(B906:F909)&gt;(L922*4),L922*I905,SUM(B909:F909)*I905)),2)</f>
        <v>0</v>
      </c>
      <c r="J909" s="76">
        <f>ROUND(IF(SUM(B906:F908)&lt;(L922*3),IF((SUM(B906:F909))&gt;(L922*4),(((L922*4)-(SUM(B906:F909)-C908))*J905)+((SUM(B909:F909)-C908)*J905),SUM(B909:F909)*J905),IF(SUM(B906:F909)&gt;(L922*4),L922*J905,SUM(B909:F909)*J905)),2)</f>
        <v>0</v>
      </c>
      <c r="K909" s="76">
        <f>ROUND(IF(SUM(B906:F908)&lt;(L921*3),IF((SUM(B906:F909))&gt;(L921*4),(((L921*4)-(SUM(B906:F909)-C908))*K905)+((SUM(B909:F909)-C908)*K905),SUM(B909:F909)*K905),IF(SUM(B906:F909)&gt;(L921*4),L921*K905,SUM(B909:F909)*K905)),2)</f>
        <v>0</v>
      </c>
      <c r="L909" s="76">
        <f>ROUND(IF(SUM(B906:F908)&lt;(L922*3),IF((SUM(B906:F909))&gt;(L922*4),(((L922*4)-(SUM(B906:F909)-C909))*L905)+((SUM(B909:F909)-C909)*L905),(SUM(B909:F909)-C909)*L905),IF(SUM(B906:F909)&gt;(L922*4),L922*L905,SUM(B909:F909)*L905)),2)</f>
        <v>0</v>
      </c>
      <c r="M909" s="76">
        <f>ROUND(IF(SUM(B906:F908)&lt;(L922*3),IF((SUM(B906:F909))&gt;(L922*4),(((L922*4)-(SUM(B906:F909)-C909))*M905)+((SUM(B909:F909)-C909)*M905),(SUM(B909:F909)-C909)*M905),IF(SUM(B906:F909)&gt;(L922*4),L922*M905,SUM(B909:F909)*M905)),2)</f>
        <v>0</v>
      </c>
      <c r="N909" s="76">
        <f>ROUND(IF(SUM(B906:F908)&lt;(L922*3),IF((SUM(B906:F909))&gt;(L922*4),(((L922*4)-(SUM(B906:F909)-C908))*N905)+((SUM(B909:F909)-C908)*N905),SUM(B909:F909)*N905),IF(SUM(B906:F909)&gt;(L922*4),L922*N905,SUM(B909:F909)*N905)),2)</f>
        <v>0</v>
      </c>
      <c r="O909" s="23">
        <f>ROUND(SUM(B909+C909+F909)*O905,2)</f>
        <v>0</v>
      </c>
      <c r="P909" s="27">
        <f t="shared" si="103"/>
        <v>0</v>
      </c>
    </row>
    <row r="910" spans="1:16" s="1" customFormat="1" x14ac:dyDescent="0.2">
      <c r="A910" s="100" t="str">
        <f>$A$30</f>
        <v>Mai 2022</v>
      </c>
      <c r="B910" s="24">
        <f>ROUND(IF(N890=0,0,IFERROR(((LOOKUP(2,1/(A894:A897=A910),G894:G897))*N890*4.348),B909/N890*N890)),2)</f>
        <v>0</v>
      </c>
      <c r="C910" s="23">
        <f>ROUND(IFERROR(((LOOKUP(2,1/(B899=A910),((SUM(B912:B914)+SUM(F912:F914))/3)*C899))),0)+IFERROR(((LOOKUP(2,1/(E899=A910),(B918+F918)*F899))),0),2)</f>
        <v>0</v>
      </c>
      <c r="D910" s="23">
        <f>ROUND(IF(B910=0,0,D905/L887*N890),2)</f>
        <v>0</v>
      </c>
      <c r="E910" s="23">
        <f>ROUND(IF(B910=0,0,E905/N883*N890),2)</f>
        <v>0</v>
      </c>
      <c r="F910" s="24">
        <f>ROUND(IF(N890=0,0,IFERROR(((LOOKUP(2,1/(A894:A897=A910),H894:H897))/N883*N890),F909/N890*N890)),2)</f>
        <v>0</v>
      </c>
      <c r="G910" s="27">
        <f t="shared" si="102"/>
        <v>0</v>
      </c>
      <c r="H910" s="76">
        <f>ROUND(IF(SUM(B906:F909)&lt;(L921*4),IF((SUM(B906:F910))&gt;(L921*5),(((L921*5)-(SUM(B906:F910)-C909))*H905)+((SUM(B910:F910)-C909)*H905),SUM(B910:F910)*H905),IF(SUM(B906:F910)&gt;(L921*5),L921*H905,SUM(B910:F910)*H905)),2)</f>
        <v>0</v>
      </c>
      <c r="I910" s="76">
        <f>ROUND(IF(SUM(B906:F909)&lt;(L922*4),IF((SUM(B906:F910))&gt;(L922*5),(((L922*5)-(SUM(B906:F910)-C909))*I905)+((SUM(B910:F910)-C909)*I905),SUM(B910:F910)*I905),IF(SUM(B906:F910)&gt;(L922*5),L922*I905,SUM(B910:F910)*I905)),2)</f>
        <v>0</v>
      </c>
      <c r="J910" s="76">
        <f>ROUND(IF(SUM(B906:F909)&lt;(L922*4),IF((SUM(B906:F910))&gt;(L922*5),(((L922*5)-(SUM(B906:F910)-C909))*J905)+((SUM(B910:F910)-C909)*J905),SUM(B910:F910)*J905),IF(SUM(B906:F910)&gt;(L922*5),L922*J905,SUM(B910:F910)*J905)),2)</f>
        <v>0</v>
      </c>
      <c r="K910" s="76">
        <f>ROUND(IF(SUM(B906:F909)&lt;(L921*4),IF((SUM(B906:F910))&gt;(L921*5),(((L921*5)-(SUM(B906:F910)-C909))*K905)+((SUM(B910:F910)-C909)*K905),SUM(B910:F910)*K905),IF(SUM(B906:F910)&gt;(L921*5),L921*K905,SUM(B910:F910)*K905)),2)</f>
        <v>0</v>
      </c>
      <c r="L910" s="76">
        <f>ROUND(IF(SUM(B906:F909)&lt;(L922*4),IF((SUM(B906:F910))&gt;(L922*5),(((L922*5)-(SUM(B906:F910)-C910))*L905)+((SUM(B910:F910)-C910)*L905),(SUM(B910:F910)-C910)*L905),IF(SUM(B906:F910)&gt;(L922*5),L922*L905,SUM(B910:F910)*L905)),2)</f>
        <v>0</v>
      </c>
      <c r="M910" s="76">
        <f>ROUND(IF(SUM(B906:F909)&lt;(L922*4),IF((SUM(B906:F910))&gt;(L922*5),(((L922*5)-(SUM(B906:F910)-C910))*M905)+((SUM(B910:F910)-C910)*M905),(SUM(B910:F910)-C910)*M905),IF(SUM(B906:F910)&gt;(L922*5),L922*M905,SUM(B910:F910)*M905)),2)</f>
        <v>0</v>
      </c>
      <c r="N910" s="76">
        <f>ROUND(IF(SUM(B906:F909)&lt;(L922*4),IF((SUM(B906:F910))&gt;(L922*5),(((L922*5)-(SUM(B906:F910)-C909))*N905)+((SUM(B910:F910)-C909)*N905),SUM(B910:F910)*N905),IF(SUM(B906:F910)&gt;(L922*5),L922*N905,SUM(B910:F910)*N905)),2)</f>
        <v>0</v>
      </c>
      <c r="O910" s="23">
        <f>ROUND(SUM(B910+C910+F910)*O905,2)</f>
        <v>0</v>
      </c>
      <c r="P910" s="27">
        <f t="shared" si="103"/>
        <v>0</v>
      </c>
    </row>
    <row r="911" spans="1:16" s="1" customFormat="1" x14ac:dyDescent="0.2">
      <c r="A911" s="100" t="str">
        <f>$A$31</f>
        <v>Jun 2022</v>
      </c>
      <c r="B911" s="24">
        <f>ROUND(IF(N891=0,0,IFERROR(((LOOKUP(2,1/(A894:A897=A911),G894:G897))*N891*4.348),B910/N891*N891)),2)</f>
        <v>0</v>
      </c>
      <c r="C911" s="23">
        <f>ROUND(IFERROR(((LOOKUP(2,1/(B899=A911),((SUM(B912:B914)+SUM(F912:F914))/3)*C899))),0)+IFERROR(((LOOKUP(2,1/(E899=A911),(B918+F918)*F899))),0),2)</f>
        <v>0</v>
      </c>
      <c r="D911" s="23">
        <f>ROUND(IF(B911=0,0,D905/L887*N891),2)</f>
        <v>0</v>
      </c>
      <c r="E911" s="23">
        <f>ROUND(IF(B911=0,0,E905/N883*N891),2)</f>
        <v>0</v>
      </c>
      <c r="F911" s="24">
        <f>ROUND(IF(N891=0,0,IFERROR(((LOOKUP(2,1/(A894:A897=A911),H894:H897))/N883*N891),F910/N891*N891)),2)</f>
        <v>0</v>
      </c>
      <c r="G911" s="27">
        <f t="shared" si="102"/>
        <v>0</v>
      </c>
      <c r="H911" s="76">
        <f>ROUND(IF(SUM(B906:F910)&lt;(L921*5),IF((SUM(B906:F911))&gt;(L921*6),(((L921*6)-(SUM(B906:F911)-C910))*H905)+((SUM(B911:F911)-C910)*H905),SUM(B911:F911)*H905),IF(SUM(B906:F911)&gt;(L921*6),L921*H905,SUM(B911:F911)*H905)),2)</f>
        <v>0</v>
      </c>
      <c r="I911" s="76">
        <f>ROUND(IF(SUM(B906:F910)&lt;(L922*5),IF((SUM(B906:F911))&gt;(L922*6),(((L922*6)-(SUM(B906:F911)-C910))*I905)+((SUM(B911:F911)-C910)*I905),SUM(B911:F911)*I905),IF(SUM(B906:F911)&gt;(L922*6),L922*I905,SUM(B911:F911)*I905)),2)</f>
        <v>0</v>
      </c>
      <c r="J911" s="76">
        <f>ROUND(IF(SUM(B906:F910)&lt;(L922*5),IF((SUM(B906:F911))&gt;(L922*6),(((L922*6)-(SUM(B906:F911)-C910))*J905)+((SUM(B911:F911)-C910)*J905),SUM(B911:F911)*J905),IF(SUM(B906:F911)&gt;(L922*6),L922*J905,SUM(B911:F911)*J905)),2)</f>
        <v>0</v>
      </c>
      <c r="K911" s="76">
        <f>ROUND(IF(SUM(B906:F910)&lt;(L921*5),IF((SUM(B906:F911))&gt;(L921*6),(((L921*6)-(SUM(B906:F911)-C910))*K905)+((SUM(B911:F911)-C910)*K905),SUM(B911:F911)*K905),IF(SUM(B906:F911)&gt;(L921*6),L921*K905,SUM(B911:F911)*K905)),2)</f>
        <v>0</v>
      </c>
      <c r="L911" s="76">
        <f>ROUND(IF(SUM(B906:F910)&lt;(L922*5),IF((SUM(B906:F911))&gt;(L922*6),(((L922*6)-(SUM(B906:F911)-C911))*L905)+((SUM(B911:F911)-C911)*L905),(SUM(B911:F911)-C911)*L905),IF(SUM(B906:F911)&gt;(L922*6),L922*L905,SUM(B911:F911)*L905)),2)</f>
        <v>0</v>
      </c>
      <c r="M911" s="76">
        <f>ROUND(IF(SUM(B906:F910)&lt;(L922*5),IF((SUM(B906:F911))&gt;(L922*6),(((L922*6)-(SUM(B906:F911)-C911))*M905)+((SUM(B911:F911)-C911)*M905),(SUM(B911:F911)-C911)*M905),IF(SUM(B906:F911)&gt;(L922*6),L922*M905,SUM(B911:F911)*M905)),2)</f>
        <v>0</v>
      </c>
      <c r="N911" s="76">
        <f>ROUND(IF(SUM(B906:F910)&lt;(L922*5),IF((SUM(B906:F911))&gt;(L922*6),(((L922*6)-(SUM(B906:F911)-C910))*N905)+((SUM(B911:F911)-C910)*N905),SUM(B911:F911)*N905),IF(SUM(B906:F911)&gt;(L922*6),L922*N905,SUM(B911:F911)*N905)),2)</f>
        <v>0</v>
      </c>
      <c r="O911" s="23">
        <f>ROUND(SUM(B911+C911+F911)*O905,2)</f>
        <v>0</v>
      </c>
      <c r="P911" s="27">
        <f t="shared" si="103"/>
        <v>0</v>
      </c>
    </row>
    <row r="912" spans="1:16" s="1" customFormat="1" x14ac:dyDescent="0.2">
      <c r="A912" s="100" t="str">
        <f>$A$32</f>
        <v>Jul 2022</v>
      </c>
      <c r="B912" s="24">
        <f>ROUND(IF(P886=0,0,IFERROR(((LOOKUP(2,1/(A894:A897=A912),G894:G897))*P886*4.348),B911/P886*P886)),2)</f>
        <v>0</v>
      </c>
      <c r="C912" s="23">
        <f>ROUND(IFERROR(((LOOKUP(2,1/(B899=A912),((SUM(B912:B914)+SUM(F912:F914))/3)*C899))),0)+IFERROR(((LOOKUP(2,1/(E899=A912),(B918+F918)*F899))),0),2)</f>
        <v>0</v>
      </c>
      <c r="D912" s="23">
        <f>ROUND(IF(B912=0,0,D905/L887*P886),2)</f>
        <v>0</v>
      </c>
      <c r="E912" s="23">
        <f>ROUND(IF(B912=0,0,E905/N883*P886),2)</f>
        <v>0</v>
      </c>
      <c r="F912" s="24">
        <f>ROUND(IF(P886=0,0,IFERROR(((LOOKUP(2,1/(A894:A897=A912),H894:H897))/N883*P886),F911/P886*P886)),2)</f>
        <v>0</v>
      </c>
      <c r="G912" s="27">
        <f t="shared" si="102"/>
        <v>0</v>
      </c>
      <c r="H912" s="76">
        <f>ROUND(IF(SUM(B906:F911)&lt;(L921*6),IF((SUM(B906:F912))&gt;(L921*7),(((L921*7)-(SUM(B906:F912)-C911))*H905)+((SUM(B912:F912)-C911)*H905),SUM(B912:F912)*H905),IF(SUM(B906:F912)&gt;(L921*7),L921*H905,SUM(B912:F912)*H905)),2)</f>
        <v>0</v>
      </c>
      <c r="I912" s="76">
        <f>ROUND(IF(SUM(B906:F911)&lt;(L922*6),IF((SUM(B906:F912))&gt;(L922*7),(((L922*7)-(SUM(B906:F912)-C911))*I905)+((SUM(B912:F912)-C911)*I905),SUM(B912:F912)*I905),IF(SUM(B906:F912)&gt;(L922*7),L922*I905,SUM(B912:F912)*I905)),2)</f>
        <v>0</v>
      </c>
      <c r="J912" s="76">
        <f>ROUND(IF(SUM(B906:F911)&lt;(L922*6),IF((SUM(B906:F912))&gt;(L922*7),(((L922*7)-(SUM(B906:F912)-C911))*J905)+((SUM(B912:F912)-C911)*J905),SUM(B912:F912)*J905),IF(SUM(B906:F912)&gt;(L922*7),L922*J905,SUM(B912:F912)*J905)),2)</f>
        <v>0</v>
      </c>
      <c r="K912" s="76">
        <f>ROUND(IF(SUM(B906:F911)&lt;(L921*6),IF((SUM(B906:F912))&gt;(L921*7),(((L921*7)-(SUM(B906:F912)-C911))*K905)+((SUM(B912:F912)-C911)*K905),SUM(B912:F912)*K905),IF(SUM(B906:F912)&gt;(L921*7),L921*K905,SUM(B912:F912)*K905)),2)</f>
        <v>0</v>
      </c>
      <c r="L912" s="76">
        <f>ROUND(IF(SUM(B906:F911)&lt;(L922*6),IF((SUM(B906:F912))&gt;(L922*7),(((L922*7)-(SUM(B906:F912)-C912))*L905)+((SUM(B912:F912)-C912)*L905),(SUM(B912:F912)-C912)*L905),IF(SUM(B906:F912)&gt;(L922*7),L922*L905,SUM(B912:F912)*L905)),2)</f>
        <v>0</v>
      </c>
      <c r="M912" s="76">
        <f>ROUND(IF(SUM(B906:F911)&lt;(L922*6),IF((SUM(B906:F912))&gt;(L922*7),(((L922*7)-(SUM(B906:F912)-C912))*M905)+((SUM(B912:F912)-C912)*M905),(SUM(B912:F912)-C912)*M905),IF(SUM(B906:F912)&gt;(L922*7),L922*M905,SUM(B912:F912)*M905)),2)</f>
        <v>0</v>
      </c>
      <c r="N912" s="76">
        <f>ROUND(IF(SUM(B906:F911)&lt;(L922*6),IF((SUM(B906:F912))&gt;(L922*7),(((L922*7)-(SUM(B906:F912)-C911))*N905)+((SUM(B912:F912)-C911)*N905),SUM(B912:F912)*N905),IF(SUM(B906:F912)&gt;(L922*7),L922*N905,SUM(B912:F912)*N905)),2)</f>
        <v>0</v>
      </c>
      <c r="O912" s="23">
        <f>ROUND(SUM(B912+C912+F912)*O905,2)</f>
        <v>0</v>
      </c>
      <c r="P912" s="27">
        <f t="shared" si="103"/>
        <v>0</v>
      </c>
    </row>
    <row r="913" spans="1:16" s="1" customFormat="1" x14ac:dyDescent="0.2">
      <c r="A913" s="100" t="str">
        <f>$A$33</f>
        <v>Aug 2022</v>
      </c>
      <c r="B913" s="24">
        <f>ROUND(IF(P887=0,0,IFERROR(((LOOKUP(2,1/(A894:A897=A913),G894:G897))*P887*4.348),B912/P887*P887)),2)</f>
        <v>0</v>
      </c>
      <c r="C913" s="23">
        <f>ROUND(IFERROR(((LOOKUP(2,1/(B899=A913),((SUM(B912:B914)+SUM(F912:F914))/3)*C899))),0)+IFERROR(((LOOKUP(2,1/(E899=A913),(B918+F918)*F899))),0),2)</f>
        <v>0</v>
      </c>
      <c r="D913" s="23">
        <f>ROUND(IF(B913=0,0,D905/L887*P887),2)</f>
        <v>0</v>
      </c>
      <c r="E913" s="23">
        <f>ROUND(IF(B913=0,0,E905/N883*P887),2)</f>
        <v>0</v>
      </c>
      <c r="F913" s="24">
        <f>ROUND(IF(P887=0,0,IFERROR(((LOOKUP(2,1/(A894:A897=A913),H894:H897))/N883*P887),F912/P887*P887)),2)</f>
        <v>0</v>
      </c>
      <c r="G913" s="27">
        <f t="shared" si="102"/>
        <v>0</v>
      </c>
      <c r="H913" s="76">
        <f>ROUND(IF(SUM(B906:F912)&lt;(L921*7),IF((SUM(B906:F913))&gt;(L921*8),(((L921*8)-(SUM(B906:F913)-C912))*H905)+((SUM(B913:F913)-C912)*H905),SUM(B913:F913)*H905),IF(SUM(B906:F913)&gt;(L921*8),L921*H905,SUM(B913:F913)*H905)),2)</f>
        <v>0</v>
      </c>
      <c r="I913" s="76">
        <f>ROUND(IF(SUM(B906:F912)&lt;(L922*7),IF((SUM(B906:F913))&gt;(L922*8),(((L922*8)-(SUM(B906:F913)-C912))*I905)+((SUM(B913:F913)-C912)*I905),SUM(B913:F913)*I905),IF(SUM(B906:F913)&gt;(L922*8),L922*I905,SUM(B913:F913)*I905)),2)</f>
        <v>0</v>
      </c>
      <c r="J913" s="76">
        <f>ROUND(IF(SUM(B906:F912)&lt;(L922*7),IF((SUM(B906:F913))&gt;(L922*8),(((L922*8)-(SUM(B906:F913)-C912))*J905)+((SUM(B913:F913)-C912)*J905),SUM(B913:F913)*J905),IF(SUM(B906:F913)&gt;(L922*8),L922*J905,SUM(B913:F913)*J905)),2)</f>
        <v>0</v>
      </c>
      <c r="K913" s="76">
        <f>ROUND(IF(SUM(B906:F912)&lt;(L921*7),IF((SUM(B906:F913))&gt;(L921*8),(((L921*8)-(SUM(B906:F913)-C912))*K905)+((SUM(B913:F913)-C912)*K905),SUM(B913:F913)*K905),IF(SUM(B906:F913)&gt;(L921*8),L921*K905,SUM(B913:F913)*K905)),2)</f>
        <v>0</v>
      </c>
      <c r="L913" s="76">
        <f>ROUND(IF(SUM(B906:F912)&lt;(L922*7),IF((SUM(B906:F913))&gt;(L922*8),(((L922*8)-(SUM(B906:F913)-C913))*L905)+((SUM(B913:F913)-C913)*L905),(SUM(B913:F913)-C913)*L905),IF(SUM(B906:F913)&gt;(L922*8),L922*L905,SUM(B913:F913)*L905)),2)</f>
        <v>0</v>
      </c>
      <c r="M913" s="76">
        <f>ROUND(IF(SUM(B906:F912)&lt;(L922*7),IF((SUM(B906:F913))&gt;(L922*8),(((L922*8)-(SUM(B906:F913)-C913))*M905)+((SUM(B913:F913)-C913)*M905),(SUM(B913:F913)-C913)*M905),IF(SUM(B906:F913)&gt;(L922*8),L922*M905,SUM(B913:F913)*M905)),2)</f>
        <v>0</v>
      </c>
      <c r="N913" s="76">
        <f>ROUND(IF(SUM(B906:F912)&lt;(L922*7),IF((SUM(B906:F913))&gt;(L922*8),(((L922*8)-(SUM(B906:F913)-C912))*N905)+((SUM(B913:F913)-C912)*N905),SUM(B913:F913)*N905),IF(SUM(B906:F913)&gt;(L922*8),L922*N905,SUM(B913:F913)*N905)),2)</f>
        <v>0</v>
      </c>
      <c r="O913" s="23">
        <f>ROUND(SUM(B913+C913+F913)*O905,2)</f>
        <v>0</v>
      </c>
      <c r="P913" s="27">
        <f t="shared" si="103"/>
        <v>0</v>
      </c>
    </row>
    <row r="914" spans="1:16" s="1" customFormat="1" x14ac:dyDescent="0.2">
      <c r="A914" s="100" t="str">
        <f>$A$34</f>
        <v>Sep 2022</v>
      </c>
      <c r="B914" s="24">
        <f>ROUND(IF(P888=0,0,IFERROR(((LOOKUP(2,1/(A894:A897=A914),G894:G897))*P888*4.348),B913/P888*P888)),2)</f>
        <v>0</v>
      </c>
      <c r="C914" s="23">
        <f>ROUND(IFERROR(((LOOKUP(2,1/(B899=A914),((SUM(B912:B914)+SUM(F912:F914))/3)*C899))),0)+IFERROR(((LOOKUP(2,1/(E899=A914),(B918+F918)*F899))),0),2)</f>
        <v>0</v>
      </c>
      <c r="D914" s="23">
        <f>ROUND(IF(B914=0,0,D905/L887*P888),2)</f>
        <v>0</v>
      </c>
      <c r="E914" s="23">
        <f>ROUND(IF(B914=0,0,E905/N883*P888),2)</f>
        <v>0</v>
      </c>
      <c r="F914" s="24">
        <f>ROUND(IF(P888=0,0,IFERROR(((LOOKUP(2,1/(A894:A897=A914),H894:H897))/N883*P888),F913/P888*P888)),2)</f>
        <v>0</v>
      </c>
      <c r="G914" s="27">
        <f t="shared" si="102"/>
        <v>0</v>
      </c>
      <c r="H914" s="76">
        <f>ROUND(IF(SUM(B906:F913)&lt;(L921*8),IF((SUM(B906:F914))&gt;(L921*9),(((L921*9)-(SUM(B906:F914)-C913))*H905)+((SUM(B914:F914)-C913)*H905),SUM(B914:F914)*H905),IF(SUM(B906:F914)&gt;(L921*9),L921*H905,SUM(B914:F914)*H905)),2)</f>
        <v>0</v>
      </c>
      <c r="I914" s="76">
        <f>ROUND(IF(SUM(B906:F913)&lt;(L922*8),IF((SUM(B906:F914))&gt;(L922*9),(((L922*9)-(SUM(B906:F914)-C913))*I905)+((SUM(B914:F914)-C913)*I905),SUM(B914:F914)*I905),IF(SUM(B906:F914)&gt;(L922*9),L922*I905,SUM(B914:F914)*I905)),2)</f>
        <v>0</v>
      </c>
      <c r="J914" s="76">
        <f>ROUND(IF(SUM(B906:F913)&lt;(L922*8),IF((SUM(B906:F914))&gt;(L922*9),(((L922*9)-(SUM(B906:F914)-C913))*J905)+((SUM(B914:F914)-C913)*J905),SUM(B914:F914)*J905),IF(SUM(B906:F914)&gt;(L922*9),L922*J905,SUM(B914:F914)*J905)),2)</f>
        <v>0</v>
      </c>
      <c r="K914" s="76">
        <f>ROUND(IF(SUM(B906:F913)&lt;(L921*8),IF((SUM(B906:F914))&gt;(L921*9),(((L921*9)-(SUM(B906:F914)-C913))*K905)+((SUM(B914:F914)-C913)*K905),SUM(B914:F914)*K905),IF(SUM(B906:F914)&gt;(L921*9),L921*K905,SUM(B914:F914)*K905)),2)</f>
        <v>0</v>
      </c>
      <c r="L914" s="76">
        <f>ROUND(IF(SUM(B906:F913)&lt;(L922*8),IF((SUM(B906:F914))&gt;(L922*9),(((L922*9)-(SUM(B906:F914)-C914))*L905)+((SUM(B914:F914)-C914)*L905),(SUM(B914:F914)-C914)*L905),IF(SUM(B906:F914)&gt;(L922*9),L922*L905,SUM(B914:F914)*L905)),2)</f>
        <v>0</v>
      </c>
      <c r="M914" s="76">
        <f>ROUND(IF(SUM(B906:F913)&lt;(L922*8),IF((SUM(B906:F914))&gt;(L922*9),(((L922*9)-(SUM(B906:F914)-C914))*M905)+((SUM(B914:F914)-C914)*M905),(SUM(B914:F914)-C914)*M905),IF(SUM(B906:F914)&gt;(L922*9),L922*M905,SUM(B914:F914)*M905)),2)</f>
        <v>0</v>
      </c>
      <c r="N914" s="76">
        <f>ROUND(IF(SUM(B906:F913)&lt;(L922*8),IF((SUM(B906:F914))&gt;(L922*9),(((L922*9)-(SUM(B906:F914)-C913))*N905)+((SUM(B914:F914)-C913)*N905),SUM(B914:F914)*N905),IF(SUM(B906:F914)&gt;(L922*9),L922*N905,SUM(B914:F914)*N905)),2)</f>
        <v>0</v>
      </c>
      <c r="O914" s="23">
        <f>ROUND(SUM(B914+C914+F914)*O905,2)</f>
        <v>0</v>
      </c>
      <c r="P914" s="27">
        <f t="shared" si="103"/>
        <v>0</v>
      </c>
    </row>
    <row r="915" spans="1:16" s="1" customFormat="1" x14ac:dyDescent="0.2">
      <c r="A915" s="100" t="str">
        <f>$A$35</f>
        <v>Okt 2022</v>
      </c>
      <c r="B915" s="24">
        <f>ROUND(IF(P889=0,0,IFERROR(((LOOKUP(2,1/(A894:A897=A915),G894:G897))*P889*4.348),B914/P889*P889)),2)</f>
        <v>0</v>
      </c>
      <c r="C915" s="23">
        <f>ROUND(IFERROR(((LOOKUP(2,1/(B899=A915),((SUM(B912:B914)+SUM(F912:F914))/3)*C899))),0)+IFERROR(((LOOKUP(2,1/(E899=A915),(B918+F918)*F899))),0),2)</f>
        <v>0</v>
      </c>
      <c r="D915" s="23">
        <f>ROUND(IF(B915=0,0,D905/L887*P889),2)</f>
        <v>0</v>
      </c>
      <c r="E915" s="23">
        <f>ROUND(IF(B915=0,0,E905/N883*P889),2)</f>
        <v>0</v>
      </c>
      <c r="F915" s="24">
        <f>ROUND(IF(P889=0,0,IFERROR(((LOOKUP(2,1/(A894:A897=A915),H894:H897))/N883*P889),F914/P889*P889)),2)</f>
        <v>0</v>
      </c>
      <c r="G915" s="27">
        <f t="shared" si="102"/>
        <v>0</v>
      </c>
      <c r="H915" s="76">
        <f>ROUND(IF(SUM(B906:F914)&lt;(L921*9),IF((SUM(B906:F915))&gt;(L921*10),(((L921*10)-(SUM(B906:F915)-C914))*H905)+((SUM(B915:F915)-C914)*H905),SUM(B915:F915)*H905),IF(SUM(B906:F915)&gt;(L921*10),L921*H905,SUM(B915:F915)*H905)),2)</f>
        <v>0</v>
      </c>
      <c r="I915" s="76">
        <f>ROUND(IF(SUM(B906:F914)&lt;(L922*9),IF((SUM(B906:F915))&gt;(L922*10),(((L922*10)-(SUM(B906:F915)-C914))*I905)+((SUM(B915:F915)-C914)*I905),SUM(B915:F915)*I905),IF(SUM(B906:F915)&gt;(L922*10),L922*I905,SUM(B915:F915)*I905)),2)</f>
        <v>0</v>
      </c>
      <c r="J915" s="76">
        <f>ROUND(IF(SUM(B906:F914)&lt;(L922*9),IF((SUM(B906:F915))&gt;(L922*10),(((L922*10)-(SUM(B906:F915)-C914))*J905)+((SUM(B915:F915)-C914)*J905),SUM(B915:F915)*J905),IF(SUM(B906:F915)&gt;(L922*10),L922*J905,SUM(B915:F915)*J905)),2)</f>
        <v>0</v>
      </c>
      <c r="K915" s="76">
        <f>ROUND(IF(SUM(B906:F914)&lt;(L921*9),IF((SUM(B906:F915))&gt;(L921*10),(((L921*10)-(SUM(B906:F915)-C914))*K905)+((SUM(B915:F915)-C914)*K905),SUM(B915:F915)*K905),IF(SUM(B906:F915)&gt;(L921*10),L921*K905,SUM(B915:F915)*K905)),2)</f>
        <v>0</v>
      </c>
      <c r="L915" s="76">
        <f>ROUND(IF(SUM(B906:F914)&lt;(L922*9),IF((SUM(B906:F915))&gt;(L922*10),(((L922*10)-(SUM(B906:F915)-C915))*L905)+((SUM(B915:F915)-C915)*L905),(SUM(B915:F915)-C915)*L905),IF(SUM(B906:F915)&gt;(L922*10),L922*L905,SUM(B915:F915)*L905)),2)</f>
        <v>0</v>
      </c>
      <c r="M915" s="76">
        <f>ROUND(IF(SUM(B906:F914)&lt;(L922*9),IF((SUM(B906:F915))&gt;(L922*10),(((L922*10)-(SUM(B906:F915)-C915))*M905)+((SUM(B915:F915)-C915)*M905),(SUM(B915:F915)-C915)*M905),IF(SUM(B906:F915)&gt;(L922*10),L922*M905,SUM(B915:F915)*M905)),2)</f>
        <v>0</v>
      </c>
      <c r="N915" s="76">
        <f>ROUND(IF(SUM(B906:F914)&lt;(L922*9),IF((SUM(B906:F915))&gt;(L922*10),(((L922*10)-(SUM(B906:F915)-C914))*N905)+((SUM(B915:F915)-C914)*N905),SUM(B915:F915)*N905),IF(SUM(B906:F915)&gt;(L922*10),L922*N905,SUM(B915:F915)*N905)),2)</f>
        <v>0</v>
      </c>
      <c r="O915" s="23">
        <f>ROUND(SUM(B915+C915+F915)*O905,2)</f>
        <v>0</v>
      </c>
      <c r="P915" s="27">
        <f t="shared" si="103"/>
        <v>0</v>
      </c>
    </row>
    <row r="916" spans="1:16" s="1" customFormat="1" x14ac:dyDescent="0.2">
      <c r="A916" s="100" t="str">
        <f>$A$36</f>
        <v>Nov 2022</v>
      </c>
      <c r="B916" s="24">
        <f>ROUND(IF(P890=0,0,IFERROR(((LOOKUP(2,1/(A894:A897=A916),G894:G897))*P890*4.348),B915/P890*P890)),2)</f>
        <v>0</v>
      </c>
      <c r="C916" s="23">
        <f>ROUND(IFERROR(((LOOKUP(2,1/(B899=A916),((SUM(B912:B914)+SUM(F912:F914))/3)*C899))),0)+IFERROR(((LOOKUP(2,1/(E899=A916),(B918+F918)*F899))),0),2)</f>
        <v>0</v>
      </c>
      <c r="D916" s="23">
        <f>ROUND(IF(B916=0,0,D905/L887*P890),2)</f>
        <v>0</v>
      </c>
      <c r="E916" s="23">
        <f>ROUND(IF(B916=0,0,E905/N883*P890),2)</f>
        <v>0</v>
      </c>
      <c r="F916" s="24">
        <f>ROUND(IF(P890=0,0,IFERROR(((LOOKUP(2,1/(A894:A897=A916),H894:H897))/N883*P890),F915/P890*P890)),2)</f>
        <v>0</v>
      </c>
      <c r="G916" s="27">
        <f t="shared" si="102"/>
        <v>0</v>
      </c>
      <c r="H916" s="76">
        <f>ROUND(IF(SUM(B906:F915)&lt;(L921*10),IF((SUM(B906:F916))&gt;(L921*11),(((L921*11)-(SUM(B906:F916)-C915))*H905)+((SUM(B916:F916)-C915)*H905),SUM(B916:F916)*H905),IF(SUM(B906:F916)&gt;(L921*11),L921*H905,SUM(B916:F916)*H905)),2)</f>
        <v>0</v>
      </c>
      <c r="I916" s="76">
        <f>ROUND(IF(SUM(B906:F915)&lt;(L922*10),IF((SUM(B906:F916))&gt;(L922*11),(((L922*11)-(SUM(B906:F916)-C915))*I905)+((SUM(B916:F916)-C915)*I905),SUM(B916:F916)*I905),IF(SUM(B906:F916)&gt;(L922*11),L922*I905,SUM(B916:F916)*I905)),2)</f>
        <v>0</v>
      </c>
      <c r="J916" s="76">
        <f>ROUND(IF(SUM(B906:F915)&lt;(L922*10),IF((SUM(B906:F916))&gt;(L922*11),(((L922*11)-(SUM(B906:F916)-C915))*J905)+((SUM(B916:F916)-C915)*J905),SUM(B916:F916)*J905),IF(SUM(B906:F916)&gt;(L922*11),L922*J905,SUM(B916:F916)*J905)),2)</f>
        <v>0</v>
      </c>
      <c r="K916" s="76">
        <f>ROUND(IF(SUM(B906:F915)&lt;(L921*10),IF((SUM(B906:F916))&gt;(L921*11),(((L921*11)-(SUM(B906:F916)-C915))*K905)+((SUM(B916:F916)-C915)*K905),SUM(B916:F916)*K905),IF(SUM(B906:F916)&gt;(L921*11),L921*K905,SUM(B916:F916)*K905)),2)</f>
        <v>0</v>
      </c>
      <c r="L916" s="76">
        <f>ROUND(IF(SUM(B906:F915)&lt;(L922*10),IF((SUM(B906:F916))&gt;(L922*11),(((L922*11)-(SUM(B906:F916)-C916))*L905)+((SUM(B916:F916)-C916)*L905),(SUM(B916:F916)-C916)*L905),IF(SUM(B906:F916)&gt;(L922*11),L922*L905,SUM(B916:F916)*L905)),2)</f>
        <v>0</v>
      </c>
      <c r="M916" s="76">
        <f>ROUND(IF(SUM(B906:F915)&lt;(L922*10),IF((SUM(B906:F916))&gt;(L922*11),(((L922*11)-(SUM(B906:F916)-C916))*M905)+((SUM(B916:F916)-C916)*M905),(SUM(B916:F916)-C916)*M905),IF(SUM(B906:F916)&gt;(L922*11),L922*M905,SUM(B916:F916)*M905)),2)</f>
        <v>0</v>
      </c>
      <c r="N916" s="76">
        <f>ROUND(IF(SUM(B906:F915)&lt;(L922*10),IF((SUM(B906:F916))&gt;(L922*11),(((L922*11)-(SUM(B906:F916)-C915))*N905)+((SUM(B916:F916)-C915)*N905),SUM(B916:F916)*N905),IF(SUM(B906:F916)&gt;(L922*11),L922*N905,SUM(B916:F916)*N905)),2)</f>
        <v>0</v>
      </c>
      <c r="O916" s="23">
        <f>ROUND(SUM(B916+C916+F916)*O905,2)</f>
        <v>0</v>
      </c>
      <c r="P916" s="27">
        <f t="shared" si="103"/>
        <v>0</v>
      </c>
    </row>
    <row r="917" spans="1:16" s="1" customFormat="1" x14ac:dyDescent="0.2">
      <c r="A917" s="100" t="str">
        <f>$A$37</f>
        <v>Dez 2022</v>
      </c>
      <c r="B917" s="24">
        <f>ROUND(IF(P891=0,0,IFERROR(((LOOKUP(2,1/(A894:A897=A917),G894:G897))*P891*4.348),B916/P891*P891)),2)</f>
        <v>0</v>
      </c>
      <c r="C917" s="23">
        <f>ROUND(IFERROR(((LOOKUP(2,1/(B899=A917),((SUM(B912:B914)+SUM(F912:F914))/3)*C899))),0)+IFERROR(((LOOKUP(2,1/(E899=A917),(B918+F918)*F899))),0),2)</f>
        <v>0</v>
      </c>
      <c r="D917" s="23">
        <f>ROUND(IF(B917=0,0,D905/L887*P891),2)</f>
        <v>0</v>
      </c>
      <c r="E917" s="23">
        <f>ROUND(IF(B917=0,0,E905/N883*P891),2)</f>
        <v>0</v>
      </c>
      <c r="F917" s="24">
        <f>ROUND(IF(P891=0,0,IFERROR(((LOOKUP(2,1/(A894:A897=A917),H894:H897))/N883*P891),F916/P891*P891)),2)</f>
        <v>0</v>
      </c>
      <c r="G917" s="27">
        <f t="shared" si="102"/>
        <v>0</v>
      </c>
      <c r="H917" s="76">
        <f>ROUND(IF(SUM(B906:F916)&lt;(L921*11),IF((SUM(B906:F917))&gt;(L921*12),(((L921*12)-(SUM(B906:F917)-C916))*H905)+((SUM(B917:F917)-C916)*H905),SUM(B917:F917)*H905),IF(SUM(B906:F917)&gt;(L921*12),L921*H905,SUM(B917:F917)*H905)),2)</f>
        <v>0</v>
      </c>
      <c r="I917" s="76">
        <f>ROUND(IF(SUM(B906:F916)&lt;(L922*11),IF((SUM(B906:F917))&gt;(L922*12),(((L922*12)-(SUM(B906:F917)-C916))*I905)+((SUM(B917:F917)-C916)*I905),SUM(B917:F917)*I905),IF(SUM(B906:F917)&gt;(L922*12),L922*I905,SUM(B917:F917)*I905)),2)</f>
        <v>0</v>
      </c>
      <c r="J917" s="76">
        <f>ROUND(IF(SUM(B906:F916)&lt;(L922*11),IF((SUM(B906:F917))&gt;(L922*12),(((L922*12)-(SUM(B906:F917)-C916))*J905)+((SUM(B917:F917)-C916)*J905),SUM(B917:F917)*J905),IF(SUM(B906:F917)&gt;(L922*12),L922*J905,SUM(B917:F917)*J905)),2)</f>
        <v>0</v>
      </c>
      <c r="K917" s="76">
        <f>ROUND(IF(SUM(B906:F916)&lt;(L921*11),IF((SUM(B906:F917))&gt;(L921*12),(((L921*12)-(SUM(B906:F917)-C916))*K905)+((SUM(B917:F917)-C916)*K905),SUM(B917:F917)*K905),IF(SUM(B906:F917)&gt;(L921*12),L921*K905,SUM(B917:F917)*K905)),2)</f>
        <v>0</v>
      </c>
      <c r="L917" s="76">
        <f>ROUND(IF(SUM(B906:F916)&lt;(L922*11),IF((SUM(B906:F917))&gt;(L922*12),(((L922*12)-(SUM(B906:F917)-C917))*L905)+((SUM(B917:F917)-C917)*L905),(SUM(B917:F917)-C917)*L905),IF(SUM(B906:F917)&gt;(L922*12),L922*L905,SUM(B917:F917)*L905)),2)</f>
        <v>0</v>
      </c>
      <c r="M917" s="76">
        <f>ROUND(IF(SUM(B906:F916)&lt;(L922*11),IF((SUM(B906:F917))&gt;(L922*12),(((L922*12)-(SUM(B906:F917)-C917))*M905)+((SUM(B917:F917)-C917)*M905),(SUM(B917:F917)-C917)*M905),IF(SUM(B906:F917)&gt;(L922*12),L922*M905,SUM(B917:F917)*M905)),2)</f>
        <v>0</v>
      </c>
      <c r="N917" s="76">
        <f>ROUND(IF(SUM(B906:F916)&lt;(L922*11),IF((SUM(B906:F917))&gt;(L922*12),(((L922*12)-(SUM(B906:F917)-C916))*N905)+((SUM(B917:F917)-C916)*N905),SUM(B917:F917)*N905),IF(SUM(B906:F917)&gt;(L922*12),L922*N905,SUM(B917:F917)*N905)),2)</f>
        <v>0</v>
      </c>
      <c r="O917" s="23">
        <f>ROUND(SUM(B917+C917+F917)*O905,2)</f>
        <v>0</v>
      </c>
      <c r="P917" s="27">
        <f t="shared" si="103"/>
        <v>0</v>
      </c>
    </row>
    <row r="918" spans="1:16" s="14" customFormat="1" ht="15" x14ac:dyDescent="0.25">
      <c r="A918" s="4" t="s">
        <v>2</v>
      </c>
      <c r="B918" s="27">
        <f>SUM(B906:B917)</f>
        <v>0</v>
      </c>
      <c r="C918" s="27">
        <f t="shared" ref="C918:D918" si="104">SUM(C906:C917)</f>
        <v>0</v>
      </c>
      <c r="D918" s="27">
        <f t="shared" si="104"/>
        <v>0</v>
      </c>
      <c r="E918" s="27">
        <f>SUM(E906:E917)</f>
        <v>0</v>
      </c>
      <c r="F918" s="27">
        <f>SUM(F906:F917)</f>
        <v>0</v>
      </c>
      <c r="G918" s="27">
        <f>SUM(G906:G917)</f>
        <v>0</v>
      </c>
      <c r="H918" s="1133">
        <f>SUM(H906:N917)</f>
        <v>0</v>
      </c>
      <c r="I918" s="1134"/>
      <c r="J918" s="1134"/>
      <c r="K918" s="1134"/>
      <c r="L918" s="1134"/>
      <c r="M918" s="1134"/>
      <c r="N918" s="1135"/>
      <c r="O918" s="27">
        <f>SUM(O906:O917)</f>
        <v>0</v>
      </c>
      <c r="P918" s="27">
        <f>SUM(P906:P917)</f>
        <v>0</v>
      </c>
    </row>
    <row r="919" spans="1:16" s="13" customFormat="1" ht="11.25" x14ac:dyDescent="0.2">
      <c r="A919" s="3" t="s">
        <v>1</v>
      </c>
      <c r="B919" s="2"/>
      <c r="C919" s="2"/>
      <c r="D919" s="2"/>
      <c r="E919" s="2"/>
      <c r="F919" s="2"/>
      <c r="G919" s="2"/>
      <c r="H919" s="2"/>
      <c r="I919" s="2"/>
      <c r="J919" s="2"/>
      <c r="K919" s="2"/>
      <c r="L919" s="2"/>
      <c r="M919" s="2"/>
      <c r="N919" s="2"/>
      <c r="O919" s="2"/>
      <c r="P919" s="2"/>
    </row>
    <row r="920" spans="1:16" s="1" customFormat="1" ht="14.25" customHeight="1" x14ac:dyDescent="0.2">
      <c r="A920" s="1136" t="s">
        <v>133</v>
      </c>
      <c r="B920" s="1137"/>
      <c r="C920" s="1137"/>
      <c r="D920" s="1137" t="s">
        <v>134</v>
      </c>
      <c r="E920" s="1137"/>
      <c r="F920" s="94" t="str">
        <f>IF(IF(G918=0,"",'päd.Personal - Leitung'!$F$40)=0,"",IF(G918=0,"",'päd.Personal - Leitung'!$F$40))</f>
        <v/>
      </c>
      <c r="G920" s="77" t="s">
        <v>135</v>
      </c>
      <c r="H920" s="96" t="str">
        <f>IF(IF(G918=0,"",'päd.Personal - Leitung'!$H$40)=0,"",IF(G918=0,"",'päd.Personal - Leitung'!$H$40))</f>
        <v/>
      </c>
      <c r="I920" s="73"/>
      <c r="J920" s="194" t="s">
        <v>160</v>
      </c>
      <c r="K920" s="194" t="str">
        <f>$K$40</f>
        <v>2021</v>
      </c>
      <c r="L920" s="194" t="str">
        <f>$L$40</f>
        <v>anteilig 2021</v>
      </c>
      <c r="M920" s="1138" t="s">
        <v>140</v>
      </c>
      <c r="N920" s="1138"/>
      <c r="O920" s="1139"/>
      <c r="P920" s="27">
        <f>ROUND(IF(F920="",IF(E924="",0,(E924*H924/K924)/L887*L888),G918*F920*H920/1000),2)</f>
        <v>0</v>
      </c>
    </row>
    <row r="921" spans="1:16" s="1" customFormat="1" ht="15" customHeight="1" x14ac:dyDescent="0.2">
      <c r="A921" s="1140" t="s">
        <v>145</v>
      </c>
      <c r="B921" s="1141"/>
      <c r="C921" s="1141"/>
      <c r="D921" s="18"/>
      <c r="E921" s="107" t="s">
        <v>135</v>
      </c>
      <c r="F921" s="95" t="str">
        <f>IF(IF(G918=0,"",'päd.Personal - Leitung'!$F$41)=0,"",IF(G918=0,"",'päd.Personal - Leitung'!$F$41))</f>
        <v/>
      </c>
      <c r="G921" s="48"/>
      <c r="H921" s="47"/>
      <c r="I921" s="48"/>
      <c r="J921" s="195" t="s">
        <v>158</v>
      </c>
      <c r="K921" s="198">
        <f>$K$41</f>
        <v>4837.5</v>
      </c>
      <c r="L921" s="197">
        <f>IF(L887="",K921,K921/L887*L888)</f>
        <v>4837.5</v>
      </c>
      <c r="M921" s="1138" t="s">
        <v>139</v>
      </c>
      <c r="N921" s="1138"/>
      <c r="O921" s="1139"/>
      <c r="P921" s="27">
        <f>ROUND(IF(F921="",0,G918*F921/1000),2)</f>
        <v>0</v>
      </c>
    </row>
    <row r="922" spans="1:16" s="1" customFormat="1" ht="15.75" customHeight="1" x14ac:dyDescent="0.2">
      <c r="A922" s="1142" t="s">
        <v>141</v>
      </c>
      <c r="B922" s="1143"/>
      <c r="C922" s="1143"/>
      <c r="D922" s="1144" t="s">
        <v>143</v>
      </c>
      <c r="E922" s="1144"/>
      <c r="F922" s="1145" t="str">
        <f>IF(IF(G918=0,"",'päd.Personal - Leitung'!$F$42)=0,"",IF(G918=0,"",'päd.Personal - Leitung'!$F$42))</f>
        <v/>
      </c>
      <c r="G922" s="1145"/>
      <c r="H922" s="72"/>
      <c r="I922" s="18"/>
      <c r="J922" s="195" t="s">
        <v>159</v>
      </c>
      <c r="K922" s="197">
        <f>$K$42</f>
        <v>6700</v>
      </c>
      <c r="L922" s="197">
        <f>IF(L887="",K922,K922/L887*L888)</f>
        <v>6700</v>
      </c>
      <c r="M922" s="1138" t="s">
        <v>141</v>
      </c>
      <c r="N922" s="1138"/>
      <c r="O922" s="1139"/>
      <c r="P922" s="23">
        <f>ROUND(IF(F922="",0,IF(G918=0,0,F922/L887*L888)),2)</f>
        <v>0</v>
      </c>
    </row>
    <row r="923" spans="1:16" s="1" customFormat="1" ht="14.25" customHeight="1" x14ac:dyDescent="0.2">
      <c r="A923" s="18"/>
      <c r="B923" s="18"/>
      <c r="C923" s="18"/>
      <c r="D923" s="18"/>
      <c r="E923" s="18"/>
      <c r="F923" s="18"/>
      <c r="G923" s="18"/>
      <c r="H923" s="18"/>
      <c r="I923" s="18"/>
      <c r="J923" s="18"/>
      <c r="K923" s="74"/>
      <c r="L923" s="82"/>
      <c r="M923" s="1127" t="s">
        <v>146</v>
      </c>
      <c r="N923" s="1127"/>
      <c r="O923" s="1128"/>
      <c r="P923" s="23">
        <f>ROUND(IF(G918=0,0,$P$87),2)</f>
        <v>0</v>
      </c>
    </row>
    <row r="924" spans="1:16" s="1" customFormat="1" ht="14.25" customHeight="1" x14ac:dyDescent="0.2">
      <c r="A924" s="1129" t="s">
        <v>142</v>
      </c>
      <c r="B924" s="1130"/>
      <c r="C924" s="126" t="s">
        <v>136</v>
      </c>
      <c r="D924" s="179" t="s">
        <v>137</v>
      </c>
      <c r="E924" s="1131" t="str">
        <f>IF(IF(G918=0,"",'päd.Personal - Leitung'!$E$44)=0,"",IF(G918=0,"",'päd.Personal - Leitung'!$E$44))</f>
        <v/>
      </c>
      <c r="F924" s="1131"/>
      <c r="G924" s="83" t="s">
        <v>138</v>
      </c>
      <c r="H924" s="97" t="str">
        <f>IF(IF(G918=0,"",'päd.Personal - Leitung'!$H$44)=0,"",IF(G918=0,"",'päd.Personal - Leitung'!$H$44))</f>
        <v/>
      </c>
      <c r="I924" s="1132" t="s">
        <v>144</v>
      </c>
      <c r="J924" s="1132"/>
      <c r="K924" s="98" t="str">
        <f>IF(IF(G918=0,"",'päd.Personal - Leitung'!$K$44)=0,"",IF(G918=0,"",'päd.Personal - Leitung'!$K$44))</f>
        <v/>
      </c>
      <c r="L924" s="29"/>
      <c r="M924" s="29"/>
      <c r="N924" s="29"/>
      <c r="O924" s="28" t="s">
        <v>0</v>
      </c>
      <c r="P924" s="27">
        <f>P918+SUM(P920:P923)</f>
        <v>0</v>
      </c>
    </row>
    <row r="925" spans="1:16" s="12" customFormat="1" ht="13.5" customHeight="1" x14ac:dyDescent="0.2">
      <c r="A925" s="1178" t="s">
        <v>18</v>
      </c>
      <c r="B925" s="1178"/>
      <c r="C925" s="1178"/>
      <c r="D925" s="1179" t="str">
        <f>IF($D$1="","",$D$1)</f>
        <v/>
      </c>
      <c r="E925" s="1179"/>
      <c r="F925" s="1179"/>
      <c r="G925" s="1179"/>
      <c r="H925" s="1179"/>
      <c r="I925" s="1179"/>
      <c r="J925" s="1179"/>
      <c r="K925" s="1179"/>
      <c r="L925" s="1179"/>
      <c r="M925" s="1179"/>
      <c r="N925" s="1179"/>
    </row>
    <row r="926" spans="1:16" s="12" customFormat="1" ht="15" customHeight="1" x14ac:dyDescent="0.2">
      <c r="A926" s="1178" t="s">
        <v>17</v>
      </c>
      <c r="B926" s="1178"/>
      <c r="C926" s="1178" t="s">
        <v>15</v>
      </c>
      <c r="D926" s="1179" t="str">
        <f>IF($D$2="","",$D$2)</f>
        <v/>
      </c>
      <c r="E926" s="1179"/>
      <c r="F926" s="1179"/>
      <c r="G926" s="1179"/>
      <c r="H926" s="1179"/>
      <c r="I926" s="1179"/>
      <c r="J926" s="1179"/>
      <c r="K926" s="1179"/>
      <c r="L926" s="1179"/>
      <c r="M926" s="1179"/>
      <c r="N926" s="1179"/>
    </row>
    <row r="927" spans="1:16" s="12" customFormat="1" ht="15" customHeight="1" x14ac:dyDescent="0.2">
      <c r="A927" s="1178" t="s">
        <v>16</v>
      </c>
      <c r="B927" s="1178"/>
      <c r="C927" s="1178" t="s">
        <v>15</v>
      </c>
      <c r="D927" s="1179" t="str">
        <f>IF($D$3="","",$D$3)</f>
        <v/>
      </c>
      <c r="E927" s="1179"/>
      <c r="F927" s="1179"/>
      <c r="G927" s="1179"/>
      <c r="H927" s="1179"/>
      <c r="I927" s="1179"/>
      <c r="J927" s="1179"/>
      <c r="K927" s="1178" t="s">
        <v>103</v>
      </c>
      <c r="L927" s="1178"/>
      <c r="M927" s="1178"/>
      <c r="N927" s="41" t="str">
        <f>IF($N$3="","",$N$3)</f>
        <v/>
      </c>
    </row>
    <row r="928" spans="1:16" s="13" customFormat="1" ht="11.25" x14ac:dyDescent="0.2">
      <c r="A928" s="1182"/>
      <c r="B928" s="1182"/>
      <c r="C928" s="1182"/>
      <c r="D928" s="1183"/>
      <c r="E928" s="1183"/>
      <c r="F928" s="1183"/>
      <c r="G928" s="1183"/>
      <c r="H928" s="1183"/>
      <c r="I928" s="1183"/>
      <c r="J928" s="1183"/>
      <c r="K928" s="11"/>
      <c r="L928" s="11"/>
      <c r="M928" s="11"/>
      <c r="N928" s="11"/>
      <c r="O928" s="11"/>
      <c r="P928" s="11"/>
    </row>
    <row r="929" spans="1:16" s="15" customFormat="1" ht="13.5" customHeight="1" x14ac:dyDescent="0.2">
      <c r="A929" s="1177" t="s">
        <v>166</v>
      </c>
      <c r="B929" s="1177"/>
      <c r="C929" s="1177"/>
      <c r="D929" s="1177"/>
      <c r="E929" s="1177"/>
      <c r="F929" s="1177"/>
      <c r="G929" s="1177"/>
      <c r="H929" s="1177"/>
      <c r="I929" s="1177"/>
      <c r="J929" s="1177"/>
      <c r="K929" s="9"/>
      <c r="L929" s="9"/>
      <c r="M929" s="9"/>
      <c r="N929" s="59" t="s">
        <v>154</v>
      </c>
      <c r="O929" s="191">
        <f>$O$5</f>
        <v>2022</v>
      </c>
      <c r="P929" s="59" t="s">
        <v>154</v>
      </c>
    </row>
    <row r="930" spans="1:16" s="10" customFormat="1" ht="13.5" customHeight="1" x14ac:dyDescent="0.25">
      <c r="B930" s="32"/>
      <c r="C930" s="32"/>
      <c r="D930" s="5" t="s">
        <v>55</v>
      </c>
      <c r="E930" s="31"/>
      <c r="F930" s="31"/>
      <c r="G930" s="31"/>
      <c r="H930" s="31"/>
      <c r="I930" s="26"/>
      <c r="J930" s="1174" t="s">
        <v>14</v>
      </c>
      <c r="K930" s="1174"/>
      <c r="L930" s="180"/>
      <c r="N930" s="84">
        <f>IF(L932="","",L932)</f>
        <v>0</v>
      </c>
      <c r="O930" s="58" t="str">
        <f>$O$6</f>
        <v>Jan                Jul</v>
      </c>
      <c r="P930" s="85">
        <f>IF(N935="","",N935)</f>
        <v>0</v>
      </c>
    </row>
    <row r="931" spans="1:16" s="7" customFormat="1" ht="13.5" customHeight="1" x14ac:dyDescent="0.25">
      <c r="A931" s="1180" t="s">
        <v>71</v>
      </c>
      <c r="B931" s="1180"/>
      <c r="C931" s="1180"/>
      <c r="D931" s="1184"/>
      <c r="E931" s="1184"/>
      <c r="F931" s="1184"/>
      <c r="G931" s="1184"/>
      <c r="H931" s="1184"/>
      <c r="I931" s="1184"/>
      <c r="J931" s="1174" t="s">
        <v>104</v>
      </c>
      <c r="K931" s="1174"/>
      <c r="L931" s="145"/>
      <c r="N931" s="85">
        <f>IF(N930="","",N930)</f>
        <v>0</v>
      </c>
      <c r="O931" s="58" t="str">
        <f>$O$7</f>
        <v>Feb              Aug</v>
      </c>
      <c r="P931" s="85">
        <f>IF(P930="","",P930)</f>
        <v>0</v>
      </c>
    </row>
    <row r="932" spans="1:16" s="1" customFormat="1" ht="13.5" customHeight="1" x14ac:dyDescent="0.2">
      <c r="A932" s="1180" t="s">
        <v>13</v>
      </c>
      <c r="B932" s="1180"/>
      <c r="C932" s="1180"/>
      <c r="D932" s="1181"/>
      <c r="E932" s="1181"/>
      <c r="F932" s="1181"/>
      <c r="G932" s="1181"/>
      <c r="H932" s="1181"/>
      <c r="I932" s="1181"/>
      <c r="J932" s="1174" t="s">
        <v>164</v>
      </c>
      <c r="K932" s="1174"/>
      <c r="L932" s="145">
        <f>IF((L933+L934)&gt;L931,0,L931-L933-L934)</f>
        <v>0</v>
      </c>
      <c r="N932" s="85">
        <f>IF(N931="","",N931)</f>
        <v>0</v>
      </c>
      <c r="O932" s="58" t="str">
        <f>$O$8</f>
        <v>Mrz              Sep</v>
      </c>
      <c r="P932" s="85">
        <f>IF(P931="","",P931)</f>
        <v>0</v>
      </c>
    </row>
    <row r="933" spans="1:16" s="1" customFormat="1" ht="13.5" customHeight="1" x14ac:dyDescent="0.2">
      <c r="A933" s="1180" t="s">
        <v>12</v>
      </c>
      <c r="B933" s="1180"/>
      <c r="C933" s="1180"/>
      <c r="D933" s="1181"/>
      <c r="E933" s="1181"/>
      <c r="F933" s="1181"/>
      <c r="G933" s="1181"/>
      <c r="H933" s="1181"/>
      <c r="I933" s="1181"/>
      <c r="J933" s="1174" t="s">
        <v>165</v>
      </c>
      <c r="K933" s="1174"/>
      <c r="L933" s="145"/>
      <c r="N933" s="85">
        <f>IF(N932="","",N932)</f>
        <v>0</v>
      </c>
      <c r="O933" s="58" t="str">
        <f>$O$9</f>
        <v>Apr               Okt</v>
      </c>
      <c r="P933" s="85">
        <f t="shared" ref="P933:P935" si="105">IF(P932="","",P932)</f>
        <v>0</v>
      </c>
    </row>
    <row r="934" spans="1:16" s="1" customFormat="1" ht="13.5" customHeight="1" x14ac:dyDescent="0.2">
      <c r="A934" s="1180" t="s">
        <v>19</v>
      </c>
      <c r="B934" s="1180"/>
      <c r="C934" s="1180"/>
      <c r="D934" s="1181"/>
      <c r="E934" s="1181"/>
      <c r="F934" s="1181"/>
      <c r="G934" s="1181"/>
      <c r="H934" s="1181"/>
      <c r="I934" s="1181"/>
      <c r="J934" s="1174" t="s">
        <v>252</v>
      </c>
      <c r="K934" s="1174"/>
      <c r="L934" s="145"/>
      <c r="M934" s="92"/>
      <c r="N934" s="85">
        <f>IF(N933="","",N933)</f>
        <v>0</v>
      </c>
      <c r="O934" s="58" t="str">
        <f>$O$10</f>
        <v>Mai               Nov</v>
      </c>
      <c r="P934" s="85">
        <f t="shared" si="105"/>
        <v>0</v>
      </c>
    </row>
    <row r="935" spans="1:16" s="1" customFormat="1" ht="13.5" customHeight="1" x14ac:dyDescent="0.2">
      <c r="B935" s="8"/>
      <c r="C935" s="121" t="s">
        <v>162</v>
      </c>
      <c r="D935" s="1175"/>
      <c r="E935" s="1175"/>
      <c r="F935" s="1176" t="s">
        <v>106</v>
      </c>
      <c r="G935" s="1176"/>
      <c r="H935" s="1186"/>
      <c r="I935" s="1186"/>
      <c r="J935" s="1174" t="s">
        <v>97</v>
      </c>
      <c r="K935" s="1174"/>
      <c r="L935" s="17" t="str">
        <f>IF(IF((COUNTIF(B950:B961,"&gt;0"))=0,0,(COUNTIF(B950:B961,"&gt;0")))&gt;Grundlagen!$C$24,Grundlagen!$C$24,IF((COUNTIF(B950:B961,"&gt;0"))=0,"",(COUNTIF(B950:B961,"&gt;0"))))</f>
        <v/>
      </c>
      <c r="N935" s="85">
        <f>IF(N934="","",N934)</f>
        <v>0</v>
      </c>
      <c r="O935" s="58" t="str">
        <f>'päd.Personal - Leitung'!$O$11</f>
        <v>Jun               Dez</v>
      </c>
      <c r="P935" s="85">
        <f t="shared" si="105"/>
        <v>0</v>
      </c>
    </row>
    <row r="936" spans="1:16" s="1" customFormat="1" ht="13.5" customHeight="1" x14ac:dyDescent="0.2">
      <c r="I936" s="6"/>
      <c r="L936" s="147" t="str">
        <f>IF((SUM(F938:F941))=0,"",IF(P936&gt;L932,L932,IF(L932="","",IF(L935="","",P936))))</f>
        <v/>
      </c>
      <c r="O936" s="174" t="s">
        <v>251</v>
      </c>
      <c r="P936" s="175">
        <f>IF(L935="",0,((IF(SUMIF(B950,"&gt;0"),N930,0))+(IF(SUMIF(B951,"&gt;0"),N931,0))+(IF(SUMIF(B952,"&gt;0"),N932,0))+(IF(SUMIF(B953,"&gt;0"),N933,0))+(IF(SUMIF(B954,"&gt;0"),N934,0))+(IF(SUMIF(B955,"&gt;0"),N935,0))+(IF(SUMIF(B956,"&gt;0"),P930,0))+(IF(SUMIF(B957,"&gt;0"),P931,0))+(IF(SUMIF(B958,"&gt;0"),P932,0))+(IF(SUMIF(B959,"&gt;0"),P933,0))+(IF(SUMIF(B960,"&gt;0"),P934,0))+(IF(SUMIF(B961,"&gt;0"),P935,0)))/Grundlagen!$C$24)</f>
        <v>0</v>
      </c>
    </row>
    <row r="937" spans="1:16" s="52" customFormat="1" ht="13.5" customHeight="1" x14ac:dyDescent="0.2">
      <c r="A937" s="61" t="s">
        <v>148</v>
      </c>
      <c r="B937" s="1168" t="s">
        <v>149</v>
      </c>
      <c r="C937" s="1168"/>
      <c r="D937" s="62" t="s">
        <v>150</v>
      </c>
      <c r="E937" s="63" t="s">
        <v>151</v>
      </c>
      <c r="F937" s="64" t="str">
        <f>CONCATENATE("Entg. ",N927," h/Wo")</f>
        <v>Entg.  h/Wo</v>
      </c>
      <c r="G937" s="65" t="s">
        <v>152</v>
      </c>
      <c r="H937" s="65" t="s">
        <v>153</v>
      </c>
      <c r="K937" s="1169" t="str">
        <f>CONCATENATE("Zuschläge / Zulagen für ",N927,"h/Wo")</f>
        <v>Zuschläge / Zulagen für h/Wo</v>
      </c>
      <c r="L937" s="1169"/>
      <c r="M937" s="66" t="str">
        <f>IF(A938="","",A938)</f>
        <v>Jan 2022</v>
      </c>
      <c r="N937" s="66" t="str">
        <f>IF(A939="","",A939)</f>
        <v/>
      </c>
      <c r="O937" s="66" t="str">
        <f>IF(A940="","",A940)</f>
        <v/>
      </c>
      <c r="P937" s="66" t="str">
        <f>IF(A941="","",A941)</f>
        <v/>
      </c>
    </row>
    <row r="938" spans="1:16" s="52" customFormat="1" ht="13.5" customHeight="1" x14ac:dyDescent="0.25">
      <c r="A938" s="54" t="str">
        <f>A950</f>
        <v>Jan 2022</v>
      </c>
      <c r="B938" s="1170" t="str">
        <f>IF($D$3="","",$D$3)</f>
        <v/>
      </c>
      <c r="C938" s="1171"/>
      <c r="D938" s="181"/>
      <c r="E938" s="181"/>
      <c r="F938" s="87"/>
      <c r="G938" s="56">
        <f>IF(N927="",0,F938/N927/4.348)</f>
        <v>0</v>
      </c>
      <c r="H938" s="53">
        <f>IF(G938=0,0,M943)</f>
        <v>0</v>
      </c>
      <c r="K938" s="1146"/>
      <c r="L938" s="1146"/>
      <c r="M938" s="172"/>
      <c r="N938" s="172"/>
      <c r="O938" s="172"/>
      <c r="P938" s="172"/>
    </row>
    <row r="939" spans="1:16" s="52" customFormat="1" ht="13.5" customHeight="1" x14ac:dyDescent="0.25">
      <c r="A939" s="55"/>
      <c r="B939" s="1172" t="str">
        <f>IF(A939="","",B938)</f>
        <v/>
      </c>
      <c r="C939" s="1173"/>
      <c r="D939" s="181"/>
      <c r="E939" s="181"/>
      <c r="F939" s="87"/>
      <c r="G939" s="56">
        <f>IF(N927="",0,F939/N927/4.348)</f>
        <v>0</v>
      </c>
      <c r="H939" s="53">
        <f>IF(G939=0,0,N943)</f>
        <v>0</v>
      </c>
      <c r="K939" s="1146"/>
      <c r="L939" s="1146"/>
      <c r="M939" s="172"/>
      <c r="N939" s="172"/>
      <c r="O939" s="172"/>
      <c r="P939" s="172"/>
    </row>
    <row r="940" spans="1:16" s="52" customFormat="1" ht="13.5" customHeight="1" x14ac:dyDescent="0.25">
      <c r="A940" s="55"/>
      <c r="B940" s="1172" t="str">
        <f>IF(A940="","",B939)</f>
        <v/>
      </c>
      <c r="C940" s="1173"/>
      <c r="D940" s="181"/>
      <c r="E940" s="181"/>
      <c r="F940" s="87"/>
      <c r="G940" s="56">
        <f>IF(N927="",0,F940/N927/4.348)</f>
        <v>0</v>
      </c>
      <c r="H940" s="53">
        <f>IF(G940=0,0,O943)</f>
        <v>0</v>
      </c>
      <c r="K940" s="1146"/>
      <c r="L940" s="1146"/>
      <c r="M940" s="172"/>
      <c r="N940" s="172"/>
      <c r="O940" s="172"/>
      <c r="P940" s="172"/>
    </row>
    <row r="941" spans="1:16" s="52" customFormat="1" ht="13.5" customHeight="1" x14ac:dyDescent="0.25">
      <c r="A941" s="55"/>
      <c r="B941" s="1172" t="str">
        <f>IF(A941="","",B940)</f>
        <v/>
      </c>
      <c r="C941" s="1173"/>
      <c r="D941" s="181"/>
      <c r="E941" s="181"/>
      <c r="F941" s="87"/>
      <c r="G941" s="56">
        <f>IF(N927="",0,F941/N927/4.348)</f>
        <v>0</v>
      </c>
      <c r="H941" s="53">
        <f>IF(G941=0,0,P943)</f>
        <v>0</v>
      </c>
      <c r="K941" s="1146"/>
      <c r="L941" s="1146"/>
      <c r="M941" s="172"/>
      <c r="N941" s="172"/>
      <c r="O941" s="172"/>
      <c r="P941" s="172"/>
    </row>
    <row r="942" spans="1:16" s="52" customFormat="1" ht="13.5" customHeight="1" x14ac:dyDescent="0.25">
      <c r="B942" s="1167" t="s">
        <v>157</v>
      </c>
      <c r="C942" s="1167"/>
      <c r="E942" s="1167" t="s">
        <v>156</v>
      </c>
      <c r="F942" s="1167"/>
      <c r="J942" s="69"/>
      <c r="K942" s="1146"/>
      <c r="L942" s="1146"/>
      <c r="M942" s="172"/>
      <c r="N942" s="172"/>
      <c r="O942" s="172"/>
      <c r="P942" s="172"/>
    </row>
    <row r="943" spans="1:16" s="52" customFormat="1" ht="13.5" customHeight="1" x14ac:dyDescent="0.25">
      <c r="A943" s="70" t="s">
        <v>167</v>
      </c>
      <c r="B943" s="67"/>
      <c r="C943" s="99" t="str">
        <f>IF(C899="","",C899)</f>
        <v/>
      </c>
      <c r="D943" s="70" t="s">
        <v>167</v>
      </c>
      <c r="E943" s="67"/>
      <c r="F943" s="99" t="str">
        <f>IF(F899="","",F899)</f>
        <v/>
      </c>
      <c r="J943" s="68"/>
      <c r="M943" s="173">
        <f>SUM(M938:M942)</f>
        <v>0</v>
      </c>
      <c r="N943" s="173">
        <f t="shared" ref="N943:P943" si="106">SUM(N938:N942)</f>
        <v>0</v>
      </c>
      <c r="O943" s="173">
        <f t="shared" si="106"/>
        <v>0</v>
      </c>
      <c r="P943" s="173">
        <f t="shared" si="106"/>
        <v>0</v>
      </c>
    </row>
    <row r="944" spans="1:16" s="52" customFormat="1" ht="13.5" customHeight="1" x14ac:dyDescent="0.2">
      <c r="A944" s="60" t="s">
        <v>155</v>
      </c>
    </row>
    <row r="945" spans="1:16" s="1" customFormat="1" ht="14.25" customHeight="1" x14ac:dyDescent="0.2">
      <c r="A945" s="1147"/>
      <c r="B945" s="1149" t="s">
        <v>9</v>
      </c>
      <c r="C945" s="1150"/>
      <c r="D945" s="1150"/>
      <c r="E945" s="1150"/>
      <c r="F945" s="1150"/>
      <c r="G945" s="1151"/>
      <c r="H945" s="1152" t="s">
        <v>119</v>
      </c>
      <c r="I945" s="1153"/>
      <c r="J945" s="1153"/>
      <c r="K945" s="1153"/>
      <c r="L945" s="1153"/>
      <c r="M945" s="1153"/>
      <c r="N945" s="1153"/>
      <c r="O945" s="33"/>
      <c r="P945" s="1154" t="s">
        <v>0</v>
      </c>
    </row>
    <row r="946" spans="1:16" s="1" customFormat="1" ht="14.25" customHeight="1" x14ac:dyDescent="0.2">
      <c r="A946" s="1148"/>
      <c r="B946" s="1157" t="s">
        <v>117</v>
      </c>
      <c r="C946" s="124" t="s">
        <v>115</v>
      </c>
      <c r="D946" s="1159" t="s">
        <v>277</v>
      </c>
      <c r="E946" s="1161" t="s">
        <v>147</v>
      </c>
      <c r="F946" s="127" t="s">
        <v>7</v>
      </c>
      <c r="G946" s="1162" t="s">
        <v>6</v>
      </c>
      <c r="H946" s="1161" t="s">
        <v>129</v>
      </c>
      <c r="I946" s="1161" t="s">
        <v>5</v>
      </c>
      <c r="J946" s="1161" t="s">
        <v>4</v>
      </c>
      <c r="K946" s="1161" t="s">
        <v>3</v>
      </c>
      <c r="L946" s="1161" t="s">
        <v>121</v>
      </c>
      <c r="M946" s="1161" t="s">
        <v>122</v>
      </c>
      <c r="N946" s="1161" t="s">
        <v>123</v>
      </c>
      <c r="O946" s="1160" t="s">
        <v>114</v>
      </c>
      <c r="P946" s="1155"/>
    </row>
    <row r="947" spans="1:16" s="1" customFormat="1" ht="14.25" customHeight="1" x14ac:dyDescent="0.2">
      <c r="A947" s="1148"/>
      <c r="B947" s="1157"/>
      <c r="C947" s="21" t="str">
        <f>IF(C943="","",C943)</f>
        <v/>
      </c>
      <c r="D947" s="1160"/>
      <c r="E947" s="1161"/>
      <c r="F947" s="1165" t="str">
        <f>IF(H938=0,"","siehe Zuschläge / Zulagen")</f>
        <v/>
      </c>
      <c r="G947" s="1162"/>
      <c r="H947" s="1164" t="s">
        <v>127</v>
      </c>
      <c r="I947" s="1164"/>
      <c r="J947" s="1164"/>
      <c r="K947" s="1164"/>
      <c r="L947" s="1164"/>
      <c r="M947" s="1164"/>
      <c r="N947" s="1164"/>
      <c r="O947" s="1160"/>
      <c r="P947" s="1155"/>
    </row>
    <row r="948" spans="1:16" s="1" customFormat="1" x14ac:dyDescent="0.2">
      <c r="A948" s="1148"/>
      <c r="B948" s="1157"/>
      <c r="C948" s="122" t="s">
        <v>70</v>
      </c>
      <c r="D948" s="1160"/>
      <c r="E948" s="1161"/>
      <c r="F948" s="1165"/>
      <c r="G948" s="1162"/>
      <c r="H948" s="43" t="s">
        <v>128</v>
      </c>
      <c r="I948" s="43" t="s">
        <v>255</v>
      </c>
      <c r="J948" s="43" t="s">
        <v>256</v>
      </c>
      <c r="K948" s="43" t="s">
        <v>257</v>
      </c>
      <c r="L948" s="43"/>
      <c r="M948" s="43"/>
      <c r="N948" s="43" t="s">
        <v>254</v>
      </c>
      <c r="O948" s="1160"/>
      <c r="P948" s="1155"/>
    </row>
    <row r="949" spans="1:16" s="1" customFormat="1" x14ac:dyDescent="0.2">
      <c r="A949" s="1148"/>
      <c r="B949" s="1158"/>
      <c r="C949" s="21" t="str">
        <f>IF(F943="","",F943)</f>
        <v/>
      </c>
      <c r="D949" s="51"/>
      <c r="E949" s="51"/>
      <c r="F949" s="1166"/>
      <c r="G949" s="1163"/>
      <c r="H949" s="93"/>
      <c r="I949" s="139">
        <f>$I$69</f>
        <v>0</v>
      </c>
      <c r="J949" s="139">
        <f>$J$69</f>
        <v>0</v>
      </c>
      <c r="K949" s="44">
        <f>$K$69</f>
        <v>0</v>
      </c>
      <c r="L949" s="21"/>
      <c r="M949" s="21"/>
      <c r="N949" s="139">
        <f>$N$69</f>
        <v>0</v>
      </c>
      <c r="O949" s="21">
        <f>O905</f>
        <v>0</v>
      </c>
      <c r="P949" s="1156"/>
    </row>
    <row r="950" spans="1:16" s="1" customFormat="1" x14ac:dyDescent="0.2">
      <c r="A950" s="100" t="str">
        <f>$A$26</f>
        <v>Jan 2022</v>
      </c>
      <c r="B950" s="24">
        <f>ROUND(IF(N930=0,0,(LOOKUP(2,1/(A938:A941=A950),G938:G941))*N930*4.348),2)</f>
        <v>0</v>
      </c>
      <c r="C950" s="23">
        <f>ROUND(IFERROR(((LOOKUP(2,1/(B943=A950),((SUM(B956:B958)+SUM(F956:F958))/3)*C943))),0)+IFERROR(((LOOKUP(2,1/(E943=A950),(B962+F962)*F943))),0),2)</f>
        <v>0</v>
      </c>
      <c r="D950" s="23">
        <f>ROUND(IF(B950=0,0,D949/L931*N930),2)</f>
        <v>0</v>
      </c>
      <c r="E950" s="23">
        <f>ROUND(IF(B950=0,0,E949/N927*N930),2)</f>
        <v>0</v>
      </c>
      <c r="F950" s="24">
        <f>ROUND(IF(N930=0,0,(LOOKUP(2,1/(A938:A941=A950),H938:H941))/N927*N930),2)</f>
        <v>0</v>
      </c>
      <c r="G950" s="27">
        <f>SUM(B950+C950+E950+F950)</f>
        <v>0</v>
      </c>
      <c r="H950" s="76">
        <f>ROUND(IF((SUM(B950:F950))&gt;L965,L965*H949,SUM(B950:F950)*H949),2)</f>
        <v>0</v>
      </c>
      <c r="I950" s="76">
        <f>ROUND(IF((SUM(B950:F950))&gt;L966,L966*I949,SUM(B950:F950)*I949),2)</f>
        <v>0</v>
      </c>
      <c r="J950" s="76">
        <f>ROUND(IF((SUM(B950:F950))&gt;L966,L966*J949,SUM(B950:F950)*J949),2)</f>
        <v>0</v>
      </c>
      <c r="K950" s="76">
        <f>ROUND(IF((SUM(B950:F950))&gt;L965,L965*K949,SUM(B950:F950)*K949),2)</f>
        <v>0</v>
      </c>
      <c r="L950" s="76">
        <f>ROUND(IF((SUM(B950:F950))&gt;L966,L966*L949,(SUM(B950:F950)-C950)*L949),2)</f>
        <v>0</v>
      </c>
      <c r="M950" s="76">
        <f>ROUND(IF((SUM(B950:F950))&gt;L966,L966*M949,(SUM(B950:F950)-C950)*M949),2)</f>
        <v>0</v>
      </c>
      <c r="N950" s="76">
        <f>ROUND(IF((SUM(B950:F950))&gt;L966,L966*N949,SUM(B950:F950)*N949),2)</f>
        <v>0</v>
      </c>
      <c r="O950" s="23">
        <f>ROUND(SUM(B950+C950+F950)*O949,2)</f>
        <v>0</v>
      </c>
      <c r="P950" s="27">
        <f>SUM(G950:O950)</f>
        <v>0</v>
      </c>
    </row>
    <row r="951" spans="1:16" s="1" customFormat="1" x14ac:dyDescent="0.2">
      <c r="A951" s="100" t="str">
        <f>$A$27</f>
        <v>Feb 2022</v>
      </c>
      <c r="B951" s="24">
        <f>ROUND(IF(N931=0,0,IFERROR(((LOOKUP(2,1/(A938:A941=A951),G938:G941))*N931*4.348),B950/N931*N931)),2)</f>
        <v>0</v>
      </c>
      <c r="C951" s="23">
        <f>ROUND(IFERROR(((LOOKUP(2,1/(B943=A951),((SUM(B956:B958)+SUM(F956:F958))/3)*C943))),0)+IFERROR(((LOOKUP(2,1/(E943=A951),(B962+F962)*F943))),0),2)</f>
        <v>0</v>
      </c>
      <c r="D951" s="23">
        <f>ROUND(IF(B951=0,0,D949/L931*N931),2)</f>
        <v>0</v>
      </c>
      <c r="E951" s="23">
        <f>ROUND(IF(B951=0,0,E949/N927*N931),2)</f>
        <v>0</v>
      </c>
      <c r="F951" s="24">
        <f>ROUND(IF(N931=0,0,IFERROR(((LOOKUP(2,1/(A938:A941=A951),H938:H941))/N927*N931),F950/N931*N931)),2)</f>
        <v>0</v>
      </c>
      <c r="G951" s="27">
        <f t="shared" ref="G951:G961" si="107">SUM(B951+C951+E951+F951)</f>
        <v>0</v>
      </c>
      <c r="H951" s="76">
        <f>ROUND(IF(SUM(B950:F950)&lt;(L965*1),IF((SUM(B950:F951))&gt;(L965*2),(((L965*2)-(SUM(B950:F951)-C950))*H949)+((SUM(B951:F951)-C950)*H949),SUM(B951:F951)*H949),IF(SUM(B950:F951)&gt;(L965*2),L965*H949,SUM(B951:F951)*H949)),2)</f>
        <v>0</v>
      </c>
      <c r="I951" s="76">
        <f>ROUND(IF(SUM(B950:F950)&lt;(L966*1),IF((SUM(B950:F951))&gt;(L966*2),(((L966*2)-(SUM(B950:F951)-C950))*I949)+((SUM(B951:F951)-C950)*I949),SUM(B951:F951)*I949),IF(SUM(B950:F951)&gt;(L966*2),L966*I949,SUM(B951:F951)*I949)),2)</f>
        <v>0</v>
      </c>
      <c r="J951" s="76">
        <f>ROUND(IF(SUM(B950:F950)&lt;(L966*1),IF((SUM(B950:F951))&gt;(L966*2),(((L966*2)-(SUM(B950:F951)-C950))*J949)+((SUM(B951:F951)-C950)*J949),SUM(B951:F951)*J949),IF(SUM(B950:F951)&gt;(L966*2),L966*J949,SUM(B951:F951)*J949)),2)</f>
        <v>0</v>
      </c>
      <c r="K951" s="76">
        <f>ROUND(IF(SUM(B950:F950)&lt;(L965*1),IF((SUM(B950:F951))&gt;(L965*2),(((L965*2)-(SUM(B950:F951)-C950))*K949)+((SUM(B951:F951)-C950)*K949),SUM(B951:F951)*K949),IF(SUM(B950:F951)&gt;(L965*2),L965*K949,SUM(B951:F951)*K949)),2)</f>
        <v>0</v>
      </c>
      <c r="L951" s="76">
        <f>ROUND(IF(SUM(B950:F950)&lt;(L966*1),IF((SUM(B950:F951))&gt;(L966*2),(((L966*2)-(SUM(B950:F951)-C951))*L949)+((SUM(B951:F951)-C951)*L949),(SUM(B951:F951)-C951)*L949),IF(SUM(B950:F951)&gt;(L966*2),L966*L949,SUM(B951:F951)*L949)),2)</f>
        <v>0</v>
      </c>
      <c r="M951" s="76">
        <f>ROUND(IF(SUM(B950:F950)&lt;(L966*1),IF((SUM(B950:F951))&gt;(L966*2),(((L966*2)-(SUM(B950:F951)-C951))*M949)+((SUM(B951:F951)-C951)*M949),(SUM(B951:F951)-C951)*M949),IF(SUM(B950:F951)&gt;(L966*2),L966*M949,SUM(B951:F951)*M949)),2)</f>
        <v>0</v>
      </c>
      <c r="N951" s="76">
        <f>ROUND(IF(SUM(B950:F950)&lt;(L966*1),IF((SUM(B950:F951))&gt;(L966*2),(((L966*2)-(SUM(B950:F951)-C950))*N949)+((SUM(B951:F951)-C950)*N949),SUM(B951:F951)*N949),IF(SUM(B950:F951)&gt;(L966*2),L966*N949,SUM(B951:F951)*N949)),2)</f>
        <v>0</v>
      </c>
      <c r="O951" s="23">
        <f>ROUND(SUM(B951+C951+F951)*O949,2)</f>
        <v>0</v>
      </c>
      <c r="P951" s="27">
        <f>SUM(G951:O951)</f>
        <v>0</v>
      </c>
    </row>
    <row r="952" spans="1:16" s="1" customFormat="1" x14ac:dyDescent="0.2">
      <c r="A952" s="100" t="str">
        <f>$A$28</f>
        <v>Mrz 2022</v>
      </c>
      <c r="B952" s="24">
        <f>ROUND(IF(N932=0,0,IFERROR(((LOOKUP(2,1/(A938:A941=A952),G938:G941))*N932*4.348),B951/N932*N932)),2)</f>
        <v>0</v>
      </c>
      <c r="C952" s="23">
        <f>ROUND(IFERROR(((LOOKUP(2,1/(B943=A952),((SUM(B956:B958)+SUM(F956:F958))/3)*C943))),0)+IFERROR(((LOOKUP(2,1/(E943=A952),(B962+F962)*F943))),0),2)</f>
        <v>0</v>
      </c>
      <c r="D952" s="23">
        <f>ROUND(IF(B952=0,0,D949/L931*N932),2)</f>
        <v>0</v>
      </c>
      <c r="E952" s="23">
        <f>ROUND(IF(B952=0,0,E949/N927*N932),2)</f>
        <v>0</v>
      </c>
      <c r="F952" s="24">
        <f>ROUND(IF(N932=0,0,IFERROR(((LOOKUP(2,1/(A938:A941=A952),H938:H941))/N927*N932),F951/N932*N932)),2)</f>
        <v>0</v>
      </c>
      <c r="G952" s="27">
        <f t="shared" si="107"/>
        <v>0</v>
      </c>
      <c r="H952" s="76">
        <f>ROUND(IF(SUM(B950:F951)&lt;(L965*2),IF((SUM(B950:F952))&gt;(L965*3),(((L965*3)-(SUM(B950:F952)-C951))*H949)+((SUM(B952:F952)-C951)*H949),SUM(B952:F952)*H949),IF(SUM(B950:F952)&gt;(L965*3),L965*H949,SUM(B952:F952)*H949)),2)</f>
        <v>0</v>
      </c>
      <c r="I952" s="76">
        <f>ROUND(IF(SUM(B950:F951)&lt;(L966*2),IF((SUM(B950:F952))&gt;(L966*3),(((L966*3)-(SUM(B950:F952)-C951))*I949)+((SUM(B952:F952)-C951)*I949),SUM(B952:F952)*I949),IF(SUM(B950:F952)&gt;(L966*3),L966*I949,SUM(B952:F952)*I949)),2)</f>
        <v>0</v>
      </c>
      <c r="J952" s="76">
        <f>ROUND(IF(SUM(B950:F951)&lt;(L966*2),IF((SUM(B950:F952))&gt;(L966*3),(((L966*3)-(SUM(B950:F952)-C951))*J949)+((SUM(B952:F952)-C951)*J949),SUM(B952:F952)*J949),IF(SUM(B950:F952)&gt;(L966*3),L966*J949,SUM(B952:F952)*J949)),2)</f>
        <v>0</v>
      </c>
      <c r="K952" s="76">
        <f>ROUND(IF(SUM(B950:F951)&lt;(L965*2),IF((SUM(B950:F952))&gt;(L965*3),(((L965*3)-(SUM(B950:F952)-C951))*K949)+((SUM(B952:F952)-C951)*K949),SUM(B952:F952)*K949),IF(SUM(B950:F952)&gt;(L965*3),L965*K949,SUM(B952:F952)*K949)),2)</f>
        <v>0</v>
      </c>
      <c r="L952" s="76">
        <f>ROUND(IF(SUM(B950:F951)&lt;(L966*2),IF((SUM(B950:F952))&gt;(L966*3),(((L966*3)-(SUM(B950:F952)-C952))*L949)+((SUM(B952:F952)-C952)*L949),(SUM(B952:F952)-C952)*L949),IF(SUM(B950:F952)&gt;(L966*3),L966*L949,SUM(B952:F952)*L949)),2)</f>
        <v>0</v>
      </c>
      <c r="M952" s="76">
        <f>ROUND(IF(SUM(B950:F951)&lt;(L966*2),IF((SUM(B950:F952))&gt;(L966*3),(((L966*3)-(SUM(B950:F952)-C952))*M949)+((SUM(B952:F952)-C952)*M949),(SUM(B952:F952)-C952)*M949),IF(SUM(B950:F952)&gt;(L966*3),L966*M949,SUM(B952:F952)*M949)),2)</f>
        <v>0</v>
      </c>
      <c r="N952" s="76">
        <f>ROUND(IF(SUM(B950:F951)&lt;(L966*2),IF((SUM(B950:F952))&gt;(L966*3),(((L966*3)-(SUM(B950:F952)-C951))*N949)+((SUM(B952:F952)-C951)*N949),SUM(B952:F952)*N949),IF(SUM(B950:F952)&gt;(L966*3),L966*N949,SUM(B952:F952)*N949)),2)</f>
        <v>0</v>
      </c>
      <c r="O952" s="23">
        <f>ROUND(SUM(B952+C952+F952)*O949,2)</f>
        <v>0</v>
      </c>
      <c r="P952" s="27">
        <f t="shared" ref="P952:P961" si="108">SUM(G952:O952)</f>
        <v>0</v>
      </c>
    </row>
    <row r="953" spans="1:16" s="1" customFormat="1" x14ac:dyDescent="0.2">
      <c r="A953" s="100" t="str">
        <f>$A$29</f>
        <v>Apr 2022</v>
      </c>
      <c r="B953" s="24">
        <f>ROUND(IF(N933=0,0,IFERROR(((LOOKUP(2,1/(A938:A941=A953),G938:G941))*N933*4.348),B952/N933*N933)),2)</f>
        <v>0</v>
      </c>
      <c r="C953" s="23">
        <f>ROUND(IFERROR(((LOOKUP(2,1/(B943=A953),((SUM(B956:B958)+SUM(F956:F958))/3)*C943))),0)+IFERROR(((LOOKUP(2,1/(E943=A953),(B962+F962)*F943))),0),2)</f>
        <v>0</v>
      </c>
      <c r="D953" s="23">
        <f>ROUND(IF(B953=0,0,D949/L931*N933),2)</f>
        <v>0</v>
      </c>
      <c r="E953" s="23">
        <f>ROUND(IF(B953=0,0,E949/N927*N933),2)</f>
        <v>0</v>
      </c>
      <c r="F953" s="24">
        <f>ROUND(IF(N933=0,0,IFERROR(((LOOKUP(2,1/(A938:A941=A953),H938:H941))/N927*N933),F952/N933*N933)),2)</f>
        <v>0</v>
      </c>
      <c r="G953" s="27">
        <f t="shared" si="107"/>
        <v>0</v>
      </c>
      <c r="H953" s="76">
        <f>ROUND(IF(SUM(B950:F952)&lt;(L965*3),IF((SUM(B950:F953))&gt;(L965*4),(((L965*4)-(SUM(B950:F953)-C952))*H949)+((SUM(B953:F953)-C952)*H949),SUM(B953:F953)*H949),IF(SUM(B950:F953)&gt;(L965*4),L965*H949,SUM(B953:F953)*H949)),2)</f>
        <v>0</v>
      </c>
      <c r="I953" s="76">
        <f>ROUND(IF(SUM(B950:F952)&lt;(L966*3),IF((SUM(B950:F953))&gt;(L966*4),(((L966*4)-(SUM(B950:F953)-C952))*I949)+((SUM(B953:F953)-C952)*I949),SUM(B953:F953)*I949),IF(SUM(B950:F953)&gt;(L966*4),L966*I949,SUM(B953:F953)*I949)),2)</f>
        <v>0</v>
      </c>
      <c r="J953" s="76">
        <f>ROUND(IF(SUM(B950:F952)&lt;(L966*3),IF((SUM(B950:F953))&gt;(L966*4),(((L966*4)-(SUM(B950:F953)-C952))*J949)+((SUM(B953:F953)-C952)*J949),SUM(B953:F953)*J949),IF(SUM(B950:F953)&gt;(L966*4),L966*J949,SUM(B953:F953)*J949)),2)</f>
        <v>0</v>
      </c>
      <c r="K953" s="76">
        <f>ROUND(IF(SUM(B950:F952)&lt;(L965*3),IF((SUM(B950:F953))&gt;(L965*4),(((L965*4)-(SUM(B950:F953)-C952))*K949)+((SUM(B953:F953)-C952)*K949),SUM(B953:F953)*K949),IF(SUM(B950:F953)&gt;(L965*4),L965*K949,SUM(B953:F953)*K949)),2)</f>
        <v>0</v>
      </c>
      <c r="L953" s="76">
        <f>ROUND(IF(SUM(B950:F952)&lt;(L966*3),IF((SUM(B950:F953))&gt;(L966*4),(((L966*4)-(SUM(B950:F953)-C953))*L949)+((SUM(B953:F953)-C953)*L949),(SUM(B953:F953)-C953)*L949),IF(SUM(B950:F953)&gt;(L966*4),L966*L949,SUM(B953:F953)*L949)),2)</f>
        <v>0</v>
      </c>
      <c r="M953" s="76">
        <f>ROUND(IF(SUM(B950:F952)&lt;(L966*3),IF((SUM(B950:F953))&gt;(L966*4),(((L966*4)-(SUM(B950:F953)-C953))*M949)+((SUM(B953:F953)-C953)*M949),(SUM(B953:F953)-C953)*M949),IF(SUM(B950:F953)&gt;(L966*4),L966*M949,SUM(B953:F953)*M949)),2)</f>
        <v>0</v>
      </c>
      <c r="N953" s="76">
        <f>ROUND(IF(SUM(B950:F952)&lt;(L966*3),IF((SUM(B950:F953))&gt;(L966*4),(((L966*4)-(SUM(B950:F953)-C952))*N949)+((SUM(B953:F953)-C952)*N949),SUM(B953:F953)*N949),IF(SUM(B950:F953)&gt;(L966*4),L966*N949,SUM(B953:F953)*N949)),2)</f>
        <v>0</v>
      </c>
      <c r="O953" s="23">
        <f>ROUND(SUM(B953+C953+F953)*O949,2)</f>
        <v>0</v>
      </c>
      <c r="P953" s="27">
        <f t="shared" si="108"/>
        <v>0</v>
      </c>
    </row>
    <row r="954" spans="1:16" s="1" customFormat="1" x14ac:dyDescent="0.2">
      <c r="A954" s="100" t="str">
        <f>$A$30</f>
        <v>Mai 2022</v>
      </c>
      <c r="B954" s="24">
        <f>ROUND(IF(N934=0,0,IFERROR(((LOOKUP(2,1/(A938:A941=A954),G938:G941))*N934*4.348),B953/N934*N934)),2)</f>
        <v>0</v>
      </c>
      <c r="C954" s="23">
        <f>ROUND(IFERROR(((LOOKUP(2,1/(B943=A954),((SUM(B956:B958)+SUM(F956:F958))/3)*C943))),0)+IFERROR(((LOOKUP(2,1/(E943=A954),(B962+F962)*F943))),0),2)</f>
        <v>0</v>
      </c>
      <c r="D954" s="23">
        <f>ROUND(IF(B954=0,0,D949/L931*N934),2)</f>
        <v>0</v>
      </c>
      <c r="E954" s="23">
        <f>ROUND(IF(B954=0,0,E949/N927*N934),2)</f>
        <v>0</v>
      </c>
      <c r="F954" s="24">
        <f>ROUND(IF(N934=0,0,IFERROR(((LOOKUP(2,1/(A938:A941=A954),H938:H941))/N927*N934),F953/N934*N934)),2)</f>
        <v>0</v>
      </c>
      <c r="G954" s="27">
        <f t="shared" si="107"/>
        <v>0</v>
      </c>
      <c r="H954" s="76">
        <f>ROUND(IF(SUM(B950:F953)&lt;(L965*4),IF((SUM(B950:F954))&gt;(L965*5),(((L965*5)-(SUM(B950:F954)-C953))*H949)+((SUM(B954:F954)-C953)*H949),SUM(B954:F954)*H949),IF(SUM(B950:F954)&gt;(L965*5),L965*H949,SUM(B954:F954)*H949)),2)</f>
        <v>0</v>
      </c>
      <c r="I954" s="76">
        <f>ROUND(IF(SUM(B950:F953)&lt;(L966*4),IF((SUM(B950:F954))&gt;(L966*5),(((L966*5)-(SUM(B950:F954)-C953))*I949)+((SUM(B954:F954)-C953)*I949),SUM(B954:F954)*I949),IF(SUM(B950:F954)&gt;(L966*5),L966*I949,SUM(B954:F954)*I949)),2)</f>
        <v>0</v>
      </c>
      <c r="J954" s="76">
        <f>ROUND(IF(SUM(B950:F953)&lt;(L966*4),IF((SUM(B950:F954))&gt;(L966*5),(((L966*5)-(SUM(B950:F954)-C953))*J949)+((SUM(B954:F954)-C953)*J949),SUM(B954:F954)*J949),IF(SUM(B950:F954)&gt;(L966*5),L966*J949,SUM(B954:F954)*J949)),2)</f>
        <v>0</v>
      </c>
      <c r="K954" s="76">
        <f>ROUND(IF(SUM(B950:F953)&lt;(L965*4),IF((SUM(B950:F954))&gt;(L965*5),(((L965*5)-(SUM(B950:F954)-C953))*K949)+((SUM(B954:F954)-C953)*K949),SUM(B954:F954)*K949),IF(SUM(B950:F954)&gt;(L965*5),L965*K949,SUM(B954:F954)*K949)),2)</f>
        <v>0</v>
      </c>
      <c r="L954" s="76">
        <f>ROUND(IF(SUM(B950:F953)&lt;(L966*4),IF((SUM(B950:F954))&gt;(L966*5),(((L966*5)-(SUM(B950:F954)-C954))*L949)+((SUM(B954:F954)-C954)*L949),(SUM(B954:F954)-C954)*L949),IF(SUM(B950:F954)&gt;(L966*5),L966*L949,SUM(B954:F954)*L949)),2)</f>
        <v>0</v>
      </c>
      <c r="M954" s="76">
        <f>ROUND(IF(SUM(B950:F953)&lt;(L966*4),IF((SUM(B950:F954))&gt;(L966*5),(((L966*5)-(SUM(B950:F954)-C954))*M949)+((SUM(B954:F954)-C954)*M949),(SUM(B954:F954)-C954)*M949),IF(SUM(B950:F954)&gt;(L966*5),L966*M949,SUM(B954:F954)*M949)),2)</f>
        <v>0</v>
      </c>
      <c r="N954" s="76">
        <f>ROUND(IF(SUM(B950:F953)&lt;(L966*4),IF((SUM(B950:F954))&gt;(L966*5),(((L966*5)-(SUM(B950:F954)-C953))*N949)+((SUM(B954:F954)-C953)*N949),SUM(B954:F954)*N949),IF(SUM(B950:F954)&gt;(L966*5),L966*N949,SUM(B954:F954)*N949)),2)</f>
        <v>0</v>
      </c>
      <c r="O954" s="23">
        <f>ROUND(SUM(B954+C954+F954)*O949,2)</f>
        <v>0</v>
      </c>
      <c r="P954" s="27">
        <f t="shared" si="108"/>
        <v>0</v>
      </c>
    </row>
    <row r="955" spans="1:16" s="1" customFormat="1" x14ac:dyDescent="0.2">
      <c r="A955" s="100" t="str">
        <f>$A$31</f>
        <v>Jun 2022</v>
      </c>
      <c r="B955" s="24">
        <f>ROUND(IF(N935=0,0,IFERROR(((LOOKUP(2,1/(A938:A941=A955),G938:G941))*N935*4.348),B954/N935*N935)),2)</f>
        <v>0</v>
      </c>
      <c r="C955" s="23">
        <f>ROUND(IFERROR(((LOOKUP(2,1/(B943=A955),((SUM(B956:B958)+SUM(F956:F958))/3)*C943))),0)+IFERROR(((LOOKUP(2,1/(E943=A955),(B962+F962)*F943))),0),2)</f>
        <v>0</v>
      </c>
      <c r="D955" s="23">
        <f>ROUND(IF(B955=0,0,D949/L931*N935),2)</f>
        <v>0</v>
      </c>
      <c r="E955" s="23">
        <f>ROUND(IF(B955=0,0,E949/N927*N935),2)</f>
        <v>0</v>
      </c>
      <c r="F955" s="24">
        <f>ROUND(IF(N935=0,0,IFERROR(((LOOKUP(2,1/(A938:A941=A955),H938:H941))/N927*N935),F954/N935*N935)),2)</f>
        <v>0</v>
      </c>
      <c r="G955" s="27">
        <f t="shared" si="107"/>
        <v>0</v>
      </c>
      <c r="H955" s="76">
        <f>ROUND(IF(SUM(B950:F954)&lt;(L965*5),IF((SUM(B950:F955))&gt;(L965*6),(((L965*6)-(SUM(B950:F955)-C954))*H949)+((SUM(B955:F955)-C954)*H949),SUM(B955:F955)*H949),IF(SUM(B950:F955)&gt;(L965*6),L965*H949,SUM(B955:F955)*H949)),2)</f>
        <v>0</v>
      </c>
      <c r="I955" s="76">
        <f>ROUND(IF(SUM(B950:F954)&lt;(L966*5),IF((SUM(B950:F955))&gt;(L966*6),(((L966*6)-(SUM(B950:F955)-C954))*I949)+((SUM(B955:F955)-C954)*I949),SUM(B955:F955)*I949),IF(SUM(B950:F955)&gt;(L966*6),L966*I949,SUM(B955:F955)*I949)),2)</f>
        <v>0</v>
      </c>
      <c r="J955" s="76">
        <f>ROUND(IF(SUM(B950:F954)&lt;(L966*5),IF((SUM(B950:F955))&gt;(L966*6),(((L966*6)-(SUM(B950:F955)-C954))*J949)+((SUM(B955:F955)-C954)*J949),SUM(B955:F955)*J949),IF(SUM(B950:F955)&gt;(L966*6),L966*J949,SUM(B955:F955)*J949)),2)</f>
        <v>0</v>
      </c>
      <c r="K955" s="76">
        <f>ROUND(IF(SUM(B950:F954)&lt;(L965*5),IF((SUM(B950:F955))&gt;(L965*6),(((L965*6)-(SUM(B950:F955)-C954))*K949)+((SUM(B955:F955)-C954)*K949),SUM(B955:F955)*K949),IF(SUM(B950:F955)&gt;(L965*6),L965*K949,SUM(B955:F955)*K949)),2)</f>
        <v>0</v>
      </c>
      <c r="L955" s="76">
        <f>ROUND(IF(SUM(B950:F954)&lt;(L966*5),IF((SUM(B950:F955))&gt;(L966*6),(((L966*6)-(SUM(B950:F955)-C955))*L949)+((SUM(B955:F955)-C955)*L949),(SUM(B955:F955)-C955)*L949),IF(SUM(B950:F955)&gt;(L966*6),L966*L949,SUM(B955:F955)*L949)),2)</f>
        <v>0</v>
      </c>
      <c r="M955" s="76">
        <f>ROUND(IF(SUM(B950:F954)&lt;(L966*5),IF((SUM(B950:F955))&gt;(L966*6),(((L966*6)-(SUM(B950:F955)-C955))*M949)+((SUM(B955:F955)-C955)*M949),(SUM(B955:F955)-C955)*M949),IF(SUM(B950:F955)&gt;(L966*6),L966*M949,SUM(B955:F955)*M949)),2)</f>
        <v>0</v>
      </c>
      <c r="N955" s="76">
        <f>ROUND(IF(SUM(B950:F954)&lt;(L966*5),IF((SUM(B950:F955))&gt;(L966*6),(((L966*6)-(SUM(B950:F955)-C954))*N949)+((SUM(B955:F955)-C954)*N949),SUM(B955:F955)*N949),IF(SUM(B950:F955)&gt;(L966*6),L966*N949,SUM(B955:F955)*N949)),2)</f>
        <v>0</v>
      </c>
      <c r="O955" s="23">
        <f>ROUND(SUM(B955+C955+F955)*O949,2)</f>
        <v>0</v>
      </c>
      <c r="P955" s="27">
        <f t="shared" si="108"/>
        <v>0</v>
      </c>
    </row>
    <row r="956" spans="1:16" s="1" customFormat="1" x14ac:dyDescent="0.2">
      <c r="A956" s="100" t="str">
        <f>$A$32</f>
        <v>Jul 2022</v>
      </c>
      <c r="B956" s="24">
        <f>ROUND(IF(P930=0,0,IFERROR(((LOOKUP(2,1/(A938:A941=A956),G938:G941))*P930*4.348),B955/P930*P930)),2)</f>
        <v>0</v>
      </c>
      <c r="C956" s="23">
        <f>ROUND(IFERROR(((LOOKUP(2,1/(B943=A956),((SUM(B956:B958)+SUM(F956:F958))/3)*C943))),0)+IFERROR(((LOOKUP(2,1/(E943=A956),(B962+F962)*F943))),0),2)</f>
        <v>0</v>
      </c>
      <c r="D956" s="23">
        <f>ROUND(IF(B956=0,0,D949/L931*P930),2)</f>
        <v>0</v>
      </c>
      <c r="E956" s="23">
        <f>ROUND(IF(B956=0,0,E949/N927*P930),2)</f>
        <v>0</v>
      </c>
      <c r="F956" s="24">
        <f>ROUND(IF(P930=0,0,IFERROR(((LOOKUP(2,1/(A938:A941=A956),H938:H941))/N927*P930),F955/P930*P930)),2)</f>
        <v>0</v>
      </c>
      <c r="G956" s="27">
        <f t="shared" si="107"/>
        <v>0</v>
      </c>
      <c r="H956" s="76">
        <f>ROUND(IF(SUM(B950:F955)&lt;(L965*6),IF((SUM(B950:F956))&gt;(L965*7),(((L965*7)-(SUM(B950:F956)-C955))*H949)+((SUM(B956:F956)-C955)*H949),SUM(B956:F956)*H949),IF(SUM(B950:F956)&gt;(L965*7),L965*H949,SUM(B956:F956)*H949)),2)</f>
        <v>0</v>
      </c>
      <c r="I956" s="76">
        <f>ROUND(IF(SUM(B950:F955)&lt;(L966*6),IF((SUM(B950:F956))&gt;(L966*7),(((L966*7)-(SUM(B950:F956)-C955))*I949)+((SUM(B956:F956)-C955)*I949),SUM(B956:F956)*I949),IF(SUM(B950:F956)&gt;(L966*7),L966*I949,SUM(B956:F956)*I949)),2)</f>
        <v>0</v>
      </c>
      <c r="J956" s="76">
        <f>ROUND(IF(SUM(B950:F955)&lt;(L966*6),IF((SUM(B950:F956))&gt;(L966*7),(((L966*7)-(SUM(B950:F956)-C955))*J949)+((SUM(B956:F956)-C955)*J949),SUM(B956:F956)*J949),IF(SUM(B950:F956)&gt;(L966*7),L966*J949,SUM(B956:F956)*J949)),2)</f>
        <v>0</v>
      </c>
      <c r="K956" s="76">
        <f>ROUND(IF(SUM(B950:F955)&lt;(L965*6),IF((SUM(B950:F956))&gt;(L965*7),(((L965*7)-(SUM(B950:F956)-C955))*K949)+((SUM(B956:F956)-C955)*K949),SUM(B956:F956)*K949),IF(SUM(B950:F956)&gt;(L965*7),L965*K949,SUM(B956:F956)*K949)),2)</f>
        <v>0</v>
      </c>
      <c r="L956" s="76">
        <f>ROUND(IF(SUM(B950:F955)&lt;(L966*6),IF((SUM(B950:F956))&gt;(L966*7),(((L966*7)-(SUM(B950:F956)-C956))*L949)+((SUM(B956:F956)-C956)*L949),(SUM(B956:F956)-C956)*L949),IF(SUM(B950:F956)&gt;(L966*7),L966*L949,SUM(B956:F956)*L949)),2)</f>
        <v>0</v>
      </c>
      <c r="M956" s="76">
        <f>ROUND(IF(SUM(B950:F955)&lt;(L966*6),IF((SUM(B950:F956))&gt;(L966*7),(((L966*7)-(SUM(B950:F956)-C956))*M949)+((SUM(B956:F956)-C956)*M949),(SUM(B956:F956)-C956)*M949),IF(SUM(B950:F956)&gt;(L966*7),L966*M949,SUM(B956:F956)*M949)),2)</f>
        <v>0</v>
      </c>
      <c r="N956" s="76">
        <f>ROUND(IF(SUM(B950:F955)&lt;(L966*6),IF((SUM(B950:F956))&gt;(L966*7),(((L966*7)-(SUM(B950:F956)-C955))*N949)+((SUM(B956:F956)-C955)*N949),SUM(B956:F956)*N949),IF(SUM(B950:F956)&gt;(L966*7),L966*N949,SUM(B956:F956)*N949)),2)</f>
        <v>0</v>
      </c>
      <c r="O956" s="23">
        <f>ROUND(SUM(B956+C956+F956)*O949,2)</f>
        <v>0</v>
      </c>
      <c r="P956" s="27">
        <f t="shared" si="108"/>
        <v>0</v>
      </c>
    </row>
    <row r="957" spans="1:16" s="1" customFormat="1" x14ac:dyDescent="0.2">
      <c r="A957" s="100" t="str">
        <f>$A$33</f>
        <v>Aug 2022</v>
      </c>
      <c r="B957" s="24">
        <f>ROUND(IF(P931=0,0,IFERROR(((LOOKUP(2,1/(A938:A941=A957),G938:G941))*P931*4.348),B956/P931*P931)),2)</f>
        <v>0</v>
      </c>
      <c r="C957" s="23">
        <f>ROUND(IFERROR(((LOOKUP(2,1/(B943=A957),((SUM(B956:B958)+SUM(F956:F958))/3)*C943))),0)+IFERROR(((LOOKUP(2,1/(E943=A957),(B962+F962)*F943))),0),2)</f>
        <v>0</v>
      </c>
      <c r="D957" s="23">
        <f>ROUND(IF(B957=0,0,D949/L931*P931),2)</f>
        <v>0</v>
      </c>
      <c r="E957" s="23">
        <f>ROUND(IF(B957=0,0,E949/N927*P931),2)</f>
        <v>0</v>
      </c>
      <c r="F957" s="24">
        <f>ROUND(IF(P931=0,0,IFERROR(((LOOKUP(2,1/(A938:A941=A957),H938:H941))/N927*P931),F956/P931*P931)),2)</f>
        <v>0</v>
      </c>
      <c r="G957" s="27">
        <f t="shared" si="107"/>
        <v>0</v>
      </c>
      <c r="H957" s="76">
        <f>ROUND(IF(SUM(B950:F956)&lt;(L965*7),IF((SUM(B950:F957))&gt;(L965*8),(((L965*8)-(SUM(B950:F957)-C956))*H949)+((SUM(B957:F957)-C956)*H949),SUM(B957:F957)*H949),IF(SUM(B950:F957)&gt;(L965*8),L965*H949,SUM(B957:F957)*H949)),2)</f>
        <v>0</v>
      </c>
      <c r="I957" s="76">
        <f>ROUND(IF(SUM(B950:F956)&lt;(L966*7),IF((SUM(B950:F957))&gt;(L966*8),(((L966*8)-(SUM(B950:F957)-C956))*I949)+((SUM(B957:F957)-C956)*I949),SUM(B957:F957)*I949),IF(SUM(B950:F957)&gt;(L966*8),L966*I949,SUM(B957:F957)*I949)),2)</f>
        <v>0</v>
      </c>
      <c r="J957" s="76">
        <f>ROUND(IF(SUM(B950:F956)&lt;(L966*7),IF((SUM(B950:F957))&gt;(L966*8),(((L966*8)-(SUM(B950:F957)-C956))*J949)+((SUM(B957:F957)-C956)*J949),SUM(B957:F957)*J949),IF(SUM(B950:F957)&gt;(L966*8),L966*J949,SUM(B957:F957)*J949)),2)</f>
        <v>0</v>
      </c>
      <c r="K957" s="76">
        <f>ROUND(IF(SUM(B950:F956)&lt;(L965*7),IF((SUM(B950:F957))&gt;(L965*8),(((L965*8)-(SUM(B950:F957)-C956))*K949)+((SUM(B957:F957)-C956)*K949),SUM(B957:F957)*K949),IF(SUM(B950:F957)&gt;(L965*8),L965*K949,SUM(B957:F957)*K949)),2)</f>
        <v>0</v>
      </c>
      <c r="L957" s="76">
        <f>ROUND(IF(SUM(B950:F956)&lt;(L966*7),IF((SUM(B950:F957))&gt;(L966*8),(((L966*8)-(SUM(B950:F957)-C957))*L949)+((SUM(B957:F957)-C957)*L949),(SUM(B957:F957)-C957)*L949),IF(SUM(B950:F957)&gt;(L966*8),L966*L949,SUM(B957:F957)*L949)),2)</f>
        <v>0</v>
      </c>
      <c r="M957" s="76">
        <f>ROUND(IF(SUM(B950:F956)&lt;(L966*7),IF((SUM(B950:F957))&gt;(L966*8),(((L966*8)-(SUM(B950:F957)-C957))*M949)+((SUM(B957:F957)-C957)*M949),(SUM(B957:F957)-C957)*M949),IF(SUM(B950:F957)&gt;(L966*8),L966*M949,SUM(B957:F957)*M949)),2)</f>
        <v>0</v>
      </c>
      <c r="N957" s="76">
        <f>ROUND(IF(SUM(B950:F956)&lt;(L966*7),IF((SUM(B950:F957))&gt;(L966*8),(((L966*8)-(SUM(B950:F957)-C956))*N949)+((SUM(B957:F957)-C956)*N949),SUM(B957:F957)*N949),IF(SUM(B950:F957)&gt;(L966*8),L966*N949,SUM(B957:F957)*N949)),2)</f>
        <v>0</v>
      </c>
      <c r="O957" s="23">
        <f>ROUND(SUM(B957+C957+F957)*O949,2)</f>
        <v>0</v>
      </c>
      <c r="P957" s="27">
        <f t="shared" si="108"/>
        <v>0</v>
      </c>
    </row>
    <row r="958" spans="1:16" s="1" customFormat="1" x14ac:dyDescent="0.2">
      <c r="A958" s="100" t="str">
        <f>$A$34</f>
        <v>Sep 2022</v>
      </c>
      <c r="B958" s="24">
        <f>ROUND(IF(P932=0,0,IFERROR(((LOOKUP(2,1/(A938:A941=A958),G938:G941))*P932*4.348),B957/P932*P932)),2)</f>
        <v>0</v>
      </c>
      <c r="C958" s="23">
        <f>ROUND(IFERROR(((LOOKUP(2,1/(B943=A958),((SUM(B956:B958)+SUM(F956:F958))/3)*C943))),0)+IFERROR(((LOOKUP(2,1/(E943=A958),(B962+F962)*F943))),0),2)</f>
        <v>0</v>
      </c>
      <c r="D958" s="23">
        <f>ROUND(IF(B958=0,0,D949/L931*P932),2)</f>
        <v>0</v>
      </c>
      <c r="E958" s="23">
        <f>ROUND(IF(B958=0,0,E949/N927*P932),2)</f>
        <v>0</v>
      </c>
      <c r="F958" s="24">
        <f>ROUND(IF(P932=0,0,IFERROR(((LOOKUP(2,1/(A938:A941=A958),H938:H941))/N927*P932),F957/P932*P932)),2)</f>
        <v>0</v>
      </c>
      <c r="G958" s="27">
        <f t="shared" si="107"/>
        <v>0</v>
      </c>
      <c r="H958" s="76">
        <f>ROUND(IF(SUM(B950:F957)&lt;(L965*8),IF((SUM(B950:F958))&gt;(L965*9),(((L965*9)-(SUM(B950:F958)-C957))*H949)+((SUM(B958:F958)-C957)*H949),SUM(B958:F958)*H949),IF(SUM(B950:F958)&gt;(L965*9),L965*H949,SUM(B958:F958)*H949)),2)</f>
        <v>0</v>
      </c>
      <c r="I958" s="76">
        <f>ROUND(IF(SUM(B950:F957)&lt;(L966*8),IF((SUM(B950:F958))&gt;(L966*9),(((L966*9)-(SUM(B950:F958)-C957))*I949)+((SUM(B958:F958)-C957)*I949),SUM(B958:F958)*I949),IF(SUM(B950:F958)&gt;(L966*9),L966*I949,SUM(B958:F958)*I949)),2)</f>
        <v>0</v>
      </c>
      <c r="J958" s="76">
        <f>ROUND(IF(SUM(B950:F957)&lt;(L966*8),IF((SUM(B950:F958))&gt;(L966*9),(((L966*9)-(SUM(B950:F958)-C957))*J949)+((SUM(B958:F958)-C957)*J949),SUM(B958:F958)*J949),IF(SUM(B950:F958)&gt;(L966*9),L966*J949,SUM(B958:F958)*J949)),2)</f>
        <v>0</v>
      </c>
      <c r="K958" s="76">
        <f>ROUND(IF(SUM(B950:F957)&lt;(L965*8),IF((SUM(B950:F958))&gt;(L965*9),(((L965*9)-(SUM(B950:F958)-C957))*K949)+((SUM(B958:F958)-C957)*K949),SUM(B958:F958)*K949),IF(SUM(B950:F958)&gt;(L965*9),L965*K949,SUM(B958:F958)*K949)),2)</f>
        <v>0</v>
      </c>
      <c r="L958" s="76">
        <f>ROUND(IF(SUM(B950:F957)&lt;(L966*8),IF((SUM(B950:F958))&gt;(L966*9),(((L966*9)-(SUM(B950:F958)-C958))*L949)+((SUM(B958:F958)-C958)*L949),(SUM(B958:F958)-C958)*L949),IF(SUM(B950:F958)&gt;(L966*9),L966*L949,SUM(B958:F958)*L949)),2)</f>
        <v>0</v>
      </c>
      <c r="M958" s="76">
        <f>ROUND(IF(SUM(B950:F957)&lt;(L966*8),IF((SUM(B950:F958))&gt;(L966*9),(((L966*9)-(SUM(B950:F958)-C958))*M949)+((SUM(B958:F958)-C958)*M949),(SUM(B958:F958)-C958)*M949),IF(SUM(B950:F958)&gt;(L966*9),L966*M949,SUM(B958:F958)*M949)),2)</f>
        <v>0</v>
      </c>
      <c r="N958" s="76">
        <f>ROUND(IF(SUM(B950:F957)&lt;(L966*8),IF((SUM(B950:F958))&gt;(L966*9),(((L966*9)-(SUM(B950:F958)-C957))*N949)+((SUM(B958:F958)-C957)*N949),SUM(B958:F958)*N949),IF(SUM(B950:F958)&gt;(L966*9),L966*N949,SUM(B958:F958)*N949)),2)</f>
        <v>0</v>
      </c>
      <c r="O958" s="23">
        <f>ROUND(SUM(B958+C958+F958)*O949,2)</f>
        <v>0</v>
      </c>
      <c r="P958" s="27">
        <f t="shared" si="108"/>
        <v>0</v>
      </c>
    </row>
    <row r="959" spans="1:16" s="1" customFormat="1" x14ac:dyDescent="0.2">
      <c r="A959" s="100" t="str">
        <f>$A$35</f>
        <v>Okt 2022</v>
      </c>
      <c r="B959" s="24">
        <f>ROUND(IF(P933=0,0,IFERROR(((LOOKUP(2,1/(A938:A941=A959),G938:G941))*P933*4.348),B958/P933*P933)),2)</f>
        <v>0</v>
      </c>
      <c r="C959" s="23">
        <f>ROUND(IFERROR(((LOOKUP(2,1/(B943=A959),((SUM(B956:B958)+SUM(F956:F958))/3)*C943))),0)+IFERROR(((LOOKUP(2,1/(E943=A959),(B962+F962)*F943))),0),2)</f>
        <v>0</v>
      </c>
      <c r="D959" s="23">
        <f>ROUND(IF(B959=0,0,D949/L931*P933),2)</f>
        <v>0</v>
      </c>
      <c r="E959" s="23">
        <f>ROUND(IF(B959=0,0,E949/N927*P933),2)</f>
        <v>0</v>
      </c>
      <c r="F959" s="24">
        <f>ROUND(IF(P933=0,0,IFERROR(((LOOKUP(2,1/(A938:A941=A959),H938:H941))/N927*P933),F958/P933*P933)),2)</f>
        <v>0</v>
      </c>
      <c r="G959" s="27">
        <f t="shared" si="107"/>
        <v>0</v>
      </c>
      <c r="H959" s="76">
        <f>ROUND(IF(SUM(B950:F958)&lt;(L965*9),IF((SUM(B950:F959))&gt;(L965*10),(((L965*10)-(SUM(B950:F959)-C958))*H949)+((SUM(B959:F959)-C958)*H949),SUM(B959:F959)*H949),IF(SUM(B950:F959)&gt;(L965*10),L965*H949,SUM(B959:F959)*H949)),2)</f>
        <v>0</v>
      </c>
      <c r="I959" s="76">
        <f>ROUND(IF(SUM(B950:F958)&lt;(L966*9),IF((SUM(B950:F959))&gt;(L966*10),(((L966*10)-(SUM(B950:F959)-C958))*I949)+((SUM(B959:F959)-C958)*I949),SUM(B959:F959)*I949),IF(SUM(B950:F959)&gt;(L966*10),L966*I949,SUM(B959:F959)*I949)),2)</f>
        <v>0</v>
      </c>
      <c r="J959" s="76">
        <f>ROUND(IF(SUM(B950:F958)&lt;(L966*9),IF((SUM(B950:F959))&gt;(L966*10),(((L966*10)-(SUM(B950:F959)-C958))*J949)+((SUM(B959:F959)-C958)*J949),SUM(B959:F959)*J949),IF(SUM(B950:F959)&gt;(L966*10),L966*J949,SUM(B959:F959)*J949)),2)</f>
        <v>0</v>
      </c>
      <c r="K959" s="76">
        <f>ROUND(IF(SUM(B950:F958)&lt;(L965*9),IF((SUM(B950:F959))&gt;(L965*10),(((L965*10)-(SUM(B950:F959)-C958))*K949)+((SUM(B959:F959)-C958)*K949),SUM(B959:F959)*K949),IF(SUM(B950:F959)&gt;(L965*10),L965*K949,SUM(B959:F959)*K949)),2)</f>
        <v>0</v>
      </c>
      <c r="L959" s="76">
        <f>ROUND(IF(SUM(B950:F958)&lt;(L966*9),IF((SUM(B950:F959))&gt;(L966*10),(((L966*10)-(SUM(B950:F959)-C959))*L949)+((SUM(B959:F959)-C959)*L949),(SUM(B959:F959)-C959)*L949),IF(SUM(B950:F959)&gt;(L966*10),L966*L949,SUM(B959:F959)*L949)),2)</f>
        <v>0</v>
      </c>
      <c r="M959" s="76">
        <f>ROUND(IF(SUM(B950:F958)&lt;(L966*9),IF((SUM(B950:F959))&gt;(L966*10),(((L966*10)-(SUM(B950:F959)-C959))*M949)+((SUM(B959:F959)-C959)*M949),(SUM(B959:F959)-C959)*M949),IF(SUM(B950:F959)&gt;(L966*10),L966*M949,SUM(B959:F959)*M949)),2)</f>
        <v>0</v>
      </c>
      <c r="N959" s="76">
        <f>ROUND(IF(SUM(B950:F958)&lt;(L966*9),IF((SUM(B950:F959))&gt;(L966*10),(((L966*10)-(SUM(B950:F959)-C958))*N949)+((SUM(B959:F959)-C958)*N949),SUM(B959:F959)*N949),IF(SUM(B950:F959)&gt;(L966*10),L966*N949,SUM(B959:F959)*N949)),2)</f>
        <v>0</v>
      </c>
      <c r="O959" s="23">
        <f>ROUND(SUM(B959+C959+F959)*O949,2)</f>
        <v>0</v>
      </c>
      <c r="P959" s="27">
        <f t="shared" si="108"/>
        <v>0</v>
      </c>
    </row>
    <row r="960" spans="1:16" s="1" customFormat="1" x14ac:dyDescent="0.2">
      <c r="A960" s="100" t="str">
        <f>$A$36</f>
        <v>Nov 2022</v>
      </c>
      <c r="B960" s="24">
        <f>ROUND(IF(P934=0,0,IFERROR(((LOOKUP(2,1/(A938:A941=A960),G938:G941))*P934*4.348),B959/P934*P934)),2)</f>
        <v>0</v>
      </c>
      <c r="C960" s="23">
        <f>ROUND(IFERROR(((LOOKUP(2,1/(B943=A960),((SUM(B956:B958)+SUM(F956:F958))/3)*C943))),0)+IFERROR(((LOOKUP(2,1/(E943=A960),(B962+F962)*F943))),0),2)</f>
        <v>0</v>
      </c>
      <c r="D960" s="23">
        <f>ROUND(IF(B960=0,0,D949/L931*P934),2)</f>
        <v>0</v>
      </c>
      <c r="E960" s="23">
        <f>ROUND(IF(B960=0,0,E949/N927*P934),2)</f>
        <v>0</v>
      </c>
      <c r="F960" s="24">
        <f>ROUND(IF(P934=0,0,IFERROR(((LOOKUP(2,1/(A938:A941=A960),H938:H941))/N927*P934),F959/P934*P934)),2)</f>
        <v>0</v>
      </c>
      <c r="G960" s="27">
        <f t="shared" si="107"/>
        <v>0</v>
      </c>
      <c r="H960" s="76">
        <f>ROUND(IF(SUM(B950:F959)&lt;(L965*10),IF((SUM(B950:F960))&gt;(L965*11),(((L965*11)-(SUM(B950:F960)-C959))*H949)+((SUM(B960:F960)-C959)*H949),SUM(B960:F960)*H949),IF(SUM(B950:F960)&gt;(L965*11),L965*H949,SUM(B960:F960)*H949)),2)</f>
        <v>0</v>
      </c>
      <c r="I960" s="76">
        <f>ROUND(IF(SUM(B950:F959)&lt;(L966*10),IF((SUM(B950:F960))&gt;(L966*11),(((L966*11)-(SUM(B950:F960)-C959))*I949)+((SUM(B960:F960)-C959)*I949),SUM(B960:F960)*I949),IF(SUM(B950:F960)&gt;(L966*11),L966*I949,SUM(B960:F960)*I949)),2)</f>
        <v>0</v>
      </c>
      <c r="J960" s="76">
        <f>ROUND(IF(SUM(B950:F959)&lt;(L966*10),IF((SUM(B950:F960))&gt;(L966*11),(((L966*11)-(SUM(B950:F960)-C959))*J949)+((SUM(B960:F960)-C959)*J949),SUM(B960:F960)*J949),IF(SUM(B950:F960)&gt;(L966*11),L966*J949,SUM(B960:F960)*J949)),2)</f>
        <v>0</v>
      </c>
      <c r="K960" s="76">
        <f>ROUND(IF(SUM(B950:F959)&lt;(L965*10),IF((SUM(B950:F960))&gt;(L965*11),(((L965*11)-(SUM(B950:F960)-C959))*K949)+((SUM(B960:F960)-C959)*K949),SUM(B960:F960)*K949),IF(SUM(B950:F960)&gt;(L965*11),L965*K949,SUM(B960:F960)*K949)),2)</f>
        <v>0</v>
      </c>
      <c r="L960" s="76">
        <f>ROUND(IF(SUM(B950:F959)&lt;(L966*10),IF((SUM(B950:F960))&gt;(L966*11),(((L966*11)-(SUM(B950:F960)-C960))*L949)+((SUM(B960:F960)-C960)*L949),(SUM(B960:F960)-C960)*L949),IF(SUM(B950:F960)&gt;(L966*11),L966*L949,SUM(B960:F960)*L949)),2)</f>
        <v>0</v>
      </c>
      <c r="M960" s="76">
        <f>ROUND(IF(SUM(B950:F959)&lt;(L966*10),IF((SUM(B950:F960))&gt;(L966*11),(((L966*11)-(SUM(B950:F960)-C960))*M949)+((SUM(B960:F960)-C960)*M949),(SUM(B960:F960)-C960)*M949),IF(SUM(B950:F960)&gt;(L966*11),L966*M949,SUM(B960:F960)*M949)),2)</f>
        <v>0</v>
      </c>
      <c r="N960" s="76">
        <f>ROUND(IF(SUM(B950:F959)&lt;(L966*10),IF((SUM(B950:F960))&gt;(L966*11),(((L966*11)-(SUM(B950:F960)-C959))*N949)+((SUM(B960:F960)-C959)*N949),SUM(B960:F960)*N949),IF(SUM(B950:F960)&gt;(L966*11),L966*N949,SUM(B960:F960)*N949)),2)</f>
        <v>0</v>
      </c>
      <c r="O960" s="23">
        <f>ROUND(SUM(B960+C960+F960)*O949,2)</f>
        <v>0</v>
      </c>
      <c r="P960" s="27">
        <f t="shared" si="108"/>
        <v>0</v>
      </c>
    </row>
    <row r="961" spans="1:16" s="1" customFormat="1" x14ac:dyDescent="0.2">
      <c r="A961" s="100" t="str">
        <f>$A$37</f>
        <v>Dez 2022</v>
      </c>
      <c r="B961" s="24">
        <f>ROUND(IF(P935=0,0,IFERROR(((LOOKUP(2,1/(A938:A941=A961),G938:G941))*P935*4.348),B960/P935*P935)),2)</f>
        <v>0</v>
      </c>
      <c r="C961" s="23">
        <f>ROUND(IFERROR(((LOOKUP(2,1/(B943=A961),((SUM(B956:B958)+SUM(F956:F958))/3)*C943))),0)+IFERROR(((LOOKUP(2,1/(E943=A961),(B962+F962)*F943))),0),2)</f>
        <v>0</v>
      </c>
      <c r="D961" s="23">
        <f>ROUND(IF(B961=0,0,D949/L931*P935),2)</f>
        <v>0</v>
      </c>
      <c r="E961" s="23">
        <f>ROUND(IF(B961=0,0,E949/N927*P935),2)</f>
        <v>0</v>
      </c>
      <c r="F961" s="24">
        <f>ROUND(IF(P935=0,0,IFERROR(((LOOKUP(2,1/(A938:A941=A961),H938:H941))/N927*P935),F960/P935*P935)),2)</f>
        <v>0</v>
      </c>
      <c r="G961" s="27">
        <f t="shared" si="107"/>
        <v>0</v>
      </c>
      <c r="H961" s="76">
        <f>ROUND(IF(SUM(B950:F960)&lt;(L965*11),IF((SUM(B950:F961))&gt;(L965*12),(((L965*12)-(SUM(B950:F961)-C960))*H949)+((SUM(B961:F961)-C960)*H949),SUM(B961:F961)*H949),IF(SUM(B950:F961)&gt;(L965*12),L965*H949,SUM(B961:F961)*H949)),2)</f>
        <v>0</v>
      </c>
      <c r="I961" s="76">
        <f>ROUND(IF(SUM(B950:F960)&lt;(L966*11),IF((SUM(B950:F961))&gt;(L966*12),(((L966*12)-(SUM(B950:F961)-C960))*I949)+((SUM(B961:F961)-C960)*I949),SUM(B961:F961)*I949),IF(SUM(B950:F961)&gt;(L966*12),L966*I949,SUM(B961:F961)*I949)),2)</f>
        <v>0</v>
      </c>
      <c r="J961" s="76">
        <f>ROUND(IF(SUM(B950:F960)&lt;(L966*11),IF((SUM(B950:F961))&gt;(L966*12),(((L966*12)-(SUM(B950:F961)-C960))*J949)+((SUM(B961:F961)-C960)*J949),SUM(B961:F961)*J949),IF(SUM(B950:F961)&gt;(L966*12),L966*J949,SUM(B961:F961)*J949)),2)</f>
        <v>0</v>
      </c>
      <c r="K961" s="76">
        <f>ROUND(IF(SUM(B950:F960)&lt;(L965*11),IF((SUM(B950:F961))&gt;(L965*12),(((L965*12)-(SUM(B950:F961)-C960))*K949)+((SUM(B961:F961)-C960)*K949),SUM(B961:F961)*K949),IF(SUM(B950:F961)&gt;(L965*12),L965*K949,SUM(B961:F961)*K949)),2)</f>
        <v>0</v>
      </c>
      <c r="L961" s="76">
        <f>ROUND(IF(SUM(B950:F960)&lt;(L966*11),IF((SUM(B950:F961))&gt;(L966*12),(((L966*12)-(SUM(B950:F961)-C961))*L949)+((SUM(B961:F961)-C961)*L949),(SUM(B961:F961)-C961)*L949),IF(SUM(B950:F961)&gt;(L966*12),L966*L949,SUM(B961:F961)*L949)),2)</f>
        <v>0</v>
      </c>
      <c r="M961" s="76">
        <f>ROUND(IF(SUM(B950:F960)&lt;(L966*11),IF((SUM(B950:F961))&gt;(L966*12),(((L966*12)-(SUM(B950:F961)-C961))*M949)+((SUM(B961:F961)-C961)*M949),(SUM(B961:F961)-C961)*M949),IF(SUM(B950:F961)&gt;(L966*12),L966*M949,SUM(B961:F961)*M949)),2)</f>
        <v>0</v>
      </c>
      <c r="N961" s="76">
        <f>ROUND(IF(SUM(B950:F960)&lt;(L966*11),IF((SUM(B950:F961))&gt;(L966*12),(((L966*12)-(SUM(B950:F961)-C960))*N949)+((SUM(B961:F961)-C960)*N949),SUM(B961:F961)*N949),IF(SUM(B950:F961)&gt;(L966*12),L966*N949,SUM(B961:F961)*N949)),2)</f>
        <v>0</v>
      </c>
      <c r="O961" s="23">
        <f>ROUND(SUM(B961+C961+F961)*O949,2)</f>
        <v>0</v>
      </c>
      <c r="P961" s="27">
        <f t="shared" si="108"/>
        <v>0</v>
      </c>
    </row>
    <row r="962" spans="1:16" s="14" customFormat="1" ht="15" x14ac:dyDescent="0.25">
      <c r="A962" s="4" t="s">
        <v>2</v>
      </c>
      <c r="B962" s="27">
        <f>SUM(B950:B961)</f>
        <v>0</v>
      </c>
      <c r="C962" s="27">
        <f t="shared" ref="C962:D962" si="109">SUM(C950:C961)</f>
        <v>0</v>
      </c>
      <c r="D962" s="27">
        <f t="shared" si="109"/>
        <v>0</v>
      </c>
      <c r="E962" s="27">
        <f>SUM(E950:E961)</f>
        <v>0</v>
      </c>
      <c r="F962" s="27">
        <f>SUM(F950:F961)</f>
        <v>0</v>
      </c>
      <c r="G962" s="27">
        <f>SUM(G950:G961)</f>
        <v>0</v>
      </c>
      <c r="H962" s="1133">
        <f>SUM(H950:N961)</f>
        <v>0</v>
      </c>
      <c r="I962" s="1134"/>
      <c r="J962" s="1134"/>
      <c r="K962" s="1134"/>
      <c r="L962" s="1134"/>
      <c r="M962" s="1134"/>
      <c r="N962" s="1135"/>
      <c r="O962" s="27">
        <f>SUM(O950:O961)</f>
        <v>0</v>
      </c>
      <c r="P962" s="27">
        <f>SUM(P950:P961)</f>
        <v>0</v>
      </c>
    </row>
    <row r="963" spans="1:16" s="13" customFormat="1" ht="11.25" x14ac:dyDescent="0.2">
      <c r="A963" s="3" t="s">
        <v>1</v>
      </c>
      <c r="B963" s="2"/>
      <c r="C963" s="2"/>
      <c r="D963" s="2"/>
      <c r="E963" s="2"/>
      <c r="F963" s="2"/>
      <c r="G963" s="2"/>
      <c r="H963" s="2"/>
      <c r="I963" s="2"/>
      <c r="J963" s="2"/>
      <c r="K963" s="2"/>
      <c r="L963" s="2"/>
      <c r="M963" s="2"/>
      <c r="N963" s="2"/>
      <c r="O963" s="2"/>
      <c r="P963" s="2"/>
    </row>
    <row r="964" spans="1:16" s="1" customFormat="1" ht="14.25" customHeight="1" x14ac:dyDescent="0.2">
      <c r="A964" s="1136" t="s">
        <v>133</v>
      </c>
      <c r="B964" s="1137"/>
      <c r="C964" s="1137"/>
      <c r="D964" s="1137" t="s">
        <v>134</v>
      </c>
      <c r="E964" s="1137"/>
      <c r="F964" s="94" t="str">
        <f>IF(IF(G962=0,"",'päd.Personal - Leitung'!$F$40)=0,"",IF(G962=0,"",'päd.Personal - Leitung'!$F$40))</f>
        <v/>
      </c>
      <c r="G964" s="77" t="s">
        <v>135</v>
      </c>
      <c r="H964" s="96" t="str">
        <f>IF(IF(G962=0,"",'päd.Personal - Leitung'!$H$40)=0,"",IF(G962=0,"",'päd.Personal - Leitung'!$H$40))</f>
        <v/>
      </c>
      <c r="I964" s="73"/>
      <c r="J964" s="194" t="s">
        <v>160</v>
      </c>
      <c r="K964" s="194" t="str">
        <f>$K$40</f>
        <v>2021</v>
      </c>
      <c r="L964" s="194" t="str">
        <f>$L$40</f>
        <v>anteilig 2021</v>
      </c>
      <c r="M964" s="1138" t="s">
        <v>140</v>
      </c>
      <c r="N964" s="1138"/>
      <c r="O964" s="1139"/>
      <c r="P964" s="27">
        <f>ROUND(IF(F964="",IF(E968="",0,(E968*H968/K968)/L931*L932),G962*F964*H964/1000),2)</f>
        <v>0</v>
      </c>
    </row>
    <row r="965" spans="1:16" s="1" customFormat="1" ht="15" customHeight="1" x14ac:dyDescent="0.2">
      <c r="A965" s="1140" t="s">
        <v>145</v>
      </c>
      <c r="B965" s="1141"/>
      <c r="C965" s="1141"/>
      <c r="D965" s="18"/>
      <c r="E965" s="107" t="s">
        <v>135</v>
      </c>
      <c r="F965" s="95" t="str">
        <f>IF(IF(G962=0,"",'päd.Personal - Leitung'!$F$41)=0,"",IF(G962=0,"",'päd.Personal - Leitung'!$F$41))</f>
        <v/>
      </c>
      <c r="G965" s="48"/>
      <c r="H965" s="47"/>
      <c r="I965" s="48"/>
      <c r="J965" s="195" t="s">
        <v>158</v>
      </c>
      <c r="K965" s="198">
        <f>$K$41</f>
        <v>4837.5</v>
      </c>
      <c r="L965" s="197">
        <f>IF(L931="",K965,K965/L931*L932)</f>
        <v>4837.5</v>
      </c>
      <c r="M965" s="1138" t="s">
        <v>139</v>
      </c>
      <c r="N965" s="1138"/>
      <c r="O965" s="1139"/>
      <c r="P965" s="27">
        <f>ROUND(IF(F965="",0,G962*F965/1000),2)</f>
        <v>0</v>
      </c>
    </row>
    <row r="966" spans="1:16" s="1" customFormat="1" ht="15.75" customHeight="1" x14ac:dyDescent="0.2">
      <c r="A966" s="1142" t="s">
        <v>141</v>
      </c>
      <c r="B966" s="1143"/>
      <c r="C966" s="1143"/>
      <c r="D966" s="1144" t="s">
        <v>143</v>
      </c>
      <c r="E966" s="1144"/>
      <c r="F966" s="1145" t="str">
        <f>IF(IF(G962=0,"",'päd.Personal - Leitung'!$F$42)=0,"",IF(G962=0,"",'päd.Personal - Leitung'!$F$42))</f>
        <v/>
      </c>
      <c r="G966" s="1145"/>
      <c r="H966" s="72"/>
      <c r="I966" s="18"/>
      <c r="J966" s="195" t="s">
        <v>159</v>
      </c>
      <c r="K966" s="197">
        <f>$K$42</f>
        <v>6700</v>
      </c>
      <c r="L966" s="197">
        <f>IF(L931="",K966,K966/L931*L932)</f>
        <v>6700</v>
      </c>
      <c r="M966" s="1138" t="s">
        <v>141</v>
      </c>
      <c r="N966" s="1138"/>
      <c r="O966" s="1139"/>
      <c r="P966" s="23">
        <f>ROUND(IF(F966="",0,IF(G962=0,0,F966/L931*L932)),2)</f>
        <v>0</v>
      </c>
    </row>
    <row r="967" spans="1:16" s="1" customFormat="1" ht="14.25" customHeight="1" x14ac:dyDescent="0.2">
      <c r="A967" s="18"/>
      <c r="B967" s="18"/>
      <c r="C967" s="18"/>
      <c r="D967" s="18"/>
      <c r="E967" s="18"/>
      <c r="F967" s="18"/>
      <c r="G967" s="18"/>
      <c r="H967" s="18"/>
      <c r="I967" s="18"/>
      <c r="J967" s="18"/>
      <c r="K967" s="74"/>
      <c r="L967" s="82"/>
      <c r="M967" s="1127" t="s">
        <v>146</v>
      </c>
      <c r="N967" s="1127"/>
      <c r="O967" s="1128"/>
      <c r="P967" s="23">
        <f>ROUND(IF(G962=0,0,$P$87),2)</f>
        <v>0</v>
      </c>
    </row>
    <row r="968" spans="1:16" s="1" customFormat="1" ht="14.25" customHeight="1" x14ac:dyDescent="0.2">
      <c r="A968" s="1129" t="s">
        <v>142</v>
      </c>
      <c r="B968" s="1130"/>
      <c r="C968" s="126" t="s">
        <v>136</v>
      </c>
      <c r="D968" s="179" t="s">
        <v>137</v>
      </c>
      <c r="E968" s="1131" t="str">
        <f>IF(IF(G962=0,"",'päd.Personal - Leitung'!$E$44)=0,"",IF(G962=0,"",'päd.Personal - Leitung'!$E$44))</f>
        <v/>
      </c>
      <c r="F968" s="1131"/>
      <c r="G968" s="83" t="s">
        <v>138</v>
      </c>
      <c r="H968" s="97" t="str">
        <f>IF(IF(G962=0,"",'päd.Personal - Leitung'!$H$44)=0,"",IF(G962=0,"",'päd.Personal - Leitung'!$H$44))</f>
        <v/>
      </c>
      <c r="I968" s="1132" t="s">
        <v>144</v>
      </c>
      <c r="J968" s="1132"/>
      <c r="K968" s="98" t="str">
        <f>IF(IF(G962=0,"",'päd.Personal - Leitung'!$K$44)=0,"",IF(G962=0,"",'päd.Personal - Leitung'!$K$44))</f>
        <v/>
      </c>
      <c r="L968" s="29"/>
      <c r="M968" s="29"/>
      <c r="N968" s="29"/>
      <c r="O968" s="28" t="s">
        <v>0</v>
      </c>
      <c r="P968" s="27">
        <f>P962+SUM(P964:P967)</f>
        <v>0</v>
      </c>
    </row>
    <row r="969" spans="1:16" s="12" customFormat="1" ht="13.5" customHeight="1" x14ac:dyDescent="0.2">
      <c r="A969" s="1178" t="s">
        <v>18</v>
      </c>
      <c r="B969" s="1178"/>
      <c r="C969" s="1178"/>
      <c r="D969" s="1179" t="str">
        <f>IF($D$1="","",$D$1)</f>
        <v/>
      </c>
      <c r="E969" s="1179"/>
      <c r="F969" s="1179"/>
      <c r="G969" s="1179"/>
      <c r="H969" s="1179"/>
      <c r="I969" s="1179"/>
      <c r="J969" s="1179"/>
      <c r="K969" s="1179"/>
      <c r="L969" s="1179"/>
      <c r="M969" s="1179"/>
      <c r="N969" s="1179"/>
    </row>
    <row r="970" spans="1:16" s="12" customFormat="1" ht="15" customHeight="1" x14ac:dyDescent="0.2">
      <c r="A970" s="1178" t="s">
        <v>17</v>
      </c>
      <c r="B970" s="1178"/>
      <c r="C970" s="1178" t="s">
        <v>15</v>
      </c>
      <c r="D970" s="1179" t="str">
        <f>IF($D$2="","",$D$2)</f>
        <v/>
      </c>
      <c r="E970" s="1179"/>
      <c r="F970" s="1179"/>
      <c r="G970" s="1179"/>
      <c r="H970" s="1179"/>
      <c r="I970" s="1179"/>
      <c r="J970" s="1179"/>
      <c r="K970" s="1179"/>
      <c r="L970" s="1179"/>
      <c r="M970" s="1179"/>
      <c r="N970" s="1179"/>
    </row>
    <row r="971" spans="1:16" s="12" customFormat="1" ht="15" customHeight="1" x14ac:dyDescent="0.2">
      <c r="A971" s="1178" t="s">
        <v>16</v>
      </c>
      <c r="B971" s="1178"/>
      <c r="C971" s="1178" t="s">
        <v>15</v>
      </c>
      <c r="D971" s="1179" t="str">
        <f>IF($D$3="","",$D$3)</f>
        <v/>
      </c>
      <c r="E971" s="1179"/>
      <c r="F971" s="1179"/>
      <c r="G971" s="1179"/>
      <c r="H971" s="1179"/>
      <c r="I971" s="1179"/>
      <c r="J971" s="1179"/>
      <c r="K971" s="1178" t="s">
        <v>103</v>
      </c>
      <c r="L971" s="1178"/>
      <c r="M971" s="1178"/>
      <c r="N971" s="41" t="str">
        <f>IF($N$3="","",$N$3)</f>
        <v/>
      </c>
    </row>
    <row r="972" spans="1:16" s="13" customFormat="1" ht="11.25" x14ac:dyDescent="0.2">
      <c r="A972" s="1182"/>
      <c r="B972" s="1182"/>
      <c r="C972" s="1182"/>
      <c r="D972" s="1183"/>
      <c r="E972" s="1183"/>
      <c r="F972" s="1183"/>
      <c r="G972" s="1183"/>
      <c r="H972" s="1183"/>
      <c r="I972" s="1183"/>
      <c r="J972" s="1183"/>
      <c r="K972" s="11"/>
      <c r="L972" s="11"/>
      <c r="M972" s="11"/>
      <c r="N972" s="11"/>
      <c r="O972" s="11"/>
      <c r="P972" s="11"/>
    </row>
    <row r="973" spans="1:16" s="15" customFormat="1" ht="13.5" customHeight="1" x14ac:dyDescent="0.2">
      <c r="A973" s="1177" t="s">
        <v>166</v>
      </c>
      <c r="B973" s="1177"/>
      <c r="C973" s="1177"/>
      <c r="D973" s="1177"/>
      <c r="E973" s="1177"/>
      <c r="F973" s="1177"/>
      <c r="G973" s="1177"/>
      <c r="H973" s="1177"/>
      <c r="I973" s="1177"/>
      <c r="J973" s="1177"/>
      <c r="K973" s="9"/>
      <c r="L973" s="9"/>
      <c r="M973" s="9"/>
      <c r="N973" s="59" t="s">
        <v>154</v>
      </c>
      <c r="O973" s="191">
        <f>$O$5</f>
        <v>2022</v>
      </c>
      <c r="P973" s="59" t="s">
        <v>154</v>
      </c>
    </row>
    <row r="974" spans="1:16" s="10" customFormat="1" ht="13.5" customHeight="1" x14ac:dyDescent="0.25">
      <c r="B974" s="32"/>
      <c r="C974" s="32"/>
      <c r="D974" s="5" t="s">
        <v>56</v>
      </c>
      <c r="E974" s="31"/>
      <c r="F974" s="31"/>
      <c r="G974" s="31"/>
      <c r="H974" s="31"/>
      <c r="I974" s="26"/>
      <c r="J974" s="1174" t="s">
        <v>14</v>
      </c>
      <c r="K974" s="1174"/>
      <c r="L974" s="180"/>
      <c r="N974" s="84">
        <f>IF(L976="","",L976)</f>
        <v>0</v>
      </c>
      <c r="O974" s="58" t="str">
        <f>$O$6</f>
        <v>Jan                Jul</v>
      </c>
      <c r="P974" s="85">
        <f>IF(N979="","",N979)</f>
        <v>0</v>
      </c>
    </row>
    <row r="975" spans="1:16" s="7" customFormat="1" ht="13.5" customHeight="1" x14ac:dyDescent="0.25">
      <c r="A975" s="1180" t="s">
        <v>71</v>
      </c>
      <c r="B975" s="1180"/>
      <c r="C975" s="1180"/>
      <c r="D975" s="1184"/>
      <c r="E975" s="1184"/>
      <c r="F975" s="1184"/>
      <c r="G975" s="1184"/>
      <c r="H975" s="1184"/>
      <c r="I975" s="1184"/>
      <c r="J975" s="1174" t="s">
        <v>104</v>
      </c>
      <c r="K975" s="1174"/>
      <c r="L975" s="145"/>
      <c r="N975" s="85">
        <f>IF(N974="","",N974)</f>
        <v>0</v>
      </c>
      <c r="O975" s="58" t="str">
        <f>$O$7</f>
        <v>Feb              Aug</v>
      </c>
      <c r="P975" s="85">
        <f>IF(P974="","",P974)</f>
        <v>0</v>
      </c>
    </row>
    <row r="976" spans="1:16" s="1" customFormat="1" ht="13.5" customHeight="1" x14ac:dyDescent="0.2">
      <c r="A976" s="1180" t="s">
        <v>13</v>
      </c>
      <c r="B976" s="1180"/>
      <c r="C976" s="1180"/>
      <c r="D976" s="1181"/>
      <c r="E976" s="1181"/>
      <c r="F976" s="1181"/>
      <c r="G976" s="1181"/>
      <c r="H976" s="1181"/>
      <c r="I976" s="1181"/>
      <c r="J976" s="1174" t="s">
        <v>164</v>
      </c>
      <c r="K976" s="1174"/>
      <c r="L976" s="145">
        <f>IF((L977+L978)&gt;L975,0,L975-L977-L978)</f>
        <v>0</v>
      </c>
      <c r="N976" s="85">
        <f>IF(N975="","",N975)</f>
        <v>0</v>
      </c>
      <c r="O976" s="58" t="str">
        <f>$O$8</f>
        <v>Mrz              Sep</v>
      </c>
      <c r="P976" s="85">
        <f>IF(P975="","",P975)</f>
        <v>0</v>
      </c>
    </row>
    <row r="977" spans="1:16" s="1" customFormat="1" ht="13.5" customHeight="1" x14ac:dyDescent="0.2">
      <c r="A977" s="1180" t="s">
        <v>12</v>
      </c>
      <c r="B977" s="1180"/>
      <c r="C977" s="1180"/>
      <c r="D977" s="1181"/>
      <c r="E977" s="1181"/>
      <c r="F977" s="1181"/>
      <c r="G977" s="1181"/>
      <c r="H977" s="1181"/>
      <c r="I977" s="1181"/>
      <c r="J977" s="1174" t="s">
        <v>165</v>
      </c>
      <c r="K977" s="1174"/>
      <c r="L977" s="145"/>
      <c r="N977" s="85">
        <f>IF(N976="","",N976)</f>
        <v>0</v>
      </c>
      <c r="O977" s="58" t="str">
        <f>$O$9</f>
        <v>Apr               Okt</v>
      </c>
      <c r="P977" s="85">
        <f t="shared" ref="P977:P979" si="110">IF(P976="","",P976)</f>
        <v>0</v>
      </c>
    </row>
    <row r="978" spans="1:16" s="1" customFormat="1" ht="13.5" customHeight="1" x14ac:dyDescent="0.2">
      <c r="A978" s="1180" t="s">
        <v>19</v>
      </c>
      <c r="B978" s="1180"/>
      <c r="C978" s="1180"/>
      <c r="D978" s="1181"/>
      <c r="E978" s="1181"/>
      <c r="F978" s="1181"/>
      <c r="G978" s="1181"/>
      <c r="H978" s="1181"/>
      <c r="I978" s="1181"/>
      <c r="J978" s="1174" t="s">
        <v>252</v>
      </c>
      <c r="K978" s="1174"/>
      <c r="L978" s="145"/>
      <c r="M978" s="92"/>
      <c r="N978" s="85">
        <f>IF(N977="","",N977)</f>
        <v>0</v>
      </c>
      <c r="O978" s="58" t="str">
        <f>$O$10</f>
        <v>Mai               Nov</v>
      </c>
      <c r="P978" s="85">
        <f t="shared" si="110"/>
        <v>0</v>
      </c>
    </row>
    <row r="979" spans="1:16" s="1" customFormat="1" ht="13.5" customHeight="1" x14ac:dyDescent="0.2">
      <c r="B979" s="8"/>
      <c r="C979" s="121" t="s">
        <v>162</v>
      </c>
      <c r="D979" s="1175"/>
      <c r="E979" s="1175"/>
      <c r="F979" s="1176" t="s">
        <v>106</v>
      </c>
      <c r="G979" s="1176"/>
      <c r="H979" s="1186"/>
      <c r="I979" s="1186"/>
      <c r="J979" s="1174" t="s">
        <v>97</v>
      </c>
      <c r="K979" s="1174"/>
      <c r="L979" s="17" t="str">
        <f>IF(IF((COUNTIF(B994:B1005,"&gt;0"))=0,0,(COUNTIF(B994:B1005,"&gt;0")))&gt;Grundlagen!$C$24,Grundlagen!$C$24,IF((COUNTIF(B994:B1005,"&gt;0"))=0,"",(COUNTIF(B994:B1005,"&gt;0"))))</f>
        <v/>
      </c>
      <c r="N979" s="85">
        <f>IF(N978="","",N978)</f>
        <v>0</v>
      </c>
      <c r="O979" s="58" t="str">
        <f>'päd.Personal - Leitung'!$O$11</f>
        <v>Jun               Dez</v>
      </c>
      <c r="P979" s="85">
        <f t="shared" si="110"/>
        <v>0</v>
      </c>
    </row>
    <row r="980" spans="1:16" s="1" customFormat="1" ht="13.5" customHeight="1" x14ac:dyDescent="0.2">
      <c r="I980" s="6"/>
      <c r="L980" s="147" t="str">
        <f>IF((SUM(F982:F985))=0,"",IF(P980&gt;L976,L976,IF(L976="","",IF(L979="","",P980))))</f>
        <v/>
      </c>
      <c r="O980" s="174" t="s">
        <v>251</v>
      </c>
      <c r="P980" s="175">
        <f>IF(L979="",0,((IF(SUMIF(B994,"&gt;0"),N974,0))+(IF(SUMIF(B995,"&gt;0"),N975,0))+(IF(SUMIF(B996,"&gt;0"),N976,0))+(IF(SUMIF(B997,"&gt;0"),N977,0))+(IF(SUMIF(B998,"&gt;0"),N978,0))+(IF(SUMIF(B999,"&gt;0"),N979,0))+(IF(SUMIF(B1000,"&gt;0"),P974,0))+(IF(SUMIF(B1001,"&gt;0"),P975,0))+(IF(SUMIF(B1002,"&gt;0"),P976,0))+(IF(SUMIF(B1003,"&gt;0"),P977,0))+(IF(SUMIF(B1004,"&gt;0"),P978,0))+(IF(SUMIF(B1005,"&gt;0"),P979,0)))/Grundlagen!$C$24)</f>
        <v>0</v>
      </c>
    </row>
    <row r="981" spans="1:16" s="52" customFormat="1" ht="13.5" customHeight="1" x14ac:dyDescent="0.2">
      <c r="A981" s="61" t="s">
        <v>148</v>
      </c>
      <c r="B981" s="1168" t="s">
        <v>149</v>
      </c>
      <c r="C981" s="1168"/>
      <c r="D981" s="62" t="s">
        <v>150</v>
      </c>
      <c r="E981" s="63" t="s">
        <v>151</v>
      </c>
      <c r="F981" s="64" t="str">
        <f>CONCATENATE("Entg. ",N971," h/Wo")</f>
        <v>Entg.  h/Wo</v>
      </c>
      <c r="G981" s="65" t="s">
        <v>152</v>
      </c>
      <c r="H981" s="65" t="s">
        <v>153</v>
      </c>
      <c r="K981" s="1169" t="str">
        <f>CONCATENATE("Zuschläge / Zulagen für ",N971,"h/Wo")</f>
        <v>Zuschläge / Zulagen für h/Wo</v>
      </c>
      <c r="L981" s="1169"/>
      <c r="M981" s="66" t="str">
        <f>IF(A982="","",A982)</f>
        <v>Jan 2022</v>
      </c>
      <c r="N981" s="66" t="str">
        <f>IF(A983="","",A983)</f>
        <v/>
      </c>
      <c r="O981" s="66" t="str">
        <f>IF(A984="","",A984)</f>
        <v/>
      </c>
      <c r="P981" s="66" t="str">
        <f>IF(A985="","",A985)</f>
        <v/>
      </c>
    </row>
    <row r="982" spans="1:16" s="52" customFormat="1" ht="13.5" customHeight="1" x14ac:dyDescent="0.25">
      <c r="A982" s="54" t="str">
        <f>A994</f>
        <v>Jan 2022</v>
      </c>
      <c r="B982" s="1170" t="str">
        <f>IF($D$3="","",$D$3)</f>
        <v/>
      </c>
      <c r="C982" s="1171"/>
      <c r="D982" s="181"/>
      <c r="E982" s="181"/>
      <c r="F982" s="87"/>
      <c r="G982" s="56">
        <f>IF(N971="",0,F982/N971/4.348)</f>
        <v>0</v>
      </c>
      <c r="H982" s="53">
        <f>IF(G982=0,0,M987)</f>
        <v>0</v>
      </c>
      <c r="K982" s="1146"/>
      <c r="L982" s="1146"/>
      <c r="M982" s="172"/>
      <c r="N982" s="172"/>
      <c r="O982" s="172"/>
      <c r="P982" s="172"/>
    </row>
    <row r="983" spans="1:16" s="52" customFormat="1" ht="13.5" customHeight="1" x14ac:dyDescent="0.25">
      <c r="A983" s="55"/>
      <c r="B983" s="1172" t="str">
        <f>IF(A983="","",B982)</f>
        <v/>
      </c>
      <c r="C983" s="1173"/>
      <c r="D983" s="181"/>
      <c r="E983" s="181"/>
      <c r="F983" s="87"/>
      <c r="G983" s="56">
        <f>IF(N971="",0,F983/N971/4.348)</f>
        <v>0</v>
      </c>
      <c r="H983" s="53">
        <f>IF(G983=0,0,N987)</f>
        <v>0</v>
      </c>
      <c r="K983" s="1146"/>
      <c r="L983" s="1146"/>
      <c r="M983" s="172"/>
      <c r="N983" s="172"/>
      <c r="O983" s="172"/>
      <c r="P983" s="172"/>
    </row>
    <row r="984" spans="1:16" s="52" customFormat="1" ht="13.5" customHeight="1" x14ac:dyDescent="0.25">
      <c r="A984" s="55"/>
      <c r="B984" s="1172" t="str">
        <f>IF(A984="","",B983)</f>
        <v/>
      </c>
      <c r="C984" s="1173"/>
      <c r="D984" s="181"/>
      <c r="E984" s="181"/>
      <c r="F984" s="87"/>
      <c r="G984" s="56">
        <f>IF(N971="",0,F984/N971/4.348)</f>
        <v>0</v>
      </c>
      <c r="H984" s="53">
        <f>IF(G984=0,0,O987)</f>
        <v>0</v>
      </c>
      <c r="K984" s="1146"/>
      <c r="L984" s="1146"/>
      <c r="M984" s="172"/>
      <c r="N984" s="172"/>
      <c r="O984" s="172"/>
      <c r="P984" s="172"/>
    </row>
    <row r="985" spans="1:16" s="52" customFormat="1" ht="13.5" customHeight="1" x14ac:dyDescent="0.25">
      <c r="A985" s="55"/>
      <c r="B985" s="1172" t="str">
        <f>IF(A985="","",B984)</f>
        <v/>
      </c>
      <c r="C985" s="1173"/>
      <c r="D985" s="181"/>
      <c r="E985" s="181"/>
      <c r="F985" s="87"/>
      <c r="G985" s="56">
        <f>IF(N971="",0,F985/N971/4.348)</f>
        <v>0</v>
      </c>
      <c r="H985" s="53">
        <f>IF(G985=0,0,P987)</f>
        <v>0</v>
      </c>
      <c r="K985" s="1146"/>
      <c r="L985" s="1146"/>
      <c r="M985" s="172"/>
      <c r="N985" s="172"/>
      <c r="O985" s="172"/>
      <c r="P985" s="172"/>
    </row>
    <row r="986" spans="1:16" s="52" customFormat="1" ht="13.5" customHeight="1" x14ac:dyDescent="0.25">
      <c r="B986" s="1167" t="s">
        <v>157</v>
      </c>
      <c r="C986" s="1167"/>
      <c r="E986" s="1167" t="s">
        <v>156</v>
      </c>
      <c r="F986" s="1167"/>
      <c r="J986" s="69"/>
      <c r="K986" s="1146"/>
      <c r="L986" s="1146"/>
      <c r="M986" s="172"/>
      <c r="N986" s="172"/>
      <c r="O986" s="172"/>
      <c r="P986" s="172"/>
    </row>
    <row r="987" spans="1:16" s="52" customFormat="1" ht="13.5" customHeight="1" x14ac:dyDescent="0.25">
      <c r="A987" s="70" t="s">
        <v>167</v>
      </c>
      <c r="B987" s="67"/>
      <c r="C987" s="99" t="str">
        <f>IF(C943="","",C943)</f>
        <v/>
      </c>
      <c r="D987" s="70" t="s">
        <v>167</v>
      </c>
      <c r="E987" s="67"/>
      <c r="F987" s="99" t="str">
        <f>IF(F943="","",F943)</f>
        <v/>
      </c>
      <c r="J987" s="68"/>
      <c r="M987" s="173">
        <f>SUM(M982:M986)</f>
        <v>0</v>
      </c>
      <c r="N987" s="173">
        <f t="shared" ref="N987:P987" si="111">SUM(N982:N986)</f>
        <v>0</v>
      </c>
      <c r="O987" s="173">
        <f t="shared" si="111"/>
        <v>0</v>
      </c>
      <c r="P987" s="173">
        <f t="shared" si="111"/>
        <v>0</v>
      </c>
    </row>
    <row r="988" spans="1:16" s="52" customFormat="1" ht="13.5" customHeight="1" x14ac:dyDescent="0.2">
      <c r="A988" s="60" t="s">
        <v>155</v>
      </c>
    </row>
    <row r="989" spans="1:16" s="1" customFormat="1" ht="14.25" customHeight="1" x14ac:dyDescent="0.2">
      <c r="A989" s="1147"/>
      <c r="B989" s="1149" t="s">
        <v>9</v>
      </c>
      <c r="C989" s="1150"/>
      <c r="D989" s="1150"/>
      <c r="E989" s="1150"/>
      <c r="F989" s="1150"/>
      <c r="G989" s="1151"/>
      <c r="H989" s="1152" t="s">
        <v>119</v>
      </c>
      <c r="I989" s="1153"/>
      <c r="J989" s="1153"/>
      <c r="K989" s="1153"/>
      <c r="L989" s="1153"/>
      <c r="M989" s="1153"/>
      <c r="N989" s="1153"/>
      <c r="O989" s="33"/>
      <c r="P989" s="1154" t="s">
        <v>0</v>
      </c>
    </row>
    <row r="990" spans="1:16" s="1" customFormat="1" ht="14.25" customHeight="1" x14ac:dyDescent="0.2">
      <c r="A990" s="1148"/>
      <c r="B990" s="1157" t="s">
        <v>117</v>
      </c>
      <c r="C990" s="124" t="s">
        <v>115</v>
      </c>
      <c r="D990" s="1159" t="s">
        <v>277</v>
      </c>
      <c r="E990" s="1161" t="s">
        <v>147</v>
      </c>
      <c r="F990" s="127" t="s">
        <v>7</v>
      </c>
      <c r="G990" s="1162" t="s">
        <v>6</v>
      </c>
      <c r="H990" s="1161" t="s">
        <v>129</v>
      </c>
      <c r="I990" s="1161" t="s">
        <v>5</v>
      </c>
      <c r="J990" s="1161" t="s">
        <v>4</v>
      </c>
      <c r="K990" s="1161" t="s">
        <v>3</v>
      </c>
      <c r="L990" s="1161" t="s">
        <v>121</v>
      </c>
      <c r="M990" s="1161" t="s">
        <v>122</v>
      </c>
      <c r="N990" s="1161" t="s">
        <v>123</v>
      </c>
      <c r="O990" s="1160" t="s">
        <v>114</v>
      </c>
      <c r="P990" s="1155"/>
    </row>
    <row r="991" spans="1:16" s="1" customFormat="1" ht="14.25" customHeight="1" x14ac:dyDescent="0.2">
      <c r="A991" s="1148"/>
      <c r="B991" s="1157"/>
      <c r="C991" s="21" t="str">
        <f>IF(C987="","",C987)</f>
        <v/>
      </c>
      <c r="D991" s="1160"/>
      <c r="E991" s="1161"/>
      <c r="F991" s="1165" t="str">
        <f>IF(H982=0,"","siehe Zuschläge / Zulagen")</f>
        <v/>
      </c>
      <c r="G991" s="1162"/>
      <c r="H991" s="1164" t="s">
        <v>127</v>
      </c>
      <c r="I991" s="1164"/>
      <c r="J991" s="1164"/>
      <c r="K991" s="1164"/>
      <c r="L991" s="1164"/>
      <c r="M991" s="1164"/>
      <c r="N991" s="1164"/>
      <c r="O991" s="1160"/>
      <c r="P991" s="1155"/>
    </row>
    <row r="992" spans="1:16" s="1" customFormat="1" x14ac:dyDescent="0.2">
      <c r="A992" s="1148"/>
      <c r="B992" s="1157"/>
      <c r="C992" s="122" t="s">
        <v>70</v>
      </c>
      <c r="D992" s="1160"/>
      <c r="E992" s="1161"/>
      <c r="F992" s="1165"/>
      <c r="G992" s="1162"/>
      <c r="H992" s="43" t="s">
        <v>128</v>
      </c>
      <c r="I992" s="43" t="s">
        <v>255</v>
      </c>
      <c r="J992" s="43" t="s">
        <v>256</v>
      </c>
      <c r="K992" s="43" t="s">
        <v>257</v>
      </c>
      <c r="L992" s="43"/>
      <c r="M992" s="43"/>
      <c r="N992" s="43" t="s">
        <v>254</v>
      </c>
      <c r="O992" s="1160"/>
      <c r="P992" s="1155"/>
    </row>
    <row r="993" spans="1:16" s="1" customFormat="1" x14ac:dyDescent="0.2">
      <c r="A993" s="1148"/>
      <c r="B993" s="1158"/>
      <c r="C993" s="21" t="str">
        <f>IF(F987="","",F987)</f>
        <v/>
      </c>
      <c r="D993" s="51"/>
      <c r="E993" s="51"/>
      <c r="F993" s="1166"/>
      <c r="G993" s="1163"/>
      <c r="H993" s="93"/>
      <c r="I993" s="139">
        <f>$I$69</f>
        <v>0</v>
      </c>
      <c r="J993" s="139">
        <f>$J$69</f>
        <v>0</v>
      </c>
      <c r="K993" s="44">
        <f>$K$69</f>
        <v>0</v>
      </c>
      <c r="L993" s="21"/>
      <c r="M993" s="21"/>
      <c r="N993" s="139">
        <f>$N$69</f>
        <v>0</v>
      </c>
      <c r="O993" s="21">
        <f>O949</f>
        <v>0</v>
      </c>
      <c r="P993" s="1156"/>
    </row>
    <row r="994" spans="1:16" s="1" customFormat="1" x14ac:dyDescent="0.2">
      <c r="A994" s="100" t="str">
        <f>$A$26</f>
        <v>Jan 2022</v>
      </c>
      <c r="B994" s="24">
        <f>ROUND(IF(N974=0,0,(LOOKUP(2,1/(A982:A985=A994),G982:G985))*N974*4.348),2)</f>
        <v>0</v>
      </c>
      <c r="C994" s="23">
        <f>ROUND(IFERROR(((LOOKUP(2,1/(B987=A994),((SUM(B1000:B1002)+SUM(F1000:F1002))/3)*C987))),0)+IFERROR(((LOOKUP(2,1/(E987=A994),(B1006+F1006)*F987))),0),2)</f>
        <v>0</v>
      </c>
      <c r="D994" s="23">
        <f>ROUND(IF(B994=0,0,D993/L975*N974),2)</f>
        <v>0</v>
      </c>
      <c r="E994" s="23">
        <f>ROUND(IF(B994=0,0,E993/N971*N974),2)</f>
        <v>0</v>
      </c>
      <c r="F994" s="24">
        <f>ROUND(IF(N974=0,0,(LOOKUP(2,1/(A982:A985=A994),H982:H985))/N971*N974),2)</f>
        <v>0</v>
      </c>
      <c r="G994" s="27">
        <f>SUM(B994+C994+E994+F994)</f>
        <v>0</v>
      </c>
      <c r="H994" s="76">
        <f>ROUND(IF((SUM(B994:F994))&gt;L1009,L1009*H993,SUM(B994:F994)*H993),2)</f>
        <v>0</v>
      </c>
      <c r="I994" s="76">
        <f>ROUND(IF((SUM(B994:F994))&gt;L1010,L1010*I993,SUM(B994:F994)*I993),2)</f>
        <v>0</v>
      </c>
      <c r="J994" s="76">
        <f>ROUND(IF((SUM(B994:F994))&gt;L1010,L1010*J993,SUM(B994:F994)*J993),2)</f>
        <v>0</v>
      </c>
      <c r="K994" s="76">
        <f>ROUND(IF((SUM(B994:F994))&gt;L1009,L1009*K993,SUM(B994:F994)*K993),2)</f>
        <v>0</v>
      </c>
      <c r="L994" s="76">
        <f>ROUND(IF((SUM(B994:F994))&gt;L1010,L1010*L993,(SUM(B994:F994)-C994)*L993),2)</f>
        <v>0</v>
      </c>
      <c r="M994" s="76">
        <f>ROUND(IF((SUM(B994:F994))&gt;L1010,L1010*M993,(SUM(B994:F994)-C994)*M993),2)</f>
        <v>0</v>
      </c>
      <c r="N994" s="76">
        <f>ROUND(IF((SUM(B994:F994))&gt;L1010,L1010*N993,SUM(B994:F994)*N993),2)</f>
        <v>0</v>
      </c>
      <c r="O994" s="23">
        <f>ROUND(SUM(B994+C994+F994)*O993,2)</f>
        <v>0</v>
      </c>
      <c r="P994" s="27">
        <f>SUM(G994:O994)</f>
        <v>0</v>
      </c>
    </row>
    <row r="995" spans="1:16" s="1" customFormat="1" x14ac:dyDescent="0.2">
      <c r="A995" s="100" t="str">
        <f>$A$27</f>
        <v>Feb 2022</v>
      </c>
      <c r="B995" s="24">
        <f>ROUND(IF(N975=0,0,IFERROR(((LOOKUP(2,1/(A982:A985=A995),G982:G985))*N975*4.348),B994/N975*N975)),2)</f>
        <v>0</v>
      </c>
      <c r="C995" s="23">
        <f>ROUND(IFERROR(((LOOKUP(2,1/(B987=A995),((SUM(B1000:B1002)+SUM(F1000:F1002))/3)*C987))),0)+IFERROR(((LOOKUP(2,1/(E987=A995),(B1006+F1006)*F987))),0),2)</f>
        <v>0</v>
      </c>
      <c r="D995" s="23">
        <f>ROUND(IF(B995=0,0,D993/L975*N975),2)</f>
        <v>0</v>
      </c>
      <c r="E995" s="23">
        <f>ROUND(IF(B995=0,0,E993/N971*N975),2)</f>
        <v>0</v>
      </c>
      <c r="F995" s="24">
        <f>ROUND(IF(N975=0,0,IFERROR(((LOOKUP(2,1/(A982:A985=A995),H982:H985))/N971*N975),F994/N975*N975)),2)</f>
        <v>0</v>
      </c>
      <c r="G995" s="27">
        <f t="shared" ref="G995:G1005" si="112">SUM(B995+C995+E995+F995)</f>
        <v>0</v>
      </c>
      <c r="H995" s="76">
        <f>ROUND(IF(SUM(B994:F994)&lt;(L1009*1),IF((SUM(B994:F995))&gt;(L1009*2),(((L1009*2)-(SUM(B994:F995)-C994))*H993)+((SUM(B995:F995)-C994)*H993),SUM(B995:F995)*H993),IF(SUM(B994:F995)&gt;(L1009*2),L1009*H993,SUM(B995:F995)*H993)),2)</f>
        <v>0</v>
      </c>
      <c r="I995" s="76">
        <f>ROUND(IF(SUM(B994:F994)&lt;(L1010*1),IF((SUM(B994:F995))&gt;(L1010*2),(((L1010*2)-(SUM(B994:F995)-C994))*I993)+((SUM(B995:F995)-C994)*I993),SUM(B995:F995)*I993),IF(SUM(B994:F995)&gt;(L1010*2),L1010*I993,SUM(B995:F995)*I993)),2)</f>
        <v>0</v>
      </c>
      <c r="J995" s="76">
        <f>ROUND(IF(SUM(B994:F994)&lt;(L1010*1),IF((SUM(B994:F995))&gt;(L1010*2),(((L1010*2)-(SUM(B994:F995)-C994))*J993)+((SUM(B995:F995)-C994)*J993),SUM(B995:F995)*J993),IF(SUM(B994:F995)&gt;(L1010*2),L1010*J993,SUM(B995:F995)*J993)),2)</f>
        <v>0</v>
      </c>
      <c r="K995" s="76">
        <f>ROUND(IF(SUM(B994:F994)&lt;(L1009*1),IF((SUM(B994:F995))&gt;(L1009*2),(((L1009*2)-(SUM(B994:F995)-C994))*K993)+((SUM(B995:F995)-C994)*K993),SUM(B995:F995)*K993),IF(SUM(B994:F995)&gt;(L1009*2),L1009*K993,SUM(B995:F995)*K993)),2)</f>
        <v>0</v>
      </c>
      <c r="L995" s="76">
        <f>ROUND(IF(SUM(B994:F994)&lt;(L1010*1),IF((SUM(B994:F995))&gt;(L1010*2),(((L1010*2)-(SUM(B994:F995)-C995))*L993)+((SUM(B995:F995)-C995)*L993),(SUM(B995:F995)-C995)*L993),IF(SUM(B994:F995)&gt;(L1010*2),L1010*L993,SUM(B995:F995)*L993)),2)</f>
        <v>0</v>
      </c>
      <c r="M995" s="76">
        <f>ROUND(IF(SUM(B994:F994)&lt;(L1010*1),IF((SUM(B994:F995))&gt;(L1010*2),(((L1010*2)-(SUM(B994:F995)-C995))*M993)+((SUM(B995:F995)-C995)*M993),(SUM(B995:F995)-C995)*M993),IF(SUM(B994:F995)&gt;(L1010*2),L1010*M993,SUM(B995:F995)*M993)),2)</f>
        <v>0</v>
      </c>
      <c r="N995" s="76">
        <f>ROUND(IF(SUM(B994:F994)&lt;(L1010*1),IF((SUM(B994:F995))&gt;(L1010*2),(((L1010*2)-(SUM(B994:F995)-C994))*N993)+((SUM(B995:F995)-C994)*N993),SUM(B995:F995)*N993),IF(SUM(B994:F995)&gt;(L1010*2),L1010*N993,SUM(B995:F995)*N993)),2)</f>
        <v>0</v>
      </c>
      <c r="O995" s="23">
        <f>ROUND(SUM(B995+C995+F995)*O993,2)</f>
        <v>0</v>
      </c>
      <c r="P995" s="27">
        <f>SUM(G995:O995)</f>
        <v>0</v>
      </c>
    </row>
    <row r="996" spans="1:16" s="1" customFormat="1" x14ac:dyDescent="0.2">
      <c r="A996" s="100" t="str">
        <f>$A$28</f>
        <v>Mrz 2022</v>
      </c>
      <c r="B996" s="24">
        <f>ROUND(IF(N976=0,0,IFERROR(((LOOKUP(2,1/(A982:A985=A996),G982:G985))*N976*4.348),B995/N976*N976)),2)</f>
        <v>0</v>
      </c>
      <c r="C996" s="23">
        <f>ROUND(IFERROR(((LOOKUP(2,1/(B987=A996),((SUM(B1000:B1002)+SUM(F1000:F1002))/3)*C987))),0)+IFERROR(((LOOKUP(2,1/(E987=A996),(B1006+F1006)*F987))),0),2)</f>
        <v>0</v>
      </c>
      <c r="D996" s="23">
        <f>ROUND(IF(B996=0,0,D993/L975*N976),2)</f>
        <v>0</v>
      </c>
      <c r="E996" s="23">
        <f>ROUND(IF(B996=0,0,E993/N971*N976),2)</f>
        <v>0</v>
      </c>
      <c r="F996" s="24">
        <f>ROUND(IF(N976=0,0,IFERROR(((LOOKUP(2,1/(A982:A985=A996),H982:H985))/N971*N976),F995/N976*N976)),2)</f>
        <v>0</v>
      </c>
      <c r="G996" s="27">
        <f t="shared" si="112"/>
        <v>0</v>
      </c>
      <c r="H996" s="76">
        <f>ROUND(IF(SUM(B994:F995)&lt;(L1009*2),IF((SUM(B994:F996))&gt;(L1009*3),(((L1009*3)-(SUM(B994:F996)-C995))*H993)+((SUM(B996:F996)-C995)*H993),SUM(B996:F996)*H993),IF(SUM(B994:F996)&gt;(L1009*3),L1009*H993,SUM(B996:F996)*H993)),2)</f>
        <v>0</v>
      </c>
      <c r="I996" s="76">
        <f>ROUND(IF(SUM(B994:F995)&lt;(L1010*2),IF((SUM(B994:F996))&gt;(L1010*3),(((L1010*3)-(SUM(B994:F996)-C995))*I993)+((SUM(B996:F996)-C995)*I993),SUM(B996:F996)*I993),IF(SUM(B994:F996)&gt;(L1010*3),L1010*I993,SUM(B996:F996)*I993)),2)</f>
        <v>0</v>
      </c>
      <c r="J996" s="76">
        <f>ROUND(IF(SUM(B994:F995)&lt;(L1010*2),IF((SUM(B994:F996))&gt;(L1010*3),(((L1010*3)-(SUM(B994:F996)-C995))*J993)+((SUM(B996:F996)-C995)*J993),SUM(B996:F996)*J993),IF(SUM(B994:F996)&gt;(L1010*3),L1010*J993,SUM(B996:F996)*J993)),2)</f>
        <v>0</v>
      </c>
      <c r="K996" s="76">
        <f>ROUND(IF(SUM(B994:F995)&lt;(L1009*2),IF((SUM(B994:F996))&gt;(L1009*3),(((L1009*3)-(SUM(B994:F996)-C995))*K993)+((SUM(B996:F996)-C995)*K993),SUM(B996:F996)*K993),IF(SUM(B994:F996)&gt;(L1009*3),L1009*K993,SUM(B996:F996)*K993)),2)</f>
        <v>0</v>
      </c>
      <c r="L996" s="76">
        <f>ROUND(IF(SUM(B994:F995)&lt;(L1010*2),IF((SUM(B994:F996))&gt;(L1010*3),(((L1010*3)-(SUM(B994:F996)-C996))*L993)+((SUM(B996:F996)-C996)*L993),(SUM(B996:F996)-C996)*L993),IF(SUM(B994:F996)&gt;(L1010*3),L1010*L993,SUM(B996:F996)*L993)),2)</f>
        <v>0</v>
      </c>
      <c r="M996" s="76">
        <f>ROUND(IF(SUM(B994:F995)&lt;(L1010*2),IF((SUM(B994:F996))&gt;(L1010*3),(((L1010*3)-(SUM(B994:F996)-C996))*M993)+((SUM(B996:F996)-C996)*M993),(SUM(B996:F996)-C996)*M993),IF(SUM(B994:F996)&gt;(L1010*3),L1010*M993,SUM(B996:F996)*M993)),2)</f>
        <v>0</v>
      </c>
      <c r="N996" s="76">
        <f>ROUND(IF(SUM(B994:F995)&lt;(L1010*2),IF((SUM(B994:F996))&gt;(L1010*3),(((L1010*3)-(SUM(B994:F996)-C995))*N993)+((SUM(B996:F996)-C995)*N993),SUM(B996:F996)*N993),IF(SUM(B994:F996)&gt;(L1010*3),L1010*N993,SUM(B996:F996)*N993)),2)</f>
        <v>0</v>
      </c>
      <c r="O996" s="23">
        <f>ROUND(SUM(B996+C996+F996)*O993,2)</f>
        <v>0</v>
      </c>
      <c r="P996" s="27">
        <f t="shared" ref="P996:P1005" si="113">SUM(G996:O996)</f>
        <v>0</v>
      </c>
    </row>
    <row r="997" spans="1:16" s="1" customFormat="1" x14ac:dyDescent="0.2">
      <c r="A997" s="100" t="str">
        <f>$A$29</f>
        <v>Apr 2022</v>
      </c>
      <c r="B997" s="24">
        <f>ROUND(IF(N977=0,0,IFERROR(((LOOKUP(2,1/(A982:A985=A997),G982:G985))*N977*4.348),B996/N977*N977)),2)</f>
        <v>0</v>
      </c>
      <c r="C997" s="23">
        <f>ROUND(IFERROR(((LOOKUP(2,1/(B987=A997),((SUM(B1000:B1002)+SUM(F1000:F1002))/3)*C987))),0)+IFERROR(((LOOKUP(2,1/(E987=A997),(B1006+F1006)*F987))),0),2)</f>
        <v>0</v>
      </c>
      <c r="D997" s="23">
        <f>ROUND(IF(B997=0,0,D993/L975*N977),2)</f>
        <v>0</v>
      </c>
      <c r="E997" s="23">
        <f>ROUND(IF(B997=0,0,E993/N971*N977),2)</f>
        <v>0</v>
      </c>
      <c r="F997" s="24">
        <f>ROUND(IF(N977=0,0,IFERROR(((LOOKUP(2,1/(A982:A985=A997),H982:H985))/N971*N977),F996/N977*N977)),2)</f>
        <v>0</v>
      </c>
      <c r="G997" s="27">
        <f t="shared" si="112"/>
        <v>0</v>
      </c>
      <c r="H997" s="76">
        <f>ROUND(IF(SUM(B994:F996)&lt;(L1009*3),IF((SUM(B994:F997))&gt;(L1009*4),(((L1009*4)-(SUM(B994:F997)-C996))*H993)+((SUM(B997:F997)-C996)*H993),SUM(B997:F997)*H993),IF(SUM(B994:F997)&gt;(L1009*4),L1009*H993,SUM(B997:F997)*H993)),2)</f>
        <v>0</v>
      </c>
      <c r="I997" s="76">
        <f>ROUND(IF(SUM(B994:F996)&lt;(L1010*3),IF((SUM(B994:F997))&gt;(L1010*4),(((L1010*4)-(SUM(B994:F997)-C996))*I993)+((SUM(B997:F997)-C996)*I993),SUM(B997:F997)*I993),IF(SUM(B994:F997)&gt;(L1010*4),L1010*I993,SUM(B997:F997)*I993)),2)</f>
        <v>0</v>
      </c>
      <c r="J997" s="76">
        <f>ROUND(IF(SUM(B994:F996)&lt;(L1010*3),IF((SUM(B994:F997))&gt;(L1010*4),(((L1010*4)-(SUM(B994:F997)-C996))*J993)+((SUM(B997:F997)-C996)*J993),SUM(B997:F997)*J993),IF(SUM(B994:F997)&gt;(L1010*4),L1010*J993,SUM(B997:F997)*J993)),2)</f>
        <v>0</v>
      </c>
      <c r="K997" s="76">
        <f>ROUND(IF(SUM(B994:F996)&lt;(L1009*3),IF((SUM(B994:F997))&gt;(L1009*4),(((L1009*4)-(SUM(B994:F997)-C996))*K993)+((SUM(B997:F997)-C996)*K993),SUM(B997:F997)*K993),IF(SUM(B994:F997)&gt;(L1009*4),L1009*K993,SUM(B997:F997)*K993)),2)</f>
        <v>0</v>
      </c>
      <c r="L997" s="76">
        <f>ROUND(IF(SUM(B994:F996)&lt;(L1010*3),IF((SUM(B994:F997))&gt;(L1010*4),(((L1010*4)-(SUM(B994:F997)-C997))*L993)+((SUM(B997:F997)-C997)*L993),(SUM(B997:F997)-C997)*L993),IF(SUM(B994:F997)&gt;(L1010*4),L1010*L993,SUM(B997:F997)*L993)),2)</f>
        <v>0</v>
      </c>
      <c r="M997" s="76">
        <f>ROUND(IF(SUM(B994:F996)&lt;(L1010*3),IF((SUM(B994:F997))&gt;(L1010*4),(((L1010*4)-(SUM(B994:F997)-C997))*M993)+((SUM(B997:F997)-C997)*M993),(SUM(B997:F997)-C997)*M993),IF(SUM(B994:F997)&gt;(L1010*4),L1010*M993,SUM(B997:F997)*M993)),2)</f>
        <v>0</v>
      </c>
      <c r="N997" s="76">
        <f>ROUND(IF(SUM(B994:F996)&lt;(L1010*3),IF((SUM(B994:F997))&gt;(L1010*4),(((L1010*4)-(SUM(B994:F997)-C996))*N993)+((SUM(B997:F997)-C996)*N993),SUM(B997:F997)*N993),IF(SUM(B994:F997)&gt;(L1010*4),L1010*N993,SUM(B997:F997)*N993)),2)</f>
        <v>0</v>
      </c>
      <c r="O997" s="23">
        <f>ROUND(SUM(B997+C997+F997)*O993,2)</f>
        <v>0</v>
      </c>
      <c r="P997" s="27">
        <f t="shared" si="113"/>
        <v>0</v>
      </c>
    </row>
    <row r="998" spans="1:16" s="1" customFormat="1" x14ac:dyDescent="0.2">
      <c r="A998" s="100" t="str">
        <f>$A$30</f>
        <v>Mai 2022</v>
      </c>
      <c r="B998" s="24">
        <f>ROUND(IF(N978=0,0,IFERROR(((LOOKUP(2,1/(A982:A985=A998),G982:G985))*N978*4.348),B997/N978*N978)),2)</f>
        <v>0</v>
      </c>
      <c r="C998" s="23">
        <f>ROUND(IFERROR(((LOOKUP(2,1/(B987=A998),((SUM(B1000:B1002)+SUM(F1000:F1002))/3)*C987))),0)+IFERROR(((LOOKUP(2,1/(E987=A998),(B1006+F1006)*F987))),0),2)</f>
        <v>0</v>
      </c>
      <c r="D998" s="23">
        <f>ROUND(IF(B998=0,0,D993/L975*N978),2)</f>
        <v>0</v>
      </c>
      <c r="E998" s="23">
        <f>ROUND(IF(B998=0,0,E993/N971*N978),2)</f>
        <v>0</v>
      </c>
      <c r="F998" s="24">
        <f>ROUND(IF(N978=0,0,IFERROR(((LOOKUP(2,1/(A982:A985=A998),H982:H985))/N971*N978),F997/N978*N978)),2)</f>
        <v>0</v>
      </c>
      <c r="G998" s="27">
        <f t="shared" si="112"/>
        <v>0</v>
      </c>
      <c r="H998" s="76">
        <f>ROUND(IF(SUM(B994:F997)&lt;(L1009*4),IF((SUM(B994:F998))&gt;(L1009*5),(((L1009*5)-(SUM(B994:F998)-C997))*H993)+((SUM(B998:F998)-C997)*H993),SUM(B998:F998)*H993),IF(SUM(B994:F998)&gt;(L1009*5),L1009*H993,SUM(B998:F998)*H993)),2)</f>
        <v>0</v>
      </c>
      <c r="I998" s="76">
        <f>ROUND(IF(SUM(B994:F997)&lt;(L1010*4),IF((SUM(B994:F998))&gt;(L1010*5),(((L1010*5)-(SUM(B994:F998)-C997))*I993)+((SUM(B998:F998)-C997)*I993),SUM(B998:F998)*I993),IF(SUM(B994:F998)&gt;(L1010*5),L1010*I993,SUM(B998:F998)*I993)),2)</f>
        <v>0</v>
      </c>
      <c r="J998" s="76">
        <f>ROUND(IF(SUM(B994:F997)&lt;(L1010*4),IF((SUM(B994:F998))&gt;(L1010*5),(((L1010*5)-(SUM(B994:F998)-C997))*J993)+((SUM(B998:F998)-C997)*J993),SUM(B998:F998)*J993),IF(SUM(B994:F998)&gt;(L1010*5),L1010*J993,SUM(B998:F998)*J993)),2)</f>
        <v>0</v>
      </c>
      <c r="K998" s="76">
        <f>ROUND(IF(SUM(B994:F997)&lt;(L1009*4),IF((SUM(B994:F998))&gt;(L1009*5),(((L1009*5)-(SUM(B994:F998)-C997))*K993)+((SUM(B998:F998)-C997)*K993),SUM(B998:F998)*K993),IF(SUM(B994:F998)&gt;(L1009*5),L1009*K993,SUM(B998:F998)*K993)),2)</f>
        <v>0</v>
      </c>
      <c r="L998" s="76">
        <f>ROUND(IF(SUM(B994:F997)&lt;(L1010*4),IF((SUM(B994:F998))&gt;(L1010*5),(((L1010*5)-(SUM(B994:F998)-C998))*L993)+((SUM(B998:F998)-C998)*L993),(SUM(B998:F998)-C998)*L993),IF(SUM(B994:F998)&gt;(L1010*5),L1010*L993,SUM(B998:F998)*L993)),2)</f>
        <v>0</v>
      </c>
      <c r="M998" s="76">
        <f>ROUND(IF(SUM(B994:F997)&lt;(L1010*4),IF((SUM(B994:F998))&gt;(L1010*5),(((L1010*5)-(SUM(B994:F998)-C998))*M993)+((SUM(B998:F998)-C998)*M993),(SUM(B998:F998)-C998)*M993),IF(SUM(B994:F998)&gt;(L1010*5),L1010*M993,SUM(B998:F998)*M993)),2)</f>
        <v>0</v>
      </c>
      <c r="N998" s="76">
        <f>ROUND(IF(SUM(B994:F997)&lt;(L1010*4),IF((SUM(B994:F998))&gt;(L1010*5),(((L1010*5)-(SUM(B994:F998)-C997))*N993)+((SUM(B998:F998)-C997)*N993),SUM(B998:F998)*N993),IF(SUM(B994:F998)&gt;(L1010*5),L1010*N993,SUM(B998:F998)*N993)),2)</f>
        <v>0</v>
      </c>
      <c r="O998" s="23">
        <f>ROUND(SUM(B998+C998+F998)*O993,2)</f>
        <v>0</v>
      </c>
      <c r="P998" s="27">
        <f t="shared" si="113"/>
        <v>0</v>
      </c>
    </row>
    <row r="999" spans="1:16" s="1" customFormat="1" x14ac:dyDescent="0.2">
      <c r="A999" s="100" t="str">
        <f>$A$31</f>
        <v>Jun 2022</v>
      </c>
      <c r="B999" s="24">
        <f>ROUND(IF(N979=0,0,IFERROR(((LOOKUP(2,1/(A982:A985=A999),G982:G985))*N979*4.348),B998/N979*N979)),2)</f>
        <v>0</v>
      </c>
      <c r="C999" s="23">
        <f>ROUND(IFERROR(((LOOKUP(2,1/(B987=A999),((SUM(B1000:B1002)+SUM(F1000:F1002))/3)*C987))),0)+IFERROR(((LOOKUP(2,1/(E987=A999),(B1006+F1006)*F987))),0),2)</f>
        <v>0</v>
      </c>
      <c r="D999" s="23">
        <f>ROUND(IF(B999=0,0,D993/L975*N979),2)</f>
        <v>0</v>
      </c>
      <c r="E999" s="23">
        <f>ROUND(IF(B999=0,0,E993/N971*N979),2)</f>
        <v>0</v>
      </c>
      <c r="F999" s="24">
        <f>ROUND(IF(N979=0,0,IFERROR(((LOOKUP(2,1/(A982:A985=A999),H982:H985))/N971*N979),F998/N979*N979)),2)</f>
        <v>0</v>
      </c>
      <c r="G999" s="27">
        <f t="shared" si="112"/>
        <v>0</v>
      </c>
      <c r="H999" s="76">
        <f>ROUND(IF(SUM(B994:F998)&lt;(L1009*5),IF((SUM(B994:F999))&gt;(L1009*6),(((L1009*6)-(SUM(B994:F999)-C998))*H993)+((SUM(B999:F999)-C998)*H993),SUM(B999:F999)*H993),IF(SUM(B994:F999)&gt;(L1009*6),L1009*H993,SUM(B999:F999)*H993)),2)</f>
        <v>0</v>
      </c>
      <c r="I999" s="76">
        <f>ROUND(IF(SUM(B994:F998)&lt;(L1010*5),IF((SUM(B994:F999))&gt;(L1010*6),(((L1010*6)-(SUM(B994:F999)-C998))*I993)+((SUM(B999:F999)-C998)*I993),SUM(B999:F999)*I993),IF(SUM(B994:F999)&gt;(L1010*6),L1010*I993,SUM(B999:F999)*I993)),2)</f>
        <v>0</v>
      </c>
      <c r="J999" s="76">
        <f>ROUND(IF(SUM(B994:F998)&lt;(L1010*5),IF((SUM(B994:F999))&gt;(L1010*6),(((L1010*6)-(SUM(B994:F999)-C998))*J993)+((SUM(B999:F999)-C998)*J993),SUM(B999:F999)*J993),IF(SUM(B994:F999)&gt;(L1010*6),L1010*J993,SUM(B999:F999)*J993)),2)</f>
        <v>0</v>
      </c>
      <c r="K999" s="76">
        <f>ROUND(IF(SUM(B994:F998)&lt;(L1009*5),IF((SUM(B994:F999))&gt;(L1009*6),(((L1009*6)-(SUM(B994:F999)-C998))*K993)+((SUM(B999:F999)-C998)*K993),SUM(B999:F999)*K993),IF(SUM(B994:F999)&gt;(L1009*6),L1009*K993,SUM(B999:F999)*K993)),2)</f>
        <v>0</v>
      </c>
      <c r="L999" s="76">
        <f>ROUND(IF(SUM(B994:F998)&lt;(L1010*5),IF((SUM(B994:F999))&gt;(L1010*6),(((L1010*6)-(SUM(B994:F999)-C999))*L993)+((SUM(B999:F999)-C999)*L993),(SUM(B999:F999)-C999)*L993),IF(SUM(B994:F999)&gt;(L1010*6),L1010*L993,SUM(B999:F999)*L993)),2)</f>
        <v>0</v>
      </c>
      <c r="M999" s="76">
        <f>ROUND(IF(SUM(B994:F998)&lt;(L1010*5),IF((SUM(B994:F999))&gt;(L1010*6),(((L1010*6)-(SUM(B994:F999)-C999))*M993)+((SUM(B999:F999)-C999)*M993),(SUM(B999:F999)-C999)*M993),IF(SUM(B994:F999)&gt;(L1010*6),L1010*M993,SUM(B999:F999)*M993)),2)</f>
        <v>0</v>
      </c>
      <c r="N999" s="76">
        <f>ROUND(IF(SUM(B994:F998)&lt;(L1010*5),IF((SUM(B994:F999))&gt;(L1010*6),(((L1010*6)-(SUM(B994:F999)-C998))*N993)+((SUM(B999:F999)-C998)*N993),SUM(B999:F999)*N993),IF(SUM(B994:F999)&gt;(L1010*6),L1010*N993,SUM(B999:F999)*N993)),2)</f>
        <v>0</v>
      </c>
      <c r="O999" s="23">
        <f>ROUND(SUM(B999+C999+F999)*O993,2)</f>
        <v>0</v>
      </c>
      <c r="P999" s="27">
        <f t="shared" si="113"/>
        <v>0</v>
      </c>
    </row>
    <row r="1000" spans="1:16" s="1" customFormat="1" x14ac:dyDescent="0.2">
      <c r="A1000" s="100" t="str">
        <f>$A$32</f>
        <v>Jul 2022</v>
      </c>
      <c r="B1000" s="24">
        <f>ROUND(IF(P974=0,0,IFERROR(((LOOKUP(2,1/(A982:A985=A1000),G982:G985))*P974*4.348),B999/P974*P974)),2)</f>
        <v>0</v>
      </c>
      <c r="C1000" s="23">
        <f>ROUND(IFERROR(((LOOKUP(2,1/(B987=A1000),((SUM(B1000:B1002)+SUM(F1000:F1002))/3)*C987))),0)+IFERROR(((LOOKUP(2,1/(E987=A1000),(B1006+F1006)*F987))),0),2)</f>
        <v>0</v>
      </c>
      <c r="D1000" s="23">
        <f>ROUND(IF(B1000=0,0,D993/L975*P974),2)</f>
        <v>0</v>
      </c>
      <c r="E1000" s="23">
        <f>ROUND(IF(B1000=0,0,E993/N971*P974),2)</f>
        <v>0</v>
      </c>
      <c r="F1000" s="24">
        <f>ROUND(IF(P974=0,0,IFERROR(((LOOKUP(2,1/(A982:A985=A1000),H982:H985))/N971*P974),F999/P974*P974)),2)</f>
        <v>0</v>
      </c>
      <c r="G1000" s="27">
        <f t="shared" si="112"/>
        <v>0</v>
      </c>
      <c r="H1000" s="76">
        <f>ROUND(IF(SUM(B994:F999)&lt;(L1009*6),IF((SUM(B994:F1000))&gt;(L1009*7),(((L1009*7)-(SUM(B994:F1000)-C999))*H993)+((SUM(B1000:F1000)-C999)*H993),SUM(B1000:F1000)*H993),IF(SUM(B994:F1000)&gt;(L1009*7),L1009*H993,SUM(B1000:F1000)*H993)),2)</f>
        <v>0</v>
      </c>
      <c r="I1000" s="76">
        <f>ROUND(IF(SUM(B994:F999)&lt;(L1010*6),IF((SUM(B994:F1000))&gt;(L1010*7),(((L1010*7)-(SUM(B994:F1000)-C999))*I993)+((SUM(B1000:F1000)-C999)*I993),SUM(B1000:F1000)*I993),IF(SUM(B994:F1000)&gt;(L1010*7),L1010*I993,SUM(B1000:F1000)*I993)),2)</f>
        <v>0</v>
      </c>
      <c r="J1000" s="76">
        <f>ROUND(IF(SUM(B994:F999)&lt;(L1010*6),IF((SUM(B994:F1000))&gt;(L1010*7),(((L1010*7)-(SUM(B994:F1000)-C999))*J993)+((SUM(B1000:F1000)-C999)*J993),SUM(B1000:F1000)*J993),IF(SUM(B994:F1000)&gt;(L1010*7),L1010*J993,SUM(B1000:F1000)*J993)),2)</f>
        <v>0</v>
      </c>
      <c r="K1000" s="76">
        <f>ROUND(IF(SUM(B994:F999)&lt;(L1009*6),IF((SUM(B994:F1000))&gt;(L1009*7),(((L1009*7)-(SUM(B994:F1000)-C999))*K993)+((SUM(B1000:F1000)-C999)*K993),SUM(B1000:F1000)*K993),IF(SUM(B994:F1000)&gt;(L1009*7),L1009*K993,SUM(B1000:F1000)*K993)),2)</f>
        <v>0</v>
      </c>
      <c r="L1000" s="76">
        <f>ROUND(IF(SUM(B994:F999)&lt;(L1010*6),IF((SUM(B994:F1000))&gt;(L1010*7),(((L1010*7)-(SUM(B994:F1000)-C1000))*L993)+((SUM(B1000:F1000)-C1000)*L993),(SUM(B1000:F1000)-C1000)*L993),IF(SUM(B994:F1000)&gt;(L1010*7),L1010*L993,SUM(B1000:F1000)*L993)),2)</f>
        <v>0</v>
      </c>
      <c r="M1000" s="76">
        <f>ROUND(IF(SUM(B994:F999)&lt;(L1010*6),IF((SUM(B994:F1000))&gt;(L1010*7),(((L1010*7)-(SUM(B994:F1000)-C1000))*M993)+((SUM(B1000:F1000)-C1000)*M993),(SUM(B1000:F1000)-C1000)*M993),IF(SUM(B994:F1000)&gt;(L1010*7),L1010*M993,SUM(B1000:F1000)*M993)),2)</f>
        <v>0</v>
      </c>
      <c r="N1000" s="76">
        <f>ROUND(IF(SUM(B994:F999)&lt;(L1010*6),IF((SUM(B994:F1000))&gt;(L1010*7),(((L1010*7)-(SUM(B994:F1000)-C999))*N993)+((SUM(B1000:F1000)-C999)*N993),SUM(B1000:F1000)*N993),IF(SUM(B994:F1000)&gt;(L1010*7),L1010*N993,SUM(B1000:F1000)*N993)),2)</f>
        <v>0</v>
      </c>
      <c r="O1000" s="23">
        <f>ROUND(SUM(B1000+C1000+F1000)*O993,2)</f>
        <v>0</v>
      </c>
      <c r="P1000" s="27">
        <f t="shared" si="113"/>
        <v>0</v>
      </c>
    </row>
    <row r="1001" spans="1:16" s="1" customFormat="1" x14ac:dyDescent="0.2">
      <c r="A1001" s="100" t="str">
        <f>$A$33</f>
        <v>Aug 2022</v>
      </c>
      <c r="B1001" s="24">
        <f>ROUND(IF(P975=0,0,IFERROR(((LOOKUP(2,1/(A982:A985=A1001),G982:G985))*P975*4.348),B1000/P975*P975)),2)</f>
        <v>0</v>
      </c>
      <c r="C1001" s="23">
        <f>ROUND(IFERROR(((LOOKUP(2,1/(B987=A1001),((SUM(B1000:B1002)+SUM(F1000:F1002))/3)*C987))),0)+IFERROR(((LOOKUP(2,1/(E987=A1001),(B1006+F1006)*F987))),0),2)</f>
        <v>0</v>
      </c>
      <c r="D1001" s="23">
        <f>ROUND(IF(B1001=0,0,D993/L975*P975),2)</f>
        <v>0</v>
      </c>
      <c r="E1001" s="23">
        <f>ROUND(IF(B1001=0,0,E993/N971*P975),2)</f>
        <v>0</v>
      </c>
      <c r="F1001" s="24">
        <f>ROUND(IF(P975=0,0,IFERROR(((LOOKUP(2,1/(A982:A985=A1001),H982:H985))/N971*P975),F1000/P975*P975)),2)</f>
        <v>0</v>
      </c>
      <c r="G1001" s="27">
        <f t="shared" si="112"/>
        <v>0</v>
      </c>
      <c r="H1001" s="76">
        <f>ROUND(IF(SUM(B994:F1000)&lt;(L1009*7),IF((SUM(B994:F1001))&gt;(L1009*8),(((L1009*8)-(SUM(B994:F1001)-C1000))*H993)+((SUM(B1001:F1001)-C1000)*H993),SUM(B1001:F1001)*H993),IF(SUM(B994:F1001)&gt;(L1009*8),L1009*H993,SUM(B1001:F1001)*H993)),2)</f>
        <v>0</v>
      </c>
      <c r="I1001" s="76">
        <f>ROUND(IF(SUM(B994:F1000)&lt;(L1010*7),IF((SUM(B994:F1001))&gt;(L1010*8),(((L1010*8)-(SUM(B994:F1001)-C1000))*I993)+((SUM(B1001:F1001)-C1000)*I993),SUM(B1001:F1001)*I993),IF(SUM(B994:F1001)&gt;(L1010*8),L1010*I993,SUM(B1001:F1001)*I993)),2)</f>
        <v>0</v>
      </c>
      <c r="J1001" s="76">
        <f>ROUND(IF(SUM(B994:F1000)&lt;(L1010*7),IF((SUM(B994:F1001))&gt;(L1010*8),(((L1010*8)-(SUM(B994:F1001)-C1000))*J993)+((SUM(B1001:F1001)-C1000)*J993),SUM(B1001:F1001)*J993),IF(SUM(B994:F1001)&gt;(L1010*8),L1010*J993,SUM(B1001:F1001)*J993)),2)</f>
        <v>0</v>
      </c>
      <c r="K1001" s="76">
        <f>ROUND(IF(SUM(B994:F1000)&lt;(L1009*7),IF((SUM(B994:F1001))&gt;(L1009*8),(((L1009*8)-(SUM(B994:F1001)-C1000))*K993)+((SUM(B1001:F1001)-C1000)*K993),SUM(B1001:F1001)*K993),IF(SUM(B994:F1001)&gt;(L1009*8),L1009*K993,SUM(B1001:F1001)*K993)),2)</f>
        <v>0</v>
      </c>
      <c r="L1001" s="76">
        <f>ROUND(IF(SUM(B994:F1000)&lt;(L1010*7),IF((SUM(B994:F1001))&gt;(L1010*8),(((L1010*8)-(SUM(B994:F1001)-C1001))*L993)+((SUM(B1001:F1001)-C1001)*L993),(SUM(B1001:F1001)-C1001)*L993),IF(SUM(B994:F1001)&gt;(L1010*8),L1010*L993,SUM(B1001:F1001)*L993)),2)</f>
        <v>0</v>
      </c>
      <c r="M1001" s="76">
        <f>ROUND(IF(SUM(B994:F1000)&lt;(L1010*7),IF((SUM(B994:F1001))&gt;(L1010*8),(((L1010*8)-(SUM(B994:F1001)-C1001))*M993)+((SUM(B1001:F1001)-C1001)*M993),(SUM(B1001:F1001)-C1001)*M993),IF(SUM(B994:F1001)&gt;(L1010*8),L1010*M993,SUM(B1001:F1001)*M993)),2)</f>
        <v>0</v>
      </c>
      <c r="N1001" s="76">
        <f>ROUND(IF(SUM(B994:F1000)&lt;(L1010*7),IF((SUM(B994:F1001))&gt;(L1010*8),(((L1010*8)-(SUM(B994:F1001)-C1000))*N993)+((SUM(B1001:F1001)-C1000)*N993),SUM(B1001:F1001)*N993),IF(SUM(B994:F1001)&gt;(L1010*8),L1010*N993,SUM(B1001:F1001)*N993)),2)</f>
        <v>0</v>
      </c>
      <c r="O1001" s="23">
        <f>ROUND(SUM(B1001+C1001+F1001)*O993,2)</f>
        <v>0</v>
      </c>
      <c r="P1001" s="27">
        <f t="shared" si="113"/>
        <v>0</v>
      </c>
    </row>
    <row r="1002" spans="1:16" s="1" customFormat="1" x14ac:dyDescent="0.2">
      <c r="A1002" s="100" t="str">
        <f>$A$34</f>
        <v>Sep 2022</v>
      </c>
      <c r="B1002" s="24">
        <f>ROUND(IF(P976=0,0,IFERROR(((LOOKUP(2,1/(A982:A985=A1002),G982:G985))*P976*4.348),B1001/P976*P976)),2)</f>
        <v>0</v>
      </c>
      <c r="C1002" s="23">
        <f>ROUND(IFERROR(((LOOKUP(2,1/(B987=A1002),((SUM(B1000:B1002)+SUM(F1000:F1002))/3)*C987))),0)+IFERROR(((LOOKUP(2,1/(E987=A1002),(B1006+F1006)*F987))),0),2)</f>
        <v>0</v>
      </c>
      <c r="D1002" s="23">
        <f>ROUND(IF(B1002=0,0,D993/L975*P976),2)</f>
        <v>0</v>
      </c>
      <c r="E1002" s="23">
        <f>ROUND(IF(B1002=0,0,E993/N971*P976),2)</f>
        <v>0</v>
      </c>
      <c r="F1002" s="24">
        <f>ROUND(IF(P976=0,0,IFERROR(((LOOKUP(2,1/(A982:A985=A1002),H982:H985))/N971*P976),F1001/P976*P976)),2)</f>
        <v>0</v>
      </c>
      <c r="G1002" s="27">
        <f t="shared" si="112"/>
        <v>0</v>
      </c>
      <c r="H1002" s="76">
        <f>ROUND(IF(SUM(B994:F1001)&lt;(L1009*8),IF((SUM(B994:F1002))&gt;(L1009*9),(((L1009*9)-(SUM(B994:F1002)-C1001))*H993)+((SUM(B1002:F1002)-C1001)*H993),SUM(B1002:F1002)*H993),IF(SUM(B994:F1002)&gt;(L1009*9),L1009*H993,SUM(B1002:F1002)*H993)),2)</f>
        <v>0</v>
      </c>
      <c r="I1002" s="76">
        <f>ROUND(IF(SUM(B994:F1001)&lt;(L1010*8),IF((SUM(B994:F1002))&gt;(L1010*9),(((L1010*9)-(SUM(B994:F1002)-C1001))*I993)+((SUM(B1002:F1002)-C1001)*I993),SUM(B1002:F1002)*I993),IF(SUM(B994:F1002)&gt;(L1010*9),L1010*I993,SUM(B1002:F1002)*I993)),2)</f>
        <v>0</v>
      </c>
      <c r="J1002" s="76">
        <f>ROUND(IF(SUM(B994:F1001)&lt;(L1010*8),IF((SUM(B994:F1002))&gt;(L1010*9),(((L1010*9)-(SUM(B994:F1002)-C1001))*J993)+((SUM(B1002:F1002)-C1001)*J993),SUM(B1002:F1002)*J993),IF(SUM(B994:F1002)&gt;(L1010*9),L1010*J993,SUM(B1002:F1002)*J993)),2)</f>
        <v>0</v>
      </c>
      <c r="K1002" s="76">
        <f>ROUND(IF(SUM(B994:F1001)&lt;(L1009*8),IF((SUM(B994:F1002))&gt;(L1009*9),(((L1009*9)-(SUM(B994:F1002)-C1001))*K993)+((SUM(B1002:F1002)-C1001)*K993),SUM(B1002:F1002)*K993),IF(SUM(B994:F1002)&gt;(L1009*9),L1009*K993,SUM(B1002:F1002)*K993)),2)</f>
        <v>0</v>
      </c>
      <c r="L1002" s="76">
        <f>ROUND(IF(SUM(B994:F1001)&lt;(L1010*8),IF((SUM(B994:F1002))&gt;(L1010*9),(((L1010*9)-(SUM(B994:F1002)-C1002))*L993)+((SUM(B1002:F1002)-C1002)*L993),(SUM(B1002:F1002)-C1002)*L993),IF(SUM(B994:F1002)&gt;(L1010*9),L1010*L993,SUM(B1002:F1002)*L993)),2)</f>
        <v>0</v>
      </c>
      <c r="M1002" s="76">
        <f>ROUND(IF(SUM(B994:F1001)&lt;(L1010*8),IF((SUM(B994:F1002))&gt;(L1010*9),(((L1010*9)-(SUM(B994:F1002)-C1002))*M993)+((SUM(B1002:F1002)-C1002)*M993),(SUM(B1002:F1002)-C1002)*M993),IF(SUM(B994:F1002)&gt;(L1010*9),L1010*M993,SUM(B1002:F1002)*M993)),2)</f>
        <v>0</v>
      </c>
      <c r="N1002" s="76">
        <f>ROUND(IF(SUM(B994:F1001)&lt;(L1010*8),IF((SUM(B994:F1002))&gt;(L1010*9),(((L1010*9)-(SUM(B994:F1002)-C1001))*N993)+((SUM(B1002:F1002)-C1001)*N993),SUM(B1002:F1002)*N993),IF(SUM(B994:F1002)&gt;(L1010*9),L1010*N993,SUM(B1002:F1002)*N993)),2)</f>
        <v>0</v>
      </c>
      <c r="O1002" s="23">
        <f>ROUND(SUM(B1002+C1002+F1002)*O993,2)</f>
        <v>0</v>
      </c>
      <c r="P1002" s="27">
        <f t="shared" si="113"/>
        <v>0</v>
      </c>
    </row>
    <row r="1003" spans="1:16" s="1" customFormat="1" x14ac:dyDescent="0.2">
      <c r="A1003" s="100" t="str">
        <f>$A$35</f>
        <v>Okt 2022</v>
      </c>
      <c r="B1003" s="24">
        <f>ROUND(IF(P977=0,0,IFERROR(((LOOKUP(2,1/(A982:A985=A1003),G982:G985))*P977*4.348),B1002/P977*P977)),2)</f>
        <v>0</v>
      </c>
      <c r="C1003" s="23">
        <f>ROUND(IFERROR(((LOOKUP(2,1/(B987=A1003),((SUM(B1000:B1002)+SUM(F1000:F1002))/3)*C987))),0)+IFERROR(((LOOKUP(2,1/(E987=A1003),(B1006+F1006)*F987))),0),2)</f>
        <v>0</v>
      </c>
      <c r="D1003" s="23">
        <f>ROUND(IF(B1003=0,0,D993/L975*P977),2)</f>
        <v>0</v>
      </c>
      <c r="E1003" s="23">
        <f>ROUND(IF(B1003=0,0,E993/N971*P977),2)</f>
        <v>0</v>
      </c>
      <c r="F1003" s="24">
        <f>ROUND(IF(P977=0,0,IFERROR(((LOOKUP(2,1/(A982:A985=A1003),H982:H985))/N971*P977),F1002/P977*P977)),2)</f>
        <v>0</v>
      </c>
      <c r="G1003" s="27">
        <f t="shared" si="112"/>
        <v>0</v>
      </c>
      <c r="H1003" s="76">
        <f>ROUND(IF(SUM(B994:F1002)&lt;(L1009*9),IF((SUM(B994:F1003))&gt;(L1009*10),(((L1009*10)-(SUM(B994:F1003)-C1002))*H993)+((SUM(B1003:F1003)-C1002)*H993),SUM(B1003:F1003)*H993),IF(SUM(B994:F1003)&gt;(L1009*10),L1009*H993,SUM(B1003:F1003)*H993)),2)</f>
        <v>0</v>
      </c>
      <c r="I1003" s="76">
        <f>ROUND(IF(SUM(B994:F1002)&lt;(L1010*9),IF((SUM(B994:F1003))&gt;(L1010*10),(((L1010*10)-(SUM(B994:F1003)-C1002))*I993)+((SUM(B1003:F1003)-C1002)*I993),SUM(B1003:F1003)*I993),IF(SUM(B994:F1003)&gt;(L1010*10),L1010*I993,SUM(B1003:F1003)*I993)),2)</f>
        <v>0</v>
      </c>
      <c r="J1003" s="76">
        <f>ROUND(IF(SUM(B994:F1002)&lt;(L1010*9),IF((SUM(B994:F1003))&gt;(L1010*10),(((L1010*10)-(SUM(B994:F1003)-C1002))*J993)+((SUM(B1003:F1003)-C1002)*J993),SUM(B1003:F1003)*J993),IF(SUM(B994:F1003)&gt;(L1010*10),L1010*J993,SUM(B1003:F1003)*J993)),2)</f>
        <v>0</v>
      </c>
      <c r="K1003" s="76">
        <f>ROUND(IF(SUM(B994:F1002)&lt;(L1009*9),IF((SUM(B994:F1003))&gt;(L1009*10),(((L1009*10)-(SUM(B994:F1003)-C1002))*K993)+((SUM(B1003:F1003)-C1002)*K993),SUM(B1003:F1003)*K993),IF(SUM(B994:F1003)&gt;(L1009*10),L1009*K993,SUM(B1003:F1003)*K993)),2)</f>
        <v>0</v>
      </c>
      <c r="L1003" s="76">
        <f>ROUND(IF(SUM(B994:F1002)&lt;(L1010*9),IF((SUM(B994:F1003))&gt;(L1010*10),(((L1010*10)-(SUM(B994:F1003)-C1003))*L993)+((SUM(B1003:F1003)-C1003)*L993),(SUM(B1003:F1003)-C1003)*L993),IF(SUM(B994:F1003)&gt;(L1010*10),L1010*L993,SUM(B1003:F1003)*L993)),2)</f>
        <v>0</v>
      </c>
      <c r="M1003" s="76">
        <f>ROUND(IF(SUM(B994:F1002)&lt;(L1010*9),IF((SUM(B994:F1003))&gt;(L1010*10),(((L1010*10)-(SUM(B994:F1003)-C1003))*M993)+((SUM(B1003:F1003)-C1003)*M993),(SUM(B1003:F1003)-C1003)*M993),IF(SUM(B994:F1003)&gt;(L1010*10),L1010*M993,SUM(B1003:F1003)*M993)),2)</f>
        <v>0</v>
      </c>
      <c r="N1003" s="76">
        <f>ROUND(IF(SUM(B994:F1002)&lt;(L1010*9),IF((SUM(B994:F1003))&gt;(L1010*10),(((L1010*10)-(SUM(B994:F1003)-C1002))*N993)+((SUM(B1003:F1003)-C1002)*N993),SUM(B1003:F1003)*N993),IF(SUM(B994:F1003)&gt;(L1010*10),L1010*N993,SUM(B1003:F1003)*N993)),2)</f>
        <v>0</v>
      </c>
      <c r="O1003" s="23">
        <f>ROUND(SUM(B1003+C1003+F1003)*O993,2)</f>
        <v>0</v>
      </c>
      <c r="P1003" s="27">
        <f t="shared" si="113"/>
        <v>0</v>
      </c>
    </row>
    <row r="1004" spans="1:16" s="1" customFormat="1" x14ac:dyDescent="0.2">
      <c r="A1004" s="100" t="str">
        <f>$A$36</f>
        <v>Nov 2022</v>
      </c>
      <c r="B1004" s="24">
        <f>ROUND(IF(P978=0,0,IFERROR(((LOOKUP(2,1/(A982:A985=A1004),G982:G985))*P978*4.348),B1003/P978*P978)),2)</f>
        <v>0</v>
      </c>
      <c r="C1004" s="23">
        <f>ROUND(IFERROR(((LOOKUP(2,1/(B987=A1004),((SUM(B1000:B1002)+SUM(F1000:F1002))/3)*C987))),0)+IFERROR(((LOOKUP(2,1/(E987=A1004),(B1006+F1006)*F987))),0),2)</f>
        <v>0</v>
      </c>
      <c r="D1004" s="23">
        <f>ROUND(IF(B1004=0,0,D993/L975*P978),2)</f>
        <v>0</v>
      </c>
      <c r="E1004" s="23">
        <f>ROUND(IF(B1004=0,0,E993/N971*P978),2)</f>
        <v>0</v>
      </c>
      <c r="F1004" s="24">
        <f>ROUND(IF(P978=0,0,IFERROR(((LOOKUP(2,1/(A982:A985=A1004),H982:H985))/N971*P978),F1003/P978*P978)),2)</f>
        <v>0</v>
      </c>
      <c r="G1004" s="27">
        <f t="shared" si="112"/>
        <v>0</v>
      </c>
      <c r="H1004" s="76">
        <f>ROUND(IF(SUM(B994:F1003)&lt;(L1009*10),IF((SUM(B994:F1004))&gt;(L1009*11),(((L1009*11)-(SUM(B994:F1004)-C1003))*H993)+((SUM(B1004:F1004)-C1003)*H993),SUM(B1004:F1004)*H993),IF(SUM(B994:F1004)&gt;(L1009*11),L1009*H993,SUM(B1004:F1004)*H993)),2)</f>
        <v>0</v>
      </c>
      <c r="I1004" s="76">
        <f>ROUND(IF(SUM(B994:F1003)&lt;(L1010*10),IF((SUM(B994:F1004))&gt;(L1010*11),(((L1010*11)-(SUM(B994:F1004)-C1003))*I993)+((SUM(B1004:F1004)-C1003)*I993),SUM(B1004:F1004)*I993),IF(SUM(B994:F1004)&gt;(L1010*11),L1010*I993,SUM(B1004:F1004)*I993)),2)</f>
        <v>0</v>
      </c>
      <c r="J1004" s="76">
        <f>ROUND(IF(SUM(B994:F1003)&lt;(L1010*10),IF((SUM(B994:F1004))&gt;(L1010*11),(((L1010*11)-(SUM(B994:F1004)-C1003))*J993)+((SUM(B1004:F1004)-C1003)*J993),SUM(B1004:F1004)*J993),IF(SUM(B994:F1004)&gt;(L1010*11),L1010*J993,SUM(B1004:F1004)*J993)),2)</f>
        <v>0</v>
      </c>
      <c r="K1004" s="76">
        <f>ROUND(IF(SUM(B994:F1003)&lt;(L1009*10),IF((SUM(B994:F1004))&gt;(L1009*11),(((L1009*11)-(SUM(B994:F1004)-C1003))*K993)+((SUM(B1004:F1004)-C1003)*K993),SUM(B1004:F1004)*K993),IF(SUM(B994:F1004)&gt;(L1009*11),L1009*K993,SUM(B1004:F1004)*K993)),2)</f>
        <v>0</v>
      </c>
      <c r="L1004" s="76">
        <f>ROUND(IF(SUM(B994:F1003)&lt;(L1010*10),IF((SUM(B994:F1004))&gt;(L1010*11),(((L1010*11)-(SUM(B994:F1004)-C1004))*L993)+((SUM(B1004:F1004)-C1004)*L993),(SUM(B1004:F1004)-C1004)*L993),IF(SUM(B994:F1004)&gt;(L1010*11),L1010*L993,SUM(B1004:F1004)*L993)),2)</f>
        <v>0</v>
      </c>
      <c r="M1004" s="76">
        <f>ROUND(IF(SUM(B994:F1003)&lt;(L1010*10),IF((SUM(B994:F1004))&gt;(L1010*11),(((L1010*11)-(SUM(B994:F1004)-C1004))*M993)+((SUM(B1004:F1004)-C1004)*M993),(SUM(B1004:F1004)-C1004)*M993),IF(SUM(B994:F1004)&gt;(L1010*11),L1010*M993,SUM(B1004:F1004)*M993)),2)</f>
        <v>0</v>
      </c>
      <c r="N1004" s="76">
        <f>ROUND(IF(SUM(B994:F1003)&lt;(L1010*10),IF((SUM(B994:F1004))&gt;(L1010*11),(((L1010*11)-(SUM(B994:F1004)-C1003))*N993)+((SUM(B1004:F1004)-C1003)*N993),SUM(B1004:F1004)*N993),IF(SUM(B994:F1004)&gt;(L1010*11),L1010*N993,SUM(B1004:F1004)*N993)),2)</f>
        <v>0</v>
      </c>
      <c r="O1004" s="23">
        <f>ROUND(SUM(B1004+C1004+F1004)*O993,2)</f>
        <v>0</v>
      </c>
      <c r="P1004" s="27">
        <f t="shared" si="113"/>
        <v>0</v>
      </c>
    </row>
    <row r="1005" spans="1:16" s="1" customFormat="1" x14ac:dyDescent="0.2">
      <c r="A1005" s="100" t="str">
        <f>$A$37</f>
        <v>Dez 2022</v>
      </c>
      <c r="B1005" s="24">
        <f>ROUND(IF(P979=0,0,IFERROR(((LOOKUP(2,1/(A982:A985=A1005),G982:G985))*P979*4.348),B1004/P979*P979)),2)</f>
        <v>0</v>
      </c>
      <c r="C1005" s="23">
        <f>ROUND(IFERROR(((LOOKUP(2,1/(B987=A1005),((SUM(B1000:B1002)+SUM(F1000:F1002))/3)*C987))),0)+IFERROR(((LOOKUP(2,1/(E987=A1005),(B1006+F1006)*F987))),0),2)</f>
        <v>0</v>
      </c>
      <c r="D1005" s="23">
        <f>ROUND(IF(B1005=0,0,D993/L975*P979),2)</f>
        <v>0</v>
      </c>
      <c r="E1005" s="23">
        <f>ROUND(IF(B1005=0,0,E993/N971*P979),2)</f>
        <v>0</v>
      </c>
      <c r="F1005" s="24">
        <f>ROUND(IF(P979=0,0,IFERROR(((LOOKUP(2,1/(A982:A985=A1005),H982:H985))/N971*P979),F1004/P979*P979)),2)</f>
        <v>0</v>
      </c>
      <c r="G1005" s="27">
        <f t="shared" si="112"/>
        <v>0</v>
      </c>
      <c r="H1005" s="76">
        <f>ROUND(IF(SUM(B994:F1004)&lt;(L1009*11),IF((SUM(B994:F1005))&gt;(L1009*12),(((L1009*12)-(SUM(B994:F1005)-C1004))*H993)+((SUM(B1005:F1005)-C1004)*H993),SUM(B1005:F1005)*H993),IF(SUM(B994:F1005)&gt;(L1009*12),L1009*H993,SUM(B1005:F1005)*H993)),2)</f>
        <v>0</v>
      </c>
      <c r="I1005" s="76">
        <f>ROUND(IF(SUM(B994:F1004)&lt;(L1010*11),IF((SUM(B994:F1005))&gt;(L1010*12),(((L1010*12)-(SUM(B994:F1005)-C1004))*I993)+((SUM(B1005:F1005)-C1004)*I993),SUM(B1005:F1005)*I993),IF(SUM(B994:F1005)&gt;(L1010*12),L1010*I993,SUM(B1005:F1005)*I993)),2)</f>
        <v>0</v>
      </c>
      <c r="J1005" s="76">
        <f>ROUND(IF(SUM(B994:F1004)&lt;(L1010*11),IF((SUM(B994:F1005))&gt;(L1010*12),(((L1010*12)-(SUM(B994:F1005)-C1004))*J993)+((SUM(B1005:F1005)-C1004)*J993),SUM(B1005:F1005)*J993),IF(SUM(B994:F1005)&gt;(L1010*12),L1010*J993,SUM(B1005:F1005)*J993)),2)</f>
        <v>0</v>
      </c>
      <c r="K1005" s="76">
        <f>ROUND(IF(SUM(B994:F1004)&lt;(L1009*11),IF((SUM(B994:F1005))&gt;(L1009*12),(((L1009*12)-(SUM(B994:F1005)-C1004))*K993)+((SUM(B1005:F1005)-C1004)*K993),SUM(B1005:F1005)*K993),IF(SUM(B994:F1005)&gt;(L1009*12),L1009*K993,SUM(B1005:F1005)*K993)),2)</f>
        <v>0</v>
      </c>
      <c r="L1005" s="76">
        <f>ROUND(IF(SUM(B994:F1004)&lt;(L1010*11),IF((SUM(B994:F1005))&gt;(L1010*12),(((L1010*12)-(SUM(B994:F1005)-C1005))*L993)+((SUM(B1005:F1005)-C1005)*L993),(SUM(B1005:F1005)-C1005)*L993),IF(SUM(B994:F1005)&gt;(L1010*12),L1010*L993,SUM(B1005:F1005)*L993)),2)</f>
        <v>0</v>
      </c>
      <c r="M1005" s="76">
        <f>ROUND(IF(SUM(B994:F1004)&lt;(L1010*11),IF((SUM(B994:F1005))&gt;(L1010*12),(((L1010*12)-(SUM(B994:F1005)-C1005))*M993)+((SUM(B1005:F1005)-C1005)*M993),(SUM(B1005:F1005)-C1005)*M993),IF(SUM(B994:F1005)&gt;(L1010*12),L1010*M993,SUM(B1005:F1005)*M993)),2)</f>
        <v>0</v>
      </c>
      <c r="N1005" s="76">
        <f>ROUND(IF(SUM(B994:F1004)&lt;(L1010*11),IF((SUM(B994:F1005))&gt;(L1010*12),(((L1010*12)-(SUM(B994:F1005)-C1004))*N993)+((SUM(B1005:F1005)-C1004)*N993),SUM(B1005:F1005)*N993),IF(SUM(B994:F1005)&gt;(L1010*12),L1010*N993,SUM(B1005:F1005)*N993)),2)</f>
        <v>0</v>
      </c>
      <c r="O1005" s="23">
        <f>ROUND(SUM(B1005+C1005+F1005)*O993,2)</f>
        <v>0</v>
      </c>
      <c r="P1005" s="27">
        <f t="shared" si="113"/>
        <v>0</v>
      </c>
    </row>
    <row r="1006" spans="1:16" s="14" customFormat="1" ht="15" x14ac:dyDescent="0.25">
      <c r="A1006" s="4" t="s">
        <v>2</v>
      </c>
      <c r="B1006" s="27">
        <f>SUM(B994:B1005)</f>
        <v>0</v>
      </c>
      <c r="C1006" s="27">
        <f t="shared" ref="C1006:D1006" si="114">SUM(C994:C1005)</f>
        <v>0</v>
      </c>
      <c r="D1006" s="27">
        <f t="shared" si="114"/>
        <v>0</v>
      </c>
      <c r="E1006" s="27">
        <f>SUM(E994:E1005)</f>
        <v>0</v>
      </c>
      <c r="F1006" s="27">
        <f>SUM(F994:F1005)</f>
        <v>0</v>
      </c>
      <c r="G1006" s="27">
        <f>SUM(G994:G1005)</f>
        <v>0</v>
      </c>
      <c r="H1006" s="1133">
        <f>SUM(H994:N1005)</f>
        <v>0</v>
      </c>
      <c r="I1006" s="1134"/>
      <c r="J1006" s="1134"/>
      <c r="K1006" s="1134"/>
      <c r="L1006" s="1134"/>
      <c r="M1006" s="1134"/>
      <c r="N1006" s="1135"/>
      <c r="O1006" s="27">
        <f>SUM(O994:O1005)</f>
        <v>0</v>
      </c>
      <c r="P1006" s="27">
        <f>SUM(P994:P1005)</f>
        <v>0</v>
      </c>
    </row>
    <row r="1007" spans="1:16" s="13" customFormat="1" ht="11.25" x14ac:dyDescent="0.2">
      <c r="A1007" s="3" t="s">
        <v>1</v>
      </c>
      <c r="B1007" s="2"/>
      <c r="C1007" s="2"/>
      <c r="D1007" s="2"/>
      <c r="E1007" s="2"/>
      <c r="F1007" s="2"/>
      <c r="G1007" s="2"/>
      <c r="H1007" s="2"/>
      <c r="I1007" s="2"/>
      <c r="J1007" s="2"/>
      <c r="K1007" s="2"/>
      <c r="L1007" s="2"/>
      <c r="M1007" s="2"/>
      <c r="N1007" s="2"/>
      <c r="O1007" s="2"/>
      <c r="P1007" s="2"/>
    </row>
    <row r="1008" spans="1:16" s="1" customFormat="1" ht="14.25" customHeight="1" x14ac:dyDescent="0.2">
      <c r="A1008" s="1136" t="s">
        <v>133</v>
      </c>
      <c r="B1008" s="1137"/>
      <c r="C1008" s="1137"/>
      <c r="D1008" s="1137" t="s">
        <v>134</v>
      </c>
      <c r="E1008" s="1137"/>
      <c r="F1008" s="94" t="str">
        <f>IF(IF(G1006=0,"",'päd.Personal - Leitung'!$F$40)=0,"",IF(G1006=0,"",'päd.Personal - Leitung'!$F$40))</f>
        <v/>
      </c>
      <c r="G1008" s="77" t="s">
        <v>135</v>
      </c>
      <c r="H1008" s="96" t="str">
        <f>IF(IF(G1006=0,"",'päd.Personal - Leitung'!$H$40)=0,"",IF(G1006=0,"",'päd.Personal - Leitung'!$H$40))</f>
        <v/>
      </c>
      <c r="I1008" s="73"/>
      <c r="J1008" s="194" t="s">
        <v>160</v>
      </c>
      <c r="K1008" s="194" t="str">
        <f>$K$40</f>
        <v>2021</v>
      </c>
      <c r="L1008" s="194" t="str">
        <f>$L$40</f>
        <v>anteilig 2021</v>
      </c>
      <c r="M1008" s="1138" t="s">
        <v>140</v>
      </c>
      <c r="N1008" s="1138"/>
      <c r="O1008" s="1139"/>
      <c r="P1008" s="27">
        <f>ROUND(IF(F1008="",IF(E1012="",0,(E1012*H1012/K1012)/L975*L976),G1006*F1008*H1008/1000),2)</f>
        <v>0</v>
      </c>
    </row>
    <row r="1009" spans="1:16" s="1" customFormat="1" ht="15" customHeight="1" x14ac:dyDescent="0.2">
      <c r="A1009" s="1140" t="s">
        <v>145</v>
      </c>
      <c r="B1009" s="1141"/>
      <c r="C1009" s="1141"/>
      <c r="D1009" s="18"/>
      <c r="E1009" s="107" t="s">
        <v>135</v>
      </c>
      <c r="F1009" s="95" t="str">
        <f>IF(IF(G1006=0,"",'päd.Personal - Leitung'!$F$41)=0,"",IF(G1006=0,"",'päd.Personal - Leitung'!$F$41))</f>
        <v/>
      </c>
      <c r="G1009" s="48"/>
      <c r="H1009" s="47"/>
      <c r="I1009" s="48"/>
      <c r="J1009" s="195" t="s">
        <v>158</v>
      </c>
      <c r="K1009" s="198">
        <f>$K$41</f>
        <v>4837.5</v>
      </c>
      <c r="L1009" s="197">
        <f>IF(L975="",K1009,K1009/L975*L976)</f>
        <v>4837.5</v>
      </c>
      <c r="M1009" s="1138" t="s">
        <v>139</v>
      </c>
      <c r="N1009" s="1138"/>
      <c r="O1009" s="1139"/>
      <c r="P1009" s="27">
        <f>ROUND(IF(F1009="",0,G1006*F1009/1000),2)</f>
        <v>0</v>
      </c>
    </row>
    <row r="1010" spans="1:16" s="1" customFormat="1" ht="15.75" customHeight="1" x14ac:dyDescent="0.2">
      <c r="A1010" s="1142" t="s">
        <v>141</v>
      </c>
      <c r="B1010" s="1143"/>
      <c r="C1010" s="1143"/>
      <c r="D1010" s="1144" t="s">
        <v>143</v>
      </c>
      <c r="E1010" s="1144"/>
      <c r="F1010" s="1145" t="str">
        <f>IF(IF(G1006=0,"",'päd.Personal - Leitung'!$F$42)=0,"",IF(G1006=0,"",'päd.Personal - Leitung'!$F$42))</f>
        <v/>
      </c>
      <c r="G1010" s="1145"/>
      <c r="H1010" s="72"/>
      <c r="I1010" s="18"/>
      <c r="J1010" s="195" t="s">
        <v>159</v>
      </c>
      <c r="K1010" s="197">
        <f>$K$42</f>
        <v>6700</v>
      </c>
      <c r="L1010" s="197">
        <f>IF(L975="",K1010,K1010/L975*L976)</f>
        <v>6700</v>
      </c>
      <c r="M1010" s="1138" t="s">
        <v>141</v>
      </c>
      <c r="N1010" s="1138"/>
      <c r="O1010" s="1139"/>
      <c r="P1010" s="23">
        <f>ROUND(IF(F1010="",0,IF(G1006=0,0,F1010/L975*L976)),2)</f>
        <v>0</v>
      </c>
    </row>
    <row r="1011" spans="1:16" s="1" customFormat="1" ht="14.25" customHeight="1" x14ac:dyDescent="0.2">
      <c r="A1011" s="18"/>
      <c r="B1011" s="18"/>
      <c r="C1011" s="18"/>
      <c r="D1011" s="18"/>
      <c r="E1011" s="18"/>
      <c r="F1011" s="18"/>
      <c r="G1011" s="18"/>
      <c r="H1011" s="18"/>
      <c r="I1011" s="18"/>
      <c r="J1011" s="18"/>
      <c r="K1011" s="74"/>
      <c r="L1011" s="82"/>
      <c r="M1011" s="1127" t="s">
        <v>146</v>
      </c>
      <c r="N1011" s="1127"/>
      <c r="O1011" s="1128"/>
      <c r="P1011" s="23">
        <f>ROUND(IF(G1006=0,0,$P$87),2)</f>
        <v>0</v>
      </c>
    </row>
    <row r="1012" spans="1:16" s="1" customFormat="1" ht="14.25" customHeight="1" x14ac:dyDescent="0.2">
      <c r="A1012" s="1129" t="s">
        <v>142</v>
      </c>
      <c r="B1012" s="1130"/>
      <c r="C1012" s="126" t="s">
        <v>136</v>
      </c>
      <c r="D1012" s="179" t="s">
        <v>137</v>
      </c>
      <c r="E1012" s="1131" t="str">
        <f>IF(IF(G1006=0,"",'päd.Personal - Leitung'!$E$44)=0,"",IF(G1006=0,"",'päd.Personal - Leitung'!$E$44))</f>
        <v/>
      </c>
      <c r="F1012" s="1131"/>
      <c r="G1012" s="83" t="s">
        <v>138</v>
      </c>
      <c r="H1012" s="97" t="str">
        <f>IF(IF(G1006=0,"",'päd.Personal - Leitung'!$H$44)=0,"",IF(G1006=0,"",'päd.Personal - Leitung'!$H$44))</f>
        <v/>
      </c>
      <c r="I1012" s="1132" t="s">
        <v>144</v>
      </c>
      <c r="J1012" s="1132"/>
      <c r="K1012" s="98" t="str">
        <f>IF(IF(G1006=0,"",'päd.Personal - Leitung'!$K$44)=0,"",IF(G1006=0,"",'päd.Personal - Leitung'!$K$44))</f>
        <v/>
      </c>
      <c r="L1012" s="29"/>
      <c r="M1012" s="29"/>
      <c r="N1012" s="29"/>
      <c r="O1012" s="28" t="s">
        <v>0</v>
      </c>
      <c r="P1012" s="27">
        <f>P1006+SUM(P1008:P1011)</f>
        <v>0</v>
      </c>
    </row>
    <row r="1013" spans="1:16" s="12" customFormat="1" ht="13.5" customHeight="1" x14ac:dyDescent="0.2">
      <c r="A1013" s="1178" t="s">
        <v>18</v>
      </c>
      <c r="B1013" s="1178"/>
      <c r="C1013" s="1178"/>
      <c r="D1013" s="1179" t="str">
        <f>IF($D$1="","",$D$1)</f>
        <v/>
      </c>
      <c r="E1013" s="1179"/>
      <c r="F1013" s="1179"/>
      <c r="G1013" s="1179"/>
      <c r="H1013" s="1179"/>
      <c r="I1013" s="1179"/>
      <c r="J1013" s="1179"/>
      <c r="K1013" s="1179"/>
      <c r="L1013" s="1179"/>
      <c r="M1013" s="1179"/>
      <c r="N1013" s="1179"/>
    </row>
    <row r="1014" spans="1:16" s="12" customFormat="1" ht="15" customHeight="1" x14ac:dyDescent="0.2">
      <c r="A1014" s="1178" t="s">
        <v>17</v>
      </c>
      <c r="B1014" s="1178"/>
      <c r="C1014" s="1178" t="s">
        <v>15</v>
      </c>
      <c r="D1014" s="1179" t="str">
        <f>IF($D$2="","",$D$2)</f>
        <v/>
      </c>
      <c r="E1014" s="1179"/>
      <c r="F1014" s="1179"/>
      <c r="G1014" s="1179"/>
      <c r="H1014" s="1179"/>
      <c r="I1014" s="1179"/>
      <c r="J1014" s="1179"/>
      <c r="K1014" s="1179"/>
      <c r="L1014" s="1179"/>
      <c r="M1014" s="1179"/>
      <c r="N1014" s="1179"/>
    </row>
    <row r="1015" spans="1:16" s="12" customFormat="1" ht="15" customHeight="1" x14ac:dyDescent="0.2">
      <c r="A1015" s="1178" t="s">
        <v>16</v>
      </c>
      <c r="B1015" s="1178"/>
      <c r="C1015" s="1178" t="s">
        <v>15</v>
      </c>
      <c r="D1015" s="1179" t="str">
        <f>IF($D$3="","",$D$3)</f>
        <v/>
      </c>
      <c r="E1015" s="1179"/>
      <c r="F1015" s="1179"/>
      <c r="G1015" s="1179"/>
      <c r="H1015" s="1179"/>
      <c r="I1015" s="1179"/>
      <c r="J1015" s="1179"/>
      <c r="K1015" s="1178" t="s">
        <v>103</v>
      </c>
      <c r="L1015" s="1178"/>
      <c r="M1015" s="1178"/>
      <c r="N1015" s="41" t="str">
        <f>IF($N$3="","",$N$3)</f>
        <v/>
      </c>
    </row>
    <row r="1016" spans="1:16" s="13" customFormat="1" ht="11.25" x14ac:dyDescent="0.2">
      <c r="A1016" s="1182"/>
      <c r="B1016" s="1182"/>
      <c r="C1016" s="1182"/>
      <c r="D1016" s="1183"/>
      <c r="E1016" s="1183"/>
      <c r="F1016" s="1183"/>
      <c r="G1016" s="1183"/>
      <c r="H1016" s="1183"/>
      <c r="I1016" s="1183"/>
      <c r="J1016" s="1183"/>
      <c r="K1016" s="11"/>
      <c r="L1016" s="11"/>
      <c r="M1016" s="11"/>
      <c r="N1016" s="11"/>
      <c r="O1016" s="11"/>
      <c r="P1016" s="11"/>
    </row>
    <row r="1017" spans="1:16" s="15" customFormat="1" ht="13.5" customHeight="1" x14ac:dyDescent="0.2">
      <c r="A1017" s="1177" t="s">
        <v>166</v>
      </c>
      <c r="B1017" s="1177"/>
      <c r="C1017" s="1177"/>
      <c r="D1017" s="1177"/>
      <c r="E1017" s="1177"/>
      <c r="F1017" s="1177"/>
      <c r="G1017" s="1177"/>
      <c r="H1017" s="1177"/>
      <c r="I1017" s="1177"/>
      <c r="J1017" s="1177"/>
      <c r="K1017" s="9"/>
      <c r="L1017" s="9"/>
      <c r="M1017" s="9"/>
      <c r="N1017" s="59" t="s">
        <v>154</v>
      </c>
      <c r="O1017" s="191">
        <f>$O$5</f>
        <v>2022</v>
      </c>
      <c r="P1017" s="59" t="s">
        <v>154</v>
      </c>
    </row>
    <row r="1018" spans="1:16" s="10" customFormat="1" ht="13.5" customHeight="1" x14ac:dyDescent="0.25">
      <c r="B1018" s="32"/>
      <c r="C1018" s="32"/>
      <c r="D1018" s="5" t="s">
        <v>57</v>
      </c>
      <c r="E1018" s="31"/>
      <c r="F1018" s="31"/>
      <c r="G1018" s="31"/>
      <c r="H1018" s="31"/>
      <c r="I1018" s="26"/>
      <c r="J1018" s="1174" t="s">
        <v>14</v>
      </c>
      <c r="K1018" s="1174"/>
      <c r="L1018" s="180"/>
      <c r="N1018" s="84">
        <f>IF(L1020="","",L1020)</f>
        <v>0</v>
      </c>
      <c r="O1018" s="58" t="str">
        <f>$O$6</f>
        <v>Jan                Jul</v>
      </c>
      <c r="P1018" s="85">
        <f>IF(N1023="","",N1023)</f>
        <v>0</v>
      </c>
    </row>
    <row r="1019" spans="1:16" s="7" customFormat="1" ht="13.5" customHeight="1" x14ac:dyDescent="0.25">
      <c r="A1019" s="1180" t="s">
        <v>71</v>
      </c>
      <c r="B1019" s="1180"/>
      <c r="C1019" s="1180"/>
      <c r="D1019" s="1184"/>
      <c r="E1019" s="1184"/>
      <c r="F1019" s="1184"/>
      <c r="G1019" s="1184"/>
      <c r="H1019" s="1184"/>
      <c r="I1019" s="1184"/>
      <c r="J1019" s="1174" t="s">
        <v>104</v>
      </c>
      <c r="K1019" s="1174"/>
      <c r="L1019" s="145"/>
      <c r="N1019" s="85">
        <f>IF(N1018="","",N1018)</f>
        <v>0</v>
      </c>
      <c r="O1019" s="58" t="str">
        <f>$O$7</f>
        <v>Feb              Aug</v>
      </c>
      <c r="P1019" s="85">
        <f>IF(P1018="","",P1018)</f>
        <v>0</v>
      </c>
    </row>
    <row r="1020" spans="1:16" s="1" customFormat="1" ht="13.5" customHeight="1" x14ac:dyDescent="0.2">
      <c r="A1020" s="1180" t="s">
        <v>13</v>
      </c>
      <c r="B1020" s="1180"/>
      <c r="C1020" s="1180"/>
      <c r="D1020" s="1181"/>
      <c r="E1020" s="1181"/>
      <c r="F1020" s="1181"/>
      <c r="G1020" s="1181"/>
      <c r="H1020" s="1181"/>
      <c r="I1020" s="1181"/>
      <c r="J1020" s="1174" t="s">
        <v>164</v>
      </c>
      <c r="K1020" s="1174"/>
      <c r="L1020" s="145">
        <f>IF((L1021+L1022)&gt;L1019,0,L1019-L1021-L1022)</f>
        <v>0</v>
      </c>
      <c r="N1020" s="85">
        <f>IF(N1019="","",N1019)</f>
        <v>0</v>
      </c>
      <c r="O1020" s="58" t="str">
        <f>$O$8</f>
        <v>Mrz              Sep</v>
      </c>
      <c r="P1020" s="85">
        <f>IF(P1019="","",P1019)</f>
        <v>0</v>
      </c>
    </row>
    <row r="1021" spans="1:16" s="1" customFormat="1" ht="13.5" customHeight="1" x14ac:dyDescent="0.2">
      <c r="A1021" s="1180" t="s">
        <v>12</v>
      </c>
      <c r="B1021" s="1180"/>
      <c r="C1021" s="1180"/>
      <c r="D1021" s="1181"/>
      <c r="E1021" s="1181"/>
      <c r="F1021" s="1181"/>
      <c r="G1021" s="1181"/>
      <c r="H1021" s="1181"/>
      <c r="I1021" s="1181"/>
      <c r="J1021" s="1174" t="s">
        <v>165</v>
      </c>
      <c r="K1021" s="1174"/>
      <c r="L1021" s="145"/>
      <c r="N1021" s="85">
        <f>IF(N1020="","",N1020)</f>
        <v>0</v>
      </c>
      <c r="O1021" s="58" t="str">
        <f>$O$9</f>
        <v>Apr               Okt</v>
      </c>
      <c r="P1021" s="85">
        <f t="shared" ref="P1021:P1023" si="115">IF(P1020="","",P1020)</f>
        <v>0</v>
      </c>
    </row>
    <row r="1022" spans="1:16" s="1" customFormat="1" ht="13.5" customHeight="1" x14ac:dyDescent="0.2">
      <c r="A1022" s="1180" t="s">
        <v>19</v>
      </c>
      <c r="B1022" s="1180"/>
      <c r="C1022" s="1180"/>
      <c r="D1022" s="1181"/>
      <c r="E1022" s="1181"/>
      <c r="F1022" s="1181"/>
      <c r="G1022" s="1181"/>
      <c r="H1022" s="1181"/>
      <c r="I1022" s="1181"/>
      <c r="J1022" s="1174" t="s">
        <v>252</v>
      </c>
      <c r="K1022" s="1174"/>
      <c r="L1022" s="145"/>
      <c r="M1022" s="92"/>
      <c r="N1022" s="85">
        <f>IF(N1021="","",N1021)</f>
        <v>0</v>
      </c>
      <c r="O1022" s="58" t="str">
        <f>$O$10</f>
        <v>Mai               Nov</v>
      </c>
      <c r="P1022" s="85">
        <f t="shared" si="115"/>
        <v>0</v>
      </c>
    </row>
    <row r="1023" spans="1:16" s="1" customFormat="1" ht="13.5" customHeight="1" x14ac:dyDescent="0.2">
      <c r="B1023" s="8"/>
      <c r="C1023" s="121" t="s">
        <v>162</v>
      </c>
      <c r="D1023" s="1175"/>
      <c r="E1023" s="1175"/>
      <c r="F1023" s="1176" t="s">
        <v>106</v>
      </c>
      <c r="G1023" s="1176"/>
      <c r="H1023" s="1186"/>
      <c r="I1023" s="1186"/>
      <c r="J1023" s="1174" t="s">
        <v>97</v>
      </c>
      <c r="K1023" s="1174"/>
      <c r="L1023" s="17" t="str">
        <f>IF(IF((COUNTIF(B1038:B1049,"&gt;0"))=0,0,(COUNTIF(B1038:B1049,"&gt;0")))&gt;Grundlagen!$C$24,Grundlagen!$C$24,IF((COUNTIF(B1038:B1049,"&gt;0"))=0,"",(COUNTIF(B1038:B1049,"&gt;0"))))</f>
        <v/>
      </c>
      <c r="N1023" s="85">
        <f>IF(N1022="","",N1022)</f>
        <v>0</v>
      </c>
      <c r="O1023" s="58" t="str">
        <f>'päd.Personal - Leitung'!$O$11</f>
        <v>Jun               Dez</v>
      </c>
      <c r="P1023" s="85">
        <f t="shared" si="115"/>
        <v>0</v>
      </c>
    </row>
    <row r="1024" spans="1:16" s="1" customFormat="1" ht="13.5" customHeight="1" x14ac:dyDescent="0.2">
      <c r="I1024" s="6"/>
      <c r="L1024" s="147" t="str">
        <f>IF((SUM(F1026:F1029))=0,"",IF(P1024&gt;L1020,L1020,IF(L1020="","",IF(L1023="","",P1024))))</f>
        <v/>
      </c>
      <c r="O1024" s="174" t="s">
        <v>251</v>
      </c>
      <c r="P1024" s="175">
        <f>IF(L1023="",0,((IF(SUMIF(B1038,"&gt;0"),N1018,0))+(IF(SUMIF(B1039,"&gt;0"),N1019,0))+(IF(SUMIF(B1040,"&gt;0"),N1020,0))+(IF(SUMIF(B1041,"&gt;0"),N1021,0))+(IF(SUMIF(B1042,"&gt;0"),N1022,0))+(IF(SUMIF(B1043,"&gt;0"),N1023,0))+(IF(SUMIF(B1044,"&gt;0"),P1018,0))+(IF(SUMIF(B1045,"&gt;0"),P1019,0))+(IF(SUMIF(B1046,"&gt;0"),P1020,0))+(IF(SUMIF(B1047,"&gt;0"),P1021,0))+(IF(SUMIF(B1048,"&gt;0"),P1022,0))+(IF(SUMIF(B1049,"&gt;0"),P1023,0)))/Grundlagen!$C$24)</f>
        <v>0</v>
      </c>
    </row>
    <row r="1025" spans="1:16" s="52" customFormat="1" ht="13.5" customHeight="1" x14ac:dyDescent="0.2">
      <c r="A1025" s="61" t="s">
        <v>148</v>
      </c>
      <c r="B1025" s="1168" t="s">
        <v>149</v>
      </c>
      <c r="C1025" s="1168"/>
      <c r="D1025" s="62" t="s">
        <v>150</v>
      </c>
      <c r="E1025" s="63" t="s">
        <v>151</v>
      </c>
      <c r="F1025" s="64" t="str">
        <f>CONCATENATE("Entg. ",N1015," h/Wo")</f>
        <v>Entg.  h/Wo</v>
      </c>
      <c r="G1025" s="65" t="s">
        <v>152</v>
      </c>
      <c r="H1025" s="65" t="s">
        <v>153</v>
      </c>
      <c r="K1025" s="1169" t="str">
        <f>CONCATENATE("Zuschläge / Zulagen für ",N1015,"h/Wo")</f>
        <v>Zuschläge / Zulagen für h/Wo</v>
      </c>
      <c r="L1025" s="1169"/>
      <c r="M1025" s="66" t="str">
        <f>IF(A1026="","",A1026)</f>
        <v>Jan 2022</v>
      </c>
      <c r="N1025" s="66" t="str">
        <f>IF(A1027="","",A1027)</f>
        <v/>
      </c>
      <c r="O1025" s="66" t="str">
        <f>IF(A1028="","",A1028)</f>
        <v/>
      </c>
      <c r="P1025" s="66" t="str">
        <f>IF(A1029="","",A1029)</f>
        <v/>
      </c>
    </row>
    <row r="1026" spans="1:16" s="52" customFormat="1" ht="13.5" customHeight="1" x14ac:dyDescent="0.25">
      <c r="A1026" s="54" t="str">
        <f>A1038</f>
        <v>Jan 2022</v>
      </c>
      <c r="B1026" s="1170" t="str">
        <f>IF($D$3="","",$D$3)</f>
        <v/>
      </c>
      <c r="C1026" s="1171"/>
      <c r="D1026" s="181"/>
      <c r="E1026" s="181"/>
      <c r="F1026" s="87"/>
      <c r="G1026" s="56">
        <f>IF(N1015="",0,F1026/N1015/4.348)</f>
        <v>0</v>
      </c>
      <c r="H1026" s="53">
        <f>IF(G1026=0,0,M1031)</f>
        <v>0</v>
      </c>
      <c r="K1026" s="1146"/>
      <c r="L1026" s="1146"/>
      <c r="M1026" s="172"/>
      <c r="N1026" s="172"/>
      <c r="O1026" s="172"/>
      <c r="P1026" s="172"/>
    </row>
    <row r="1027" spans="1:16" s="52" customFormat="1" ht="13.5" customHeight="1" x14ac:dyDescent="0.25">
      <c r="A1027" s="55"/>
      <c r="B1027" s="1172" t="str">
        <f>IF(A1027="","",B1026)</f>
        <v/>
      </c>
      <c r="C1027" s="1173"/>
      <c r="D1027" s="181"/>
      <c r="E1027" s="181"/>
      <c r="F1027" s="87"/>
      <c r="G1027" s="56">
        <f>IF(N1015="",0,F1027/N1015/4.348)</f>
        <v>0</v>
      </c>
      <c r="H1027" s="53">
        <f>IF(G1027=0,0,N1031)</f>
        <v>0</v>
      </c>
      <c r="K1027" s="1146"/>
      <c r="L1027" s="1146"/>
      <c r="M1027" s="172"/>
      <c r="N1027" s="172"/>
      <c r="O1027" s="172"/>
      <c r="P1027" s="172"/>
    </row>
    <row r="1028" spans="1:16" s="52" customFormat="1" ht="13.5" customHeight="1" x14ac:dyDescent="0.25">
      <c r="A1028" s="55"/>
      <c r="B1028" s="1172" t="str">
        <f>IF(A1028="","",B1027)</f>
        <v/>
      </c>
      <c r="C1028" s="1173"/>
      <c r="D1028" s="181"/>
      <c r="E1028" s="181"/>
      <c r="F1028" s="87"/>
      <c r="G1028" s="56">
        <f>IF(N1015="",0,F1028/N1015/4.348)</f>
        <v>0</v>
      </c>
      <c r="H1028" s="53">
        <f>IF(G1028=0,0,O1031)</f>
        <v>0</v>
      </c>
      <c r="K1028" s="1146"/>
      <c r="L1028" s="1146"/>
      <c r="M1028" s="172"/>
      <c r="N1028" s="172"/>
      <c r="O1028" s="172"/>
      <c r="P1028" s="172"/>
    </row>
    <row r="1029" spans="1:16" s="52" customFormat="1" ht="13.5" customHeight="1" x14ac:dyDescent="0.25">
      <c r="A1029" s="55"/>
      <c r="B1029" s="1172" t="str">
        <f>IF(A1029="","",B1028)</f>
        <v/>
      </c>
      <c r="C1029" s="1173"/>
      <c r="D1029" s="181"/>
      <c r="E1029" s="181"/>
      <c r="F1029" s="87"/>
      <c r="G1029" s="56">
        <f>IF(N1015="",0,F1029/N1015/4.348)</f>
        <v>0</v>
      </c>
      <c r="H1029" s="53">
        <f>IF(G1029=0,0,P1031)</f>
        <v>0</v>
      </c>
      <c r="K1029" s="1146"/>
      <c r="L1029" s="1146"/>
      <c r="M1029" s="172"/>
      <c r="N1029" s="172"/>
      <c r="O1029" s="172"/>
      <c r="P1029" s="172"/>
    </row>
    <row r="1030" spans="1:16" s="52" customFormat="1" ht="13.5" customHeight="1" x14ac:dyDescent="0.25">
      <c r="B1030" s="1167" t="s">
        <v>157</v>
      </c>
      <c r="C1030" s="1167"/>
      <c r="E1030" s="1167" t="s">
        <v>156</v>
      </c>
      <c r="F1030" s="1167"/>
      <c r="J1030" s="69"/>
      <c r="K1030" s="1146"/>
      <c r="L1030" s="1146"/>
      <c r="M1030" s="172"/>
      <c r="N1030" s="172"/>
      <c r="O1030" s="172"/>
      <c r="P1030" s="172"/>
    </row>
    <row r="1031" spans="1:16" s="52" customFormat="1" ht="13.5" customHeight="1" x14ac:dyDescent="0.25">
      <c r="A1031" s="70" t="s">
        <v>167</v>
      </c>
      <c r="B1031" s="67"/>
      <c r="C1031" s="99" t="str">
        <f>IF(C987="","",C987)</f>
        <v/>
      </c>
      <c r="D1031" s="70" t="s">
        <v>167</v>
      </c>
      <c r="E1031" s="67"/>
      <c r="F1031" s="99" t="str">
        <f>IF(F987="","",F987)</f>
        <v/>
      </c>
      <c r="J1031" s="68"/>
      <c r="M1031" s="173">
        <f>SUM(M1026:M1030)</f>
        <v>0</v>
      </c>
      <c r="N1031" s="173">
        <f t="shared" ref="N1031:P1031" si="116">SUM(N1026:N1030)</f>
        <v>0</v>
      </c>
      <c r="O1031" s="173">
        <f t="shared" si="116"/>
        <v>0</v>
      </c>
      <c r="P1031" s="173">
        <f t="shared" si="116"/>
        <v>0</v>
      </c>
    </row>
    <row r="1032" spans="1:16" s="52" customFormat="1" ht="13.5" customHeight="1" x14ac:dyDescent="0.2">
      <c r="A1032" s="60" t="s">
        <v>155</v>
      </c>
    </row>
    <row r="1033" spans="1:16" s="1" customFormat="1" ht="14.25" customHeight="1" x14ac:dyDescent="0.2">
      <c r="A1033" s="1147"/>
      <c r="B1033" s="1149" t="s">
        <v>9</v>
      </c>
      <c r="C1033" s="1150"/>
      <c r="D1033" s="1150"/>
      <c r="E1033" s="1150"/>
      <c r="F1033" s="1150"/>
      <c r="G1033" s="1151"/>
      <c r="H1033" s="1152" t="s">
        <v>119</v>
      </c>
      <c r="I1033" s="1153"/>
      <c r="J1033" s="1153"/>
      <c r="K1033" s="1153"/>
      <c r="L1033" s="1153"/>
      <c r="M1033" s="1153"/>
      <c r="N1033" s="1153"/>
      <c r="O1033" s="33"/>
      <c r="P1033" s="1154" t="s">
        <v>0</v>
      </c>
    </row>
    <row r="1034" spans="1:16" s="1" customFormat="1" ht="14.25" customHeight="1" x14ac:dyDescent="0.2">
      <c r="A1034" s="1148"/>
      <c r="B1034" s="1157" t="s">
        <v>117</v>
      </c>
      <c r="C1034" s="124" t="s">
        <v>115</v>
      </c>
      <c r="D1034" s="1159" t="s">
        <v>277</v>
      </c>
      <c r="E1034" s="1161" t="s">
        <v>147</v>
      </c>
      <c r="F1034" s="127" t="s">
        <v>7</v>
      </c>
      <c r="G1034" s="1162" t="s">
        <v>6</v>
      </c>
      <c r="H1034" s="1161" t="s">
        <v>129</v>
      </c>
      <c r="I1034" s="1161" t="s">
        <v>5</v>
      </c>
      <c r="J1034" s="1161" t="s">
        <v>4</v>
      </c>
      <c r="K1034" s="1161" t="s">
        <v>3</v>
      </c>
      <c r="L1034" s="1161" t="s">
        <v>121</v>
      </c>
      <c r="M1034" s="1161" t="s">
        <v>122</v>
      </c>
      <c r="N1034" s="1161" t="s">
        <v>123</v>
      </c>
      <c r="O1034" s="1160" t="s">
        <v>114</v>
      </c>
      <c r="P1034" s="1155"/>
    </row>
    <row r="1035" spans="1:16" s="1" customFormat="1" ht="14.25" customHeight="1" x14ac:dyDescent="0.2">
      <c r="A1035" s="1148"/>
      <c r="B1035" s="1157"/>
      <c r="C1035" s="21" t="str">
        <f>IF(C1031="","",C1031)</f>
        <v/>
      </c>
      <c r="D1035" s="1160"/>
      <c r="E1035" s="1161"/>
      <c r="F1035" s="1165" t="str">
        <f>IF(H1026=0,"","siehe Zuschläge / Zulagen")</f>
        <v/>
      </c>
      <c r="G1035" s="1162"/>
      <c r="H1035" s="1164" t="s">
        <v>127</v>
      </c>
      <c r="I1035" s="1164"/>
      <c r="J1035" s="1164"/>
      <c r="K1035" s="1164"/>
      <c r="L1035" s="1164"/>
      <c r="M1035" s="1164"/>
      <c r="N1035" s="1164"/>
      <c r="O1035" s="1160"/>
      <c r="P1035" s="1155"/>
    </row>
    <row r="1036" spans="1:16" s="1" customFormat="1" x14ac:dyDescent="0.2">
      <c r="A1036" s="1148"/>
      <c r="B1036" s="1157"/>
      <c r="C1036" s="122" t="s">
        <v>70</v>
      </c>
      <c r="D1036" s="1160"/>
      <c r="E1036" s="1161"/>
      <c r="F1036" s="1165"/>
      <c r="G1036" s="1162"/>
      <c r="H1036" s="43" t="s">
        <v>128</v>
      </c>
      <c r="I1036" s="43" t="s">
        <v>255</v>
      </c>
      <c r="J1036" s="43" t="s">
        <v>256</v>
      </c>
      <c r="K1036" s="43" t="s">
        <v>257</v>
      </c>
      <c r="L1036" s="43"/>
      <c r="M1036" s="43"/>
      <c r="N1036" s="43" t="s">
        <v>254</v>
      </c>
      <c r="O1036" s="1160"/>
      <c r="P1036" s="1155"/>
    </row>
    <row r="1037" spans="1:16" s="1" customFormat="1" x14ac:dyDescent="0.2">
      <c r="A1037" s="1148"/>
      <c r="B1037" s="1158"/>
      <c r="C1037" s="21" t="str">
        <f>IF(F1031="","",F1031)</f>
        <v/>
      </c>
      <c r="D1037" s="51"/>
      <c r="E1037" s="51"/>
      <c r="F1037" s="1166"/>
      <c r="G1037" s="1163"/>
      <c r="H1037" s="93"/>
      <c r="I1037" s="139">
        <f>$I$69</f>
        <v>0</v>
      </c>
      <c r="J1037" s="139">
        <f>$J$69</f>
        <v>0</v>
      </c>
      <c r="K1037" s="44">
        <f>$K$69</f>
        <v>0</v>
      </c>
      <c r="L1037" s="21"/>
      <c r="M1037" s="21"/>
      <c r="N1037" s="139">
        <f>$N$69</f>
        <v>0</v>
      </c>
      <c r="O1037" s="21">
        <f>O993</f>
        <v>0</v>
      </c>
      <c r="P1037" s="1156"/>
    </row>
    <row r="1038" spans="1:16" s="1" customFormat="1" x14ac:dyDescent="0.2">
      <c r="A1038" s="100" t="str">
        <f>$A$26</f>
        <v>Jan 2022</v>
      </c>
      <c r="B1038" s="24">
        <f>ROUND(IF(N1018=0,0,(LOOKUP(2,1/(A1026:A1029=A1038),G1026:G1029))*N1018*4.348),2)</f>
        <v>0</v>
      </c>
      <c r="C1038" s="23">
        <f>ROUND(IFERROR(((LOOKUP(2,1/(B1031=A1038),((SUM(B1044:B1046)+SUM(F1044:F1046))/3)*C1031))),0)+IFERROR(((LOOKUP(2,1/(E1031=A1038),(B1050+F1050)*F1031))),0),2)</f>
        <v>0</v>
      </c>
      <c r="D1038" s="23">
        <f>ROUND(IF(B1038=0,0,D1037/L1019*N1018),2)</f>
        <v>0</v>
      </c>
      <c r="E1038" s="23">
        <f>ROUND(IF(B1038=0,0,E1037/N1015*N1018),2)</f>
        <v>0</v>
      </c>
      <c r="F1038" s="24">
        <f>ROUND(IF(N1018=0,0,(LOOKUP(2,1/(A1026:A1029=A1038),H1026:H1029))/N1015*N1018),2)</f>
        <v>0</v>
      </c>
      <c r="G1038" s="27">
        <f>SUM(B1038+C1038+E1038+F1038)</f>
        <v>0</v>
      </c>
      <c r="H1038" s="76">
        <f>ROUND(IF((SUM(B1038:F1038))&gt;L1053,L1053*H1037,SUM(B1038:F1038)*H1037),2)</f>
        <v>0</v>
      </c>
      <c r="I1038" s="76">
        <f>ROUND(IF((SUM(B1038:F1038))&gt;L1054,L1054*I1037,SUM(B1038:F1038)*I1037),2)</f>
        <v>0</v>
      </c>
      <c r="J1038" s="76">
        <f>ROUND(IF((SUM(B1038:F1038))&gt;L1054,L1054*J1037,SUM(B1038:F1038)*J1037),2)</f>
        <v>0</v>
      </c>
      <c r="K1038" s="76">
        <f>ROUND(IF((SUM(B1038:F1038))&gt;L1053,L1053*K1037,SUM(B1038:F1038)*K1037),2)</f>
        <v>0</v>
      </c>
      <c r="L1038" s="76">
        <f>ROUND(IF((SUM(B1038:F1038))&gt;L1054,L1054*L1037,(SUM(B1038:F1038)-C1038)*L1037),2)</f>
        <v>0</v>
      </c>
      <c r="M1038" s="76">
        <f>ROUND(IF((SUM(B1038:F1038))&gt;L1054,L1054*M1037,(SUM(B1038:F1038)-C1038)*M1037),2)</f>
        <v>0</v>
      </c>
      <c r="N1038" s="76">
        <f>ROUND(IF((SUM(B1038:F1038))&gt;L1054,L1054*N1037,SUM(B1038:F1038)*N1037),2)</f>
        <v>0</v>
      </c>
      <c r="O1038" s="23">
        <f>ROUND(SUM(B1038+C1038+F1038)*O1037,2)</f>
        <v>0</v>
      </c>
      <c r="P1038" s="27">
        <f>SUM(G1038:O1038)</f>
        <v>0</v>
      </c>
    </row>
    <row r="1039" spans="1:16" s="1" customFormat="1" x14ac:dyDescent="0.2">
      <c r="A1039" s="100" t="str">
        <f>$A$27</f>
        <v>Feb 2022</v>
      </c>
      <c r="B1039" s="24">
        <f>ROUND(IF(N1019=0,0,IFERROR(((LOOKUP(2,1/(A1026:A1029=A1039),G1026:G1029))*N1019*4.348),B1038/N1019*N1019)),2)</f>
        <v>0</v>
      </c>
      <c r="C1039" s="23">
        <f>ROUND(IFERROR(((LOOKUP(2,1/(B1031=A1039),((SUM(B1044:B1046)+SUM(F1044:F1046))/3)*C1031))),0)+IFERROR(((LOOKUP(2,1/(E1031=A1039),(B1050+F1050)*F1031))),0),2)</f>
        <v>0</v>
      </c>
      <c r="D1039" s="23">
        <f>ROUND(IF(B1039=0,0,D1037/L1019*N1019),2)</f>
        <v>0</v>
      </c>
      <c r="E1039" s="23">
        <f>ROUND(IF(B1039=0,0,E1037/N1015*N1019),2)</f>
        <v>0</v>
      </c>
      <c r="F1039" s="24">
        <f>ROUND(IF(N1019=0,0,IFERROR(((LOOKUP(2,1/(A1026:A1029=A1039),H1026:H1029))/N1015*N1019),F1038/N1019*N1019)),2)</f>
        <v>0</v>
      </c>
      <c r="G1039" s="27">
        <f t="shared" ref="G1039:G1049" si="117">SUM(B1039+C1039+E1039+F1039)</f>
        <v>0</v>
      </c>
      <c r="H1039" s="76">
        <f>ROUND(IF(SUM(B1038:F1038)&lt;(L1053*1),IF((SUM(B1038:F1039))&gt;(L1053*2),(((L1053*2)-(SUM(B1038:F1039)-C1038))*H1037)+((SUM(B1039:F1039)-C1038)*H1037),SUM(B1039:F1039)*H1037),IF(SUM(B1038:F1039)&gt;(L1053*2),L1053*H1037,SUM(B1039:F1039)*H1037)),2)</f>
        <v>0</v>
      </c>
      <c r="I1039" s="76">
        <f>ROUND(IF(SUM(B1038:F1038)&lt;(L1054*1),IF((SUM(B1038:F1039))&gt;(L1054*2),(((L1054*2)-(SUM(B1038:F1039)-C1038))*I1037)+((SUM(B1039:F1039)-C1038)*I1037),SUM(B1039:F1039)*I1037),IF(SUM(B1038:F1039)&gt;(L1054*2),L1054*I1037,SUM(B1039:F1039)*I1037)),2)</f>
        <v>0</v>
      </c>
      <c r="J1039" s="76">
        <f>ROUND(IF(SUM(B1038:F1038)&lt;(L1054*1),IF((SUM(B1038:F1039))&gt;(L1054*2),(((L1054*2)-(SUM(B1038:F1039)-C1038))*J1037)+((SUM(B1039:F1039)-C1038)*J1037),SUM(B1039:F1039)*J1037),IF(SUM(B1038:F1039)&gt;(L1054*2),L1054*J1037,SUM(B1039:F1039)*J1037)),2)</f>
        <v>0</v>
      </c>
      <c r="K1039" s="76">
        <f>ROUND(IF(SUM(B1038:F1038)&lt;(L1053*1),IF((SUM(B1038:F1039))&gt;(L1053*2),(((L1053*2)-(SUM(B1038:F1039)-C1038))*K1037)+((SUM(B1039:F1039)-C1038)*K1037),SUM(B1039:F1039)*K1037),IF(SUM(B1038:F1039)&gt;(L1053*2),L1053*K1037,SUM(B1039:F1039)*K1037)),2)</f>
        <v>0</v>
      </c>
      <c r="L1039" s="76">
        <f>ROUND(IF(SUM(B1038:F1038)&lt;(L1054*1),IF((SUM(B1038:F1039))&gt;(L1054*2),(((L1054*2)-(SUM(B1038:F1039)-C1039))*L1037)+((SUM(B1039:F1039)-C1039)*L1037),(SUM(B1039:F1039)-C1039)*L1037),IF(SUM(B1038:F1039)&gt;(L1054*2),L1054*L1037,SUM(B1039:F1039)*L1037)),2)</f>
        <v>0</v>
      </c>
      <c r="M1039" s="76">
        <f>ROUND(IF(SUM(B1038:F1038)&lt;(L1054*1),IF((SUM(B1038:F1039))&gt;(L1054*2),(((L1054*2)-(SUM(B1038:F1039)-C1039))*M1037)+((SUM(B1039:F1039)-C1039)*M1037),(SUM(B1039:F1039)-C1039)*M1037),IF(SUM(B1038:F1039)&gt;(L1054*2),L1054*M1037,SUM(B1039:F1039)*M1037)),2)</f>
        <v>0</v>
      </c>
      <c r="N1039" s="76">
        <f>ROUND(IF(SUM(B1038:F1038)&lt;(L1054*1),IF((SUM(B1038:F1039))&gt;(L1054*2),(((L1054*2)-(SUM(B1038:F1039)-C1038))*N1037)+((SUM(B1039:F1039)-C1038)*N1037),SUM(B1039:F1039)*N1037),IF(SUM(B1038:F1039)&gt;(L1054*2),L1054*N1037,SUM(B1039:F1039)*N1037)),2)</f>
        <v>0</v>
      </c>
      <c r="O1039" s="23">
        <f>ROUND(SUM(B1039+C1039+F1039)*O1037,2)</f>
        <v>0</v>
      </c>
      <c r="P1039" s="27">
        <f>SUM(G1039:O1039)</f>
        <v>0</v>
      </c>
    </row>
    <row r="1040" spans="1:16" s="1" customFormat="1" x14ac:dyDescent="0.2">
      <c r="A1040" s="100" t="str">
        <f>$A$28</f>
        <v>Mrz 2022</v>
      </c>
      <c r="B1040" s="24">
        <f>ROUND(IF(N1020=0,0,IFERROR(((LOOKUP(2,1/(A1026:A1029=A1040),G1026:G1029))*N1020*4.348),B1039/N1020*N1020)),2)</f>
        <v>0</v>
      </c>
      <c r="C1040" s="23">
        <f>ROUND(IFERROR(((LOOKUP(2,1/(B1031=A1040),((SUM(B1044:B1046)+SUM(F1044:F1046))/3)*C1031))),0)+IFERROR(((LOOKUP(2,1/(E1031=A1040),(B1050+F1050)*F1031))),0),2)</f>
        <v>0</v>
      </c>
      <c r="D1040" s="23">
        <f>ROUND(IF(B1040=0,0,D1037/L1019*N1020),2)</f>
        <v>0</v>
      </c>
      <c r="E1040" s="23">
        <f>ROUND(IF(B1040=0,0,E1037/N1015*N1020),2)</f>
        <v>0</v>
      </c>
      <c r="F1040" s="24">
        <f>ROUND(IF(N1020=0,0,IFERROR(((LOOKUP(2,1/(A1026:A1029=A1040),H1026:H1029))/N1015*N1020),F1039/N1020*N1020)),2)</f>
        <v>0</v>
      </c>
      <c r="G1040" s="27">
        <f t="shared" si="117"/>
        <v>0</v>
      </c>
      <c r="H1040" s="76">
        <f>ROUND(IF(SUM(B1038:F1039)&lt;(L1053*2),IF((SUM(B1038:F1040))&gt;(L1053*3),(((L1053*3)-(SUM(B1038:F1040)-C1039))*H1037)+((SUM(B1040:F1040)-C1039)*H1037),SUM(B1040:F1040)*H1037),IF(SUM(B1038:F1040)&gt;(L1053*3),L1053*H1037,SUM(B1040:F1040)*H1037)),2)</f>
        <v>0</v>
      </c>
      <c r="I1040" s="76">
        <f>ROUND(IF(SUM(B1038:F1039)&lt;(L1054*2),IF((SUM(B1038:F1040))&gt;(L1054*3),(((L1054*3)-(SUM(B1038:F1040)-C1039))*I1037)+((SUM(B1040:F1040)-C1039)*I1037),SUM(B1040:F1040)*I1037),IF(SUM(B1038:F1040)&gt;(L1054*3),L1054*I1037,SUM(B1040:F1040)*I1037)),2)</f>
        <v>0</v>
      </c>
      <c r="J1040" s="76">
        <f>ROUND(IF(SUM(B1038:F1039)&lt;(L1054*2),IF((SUM(B1038:F1040))&gt;(L1054*3),(((L1054*3)-(SUM(B1038:F1040)-C1039))*J1037)+((SUM(B1040:F1040)-C1039)*J1037),SUM(B1040:F1040)*J1037),IF(SUM(B1038:F1040)&gt;(L1054*3),L1054*J1037,SUM(B1040:F1040)*J1037)),2)</f>
        <v>0</v>
      </c>
      <c r="K1040" s="76">
        <f>ROUND(IF(SUM(B1038:F1039)&lt;(L1053*2),IF((SUM(B1038:F1040))&gt;(L1053*3),(((L1053*3)-(SUM(B1038:F1040)-C1039))*K1037)+((SUM(B1040:F1040)-C1039)*K1037),SUM(B1040:F1040)*K1037),IF(SUM(B1038:F1040)&gt;(L1053*3),L1053*K1037,SUM(B1040:F1040)*K1037)),2)</f>
        <v>0</v>
      </c>
      <c r="L1040" s="76">
        <f>ROUND(IF(SUM(B1038:F1039)&lt;(L1054*2),IF((SUM(B1038:F1040))&gt;(L1054*3),(((L1054*3)-(SUM(B1038:F1040)-C1040))*L1037)+((SUM(B1040:F1040)-C1040)*L1037),(SUM(B1040:F1040)-C1040)*L1037),IF(SUM(B1038:F1040)&gt;(L1054*3),L1054*L1037,SUM(B1040:F1040)*L1037)),2)</f>
        <v>0</v>
      </c>
      <c r="M1040" s="76">
        <f>ROUND(IF(SUM(B1038:F1039)&lt;(L1054*2),IF((SUM(B1038:F1040))&gt;(L1054*3),(((L1054*3)-(SUM(B1038:F1040)-C1040))*M1037)+((SUM(B1040:F1040)-C1040)*M1037),(SUM(B1040:F1040)-C1040)*M1037),IF(SUM(B1038:F1040)&gt;(L1054*3),L1054*M1037,SUM(B1040:F1040)*M1037)),2)</f>
        <v>0</v>
      </c>
      <c r="N1040" s="76">
        <f>ROUND(IF(SUM(B1038:F1039)&lt;(L1054*2),IF((SUM(B1038:F1040))&gt;(L1054*3),(((L1054*3)-(SUM(B1038:F1040)-C1039))*N1037)+((SUM(B1040:F1040)-C1039)*N1037),SUM(B1040:F1040)*N1037),IF(SUM(B1038:F1040)&gt;(L1054*3),L1054*N1037,SUM(B1040:F1040)*N1037)),2)</f>
        <v>0</v>
      </c>
      <c r="O1040" s="23">
        <f>ROUND(SUM(B1040+C1040+F1040)*O1037,2)</f>
        <v>0</v>
      </c>
      <c r="P1040" s="27">
        <f t="shared" ref="P1040:P1049" si="118">SUM(G1040:O1040)</f>
        <v>0</v>
      </c>
    </row>
    <row r="1041" spans="1:16" s="1" customFormat="1" x14ac:dyDescent="0.2">
      <c r="A1041" s="100" t="str">
        <f>$A$29</f>
        <v>Apr 2022</v>
      </c>
      <c r="B1041" s="24">
        <f>ROUND(IF(N1021=0,0,IFERROR(((LOOKUP(2,1/(A1026:A1029=A1041),G1026:G1029))*N1021*4.348),B1040/N1021*N1021)),2)</f>
        <v>0</v>
      </c>
      <c r="C1041" s="23">
        <f>ROUND(IFERROR(((LOOKUP(2,1/(B1031=A1041),((SUM(B1044:B1046)+SUM(F1044:F1046))/3)*C1031))),0)+IFERROR(((LOOKUP(2,1/(E1031=A1041),(B1050+F1050)*F1031))),0),2)</f>
        <v>0</v>
      </c>
      <c r="D1041" s="23">
        <f>ROUND(IF(B1041=0,0,D1037/L1019*N1021),2)</f>
        <v>0</v>
      </c>
      <c r="E1041" s="23">
        <f>ROUND(IF(B1041=0,0,E1037/N1015*N1021),2)</f>
        <v>0</v>
      </c>
      <c r="F1041" s="24">
        <f>ROUND(IF(N1021=0,0,IFERROR(((LOOKUP(2,1/(A1026:A1029=A1041),H1026:H1029))/N1015*N1021),F1040/N1021*N1021)),2)</f>
        <v>0</v>
      </c>
      <c r="G1041" s="27">
        <f t="shared" si="117"/>
        <v>0</v>
      </c>
      <c r="H1041" s="76">
        <f>ROUND(IF(SUM(B1038:F1040)&lt;(L1053*3),IF((SUM(B1038:F1041))&gt;(L1053*4),(((L1053*4)-(SUM(B1038:F1041)-C1040))*H1037)+((SUM(B1041:F1041)-C1040)*H1037),SUM(B1041:F1041)*H1037),IF(SUM(B1038:F1041)&gt;(L1053*4),L1053*H1037,SUM(B1041:F1041)*H1037)),2)</f>
        <v>0</v>
      </c>
      <c r="I1041" s="76">
        <f>ROUND(IF(SUM(B1038:F1040)&lt;(L1054*3),IF((SUM(B1038:F1041))&gt;(L1054*4),(((L1054*4)-(SUM(B1038:F1041)-C1040))*I1037)+((SUM(B1041:F1041)-C1040)*I1037),SUM(B1041:F1041)*I1037),IF(SUM(B1038:F1041)&gt;(L1054*4),L1054*I1037,SUM(B1041:F1041)*I1037)),2)</f>
        <v>0</v>
      </c>
      <c r="J1041" s="76">
        <f>ROUND(IF(SUM(B1038:F1040)&lt;(L1054*3),IF((SUM(B1038:F1041))&gt;(L1054*4),(((L1054*4)-(SUM(B1038:F1041)-C1040))*J1037)+((SUM(B1041:F1041)-C1040)*J1037),SUM(B1041:F1041)*J1037),IF(SUM(B1038:F1041)&gt;(L1054*4),L1054*J1037,SUM(B1041:F1041)*J1037)),2)</f>
        <v>0</v>
      </c>
      <c r="K1041" s="76">
        <f>ROUND(IF(SUM(B1038:F1040)&lt;(L1053*3),IF((SUM(B1038:F1041))&gt;(L1053*4),(((L1053*4)-(SUM(B1038:F1041)-C1040))*K1037)+((SUM(B1041:F1041)-C1040)*K1037),SUM(B1041:F1041)*K1037),IF(SUM(B1038:F1041)&gt;(L1053*4),L1053*K1037,SUM(B1041:F1041)*K1037)),2)</f>
        <v>0</v>
      </c>
      <c r="L1041" s="76">
        <f>ROUND(IF(SUM(B1038:F1040)&lt;(L1054*3),IF((SUM(B1038:F1041))&gt;(L1054*4),(((L1054*4)-(SUM(B1038:F1041)-C1041))*L1037)+((SUM(B1041:F1041)-C1041)*L1037),(SUM(B1041:F1041)-C1041)*L1037),IF(SUM(B1038:F1041)&gt;(L1054*4),L1054*L1037,SUM(B1041:F1041)*L1037)),2)</f>
        <v>0</v>
      </c>
      <c r="M1041" s="76">
        <f>ROUND(IF(SUM(B1038:F1040)&lt;(L1054*3),IF((SUM(B1038:F1041))&gt;(L1054*4),(((L1054*4)-(SUM(B1038:F1041)-C1041))*M1037)+((SUM(B1041:F1041)-C1041)*M1037),(SUM(B1041:F1041)-C1041)*M1037),IF(SUM(B1038:F1041)&gt;(L1054*4),L1054*M1037,SUM(B1041:F1041)*M1037)),2)</f>
        <v>0</v>
      </c>
      <c r="N1041" s="76">
        <f>ROUND(IF(SUM(B1038:F1040)&lt;(L1054*3),IF((SUM(B1038:F1041))&gt;(L1054*4),(((L1054*4)-(SUM(B1038:F1041)-C1040))*N1037)+((SUM(B1041:F1041)-C1040)*N1037),SUM(B1041:F1041)*N1037),IF(SUM(B1038:F1041)&gt;(L1054*4),L1054*N1037,SUM(B1041:F1041)*N1037)),2)</f>
        <v>0</v>
      </c>
      <c r="O1041" s="23">
        <f>ROUND(SUM(B1041+C1041+F1041)*O1037,2)</f>
        <v>0</v>
      </c>
      <c r="P1041" s="27">
        <f t="shared" si="118"/>
        <v>0</v>
      </c>
    </row>
    <row r="1042" spans="1:16" s="1" customFormat="1" x14ac:dyDescent="0.2">
      <c r="A1042" s="100" t="str">
        <f>$A$30</f>
        <v>Mai 2022</v>
      </c>
      <c r="B1042" s="24">
        <f>ROUND(IF(N1022=0,0,IFERROR(((LOOKUP(2,1/(A1026:A1029=A1042),G1026:G1029))*N1022*4.348),B1041/N1022*N1022)),2)</f>
        <v>0</v>
      </c>
      <c r="C1042" s="23">
        <f>ROUND(IFERROR(((LOOKUP(2,1/(B1031=A1042),((SUM(B1044:B1046)+SUM(F1044:F1046))/3)*C1031))),0)+IFERROR(((LOOKUP(2,1/(E1031=A1042),(B1050+F1050)*F1031))),0),2)</f>
        <v>0</v>
      </c>
      <c r="D1042" s="23">
        <f>ROUND(IF(B1042=0,0,D1037/L1019*N1022),2)</f>
        <v>0</v>
      </c>
      <c r="E1042" s="23">
        <f>ROUND(IF(B1042=0,0,E1037/N1015*N1022),2)</f>
        <v>0</v>
      </c>
      <c r="F1042" s="24">
        <f>ROUND(IF(N1022=0,0,IFERROR(((LOOKUP(2,1/(A1026:A1029=A1042),H1026:H1029))/N1015*N1022),F1041/N1022*N1022)),2)</f>
        <v>0</v>
      </c>
      <c r="G1042" s="27">
        <f t="shared" si="117"/>
        <v>0</v>
      </c>
      <c r="H1042" s="76">
        <f>ROUND(IF(SUM(B1038:F1041)&lt;(L1053*4),IF((SUM(B1038:F1042))&gt;(L1053*5),(((L1053*5)-(SUM(B1038:F1042)-C1041))*H1037)+((SUM(B1042:F1042)-C1041)*H1037),SUM(B1042:F1042)*H1037),IF(SUM(B1038:F1042)&gt;(L1053*5),L1053*H1037,SUM(B1042:F1042)*H1037)),2)</f>
        <v>0</v>
      </c>
      <c r="I1042" s="76">
        <f>ROUND(IF(SUM(B1038:F1041)&lt;(L1054*4),IF((SUM(B1038:F1042))&gt;(L1054*5),(((L1054*5)-(SUM(B1038:F1042)-C1041))*I1037)+((SUM(B1042:F1042)-C1041)*I1037),SUM(B1042:F1042)*I1037),IF(SUM(B1038:F1042)&gt;(L1054*5),L1054*I1037,SUM(B1042:F1042)*I1037)),2)</f>
        <v>0</v>
      </c>
      <c r="J1042" s="76">
        <f>ROUND(IF(SUM(B1038:F1041)&lt;(L1054*4),IF((SUM(B1038:F1042))&gt;(L1054*5),(((L1054*5)-(SUM(B1038:F1042)-C1041))*J1037)+((SUM(B1042:F1042)-C1041)*J1037),SUM(B1042:F1042)*J1037),IF(SUM(B1038:F1042)&gt;(L1054*5),L1054*J1037,SUM(B1042:F1042)*J1037)),2)</f>
        <v>0</v>
      </c>
      <c r="K1042" s="76">
        <f>ROUND(IF(SUM(B1038:F1041)&lt;(L1053*4),IF((SUM(B1038:F1042))&gt;(L1053*5),(((L1053*5)-(SUM(B1038:F1042)-C1041))*K1037)+((SUM(B1042:F1042)-C1041)*K1037),SUM(B1042:F1042)*K1037),IF(SUM(B1038:F1042)&gt;(L1053*5),L1053*K1037,SUM(B1042:F1042)*K1037)),2)</f>
        <v>0</v>
      </c>
      <c r="L1042" s="76">
        <f>ROUND(IF(SUM(B1038:F1041)&lt;(L1054*4),IF((SUM(B1038:F1042))&gt;(L1054*5),(((L1054*5)-(SUM(B1038:F1042)-C1042))*L1037)+((SUM(B1042:F1042)-C1042)*L1037),(SUM(B1042:F1042)-C1042)*L1037),IF(SUM(B1038:F1042)&gt;(L1054*5),L1054*L1037,SUM(B1042:F1042)*L1037)),2)</f>
        <v>0</v>
      </c>
      <c r="M1042" s="76">
        <f>ROUND(IF(SUM(B1038:F1041)&lt;(L1054*4),IF((SUM(B1038:F1042))&gt;(L1054*5),(((L1054*5)-(SUM(B1038:F1042)-C1042))*M1037)+((SUM(B1042:F1042)-C1042)*M1037),(SUM(B1042:F1042)-C1042)*M1037),IF(SUM(B1038:F1042)&gt;(L1054*5),L1054*M1037,SUM(B1042:F1042)*M1037)),2)</f>
        <v>0</v>
      </c>
      <c r="N1042" s="76">
        <f>ROUND(IF(SUM(B1038:F1041)&lt;(L1054*4),IF((SUM(B1038:F1042))&gt;(L1054*5),(((L1054*5)-(SUM(B1038:F1042)-C1041))*N1037)+((SUM(B1042:F1042)-C1041)*N1037),SUM(B1042:F1042)*N1037),IF(SUM(B1038:F1042)&gt;(L1054*5),L1054*N1037,SUM(B1042:F1042)*N1037)),2)</f>
        <v>0</v>
      </c>
      <c r="O1042" s="23">
        <f>ROUND(SUM(B1042+C1042+F1042)*O1037,2)</f>
        <v>0</v>
      </c>
      <c r="P1042" s="27">
        <f t="shared" si="118"/>
        <v>0</v>
      </c>
    </row>
    <row r="1043" spans="1:16" s="1" customFormat="1" x14ac:dyDescent="0.2">
      <c r="A1043" s="100" t="str">
        <f>$A$31</f>
        <v>Jun 2022</v>
      </c>
      <c r="B1043" s="24">
        <f>ROUND(IF(N1023=0,0,IFERROR(((LOOKUP(2,1/(A1026:A1029=A1043),G1026:G1029))*N1023*4.348),B1042/N1023*N1023)),2)</f>
        <v>0</v>
      </c>
      <c r="C1043" s="23">
        <f>ROUND(IFERROR(((LOOKUP(2,1/(B1031=A1043),((SUM(B1044:B1046)+SUM(F1044:F1046))/3)*C1031))),0)+IFERROR(((LOOKUP(2,1/(E1031=A1043),(B1050+F1050)*F1031))),0),2)</f>
        <v>0</v>
      </c>
      <c r="D1043" s="23">
        <f>ROUND(IF(B1043=0,0,D1037/L1019*N1023),2)</f>
        <v>0</v>
      </c>
      <c r="E1043" s="23">
        <f>ROUND(IF(B1043=0,0,E1037/N1015*N1023),2)</f>
        <v>0</v>
      </c>
      <c r="F1043" s="24">
        <f>ROUND(IF(N1023=0,0,IFERROR(((LOOKUP(2,1/(A1026:A1029=A1043),H1026:H1029))/N1015*N1023),F1042/N1023*N1023)),2)</f>
        <v>0</v>
      </c>
      <c r="G1043" s="27">
        <f t="shared" si="117"/>
        <v>0</v>
      </c>
      <c r="H1043" s="76">
        <f>ROUND(IF(SUM(B1038:F1042)&lt;(L1053*5),IF((SUM(B1038:F1043))&gt;(L1053*6),(((L1053*6)-(SUM(B1038:F1043)-C1042))*H1037)+((SUM(B1043:F1043)-C1042)*H1037),SUM(B1043:F1043)*H1037),IF(SUM(B1038:F1043)&gt;(L1053*6),L1053*H1037,SUM(B1043:F1043)*H1037)),2)</f>
        <v>0</v>
      </c>
      <c r="I1043" s="76">
        <f>ROUND(IF(SUM(B1038:F1042)&lt;(L1054*5),IF((SUM(B1038:F1043))&gt;(L1054*6),(((L1054*6)-(SUM(B1038:F1043)-C1042))*I1037)+((SUM(B1043:F1043)-C1042)*I1037),SUM(B1043:F1043)*I1037),IF(SUM(B1038:F1043)&gt;(L1054*6),L1054*I1037,SUM(B1043:F1043)*I1037)),2)</f>
        <v>0</v>
      </c>
      <c r="J1043" s="76">
        <f>ROUND(IF(SUM(B1038:F1042)&lt;(L1054*5),IF((SUM(B1038:F1043))&gt;(L1054*6),(((L1054*6)-(SUM(B1038:F1043)-C1042))*J1037)+((SUM(B1043:F1043)-C1042)*J1037),SUM(B1043:F1043)*J1037),IF(SUM(B1038:F1043)&gt;(L1054*6),L1054*J1037,SUM(B1043:F1043)*J1037)),2)</f>
        <v>0</v>
      </c>
      <c r="K1043" s="76">
        <f>ROUND(IF(SUM(B1038:F1042)&lt;(L1053*5),IF((SUM(B1038:F1043))&gt;(L1053*6),(((L1053*6)-(SUM(B1038:F1043)-C1042))*K1037)+((SUM(B1043:F1043)-C1042)*K1037),SUM(B1043:F1043)*K1037),IF(SUM(B1038:F1043)&gt;(L1053*6),L1053*K1037,SUM(B1043:F1043)*K1037)),2)</f>
        <v>0</v>
      </c>
      <c r="L1043" s="76">
        <f>ROUND(IF(SUM(B1038:F1042)&lt;(L1054*5),IF((SUM(B1038:F1043))&gt;(L1054*6),(((L1054*6)-(SUM(B1038:F1043)-C1043))*L1037)+((SUM(B1043:F1043)-C1043)*L1037),(SUM(B1043:F1043)-C1043)*L1037),IF(SUM(B1038:F1043)&gt;(L1054*6),L1054*L1037,SUM(B1043:F1043)*L1037)),2)</f>
        <v>0</v>
      </c>
      <c r="M1043" s="76">
        <f>ROUND(IF(SUM(B1038:F1042)&lt;(L1054*5),IF((SUM(B1038:F1043))&gt;(L1054*6),(((L1054*6)-(SUM(B1038:F1043)-C1043))*M1037)+((SUM(B1043:F1043)-C1043)*M1037),(SUM(B1043:F1043)-C1043)*M1037),IF(SUM(B1038:F1043)&gt;(L1054*6),L1054*M1037,SUM(B1043:F1043)*M1037)),2)</f>
        <v>0</v>
      </c>
      <c r="N1043" s="76">
        <f>ROUND(IF(SUM(B1038:F1042)&lt;(L1054*5),IF((SUM(B1038:F1043))&gt;(L1054*6),(((L1054*6)-(SUM(B1038:F1043)-C1042))*N1037)+((SUM(B1043:F1043)-C1042)*N1037),SUM(B1043:F1043)*N1037),IF(SUM(B1038:F1043)&gt;(L1054*6),L1054*N1037,SUM(B1043:F1043)*N1037)),2)</f>
        <v>0</v>
      </c>
      <c r="O1043" s="23">
        <f>ROUND(SUM(B1043+C1043+F1043)*O1037,2)</f>
        <v>0</v>
      </c>
      <c r="P1043" s="27">
        <f t="shared" si="118"/>
        <v>0</v>
      </c>
    </row>
    <row r="1044" spans="1:16" s="1" customFormat="1" x14ac:dyDescent="0.2">
      <c r="A1044" s="100" t="str">
        <f>$A$32</f>
        <v>Jul 2022</v>
      </c>
      <c r="B1044" s="24">
        <f>ROUND(IF(P1018=0,0,IFERROR(((LOOKUP(2,1/(A1026:A1029=A1044),G1026:G1029))*P1018*4.348),B1043/P1018*P1018)),2)</f>
        <v>0</v>
      </c>
      <c r="C1044" s="23">
        <f>ROUND(IFERROR(((LOOKUP(2,1/(B1031=A1044),((SUM(B1044:B1046)+SUM(F1044:F1046))/3)*C1031))),0)+IFERROR(((LOOKUP(2,1/(E1031=A1044),(B1050+F1050)*F1031))),0),2)</f>
        <v>0</v>
      </c>
      <c r="D1044" s="23">
        <f>ROUND(IF(B1044=0,0,D1037/L1019*P1018),2)</f>
        <v>0</v>
      </c>
      <c r="E1044" s="23">
        <f>ROUND(IF(B1044=0,0,E1037/N1015*P1018),2)</f>
        <v>0</v>
      </c>
      <c r="F1044" s="24">
        <f>ROUND(IF(P1018=0,0,IFERROR(((LOOKUP(2,1/(A1026:A1029=A1044),H1026:H1029))/N1015*P1018),F1043/P1018*P1018)),2)</f>
        <v>0</v>
      </c>
      <c r="G1044" s="27">
        <f t="shared" si="117"/>
        <v>0</v>
      </c>
      <c r="H1044" s="76">
        <f>ROUND(IF(SUM(B1038:F1043)&lt;(L1053*6),IF((SUM(B1038:F1044))&gt;(L1053*7),(((L1053*7)-(SUM(B1038:F1044)-C1043))*H1037)+((SUM(B1044:F1044)-C1043)*H1037),SUM(B1044:F1044)*H1037),IF(SUM(B1038:F1044)&gt;(L1053*7),L1053*H1037,SUM(B1044:F1044)*H1037)),2)</f>
        <v>0</v>
      </c>
      <c r="I1044" s="76">
        <f>ROUND(IF(SUM(B1038:F1043)&lt;(L1054*6),IF((SUM(B1038:F1044))&gt;(L1054*7),(((L1054*7)-(SUM(B1038:F1044)-C1043))*I1037)+((SUM(B1044:F1044)-C1043)*I1037),SUM(B1044:F1044)*I1037),IF(SUM(B1038:F1044)&gt;(L1054*7),L1054*I1037,SUM(B1044:F1044)*I1037)),2)</f>
        <v>0</v>
      </c>
      <c r="J1044" s="76">
        <f>ROUND(IF(SUM(B1038:F1043)&lt;(L1054*6),IF((SUM(B1038:F1044))&gt;(L1054*7),(((L1054*7)-(SUM(B1038:F1044)-C1043))*J1037)+((SUM(B1044:F1044)-C1043)*J1037),SUM(B1044:F1044)*J1037),IF(SUM(B1038:F1044)&gt;(L1054*7),L1054*J1037,SUM(B1044:F1044)*J1037)),2)</f>
        <v>0</v>
      </c>
      <c r="K1044" s="76">
        <f>ROUND(IF(SUM(B1038:F1043)&lt;(L1053*6),IF((SUM(B1038:F1044))&gt;(L1053*7),(((L1053*7)-(SUM(B1038:F1044)-C1043))*K1037)+((SUM(B1044:F1044)-C1043)*K1037),SUM(B1044:F1044)*K1037),IF(SUM(B1038:F1044)&gt;(L1053*7),L1053*K1037,SUM(B1044:F1044)*K1037)),2)</f>
        <v>0</v>
      </c>
      <c r="L1044" s="76">
        <f>ROUND(IF(SUM(B1038:F1043)&lt;(L1054*6),IF((SUM(B1038:F1044))&gt;(L1054*7),(((L1054*7)-(SUM(B1038:F1044)-C1044))*L1037)+((SUM(B1044:F1044)-C1044)*L1037),(SUM(B1044:F1044)-C1044)*L1037),IF(SUM(B1038:F1044)&gt;(L1054*7),L1054*L1037,SUM(B1044:F1044)*L1037)),2)</f>
        <v>0</v>
      </c>
      <c r="M1044" s="76">
        <f>ROUND(IF(SUM(B1038:F1043)&lt;(L1054*6),IF((SUM(B1038:F1044))&gt;(L1054*7),(((L1054*7)-(SUM(B1038:F1044)-C1044))*M1037)+((SUM(B1044:F1044)-C1044)*M1037),(SUM(B1044:F1044)-C1044)*M1037),IF(SUM(B1038:F1044)&gt;(L1054*7),L1054*M1037,SUM(B1044:F1044)*M1037)),2)</f>
        <v>0</v>
      </c>
      <c r="N1044" s="76">
        <f>ROUND(IF(SUM(B1038:F1043)&lt;(L1054*6),IF((SUM(B1038:F1044))&gt;(L1054*7),(((L1054*7)-(SUM(B1038:F1044)-C1043))*N1037)+((SUM(B1044:F1044)-C1043)*N1037),SUM(B1044:F1044)*N1037),IF(SUM(B1038:F1044)&gt;(L1054*7),L1054*N1037,SUM(B1044:F1044)*N1037)),2)</f>
        <v>0</v>
      </c>
      <c r="O1044" s="23">
        <f>ROUND(SUM(B1044+C1044+F1044)*O1037,2)</f>
        <v>0</v>
      </c>
      <c r="P1044" s="27">
        <f t="shared" si="118"/>
        <v>0</v>
      </c>
    </row>
    <row r="1045" spans="1:16" s="1" customFormat="1" x14ac:dyDescent="0.2">
      <c r="A1045" s="100" t="str">
        <f>$A$33</f>
        <v>Aug 2022</v>
      </c>
      <c r="B1045" s="24">
        <f>ROUND(IF(P1019=0,0,IFERROR(((LOOKUP(2,1/(A1026:A1029=A1045),G1026:G1029))*P1019*4.348),B1044/P1019*P1019)),2)</f>
        <v>0</v>
      </c>
      <c r="C1045" s="23">
        <f>ROUND(IFERROR(((LOOKUP(2,1/(B1031=A1045),((SUM(B1044:B1046)+SUM(F1044:F1046))/3)*C1031))),0)+IFERROR(((LOOKUP(2,1/(E1031=A1045),(B1050+F1050)*F1031))),0),2)</f>
        <v>0</v>
      </c>
      <c r="D1045" s="23">
        <f>ROUND(IF(B1045=0,0,D1037/L1019*P1019),2)</f>
        <v>0</v>
      </c>
      <c r="E1045" s="23">
        <f>ROUND(IF(B1045=0,0,E1037/N1015*P1019),2)</f>
        <v>0</v>
      </c>
      <c r="F1045" s="24">
        <f>ROUND(IF(P1019=0,0,IFERROR(((LOOKUP(2,1/(A1026:A1029=A1045),H1026:H1029))/N1015*P1019),F1044/P1019*P1019)),2)</f>
        <v>0</v>
      </c>
      <c r="G1045" s="27">
        <f t="shared" si="117"/>
        <v>0</v>
      </c>
      <c r="H1045" s="76">
        <f>ROUND(IF(SUM(B1038:F1044)&lt;(L1053*7),IF((SUM(B1038:F1045))&gt;(L1053*8),(((L1053*8)-(SUM(B1038:F1045)-C1044))*H1037)+((SUM(B1045:F1045)-C1044)*H1037),SUM(B1045:F1045)*H1037),IF(SUM(B1038:F1045)&gt;(L1053*8),L1053*H1037,SUM(B1045:F1045)*H1037)),2)</f>
        <v>0</v>
      </c>
      <c r="I1045" s="76">
        <f>ROUND(IF(SUM(B1038:F1044)&lt;(L1054*7),IF((SUM(B1038:F1045))&gt;(L1054*8),(((L1054*8)-(SUM(B1038:F1045)-C1044))*I1037)+((SUM(B1045:F1045)-C1044)*I1037),SUM(B1045:F1045)*I1037),IF(SUM(B1038:F1045)&gt;(L1054*8),L1054*I1037,SUM(B1045:F1045)*I1037)),2)</f>
        <v>0</v>
      </c>
      <c r="J1045" s="76">
        <f>ROUND(IF(SUM(B1038:F1044)&lt;(L1054*7),IF((SUM(B1038:F1045))&gt;(L1054*8),(((L1054*8)-(SUM(B1038:F1045)-C1044))*J1037)+((SUM(B1045:F1045)-C1044)*J1037),SUM(B1045:F1045)*J1037),IF(SUM(B1038:F1045)&gt;(L1054*8),L1054*J1037,SUM(B1045:F1045)*J1037)),2)</f>
        <v>0</v>
      </c>
      <c r="K1045" s="76">
        <f>ROUND(IF(SUM(B1038:F1044)&lt;(L1053*7),IF((SUM(B1038:F1045))&gt;(L1053*8),(((L1053*8)-(SUM(B1038:F1045)-C1044))*K1037)+((SUM(B1045:F1045)-C1044)*K1037),SUM(B1045:F1045)*K1037),IF(SUM(B1038:F1045)&gt;(L1053*8),L1053*K1037,SUM(B1045:F1045)*K1037)),2)</f>
        <v>0</v>
      </c>
      <c r="L1045" s="76">
        <f>ROUND(IF(SUM(B1038:F1044)&lt;(L1054*7),IF((SUM(B1038:F1045))&gt;(L1054*8),(((L1054*8)-(SUM(B1038:F1045)-C1045))*L1037)+((SUM(B1045:F1045)-C1045)*L1037),(SUM(B1045:F1045)-C1045)*L1037),IF(SUM(B1038:F1045)&gt;(L1054*8),L1054*L1037,SUM(B1045:F1045)*L1037)),2)</f>
        <v>0</v>
      </c>
      <c r="M1045" s="76">
        <f>ROUND(IF(SUM(B1038:F1044)&lt;(L1054*7),IF((SUM(B1038:F1045))&gt;(L1054*8),(((L1054*8)-(SUM(B1038:F1045)-C1045))*M1037)+((SUM(B1045:F1045)-C1045)*M1037),(SUM(B1045:F1045)-C1045)*M1037),IF(SUM(B1038:F1045)&gt;(L1054*8),L1054*M1037,SUM(B1045:F1045)*M1037)),2)</f>
        <v>0</v>
      </c>
      <c r="N1045" s="76">
        <f>ROUND(IF(SUM(B1038:F1044)&lt;(L1054*7),IF((SUM(B1038:F1045))&gt;(L1054*8),(((L1054*8)-(SUM(B1038:F1045)-C1044))*N1037)+((SUM(B1045:F1045)-C1044)*N1037),SUM(B1045:F1045)*N1037),IF(SUM(B1038:F1045)&gt;(L1054*8),L1054*N1037,SUM(B1045:F1045)*N1037)),2)</f>
        <v>0</v>
      </c>
      <c r="O1045" s="23">
        <f>ROUND(SUM(B1045+C1045+F1045)*O1037,2)</f>
        <v>0</v>
      </c>
      <c r="P1045" s="27">
        <f t="shared" si="118"/>
        <v>0</v>
      </c>
    </row>
    <row r="1046" spans="1:16" s="1" customFormat="1" x14ac:dyDescent="0.2">
      <c r="A1046" s="100" t="str">
        <f>$A$34</f>
        <v>Sep 2022</v>
      </c>
      <c r="B1046" s="24">
        <f>ROUND(IF(P1020=0,0,IFERROR(((LOOKUP(2,1/(A1026:A1029=A1046),G1026:G1029))*P1020*4.348),B1045/P1020*P1020)),2)</f>
        <v>0</v>
      </c>
      <c r="C1046" s="23">
        <f>ROUND(IFERROR(((LOOKUP(2,1/(B1031=A1046),((SUM(B1044:B1046)+SUM(F1044:F1046))/3)*C1031))),0)+IFERROR(((LOOKUP(2,1/(E1031=A1046),(B1050+F1050)*F1031))),0),2)</f>
        <v>0</v>
      </c>
      <c r="D1046" s="23">
        <f>ROUND(IF(B1046=0,0,D1037/L1019*P1020),2)</f>
        <v>0</v>
      </c>
      <c r="E1046" s="23">
        <f>ROUND(IF(B1046=0,0,E1037/N1015*P1020),2)</f>
        <v>0</v>
      </c>
      <c r="F1046" s="24">
        <f>ROUND(IF(P1020=0,0,IFERROR(((LOOKUP(2,1/(A1026:A1029=A1046),H1026:H1029))/N1015*P1020),F1045/P1020*P1020)),2)</f>
        <v>0</v>
      </c>
      <c r="G1046" s="27">
        <f t="shared" si="117"/>
        <v>0</v>
      </c>
      <c r="H1046" s="76">
        <f>ROUND(IF(SUM(B1038:F1045)&lt;(L1053*8),IF((SUM(B1038:F1046))&gt;(L1053*9),(((L1053*9)-(SUM(B1038:F1046)-C1045))*H1037)+((SUM(B1046:F1046)-C1045)*H1037),SUM(B1046:F1046)*H1037),IF(SUM(B1038:F1046)&gt;(L1053*9),L1053*H1037,SUM(B1046:F1046)*H1037)),2)</f>
        <v>0</v>
      </c>
      <c r="I1046" s="76">
        <f>ROUND(IF(SUM(B1038:F1045)&lt;(L1054*8),IF((SUM(B1038:F1046))&gt;(L1054*9),(((L1054*9)-(SUM(B1038:F1046)-C1045))*I1037)+((SUM(B1046:F1046)-C1045)*I1037),SUM(B1046:F1046)*I1037),IF(SUM(B1038:F1046)&gt;(L1054*9),L1054*I1037,SUM(B1046:F1046)*I1037)),2)</f>
        <v>0</v>
      </c>
      <c r="J1046" s="76">
        <f>ROUND(IF(SUM(B1038:F1045)&lt;(L1054*8),IF((SUM(B1038:F1046))&gt;(L1054*9),(((L1054*9)-(SUM(B1038:F1046)-C1045))*J1037)+((SUM(B1046:F1046)-C1045)*J1037),SUM(B1046:F1046)*J1037),IF(SUM(B1038:F1046)&gt;(L1054*9),L1054*J1037,SUM(B1046:F1046)*J1037)),2)</f>
        <v>0</v>
      </c>
      <c r="K1046" s="76">
        <f>ROUND(IF(SUM(B1038:F1045)&lt;(L1053*8),IF((SUM(B1038:F1046))&gt;(L1053*9),(((L1053*9)-(SUM(B1038:F1046)-C1045))*K1037)+((SUM(B1046:F1046)-C1045)*K1037),SUM(B1046:F1046)*K1037),IF(SUM(B1038:F1046)&gt;(L1053*9),L1053*K1037,SUM(B1046:F1046)*K1037)),2)</f>
        <v>0</v>
      </c>
      <c r="L1046" s="76">
        <f>ROUND(IF(SUM(B1038:F1045)&lt;(L1054*8),IF((SUM(B1038:F1046))&gt;(L1054*9),(((L1054*9)-(SUM(B1038:F1046)-C1046))*L1037)+((SUM(B1046:F1046)-C1046)*L1037),(SUM(B1046:F1046)-C1046)*L1037),IF(SUM(B1038:F1046)&gt;(L1054*9),L1054*L1037,SUM(B1046:F1046)*L1037)),2)</f>
        <v>0</v>
      </c>
      <c r="M1046" s="76">
        <f>ROUND(IF(SUM(B1038:F1045)&lt;(L1054*8),IF((SUM(B1038:F1046))&gt;(L1054*9),(((L1054*9)-(SUM(B1038:F1046)-C1046))*M1037)+((SUM(B1046:F1046)-C1046)*M1037),(SUM(B1046:F1046)-C1046)*M1037),IF(SUM(B1038:F1046)&gt;(L1054*9),L1054*M1037,SUM(B1046:F1046)*M1037)),2)</f>
        <v>0</v>
      </c>
      <c r="N1046" s="76">
        <f>ROUND(IF(SUM(B1038:F1045)&lt;(L1054*8),IF((SUM(B1038:F1046))&gt;(L1054*9),(((L1054*9)-(SUM(B1038:F1046)-C1045))*N1037)+((SUM(B1046:F1046)-C1045)*N1037),SUM(B1046:F1046)*N1037),IF(SUM(B1038:F1046)&gt;(L1054*9),L1054*N1037,SUM(B1046:F1046)*N1037)),2)</f>
        <v>0</v>
      </c>
      <c r="O1046" s="23">
        <f>ROUND(SUM(B1046+C1046+F1046)*O1037,2)</f>
        <v>0</v>
      </c>
      <c r="P1046" s="27">
        <f t="shared" si="118"/>
        <v>0</v>
      </c>
    </row>
    <row r="1047" spans="1:16" s="1" customFormat="1" x14ac:dyDescent="0.2">
      <c r="A1047" s="100" t="str">
        <f>$A$35</f>
        <v>Okt 2022</v>
      </c>
      <c r="B1047" s="24">
        <f>ROUND(IF(P1021=0,0,IFERROR(((LOOKUP(2,1/(A1026:A1029=A1047),G1026:G1029))*P1021*4.348),B1046/P1021*P1021)),2)</f>
        <v>0</v>
      </c>
      <c r="C1047" s="23">
        <f>ROUND(IFERROR(((LOOKUP(2,1/(B1031=A1047),((SUM(B1044:B1046)+SUM(F1044:F1046))/3)*C1031))),0)+IFERROR(((LOOKUP(2,1/(E1031=A1047),(B1050+F1050)*F1031))),0),2)</f>
        <v>0</v>
      </c>
      <c r="D1047" s="23">
        <f>ROUND(IF(B1047=0,0,D1037/L1019*P1021),2)</f>
        <v>0</v>
      </c>
      <c r="E1047" s="23">
        <f>ROUND(IF(B1047=0,0,E1037/N1015*P1021),2)</f>
        <v>0</v>
      </c>
      <c r="F1047" s="24">
        <f>ROUND(IF(P1021=0,0,IFERROR(((LOOKUP(2,1/(A1026:A1029=A1047),H1026:H1029))/N1015*P1021),F1046/P1021*P1021)),2)</f>
        <v>0</v>
      </c>
      <c r="G1047" s="27">
        <f t="shared" si="117"/>
        <v>0</v>
      </c>
      <c r="H1047" s="76">
        <f>ROUND(IF(SUM(B1038:F1046)&lt;(L1053*9),IF((SUM(B1038:F1047))&gt;(L1053*10),(((L1053*10)-(SUM(B1038:F1047)-C1046))*H1037)+((SUM(B1047:F1047)-C1046)*H1037),SUM(B1047:F1047)*H1037),IF(SUM(B1038:F1047)&gt;(L1053*10),L1053*H1037,SUM(B1047:F1047)*H1037)),2)</f>
        <v>0</v>
      </c>
      <c r="I1047" s="76">
        <f>ROUND(IF(SUM(B1038:F1046)&lt;(L1054*9),IF((SUM(B1038:F1047))&gt;(L1054*10),(((L1054*10)-(SUM(B1038:F1047)-C1046))*I1037)+((SUM(B1047:F1047)-C1046)*I1037),SUM(B1047:F1047)*I1037),IF(SUM(B1038:F1047)&gt;(L1054*10),L1054*I1037,SUM(B1047:F1047)*I1037)),2)</f>
        <v>0</v>
      </c>
      <c r="J1047" s="76">
        <f>ROUND(IF(SUM(B1038:F1046)&lt;(L1054*9),IF((SUM(B1038:F1047))&gt;(L1054*10),(((L1054*10)-(SUM(B1038:F1047)-C1046))*J1037)+((SUM(B1047:F1047)-C1046)*J1037),SUM(B1047:F1047)*J1037),IF(SUM(B1038:F1047)&gt;(L1054*10),L1054*J1037,SUM(B1047:F1047)*J1037)),2)</f>
        <v>0</v>
      </c>
      <c r="K1047" s="76">
        <f>ROUND(IF(SUM(B1038:F1046)&lt;(L1053*9),IF((SUM(B1038:F1047))&gt;(L1053*10),(((L1053*10)-(SUM(B1038:F1047)-C1046))*K1037)+((SUM(B1047:F1047)-C1046)*K1037),SUM(B1047:F1047)*K1037),IF(SUM(B1038:F1047)&gt;(L1053*10),L1053*K1037,SUM(B1047:F1047)*K1037)),2)</f>
        <v>0</v>
      </c>
      <c r="L1047" s="76">
        <f>ROUND(IF(SUM(B1038:F1046)&lt;(L1054*9),IF((SUM(B1038:F1047))&gt;(L1054*10),(((L1054*10)-(SUM(B1038:F1047)-C1047))*L1037)+((SUM(B1047:F1047)-C1047)*L1037),(SUM(B1047:F1047)-C1047)*L1037),IF(SUM(B1038:F1047)&gt;(L1054*10),L1054*L1037,SUM(B1047:F1047)*L1037)),2)</f>
        <v>0</v>
      </c>
      <c r="M1047" s="76">
        <f>ROUND(IF(SUM(B1038:F1046)&lt;(L1054*9),IF((SUM(B1038:F1047))&gt;(L1054*10),(((L1054*10)-(SUM(B1038:F1047)-C1047))*M1037)+((SUM(B1047:F1047)-C1047)*M1037),(SUM(B1047:F1047)-C1047)*M1037),IF(SUM(B1038:F1047)&gt;(L1054*10),L1054*M1037,SUM(B1047:F1047)*M1037)),2)</f>
        <v>0</v>
      </c>
      <c r="N1047" s="76">
        <f>ROUND(IF(SUM(B1038:F1046)&lt;(L1054*9),IF((SUM(B1038:F1047))&gt;(L1054*10),(((L1054*10)-(SUM(B1038:F1047)-C1046))*N1037)+((SUM(B1047:F1047)-C1046)*N1037),SUM(B1047:F1047)*N1037),IF(SUM(B1038:F1047)&gt;(L1054*10),L1054*N1037,SUM(B1047:F1047)*N1037)),2)</f>
        <v>0</v>
      </c>
      <c r="O1047" s="23">
        <f>ROUND(SUM(B1047+C1047+F1047)*O1037,2)</f>
        <v>0</v>
      </c>
      <c r="P1047" s="27">
        <f t="shared" si="118"/>
        <v>0</v>
      </c>
    </row>
    <row r="1048" spans="1:16" s="1" customFormat="1" x14ac:dyDescent="0.2">
      <c r="A1048" s="100" t="str">
        <f>$A$36</f>
        <v>Nov 2022</v>
      </c>
      <c r="B1048" s="24">
        <f>ROUND(IF(P1022=0,0,IFERROR(((LOOKUP(2,1/(A1026:A1029=A1048),G1026:G1029))*P1022*4.348),B1047/P1022*P1022)),2)</f>
        <v>0</v>
      </c>
      <c r="C1048" s="23">
        <f>ROUND(IFERROR(((LOOKUP(2,1/(B1031=A1048),((SUM(B1044:B1046)+SUM(F1044:F1046))/3)*C1031))),0)+IFERROR(((LOOKUP(2,1/(E1031=A1048),(B1050+F1050)*F1031))),0),2)</f>
        <v>0</v>
      </c>
      <c r="D1048" s="23">
        <f>ROUND(IF(B1048=0,0,D1037/L1019*P1022),2)</f>
        <v>0</v>
      </c>
      <c r="E1048" s="23">
        <f>ROUND(IF(B1048=0,0,E1037/N1015*P1022),2)</f>
        <v>0</v>
      </c>
      <c r="F1048" s="24">
        <f>ROUND(IF(P1022=0,0,IFERROR(((LOOKUP(2,1/(A1026:A1029=A1048),H1026:H1029))/N1015*P1022),F1047/P1022*P1022)),2)</f>
        <v>0</v>
      </c>
      <c r="G1048" s="27">
        <f t="shared" si="117"/>
        <v>0</v>
      </c>
      <c r="H1048" s="76">
        <f>ROUND(IF(SUM(B1038:F1047)&lt;(L1053*10),IF((SUM(B1038:F1048))&gt;(L1053*11),(((L1053*11)-(SUM(B1038:F1048)-C1047))*H1037)+((SUM(B1048:F1048)-C1047)*H1037),SUM(B1048:F1048)*H1037),IF(SUM(B1038:F1048)&gt;(L1053*11),L1053*H1037,SUM(B1048:F1048)*H1037)),2)</f>
        <v>0</v>
      </c>
      <c r="I1048" s="76">
        <f>ROUND(IF(SUM(B1038:F1047)&lt;(L1054*10),IF((SUM(B1038:F1048))&gt;(L1054*11),(((L1054*11)-(SUM(B1038:F1048)-C1047))*I1037)+((SUM(B1048:F1048)-C1047)*I1037),SUM(B1048:F1048)*I1037),IF(SUM(B1038:F1048)&gt;(L1054*11),L1054*I1037,SUM(B1048:F1048)*I1037)),2)</f>
        <v>0</v>
      </c>
      <c r="J1048" s="76">
        <f>ROUND(IF(SUM(B1038:F1047)&lt;(L1054*10),IF((SUM(B1038:F1048))&gt;(L1054*11),(((L1054*11)-(SUM(B1038:F1048)-C1047))*J1037)+((SUM(B1048:F1048)-C1047)*J1037),SUM(B1048:F1048)*J1037),IF(SUM(B1038:F1048)&gt;(L1054*11),L1054*J1037,SUM(B1048:F1048)*J1037)),2)</f>
        <v>0</v>
      </c>
      <c r="K1048" s="76">
        <f>ROUND(IF(SUM(B1038:F1047)&lt;(L1053*10),IF((SUM(B1038:F1048))&gt;(L1053*11),(((L1053*11)-(SUM(B1038:F1048)-C1047))*K1037)+((SUM(B1048:F1048)-C1047)*K1037),SUM(B1048:F1048)*K1037),IF(SUM(B1038:F1048)&gt;(L1053*11),L1053*K1037,SUM(B1048:F1048)*K1037)),2)</f>
        <v>0</v>
      </c>
      <c r="L1048" s="76">
        <f>ROUND(IF(SUM(B1038:F1047)&lt;(L1054*10),IF((SUM(B1038:F1048))&gt;(L1054*11),(((L1054*11)-(SUM(B1038:F1048)-C1048))*L1037)+((SUM(B1048:F1048)-C1048)*L1037),(SUM(B1048:F1048)-C1048)*L1037),IF(SUM(B1038:F1048)&gt;(L1054*11),L1054*L1037,SUM(B1048:F1048)*L1037)),2)</f>
        <v>0</v>
      </c>
      <c r="M1048" s="76">
        <f>ROUND(IF(SUM(B1038:F1047)&lt;(L1054*10),IF((SUM(B1038:F1048))&gt;(L1054*11),(((L1054*11)-(SUM(B1038:F1048)-C1048))*M1037)+((SUM(B1048:F1048)-C1048)*M1037),(SUM(B1048:F1048)-C1048)*M1037),IF(SUM(B1038:F1048)&gt;(L1054*11),L1054*M1037,SUM(B1048:F1048)*M1037)),2)</f>
        <v>0</v>
      </c>
      <c r="N1048" s="76">
        <f>ROUND(IF(SUM(B1038:F1047)&lt;(L1054*10),IF((SUM(B1038:F1048))&gt;(L1054*11),(((L1054*11)-(SUM(B1038:F1048)-C1047))*N1037)+((SUM(B1048:F1048)-C1047)*N1037),SUM(B1048:F1048)*N1037),IF(SUM(B1038:F1048)&gt;(L1054*11),L1054*N1037,SUM(B1048:F1048)*N1037)),2)</f>
        <v>0</v>
      </c>
      <c r="O1048" s="23">
        <f>ROUND(SUM(B1048+C1048+F1048)*O1037,2)</f>
        <v>0</v>
      </c>
      <c r="P1048" s="27">
        <f t="shared" si="118"/>
        <v>0</v>
      </c>
    </row>
    <row r="1049" spans="1:16" s="1" customFormat="1" x14ac:dyDescent="0.2">
      <c r="A1049" s="100" t="str">
        <f>$A$37</f>
        <v>Dez 2022</v>
      </c>
      <c r="B1049" s="24">
        <f>ROUND(IF(P1023=0,0,IFERROR(((LOOKUP(2,1/(A1026:A1029=A1049),G1026:G1029))*P1023*4.348),B1048/P1023*P1023)),2)</f>
        <v>0</v>
      </c>
      <c r="C1049" s="23">
        <f>ROUND(IFERROR(((LOOKUP(2,1/(B1031=A1049),((SUM(B1044:B1046)+SUM(F1044:F1046))/3)*C1031))),0)+IFERROR(((LOOKUP(2,1/(E1031=A1049),(B1050+F1050)*F1031))),0),2)</f>
        <v>0</v>
      </c>
      <c r="D1049" s="23">
        <f>ROUND(IF(B1049=0,0,D1037/L1019*P1023),2)</f>
        <v>0</v>
      </c>
      <c r="E1049" s="23">
        <f>ROUND(IF(B1049=0,0,E1037/N1015*P1023),2)</f>
        <v>0</v>
      </c>
      <c r="F1049" s="24">
        <f>ROUND(IF(P1023=0,0,IFERROR(((LOOKUP(2,1/(A1026:A1029=A1049),H1026:H1029))/N1015*P1023),F1048/P1023*P1023)),2)</f>
        <v>0</v>
      </c>
      <c r="G1049" s="27">
        <f t="shared" si="117"/>
        <v>0</v>
      </c>
      <c r="H1049" s="76">
        <f>ROUND(IF(SUM(B1038:F1048)&lt;(L1053*11),IF((SUM(B1038:F1049))&gt;(L1053*12),(((L1053*12)-(SUM(B1038:F1049)-C1048))*H1037)+((SUM(B1049:F1049)-C1048)*H1037),SUM(B1049:F1049)*H1037),IF(SUM(B1038:F1049)&gt;(L1053*12),L1053*H1037,SUM(B1049:F1049)*H1037)),2)</f>
        <v>0</v>
      </c>
      <c r="I1049" s="76">
        <f>ROUND(IF(SUM(B1038:F1048)&lt;(L1054*11),IF((SUM(B1038:F1049))&gt;(L1054*12),(((L1054*12)-(SUM(B1038:F1049)-C1048))*I1037)+((SUM(B1049:F1049)-C1048)*I1037),SUM(B1049:F1049)*I1037),IF(SUM(B1038:F1049)&gt;(L1054*12),L1054*I1037,SUM(B1049:F1049)*I1037)),2)</f>
        <v>0</v>
      </c>
      <c r="J1049" s="76">
        <f>ROUND(IF(SUM(B1038:F1048)&lt;(L1054*11),IF((SUM(B1038:F1049))&gt;(L1054*12),(((L1054*12)-(SUM(B1038:F1049)-C1048))*J1037)+((SUM(B1049:F1049)-C1048)*J1037),SUM(B1049:F1049)*J1037),IF(SUM(B1038:F1049)&gt;(L1054*12),L1054*J1037,SUM(B1049:F1049)*J1037)),2)</f>
        <v>0</v>
      </c>
      <c r="K1049" s="76">
        <f>ROUND(IF(SUM(B1038:F1048)&lt;(L1053*11),IF((SUM(B1038:F1049))&gt;(L1053*12),(((L1053*12)-(SUM(B1038:F1049)-C1048))*K1037)+((SUM(B1049:F1049)-C1048)*K1037),SUM(B1049:F1049)*K1037),IF(SUM(B1038:F1049)&gt;(L1053*12),L1053*K1037,SUM(B1049:F1049)*K1037)),2)</f>
        <v>0</v>
      </c>
      <c r="L1049" s="76">
        <f>ROUND(IF(SUM(B1038:F1048)&lt;(L1054*11),IF((SUM(B1038:F1049))&gt;(L1054*12),(((L1054*12)-(SUM(B1038:F1049)-C1049))*L1037)+((SUM(B1049:F1049)-C1049)*L1037),(SUM(B1049:F1049)-C1049)*L1037),IF(SUM(B1038:F1049)&gt;(L1054*12),L1054*L1037,SUM(B1049:F1049)*L1037)),2)</f>
        <v>0</v>
      </c>
      <c r="M1049" s="76">
        <f>ROUND(IF(SUM(B1038:F1048)&lt;(L1054*11),IF((SUM(B1038:F1049))&gt;(L1054*12),(((L1054*12)-(SUM(B1038:F1049)-C1049))*M1037)+((SUM(B1049:F1049)-C1049)*M1037),(SUM(B1049:F1049)-C1049)*M1037),IF(SUM(B1038:F1049)&gt;(L1054*12),L1054*M1037,SUM(B1049:F1049)*M1037)),2)</f>
        <v>0</v>
      </c>
      <c r="N1049" s="76">
        <f>ROUND(IF(SUM(B1038:F1048)&lt;(L1054*11),IF((SUM(B1038:F1049))&gt;(L1054*12),(((L1054*12)-(SUM(B1038:F1049)-C1048))*N1037)+((SUM(B1049:F1049)-C1048)*N1037),SUM(B1049:F1049)*N1037),IF(SUM(B1038:F1049)&gt;(L1054*12),L1054*N1037,SUM(B1049:F1049)*N1037)),2)</f>
        <v>0</v>
      </c>
      <c r="O1049" s="23">
        <f>ROUND(SUM(B1049+C1049+F1049)*O1037,2)</f>
        <v>0</v>
      </c>
      <c r="P1049" s="27">
        <f t="shared" si="118"/>
        <v>0</v>
      </c>
    </row>
    <row r="1050" spans="1:16" s="14" customFormat="1" ht="15" x14ac:dyDescent="0.25">
      <c r="A1050" s="4" t="s">
        <v>2</v>
      </c>
      <c r="B1050" s="27">
        <f>SUM(B1038:B1049)</f>
        <v>0</v>
      </c>
      <c r="C1050" s="27">
        <f t="shared" ref="C1050:D1050" si="119">SUM(C1038:C1049)</f>
        <v>0</v>
      </c>
      <c r="D1050" s="27">
        <f t="shared" si="119"/>
        <v>0</v>
      </c>
      <c r="E1050" s="27">
        <f>SUM(E1038:E1049)</f>
        <v>0</v>
      </c>
      <c r="F1050" s="27">
        <f>SUM(F1038:F1049)</f>
        <v>0</v>
      </c>
      <c r="G1050" s="27">
        <f>SUM(G1038:G1049)</f>
        <v>0</v>
      </c>
      <c r="H1050" s="1133">
        <f>SUM(H1038:N1049)</f>
        <v>0</v>
      </c>
      <c r="I1050" s="1134"/>
      <c r="J1050" s="1134"/>
      <c r="K1050" s="1134"/>
      <c r="L1050" s="1134"/>
      <c r="M1050" s="1134"/>
      <c r="N1050" s="1135"/>
      <c r="O1050" s="27">
        <f>SUM(O1038:O1049)</f>
        <v>0</v>
      </c>
      <c r="P1050" s="27">
        <f>SUM(P1038:P1049)</f>
        <v>0</v>
      </c>
    </row>
    <row r="1051" spans="1:16" s="13" customFormat="1" ht="11.25" x14ac:dyDescent="0.2">
      <c r="A1051" s="3" t="s">
        <v>1</v>
      </c>
      <c r="B1051" s="2"/>
      <c r="C1051" s="2"/>
      <c r="D1051" s="2"/>
      <c r="E1051" s="2"/>
      <c r="F1051" s="2"/>
      <c r="G1051" s="2"/>
      <c r="H1051" s="2"/>
      <c r="I1051" s="2"/>
      <c r="J1051" s="2"/>
      <c r="K1051" s="2"/>
      <c r="L1051" s="2"/>
      <c r="M1051" s="2"/>
      <c r="N1051" s="2"/>
      <c r="O1051" s="2"/>
      <c r="P1051" s="2"/>
    </row>
    <row r="1052" spans="1:16" s="1" customFormat="1" ht="14.25" customHeight="1" x14ac:dyDescent="0.2">
      <c r="A1052" s="1136" t="s">
        <v>133</v>
      </c>
      <c r="B1052" s="1137"/>
      <c r="C1052" s="1137"/>
      <c r="D1052" s="1137" t="s">
        <v>134</v>
      </c>
      <c r="E1052" s="1137"/>
      <c r="F1052" s="94" t="str">
        <f>IF(IF(G1050=0,"",'päd.Personal - Leitung'!$F$40)=0,"",IF(G1050=0,"",'päd.Personal - Leitung'!$F$40))</f>
        <v/>
      </c>
      <c r="G1052" s="77" t="s">
        <v>135</v>
      </c>
      <c r="H1052" s="96" t="str">
        <f>IF(IF(G1050=0,"",'päd.Personal - Leitung'!$H$40)=0,"",IF(G1050=0,"",'päd.Personal - Leitung'!$H$40))</f>
        <v/>
      </c>
      <c r="I1052" s="73"/>
      <c r="J1052" s="194" t="s">
        <v>160</v>
      </c>
      <c r="K1052" s="194" t="str">
        <f>$K$40</f>
        <v>2021</v>
      </c>
      <c r="L1052" s="194" t="str">
        <f>$L$40</f>
        <v>anteilig 2021</v>
      </c>
      <c r="M1052" s="1138" t="s">
        <v>140</v>
      </c>
      <c r="N1052" s="1138"/>
      <c r="O1052" s="1139"/>
      <c r="P1052" s="27">
        <f>ROUND(IF(F1052="",IF(E1056="",0,(E1056*H1056/K1056)/L1019*L1020),G1050*F1052*H1052/1000),2)</f>
        <v>0</v>
      </c>
    </row>
    <row r="1053" spans="1:16" s="1" customFormat="1" ht="15" customHeight="1" x14ac:dyDescent="0.2">
      <c r="A1053" s="1140" t="s">
        <v>145</v>
      </c>
      <c r="B1053" s="1141"/>
      <c r="C1053" s="1141"/>
      <c r="D1053" s="18"/>
      <c r="E1053" s="107" t="s">
        <v>135</v>
      </c>
      <c r="F1053" s="95" t="str">
        <f>IF(IF(G1050=0,"",'päd.Personal - Leitung'!$F$41)=0,"",IF(G1050=0,"",'päd.Personal - Leitung'!$F$41))</f>
        <v/>
      </c>
      <c r="G1053" s="48"/>
      <c r="H1053" s="47"/>
      <c r="I1053" s="48"/>
      <c r="J1053" s="195" t="s">
        <v>158</v>
      </c>
      <c r="K1053" s="198">
        <f>$K$41</f>
        <v>4837.5</v>
      </c>
      <c r="L1053" s="197">
        <f>IF(L1019="",K1053,K1053/L1019*L1020)</f>
        <v>4837.5</v>
      </c>
      <c r="M1053" s="1138" t="s">
        <v>139</v>
      </c>
      <c r="N1053" s="1138"/>
      <c r="O1053" s="1139"/>
      <c r="P1053" s="27">
        <f>ROUND(IF(F1053="",0,G1050*F1053/1000),2)</f>
        <v>0</v>
      </c>
    </row>
    <row r="1054" spans="1:16" s="1" customFormat="1" ht="15.75" customHeight="1" x14ac:dyDescent="0.2">
      <c r="A1054" s="1142" t="s">
        <v>141</v>
      </c>
      <c r="B1054" s="1143"/>
      <c r="C1054" s="1143"/>
      <c r="D1054" s="1144" t="s">
        <v>143</v>
      </c>
      <c r="E1054" s="1144"/>
      <c r="F1054" s="1145" t="str">
        <f>IF(IF(G1050=0,"",'päd.Personal - Leitung'!$F$42)=0,"",IF(G1050=0,"",'päd.Personal - Leitung'!$F$42))</f>
        <v/>
      </c>
      <c r="G1054" s="1145"/>
      <c r="H1054" s="72"/>
      <c r="I1054" s="18"/>
      <c r="J1054" s="195" t="s">
        <v>159</v>
      </c>
      <c r="K1054" s="197">
        <f>$K$42</f>
        <v>6700</v>
      </c>
      <c r="L1054" s="197">
        <f>IF(L1019="",K1054,K1054/L1019*L1020)</f>
        <v>6700</v>
      </c>
      <c r="M1054" s="1138" t="s">
        <v>141</v>
      </c>
      <c r="N1054" s="1138"/>
      <c r="O1054" s="1139"/>
      <c r="P1054" s="23">
        <f>ROUND(IF(F1054="",0,IF(G1050=0,0,F1054/L1019*L1020)),2)</f>
        <v>0</v>
      </c>
    </row>
    <row r="1055" spans="1:16" s="1" customFormat="1" ht="14.25" customHeight="1" x14ac:dyDescent="0.2">
      <c r="A1055" s="18"/>
      <c r="B1055" s="18"/>
      <c r="C1055" s="18"/>
      <c r="D1055" s="18"/>
      <c r="E1055" s="18"/>
      <c r="F1055" s="18"/>
      <c r="G1055" s="18"/>
      <c r="H1055" s="18"/>
      <c r="I1055" s="18"/>
      <c r="J1055" s="18"/>
      <c r="K1055" s="74"/>
      <c r="L1055" s="82"/>
      <c r="M1055" s="1191" t="s">
        <v>146</v>
      </c>
      <c r="N1055" s="1191"/>
      <c r="O1055" s="1192"/>
      <c r="P1055" s="23">
        <f>ROUND(IF(G1050=0,0,$P$87),2)</f>
        <v>0</v>
      </c>
    </row>
    <row r="1056" spans="1:16" s="1" customFormat="1" ht="14.25" customHeight="1" x14ac:dyDescent="0.2">
      <c r="A1056" s="1129" t="s">
        <v>142</v>
      </c>
      <c r="B1056" s="1130"/>
      <c r="C1056" s="126" t="s">
        <v>136</v>
      </c>
      <c r="D1056" s="179" t="s">
        <v>137</v>
      </c>
      <c r="E1056" s="1131" t="str">
        <f>IF(IF(G1050=0,"",'päd.Personal - Leitung'!$E$44)=0,"",IF(G1050=0,"",'päd.Personal - Leitung'!$E$44))</f>
        <v/>
      </c>
      <c r="F1056" s="1131"/>
      <c r="G1056" s="83" t="s">
        <v>138</v>
      </c>
      <c r="H1056" s="97" t="str">
        <f>IF(IF(G1050=0,"",'päd.Personal - Leitung'!$H$44)=0,"",IF(G1050=0,"",'päd.Personal - Leitung'!$H$44))</f>
        <v/>
      </c>
      <c r="I1056" s="1132" t="s">
        <v>144</v>
      </c>
      <c r="J1056" s="1132"/>
      <c r="K1056" s="98" t="str">
        <f>IF(IF(G1050=0,"",'päd.Personal - Leitung'!$K$44)=0,"",IF(G1050=0,"",'päd.Personal - Leitung'!$K$44))</f>
        <v/>
      </c>
      <c r="L1056" s="29"/>
      <c r="M1056" s="29"/>
      <c r="N1056" s="29"/>
      <c r="O1056" s="28" t="s">
        <v>0</v>
      </c>
      <c r="P1056" s="27">
        <f>P1050+SUM(P1052:P1055)</f>
        <v>0</v>
      </c>
    </row>
    <row r="1057" spans="1:16" s="12" customFormat="1" ht="13.5" customHeight="1" x14ac:dyDescent="0.2">
      <c r="A1057" s="1178" t="s">
        <v>18</v>
      </c>
      <c r="B1057" s="1178"/>
      <c r="C1057" s="1178"/>
      <c r="D1057" s="1179" t="str">
        <f>IF($D$1="","",$D$1)</f>
        <v/>
      </c>
      <c r="E1057" s="1179"/>
      <c r="F1057" s="1179"/>
      <c r="G1057" s="1179"/>
      <c r="H1057" s="1179"/>
      <c r="I1057" s="1179"/>
      <c r="J1057" s="1179"/>
      <c r="K1057" s="1179"/>
      <c r="L1057" s="1179"/>
      <c r="M1057" s="1179"/>
      <c r="N1057" s="1179"/>
    </row>
    <row r="1058" spans="1:16" s="12" customFormat="1" ht="15" customHeight="1" x14ac:dyDescent="0.2">
      <c r="A1058" s="1178" t="s">
        <v>17</v>
      </c>
      <c r="B1058" s="1178"/>
      <c r="C1058" s="1178" t="s">
        <v>15</v>
      </c>
      <c r="D1058" s="1179" t="str">
        <f>IF($D$2="","",$D$2)</f>
        <v/>
      </c>
      <c r="E1058" s="1179"/>
      <c r="F1058" s="1179"/>
      <c r="G1058" s="1179"/>
      <c r="H1058" s="1179"/>
      <c r="I1058" s="1179"/>
      <c r="J1058" s="1179"/>
      <c r="K1058" s="1179"/>
      <c r="L1058" s="1179"/>
      <c r="M1058" s="1179"/>
      <c r="N1058" s="1179"/>
    </row>
    <row r="1059" spans="1:16" s="12" customFormat="1" ht="15" customHeight="1" x14ac:dyDescent="0.2">
      <c r="A1059" s="1178" t="s">
        <v>16</v>
      </c>
      <c r="B1059" s="1178"/>
      <c r="C1059" s="1178" t="s">
        <v>15</v>
      </c>
      <c r="D1059" s="1179" t="str">
        <f>IF($D$3="","",$D$3)</f>
        <v/>
      </c>
      <c r="E1059" s="1179"/>
      <c r="F1059" s="1179"/>
      <c r="G1059" s="1179"/>
      <c r="H1059" s="1179"/>
      <c r="I1059" s="1179"/>
      <c r="J1059" s="1179"/>
      <c r="K1059" s="1178" t="s">
        <v>103</v>
      </c>
      <c r="L1059" s="1178"/>
      <c r="M1059" s="1178"/>
      <c r="N1059" s="41" t="str">
        <f>IF($N$3="","",$N$3)</f>
        <v/>
      </c>
    </row>
    <row r="1060" spans="1:16" s="13" customFormat="1" ht="11.25" x14ac:dyDescent="0.2">
      <c r="A1060" s="1182"/>
      <c r="B1060" s="1182"/>
      <c r="C1060" s="1182"/>
      <c r="D1060" s="1183"/>
      <c r="E1060" s="1183"/>
      <c r="F1060" s="1183"/>
      <c r="G1060" s="1183"/>
      <c r="H1060" s="1183"/>
      <c r="I1060" s="1183"/>
      <c r="J1060" s="1183"/>
      <c r="K1060" s="11"/>
      <c r="L1060" s="11"/>
      <c r="M1060" s="11"/>
      <c r="N1060" s="11"/>
      <c r="O1060" s="11"/>
      <c r="P1060" s="11"/>
    </row>
    <row r="1061" spans="1:16" s="15" customFormat="1" ht="13.5" customHeight="1" x14ac:dyDescent="0.2">
      <c r="A1061" s="1177" t="s">
        <v>166</v>
      </c>
      <c r="B1061" s="1177"/>
      <c r="C1061" s="1177"/>
      <c r="D1061" s="1177"/>
      <c r="E1061" s="1177"/>
      <c r="F1061" s="1177"/>
      <c r="G1061" s="1177"/>
      <c r="H1061" s="1177"/>
      <c r="I1061" s="1177"/>
      <c r="J1061" s="1177"/>
      <c r="K1061" s="9"/>
      <c r="L1061" s="9"/>
      <c r="M1061" s="9"/>
      <c r="N1061" s="59" t="s">
        <v>154</v>
      </c>
      <c r="O1061" s="191">
        <f>$O$5</f>
        <v>2022</v>
      </c>
      <c r="P1061" s="59" t="s">
        <v>154</v>
      </c>
    </row>
    <row r="1062" spans="1:16" s="10" customFormat="1" ht="13.5" customHeight="1" x14ac:dyDescent="0.25">
      <c r="B1062" s="32"/>
      <c r="C1062" s="32"/>
      <c r="D1062" s="5" t="s">
        <v>58</v>
      </c>
      <c r="E1062" s="31"/>
      <c r="F1062" s="31"/>
      <c r="G1062" s="31"/>
      <c r="H1062" s="31"/>
      <c r="I1062" s="26"/>
      <c r="J1062" s="1174" t="s">
        <v>14</v>
      </c>
      <c r="K1062" s="1174"/>
      <c r="L1062" s="180"/>
      <c r="N1062" s="84">
        <f>IF(L1064="","",L1064)</f>
        <v>0</v>
      </c>
      <c r="O1062" s="58" t="str">
        <f>$O$6</f>
        <v>Jan                Jul</v>
      </c>
      <c r="P1062" s="85">
        <f>IF(N1067="","",N1067)</f>
        <v>0</v>
      </c>
    </row>
    <row r="1063" spans="1:16" s="7" customFormat="1" ht="13.5" customHeight="1" x14ac:dyDescent="0.25">
      <c r="A1063" s="1180" t="s">
        <v>71</v>
      </c>
      <c r="B1063" s="1180"/>
      <c r="C1063" s="1180"/>
      <c r="D1063" s="1184"/>
      <c r="E1063" s="1184"/>
      <c r="F1063" s="1184"/>
      <c r="G1063" s="1184"/>
      <c r="H1063" s="1184"/>
      <c r="I1063" s="1184"/>
      <c r="J1063" s="1174" t="s">
        <v>104</v>
      </c>
      <c r="K1063" s="1174"/>
      <c r="L1063" s="145"/>
      <c r="N1063" s="85">
        <f>IF(N1062="","",N1062)</f>
        <v>0</v>
      </c>
      <c r="O1063" s="58" t="str">
        <f>$O$7</f>
        <v>Feb              Aug</v>
      </c>
      <c r="P1063" s="85">
        <f>IF(P1062="","",P1062)</f>
        <v>0</v>
      </c>
    </row>
    <row r="1064" spans="1:16" s="1" customFormat="1" ht="13.5" customHeight="1" x14ac:dyDescent="0.2">
      <c r="A1064" s="1180" t="s">
        <v>13</v>
      </c>
      <c r="B1064" s="1180"/>
      <c r="C1064" s="1180"/>
      <c r="D1064" s="1181"/>
      <c r="E1064" s="1181"/>
      <c r="F1064" s="1181"/>
      <c r="G1064" s="1181"/>
      <c r="H1064" s="1181"/>
      <c r="I1064" s="1181"/>
      <c r="J1064" s="1174" t="s">
        <v>164</v>
      </c>
      <c r="K1064" s="1174"/>
      <c r="L1064" s="145">
        <f>IF((L1065+L1066)&gt;L1063,0,L1063-L1065-L1066)</f>
        <v>0</v>
      </c>
      <c r="N1064" s="85">
        <f>IF(N1063="","",N1063)</f>
        <v>0</v>
      </c>
      <c r="O1064" s="58" t="str">
        <f>$O$8</f>
        <v>Mrz              Sep</v>
      </c>
      <c r="P1064" s="85">
        <f>IF(P1063="","",P1063)</f>
        <v>0</v>
      </c>
    </row>
    <row r="1065" spans="1:16" s="1" customFormat="1" ht="13.5" customHeight="1" x14ac:dyDescent="0.2">
      <c r="A1065" s="1180" t="s">
        <v>12</v>
      </c>
      <c r="B1065" s="1180"/>
      <c r="C1065" s="1180"/>
      <c r="D1065" s="1181"/>
      <c r="E1065" s="1181"/>
      <c r="F1065" s="1181"/>
      <c r="G1065" s="1181"/>
      <c r="H1065" s="1181"/>
      <c r="I1065" s="1181"/>
      <c r="J1065" s="1174" t="s">
        <v>165</v>
      </c>
      <c r="K1065" s="1174"/>
      <c r="L1065" s="145"/>
      <c r="N1065" s="85">
        <f>IF(N1064="","",N1064)</f>
        <v>0</v>
      </c>
      <c r="O1065" s="58" t="str">
        <f>$O$9</f>
        <v>Apr               Okt</v>
      </c>
      <c r="P1065" s="85">
        <f t="shared" ref="P1065:P1067" si="120">IF(P1064="","",P1064)</f>
        <v>0</v>
      </c>
    </row>
    <row r="1066" spans="1:16" s="1" customFormat="1" ht="13.5" customHeight="1" x14ac:dyDescent="0.2">
      <c r="A1066" s="1180" t="s">
        <v>19</v>
      </c>
      <c r="B1066" s="1180"/>
      <c r="C1066" s="1180"/>
      <c r="D1066" s="1181"/>
      <c r="E1066" s="1181"/>
      <c r="F1066" s="1181"/>
      <c r="G1066" s="1181"/>
      <c r="H1066" s="1181"/>
      <c r="I1066" s="1181"/>
      <c r="J1066" s="1174" t="s">
        <v>252</v>
      </c>
      <c r="K1066" s="1174"/>
      <c r="L1066" s="145"/>
      <c r="M1066" s="92"/>
      <c r="N1066" s="85">
        <f>IF(N1065="","",N1065)</f>
        <v>0</v>
      </c>
      <c r="O1066" s="58" t="str">
        <f>$O$10</f>
        <v>Mai               Nov</v>
      </c>
      <c r="P1066" s="85">
        <f t="shared" si="120"/>
        <v>0</v>
      </c>
    </row>
    <row r="1067" spans="1:16" s="1" customFormat="1" ht="13.5" customHeight="1" x14ac:dyDescent="0.2">
      <c r="B1067" s="8"/>
      <c r="C1067" s="121" t="s">
        <v>162</v>
      </c>
      <c r="D1067" s="1175"/>
      <c r="E1067" s="1175"/>
      <c r="F1067" s="1176" t="s">
        <v>106</v>
      </c>
      <c r="G1067" s="1176"/>
      <c r="H1067" s="1186"/>
      <c r="I1067" s="1186"/>
      <c r="J1067" s="1174" t="s">
        <v>97</v>
      </c>
      <c r="K1067" s="1174"/>
      <c r="L1067" s="17" t="str">
        <f>IF(IF((COUNTIF(B1082:B1093,"&gt;0"))=0,0,(COUNTIF(B1082:B1093,"&gt;0")))&gt;Grundlagen!$C$24,Grundlagen!$C$24,IF((COUNTIF(B1082:B1093,"&gt;0"))=0,"",(COUNTIF(B1082:B1093,"&gt;0"))))</f>
        <v/>
      </c>
      <c r="N1067" s="85">
        <f>IF(N1066="","",N1066)</f>
        <v>0</v>
      </c>
      <c r="O1067" s="58" t="str">
        <f>'päd.Personal - Leitung'!$O$11</f>
        <v>Jun               Dez</v>
      </c>
      <c r="P1067" s="85">
        <f t="shared" si="120"/>
        <v>0</v>
      </c>
    </row>
    <row r="1068" spans="1:16" s="1" customFormat="1" ht="13.5" customHeight="1" x14ac:dyDescent="0.2">
      <c r="I1068" s="6"/>
      <c r="L1068" s="147" t="str">
        <f>IF((SUM(F1070:F1073))=0,"",IF(P1068&gt;L1064,L1064,IF(L1064="","",IF(L1067="","",P1068))))</f>
        <v/>
      </c>
      <c r="O1068" s="174" t="s">
        <v>251</v>
      </c>
      <c r="P1068" s="175">
        <f>IF(L1067="",0,((IF(SUMIF(B1082,"&gt;0"),N1062,0))+(IF(SUMIF(B1083,"&gt;0"),N1063,0))+(IF(SUMIF(B1084,"&gt;0"),N1064,0))+(IF(SUMIF(B1085,"&gt;0"),N1065,0))+(IF(SUMIF(B1086,"&gt;0"),N1066,0))+(IF(SUMIF(B1087,"&gt;0"),N1067,0))+(IF(SUMIF(B1088,"&gt;0"),P1062,0))+(IF(SUMIF(B1089,"&gt;0"),P1063,0))+(IF(SUMIF(B1090,"&gt;0"),P1064,0))+(IF(SUMIF(B1091,"&gt;0"),P1065,0))+(IF(SUMIF(B1092,"&gt;0"),P1066,0))+(IF(SUMIF(B1093,"&gt;0"),P1067,0)))/Grundlagen!$C$24)</f>
        <v>0</v>
      </c>
    </row>
    <row r="1069" spans="1:16" s="52" customFormat="1" ht="13.5" customHeight="1" x14ac:dyDescent="0.2">
      <c r="A1069" s="61" t="s">
        <v>148</v>
      </c>
      <c r="B1069" s="1168" t="s">
        <v>149</v>
      </c>
      <c r="C1069" s="1168"/>
      <c r="D1069" s="62" t="s">
        <v>150</v>
      </c>
      <c r="E1069" s="63" t="s">
        <v>151</v>
      </c>
      <c r="F1069" s="64" t="str">
        <f>CONCATENATE("Entg. ",N1059," h/Wo")</f>
        <v>Entg.  h/Wo</v>
      </c>
      <c r="G1069" s="65" t="s">
        <v>152</v>
      </c>
      <c r="H1069" s="65" t="s">
        <v>153</v>
      </c>
      <c r="K1069" s="1169" t="str">
        <f>CONCATENATE("Zuschläge / Zulagen für ",N1059,"h/Wo")</f>
        <v>Zuschläge / Zulagen für h/Wo</v>
      </c>
      <c r="L1069" s="1169"/>
      <c r="M1069" s="66" t="str">
        <f>IF(A1070="","",A1070)</f>
        <v>Jan 2022</v>
      </c>
      <c r="N1069" s="66" t="str">
        <f>IF(A1071="","",A1071)</f>
        <v/>
      </c>
      <c r="O1069" s="66" t="str">
        <f>IF(A1072="","",A1072)</f>
        <v/>
      </c>
      <c r="P1069" s="66" t="str">
        <f>IF(A1073="","",A1073)</f>
        <v/>
      </c>
    </row>
    <row r="1070" spans="1:16" s="52" customFormat="1" ht="13.5" customHeight="1" x14ac:dyDescent="0.25">
      <c r="A1070" s="54" t="str">
        <f>A1082</f>
        <v>Jan 2022</v>
      </c>
      <c r="B1070" s="1170" t="str">
        <f>IF($D$3="","",$D$3)</f>
        <v/>
      </c>
      <c r="C1070" s="1171"/>
      <c r="D1070" s="181"/>
      <c r="E1070" s="181"/>
      <c r="F1070" s="87"/>
      <c r="G1070" s="56">
        <f>IF(N1059="",0,F1070/N1059/4.348)</f>
        <v>0</v>
      </c>
      <c r="H1070" s="53">
        <f>IF(G1070=0,0,M1075)</f>
        <v>0</v>
      </c>
      <c r="K1070" s="1146"/>
      <c r="L1070" s="1146"/>
      <c r="M1070" s="172"/>
      <c r="N1070" s="172"/>
      <c r="O1070" s="172"/>
      <c r="P1070" s="172"/>
    </row>
    <row r="1071" spans="1:16" s="52" customFormat="1" ht="13.5" customHeight="1" x14ac:dyDescent="0.25">
      <c r="A1071" s="55"/>
      <c r="B1071" s="1172" t="str">
        <f>IF(A1071="","",B1070)</f>
        <v/>
      </c>
      <c r="C1071" s="1173"/>
      <c r="D1071" s="181"/>
      <c r="E1071" s="181"/>
      <c r="F1071" s="87"/>
      <c r="G1071" s="56">
        <f>IF(N1059="",0,F1071/N1059/4.348)</f>
        <v>0</v>
      </c>
      <c r="H1071" s="53">
        <f>IF(G1071=0,0,N1075)</f>
        <v>0</v>
      </c>
      <c r="K1071" s="1146"/>
      <c r="L1071" s="1146"/>
      <c r="M1071" s="172"/>
      <c r="N1071" s="172"/>
      <c r="O1071" s="172"/>
      <c r="P1071" s="172"/>
    </row>
    <row r="1072" spans="1:16" s="52" customFormat="1" ht="13.5" customHeight="1" x14ac:dyDescent="0.25">
      <c r="A1072" s="55"/>
      <c r="B1072" s="1172" t="str">
        <f>IF(A1072="","",B1071)</f>
        <v/>
      </c>
      <c r="C1072" s="1173"/>
      <c r="D1072" s="181"/>
      <c r="E1072" s="181"/>
      <c r="F1072" s="87"/>
      <c r="G1072" s="56">
        <f>IF(N1059="",0,F1072/N1059/4.348)</f>
        <v>0</v>
      </c>
      <c r="H1072" s="53">
        <f>IF(G1072=0,0,O1075)</f>
        <v>0</v>
      </c>
      <c r="K1072" s="1146"/>
      <c r="L1072" s="1146"/>
      <c r="M1072" s="172"/>
      <c r="N1072" s="172"/>
      <c r="O1072" s="172"/>
      <c r="P1072" s="172"/>
    </row>
    <row r="1073" spans="1:16" s="52" customFormat="1" ht="13.5" customHeight="1" x14ac:dyDescent="0.25">
      <c r="A1073" s="55"/>
      <c r="B1073" s="1172" t="str">
        <f>IF(A1073="","",B1072)</f>
        <v/>
      </c>
      <c r="C1073" s="1173"/>
      <c r="D1073" s="181"/>
      <c r="E1073" s="181"/>
      <c r="F1073" s="87"/>
      <c r="G1073" s="56">
        <f>IF(N1059="",0,F1073/N1059/4.348)</f>
        <v>0</v>
      </c>
      <c r="H1073" s="53">
        <f>IF(G1073=0,0,P1075)</f>
        <v>0</v>
      </c>
      <c r="K1073" s="1146"/>
      <c r="L1073" s="1146"/>
      <c r="M1073" s="172"/>
      <c r="N1073" s="172"/>
      <c r="O1073" s="172"/>
      <c r="P1073" s="172"/>
    </row>
    <row r="1074" spans="1:16" s="52" customFormat="1" ht="13.5" customHeight="1" x14ac:dyDescent="0.25">
      <c r="B1074" s="1167" t="s">
        <v>157</v>
      </c>
      <c r="C1074" s="1167"/>
      <c r="E1074" s="1167" t="s">
        <v>156</v>
      </c>
      <c r="F1074" s="1167"/>
      <c r="J1074" s="69"/>
      <c r="K1074" s="1146"/>
      <c r="L1074" s="1146"/>
      <c r="M1074" s="172"/>
      <c r="N1074" s="172"/>
      <c r="O1074" s="172"/>
      <c r="P1074" s="172"/>
    </row>
    <row r="1075" spans="1:16" s="52" customFormat="1" ht="13.5" customHeight="1" x14ac:dyDescent="0.25">
      <c r="A1075" s="70" t="s">
        <v>167</v>
      </c>
      <c r="B1075" s="67"/>
      <c r="C1075" s="99" t="str">
        <f>IF(C1031="","",C1031)</f>
        <v/>
      </c>
      <c r="D1075" s="70" t="s">
        <v>167</v>
      </c>
      <c r="E1075" s="67"/>
      <c r="F1075" s="99" t="str">
        <f>IF(F1031="","",F1031)</f>
        <v/>
      </c>
      <c r="J1075" s="68"/>
      <c r="M1075" s="173">
        <f>SUM(M1070:M1074)</f>
        <v>0</v>
      </c>
      <c r="N1075" s="173">
        <f t="shared" ref="N1075:P1075" si="121">SUM(N1070:N1074)</f>
        <v>0</v>
      </c>
      <c r="O1075" s="173">
        <f t="shared" si="121"/>
        <v>0</v>
      </c>
      <c r="P1075" s="173">
        <f t="shared" si="121"/>
        <v>0</v>
      </c>
    </row>
    <row r="1076" spans="1:16" s="52" customFormat="1" ht="13.5" customHeight="1" x14ac:dyDescent="0.2">
      <c r="A1076" s="60" t="s">
        <v>155</v>
      </c>
    </row>
    <row r="1077" spans="1:16" s="1" customFormat="1" ht="14.25" customHeight="1" x14ac:dyDescent="0.2">
      <c r="A1077" s="1147"/>
      <c r="B1077" s="1149" t="s">
        <v>9</v>
      </c>
      <c r="C1077" s="1150"/>
      <c r="D1077" s="1150"/>
      <c r="E1077" s="1150"/>
      <c r="F1077" s="1150"/>
      <c r="G1077" s="1151"/>
      <c r="H1077" s="1152" t="s">
        <v>119</v>
      </c>
      <c r="I1077" s="1153"/>
      <c r="J1077" s="1153"/>
      <c r="K1077" s="1153"/>
      <c r="L1077" s="1153"/>
      <c r="M1077" s="1153"/>
      <c r="N1077" s="1153"/>
      <c r="O1077" s="33"/>
      <c r="P1077" s="1154" t="s">
        <v>0</v>
      </c>
    </row>
    <row r="1078" spans="1:16" s="1" customFormat="1" ht="14.25" customHeight="1" x14ac:dyDescent="0.2">
      <c r="A1078" s="1148"/>
      <c r="B1078" s="1157" t="s">
        <v>117</v>
      </c>
      <c r="C1078" s="124" t="s">
        <v>115</v>
      </c>
      <c r="D1078" s="1159" t="s">
        <v>277</v>
      </c>
      <c r="E1078" s="1161" t="s">
        <v>147</v>
      </c>
      <c r="F1078" s="127" t="s">
        <v>7</v>
      </c>
      <c r="G1078" s="1162" t="s">
        <v>6</v>
      </c>
      <c r="H1078" s="1161" t="s">
        <v>129</v>
      </c>
      <c r="I1078" s="1161" t="s">
        <v>5</v>
      </c>
      <c r="J1078" s="1161" t="s">
        <v>4</v>
      </c>
      <c r="K1078" s="1161" t="s">
        <v>3</v>
      </c>
      <c r="L1078" s="1161" t="s">
        <v>121</v>
      </c>
      <c r="M1078" s="1161" t="s">
        <v>122</v>
      </c>
      <c r="N1078" s="1161" t="s">
        <v>123</v>
      </c>
      <c r="O1078" s="1160" t="s">
        <v>114</v>
      </c>
      <c r="P1078" s="1155"/>
    </row>
    <row r="1079" spans="1:16" s="1" customFormat="1" ht="14.25" customHeight="1" x14ac:dyDescent="0.2">
      <c r="A1079" s="1148"/>
      <c r="B1079" s="1157"/>
      <c r="C1079" s="21" t="str">
        <f>IF(C1075="","",C1075)</f>
        <v/>
      </c>
      <c r="D1079" s="1160"/>
      <c r="E1079" s="1161"/>
      <c r="F1079" s="1165" t="str">
        <f>IF(H1070=0,"","siehe Zuschläge / Zulagen")</f>
        <v/>
      </c>
      <c r="G1079" s="1162"/>
      <c r="H1079" s="1164" t="s">
        <v>127</v>
      </c>
      <c r="I1079" s="1164"/>
      <c r="J1079" s="1164"/>
      <c r="K1079" s="1164"/>
      <c r="L1079" s="1164"/>
      <c r="M1079" s="1164"/>
      <c r="N1079" s="1164"/>
      <c r="O1079" s="1160"/>
      <c r="P1079" s="1155"/>
    </row>
    <row r="1080" spans="1:16" s="1" customFormat="1" x14ac:dyDescent="0.2">
      <c r="A1080" s="1148"/>
      <c r="B1080" s="1157"/>
      <c r="C1080" s="122" t="s">
        <v>70</v>
      </c>
      <c r="D1080" s="1160"/>
      <c r="E1080" s="1161"/>
      <c r="F1080" s="1165"/>
      <c r="G1080" s="1162"/>
      <c r="H1080" s="43" t="s">
        <v>128</v>
      </c>
      <c r="I1080" s="43" t="s">
        <v>255</v>
      </c>
      <c r="J1080" s="43" t="s">
        <v>256</v>
      </c>
      <c r="K1080" s="43" t="s">
        <v>257</v>
      </c>
      <c r="L1080" s="43"/>
      <c r="M1080" s="43"/>
      <c r="N1080" s="43" t="s">
        <v>254</v>
      </c>
      <c r="O1080" s="1160"/>
      <c r="P1080" s="1155"/>
    </row>
    <row r="1081" spans="1:16" s="1" customFormat="1" x14ac:dyDescent="0.2">
      <c r="A1081" s="1148"/>
      <c r="B1081" s="1158"/>
      <c r="C1081" s="21" t="str">
        <f>IF(F1075="","",F1075)</f>
        <v/>
      </c>
      <c r="D1081" s="51"/>
      <c r="E1081" s="51"/>
      <c r="F1081" s="1166"/>
      <c r="G1081" s="1163"/>
      <c r="H1081" s="93"/>
      <c r="I1081" s="139">
        <f>$I$69</f>
        <v>0</v>
      </c>
      <c r="J1081" s="139">
        <f>$J$69</f>
        <v>0</v>
      </c>
      <c r="K1081" s="44">
        <f>$K$69</f>
        <v>0</v>
      </c>
      <c r="L1081" s="21"/>
      <c r="M1081" s="21"/>
      <c r="N1081" s="139">
        <f>$N$69</f>
        <v>0</v>
      </c>
      <c r="O1081" s="21">
        <f>O1037</f>
        <v>0</v>
      </c>
      <c r="P1081" s="1156"/>
    </row>
    <row r="1082" spans="1:16" s="1" customFormat="1" x14ac:dyDescent="0.2">
      <c r="A1082" s="100" t="str">
        <f>$A$26</f>
        <v>Jan 2022</v>
      </c>
      <c r="B1082" s="24">
        <f>ROUND(IF(N1062=0,0,(LOOKUP(2,1/(A1070:A1073=A1082),G1070:G1073))*N1062*4.348),2)</f>
        <v>0</v>
      </c>
      <c r="C1082" s="23">
        <f>ROUND(IFERROR(((LOOKUP(2,1/(B1075=A1082),((SUM(B1088:B1090)+SUM(F1088:F1090))/3)*C1075))),0)+IFERROR(((LOOKUP(2,1/(E1075=A1082),(B1094+F1094)*F1075))),0),2)</f>
        <v>0</v>
      </c>
      <c r="D1082" s="23">
        <f>ROUND(IF(B1082=0,0,D1081/L1063*N1062),2)</f>
        <v>0</v>
      </c>
      <c r="E1082" s="23">
        <f>ROUND(IF(B1082=0,0,E1081/N1059*N1062),2)</f>
        <v>0</v>
      </c>
      <c r="F1082" s="24">
        <f>ROUND(IF(N1062=0,0,(LOOKUP(2,1/(A1070:A1073=A1082),H1070:H1073))/N1059*N1062),2)</f>
        <v>0</v>
      </c>
      <c r="G1082" s="27">
        <f>SUM(B1082+C1082+E1082+F1082)</f>
        <v>0</v>
      </c>
      <c r="H1082" s="76">
        <f>ROUND(IF((SUM(B1082:F1082))&gt;L1097,L1097*H1081,SUM(B1082:F1082)*H1081),2)</f>
        <v>0</v>
      </c>
      <c r="I1082" s="76">
        <f>ROUND(IF((SUM(B1082:F1082))&gt;L1098,L1098*I1081,SUM(B1082:F1082)*I1081),2)</f>
        <v>0</v>
      </c>
      <c r="J1082" s="76">
        <f>ROUND(IF((SUM(B1082:F1082))&gt;L1098,L1098*J1081,SUM(B1082:F1082)*J1081),2)</f>
        <v>0</v>
      </c>
      <c r="K1082" s="76">
        <f>ROUND(IF((SUM(B1082:F1082))&gt;L1097,L1097*K1081,SUM(B1082:F1082)*K1081),2)</f>
        <v>0</v>
      </c>
      <c r="L1082" s="76">
        <f>ROUND(IF((SUM(B1082:F1082))&gt;L1098,L1098*L1081,(SUM(B1082:F1082)-C1082)*L1081),2)</f>
        <v>0</v>
      </c>
      <c r="M1082" s="76">
        <f>ROUND(IF((SUM(B1082:F1082))&gt;L1098,L1098*M1081,(SUM(B1082:F1082)-C1082)*M1081),2)</f>
        <v>0</v>
      </c>
      <c r="N1082" s="76">
        <f>ROUND(IF((SUM(B1082:F1082))&gt;L1098,L1098*N1081,SUM(B1082:F1082)*N1081),2)</f>
        <v>0</v>
      </c>
      <c r="O1082" s="23">
        <f>ROUND(SUM(B1082+C1082+F1082)*O1081,2)</f>
        <v>0</v>
      </c>
      <c r="P1082" s="27">
        <f>SUM(G1082:O1082)</f>
        <v>0</v>
      </c>
    </row>
    <row r="1083" spans="1:16" s="1" customFormat="1" x14ac:dyDescent="0.2">
      <c r="A1083" s="100" t="str">
        <f>$A$27</f>
        <v>Feb 2022</v>
      </c>
      <c r="B1083" s="24">
        <f>ROUND(IF(N1063=0,0,IFERROR(((LOOKUP(2,1/(A1070:A1073=A1083),G1070:G1073))*N1063*4.348),B1082/N1063*N1063)),2)</f>
        <v>0</v>
      </c>
      <c r="C1083" s="23">
        <f>ROUND(IFERROR(((LOOKUP(2,1/(B1075=A1083),((SUM(B1088:B1090)+SUM(F1088:F1090))/3)*C1075))),0)+IFERROR(((LOOKUP(2,1/(E1075=A1083),(B1094+F1094)*F1075))),0),2)</f>
        <v>0</v>
      </c>
      <c r="D1083" s="23">
        <f>ROUND(IF(B1083=0,0,D1081/L1063*N1063),2)</f>
        <v>0</v>
      </c>
      <c r="E1083" s="23">
        <f>ROUND(IF(B1083=0,0,E1081/N1059*N1063),2)</f>
        <v>0</v>
      </c>
      <c r="F1083" s="24">
        <f>ROUND(IF(N1063=0,0,IFERROR(((LOOKUP(2,1/(A1070:A1073=A1083),H1070:H1073))/N1059*N1063),F1082/N1063*N1063)),2)</f>
        <v>0</v>
      </c>
      <c r="G1083" s="27">
        <f t="shared" ref="G1083:G1093" si="122">SUM(B1083+C1083+E1083+F1083)</f>
        <v>0</v>
      </c>
      <c r="H1083" s="76">
        <f>ROUND(IF(SUM(B1082:F1082)&lt;(L1097*1),IF((SUM(B1082:F1083))&gt;(L1097*2),(((L1097*2)-(SUM(B1082:F1083)-C1082))*H1081)+((SUM(B1083:F1083)-C1082)*H1081),SUM(B1083:F1083)*H1081),IF(SUM(B1082:F1083)&gt;(L1097*2),L1097*H1081,SUM(B1083:F1083)*H1081)),2)</f>
        <v>0</v>
      </c>
      <c r="I1083" s="76">
        <f>ROUND(IF(SUM(B1082:F1082)&lt;(L1098*1),IF((SUM(B1082:F1083))&gt;(L1098*2),(((L1098*2)-(SUM(B1082:F1083)-C1082))*I1081)+((SUM(B1083:F1083)-C1082)*I1081),SUM(B1083:F1083)*I1081),IF(SUM(B1082:F1083)&gt;(L1098*2),L1098*I1081,SUM(B1083:F1083)*I1081)),2)</f>
        <v>0</v>
      </c>
      <c r="J1083" s="76">
        <f>ROUND(IF(SUM(B1082:F1082)&lt;(L1098*1),IF((SUM(B1082:F1083))&gt;(L1098*2),(((L1098*2)-(SUM(B1082:F1083)-C1082))*J1081)+((SUM(B1083:F1083)-C1082)*J1081),SUM(B1083:F1083)*J1081),IF(SUM(B1082:F1083)&gt;(L1098*2),L1098*J1081,SUM(B1083:F1083)*J1081)),2)</f>
        <v>0</v>
      </c>
      <c r="K1083" s="76">
        <f>ROUND(IF(SUM(B1082:F1082)&lt;(L1097*1),IF((SUM(B1082:F1083))&gt;(L1097*2),(((L1097*2)-(SUM(B1082:F1083)-C1082))*K1081)+((SUM(B1083:F1083)-C1082)*K1081),SUM(B1083:F1083)*K1081),IF(SUM(B1082:F1083)&gt;(L1097*2),L1097*K1081,SUM(B1083:F1083)*K1081)),2)</f>
        <v>0</v>
      </c>
      <c r="L1083" s="76">
        <f>ROUND(IF(SUM(B1082:F1082)&lt;(L1098*1),IF((SUM(B1082:F1083))&gt;(L1098*2),(((L1098*2)-(SUM(B1082:F1083)-C1083))*L1081)+((SUM(B1083:F1083)-C1083)*L1081),(SUM(B1083:F1083)-C1083)*L1081),IF(SUM(B1082:F1083)&gt;(L1098*2),L1098*L1081,SUM(B1083:F1083)*L1081)),2)</f>
        <v>0</v>
      </c>
      <c r="M1083" s="76">
        <f>ROUND(IF(SUM(B1082:F1082)&lt;(L1098*1),IF((SUM(B1082:F1083))&gt;(L1098*2),(((L1098*2)-(SUM(B1082:F1083)-C1083))*M1081)+((SUM(B1083:F1083)-C1083)*M1081),(SUM(B1083:F1083)-C1083)*M1081),IF(SUM(B1082:F1083)&gt;(L1098*2),L1098*M1081,SUM(B1083:F1083)*M1081)),2)</f>
        <v>0</v>
      </c>
      <c r="N1083" s="76">
        <f>ROUND(IF(SUM(B1082:F1082)&lt;(L1098*1),IF((SUM(B1082:F1083))&gt;(L1098*2),(((L1098*2)-(SUM(B1082:F1083)-C1082))*N1081)+((SUM(B1083:F1083)-C1082)*N1081),SUM(B1083:F1083)*N1081),IF(SUM(B1082:F1083)&gt;(L1098*2),L1098*N1081,SUM(B1083:F1083)*N1081)),2)</f>
        <v>0</v>
      </c>
      <c r="O1083" s="23">
        <f>ROUND(SUM(B1083+C1083+F1083)*O1081,2)</f>
        <v>0</v>
      </c>
      <c r="P1083" s="27">
        <f>SUM(G1083:O1083)</f>
        <v>0</v>
      </c>
    </row>
    <row r="1084" spans="1:16" s="1" customFormat="1" x14ac:dyDescent="0.2">
      <c r="A1084" s="100" t="str">
        <f>$A$28</f>
        <v>Mrz 2022</v>
      </c>
      <c r="B1084" s="24">
        <f>ROUND(IF(N1064=0,0,IFERROR(((LOOKUP(2,1/(A1070:A1073=A1084),G1070:G1073))*N1064*4.348),B1083/N1064*N1064)),2)</f>
        <v>0</v>
      </c>
      <c r="C1084" s="23">
        <f>ROUND(IFERROR(((LOOKUP(2,1/(B1075=A1084),((SUM(B1088:B1090)+SUM(F1088:F1090))/3)*C1075))),0)+IFERROR(((LOOKUP(2,1/(E1075=A1084),(B1094+F1094)*F1075))),0),2)</f>
        <v>0</v>
      </c>
      <c r="D1084" s="23">
        <f>ROUND(IF(B1084=0,0,D1081/L1063*N1064),2)</f>
        <v>0</v>
      </c>
      <c r="E1084" s="23">
        <f>ROUND(IF(B1084=0,0,E1081/N1059*N1064),2)</f>
        <v>0</v>
      </c>
      <c r="F1084" s="24">
        <f>ROUND(IF(N1064=0,0,IFERROR(((LOOKUP(2,1/(A1070:A1073=A1084),H1070:H1073))/N1059*N1064),F1083/N1064*N1064)),2)</f>
        <v>0</v>
      </c>
      <c r="G1084" s="27">
        <f t="shared" si="122"/>
        <v>0</v>
      </c>
      <c r="H1084" s="76">
        <f>ROUND(IF(SUM(B1082:F1083)&lt;(L1097*2),IF((SUM(B1082:F1084))&gt;(L1097*3),(((L1097*3)-(SUM(B1082:F1084)-C1083))*H1081)+((SUM(B1084:F1084)-C1083)*H1081),SUM(B1084:F1084)*H1081),IF(SUM(B1082:F1084)&gt;(L1097*3),L1097*H1081,SUM(B1084:F1084)*H1081)),2)</f>
        <v>0</v>
      </c>
      <c r="I1084" s="76">
        <f>ROUND(IF(SUM(B1082:F1083)&lt;(L1098*2),IF((SUM(B1082:F1084))&gt;(L1098*3),(((L1098*3)-(SUM(B1082:F1084)-C1083))*I1081)+((SUM(B1084:F1084)-C1083)*I1081),SUM(B1084:F1084)*I1081),IF(SUM(B1082:F1084)&gt;(L1098*3),L1098*I1081,SUM(B1084:F1084)*I1081)),2)</f>
        <v>0</v>
      </c>
      <c r="J1084" s="76">
        <f>ROUND(IF(SUM(B1082:F1083)&lt;(L1098*2),IF((SUM(B1082:F1084))&gt;(L1098*3),(((L1098*3)-(SUM(B1082:F1084)-C1083))*J1081)+((SUM(B1084:F1084)-C1083)*J1081),SUM(B1084:F1084)*J1081),IF(SUM(B1082:F1084)&gt;(L1098*3),L1098*J1081,SUM(B1084:F1084)*J1081)),2)</f>
        <v>0</v>
      </c>
      <c r="K1084" s="76">
        <f>ROUND(IF(SUM(B1082:F1083)&lt;(L1097*2),IF((SUM(B1082:F1084))&gt;(L1097*3),(((L1097*3)-(SUM(B1082:F1084)-C1083))*K1081)+((SUM(B1084:F1084)-C1083)*K1081),SUM(B1084:F1084)*K1081),IF(SUM(B1082:F1084)&gt;(L1097*3),L1097*K1081,SUM(B1084:F1084)*K1081)),2)</f>
        <v>0</v>
      </c>
      <c r="L1084" s="76">
        <f>ROUND(IF(SUM(B1082:F1083)&lt;(L1098*2),IF((SUM(B1082:F1084))&gt;(L1098*3),(((L1098*3)-(SUM(B1082:F1084)-C1084))*L1081)+((SUM(B1084:F1084)-C1084)*L1081),(SUM(B1084:F1084)-C1084)*L1081),IF(SUM(B1082:F1084)&gt;(L1098*3),L1098*L1081,SUM(B1084:F1084)*L1081)),2)</f>
        <v>0</v>
      </c>
      <c r="M1084" s="76">
        <f>ROUND(IF(SUM(B1082:F1083)&lt;(L1098*2),IF((SUM(B1082:F1084))&gt;(L1098*3),(((L1098*3)-(SUM(B1082:F1084)-C1084))*M1081)+((SUM(B1084:F1084)-C1084)*M1081),(SUM(B1084:F1084)-C1084)*M1081),IF(SUM(B1082:F1084)&gt;(L1098*3),L1098*M1081,SUM(B1084:F1084)*M1081)),2)</f>
        <v>0</v>
      </c>
      <c r="N1084" s="76">
        <f>ROUND(IF(SUM(B1082:F1083)&lt;(L1098*2),IF((SUM(B1082:F1084))&gt;(L1098*3),(((L1098*3)-(SUM(B1082:F1084)-C1083))*N1081)+((SUM(B1084:F1084)-C1083)*N1081),SUM(B1084:F1084)*N1081),IF(SUM(B1082:F1084)&gt;(L1098*3),L1098*N1081,SUM(B1084:F1084)*N1081)),2)</f>
        <v>0</v>
      </c>
      <c r="O1084" s="23">
        <f>ROUND(SUM(B1084+C1084+F1084)*O1081,2)</f>
        <v>0</v>
      </c>
      <c r="P1084" s="27">
        <f t="shared" ref="P1084:P1093" si="123">SUM(G1084:O1084)</f>
        <v>0</v>
      </c>
    </row>
    <row r="1085" spans="1:16" s="1" customFormat="1" x14ac:dyDescent="0.2">
      <c r="A1085" s="100" t="str">
        <f>$A$29</f>
        <v>Apr 2022</v>
      </c>
      <c r="B1085" s="24">
        <f>ROUND(IF(N1065=0,0,IFERROR(((LOOKUP(2,1/(A1070:A1073=A1085),G1070:G1073))*N1065*4.348),B1084/N1065*N1065)),2)</f>
        <v>0</v>
      </c>
      <c r="C1085" s="23">
        <f>ROUND(IFERROR(((LOOKUP(2,1/(B1075=A1085),((SUM(B1088:B1090)+SUM(F1088:F1090))/3)*C1075))),0)+IFERROR(((LOOKUP(2,1/(E1075=A1085),(B1094+F1094)*F1075))),0),2)</f>
        <v>0</v>
      </c>
      <c r="D1085" s="23">
        <f>ROUND(IF(B1085=0,0,D1081/L1063*N1065),2)</f>
        <v>0</v>
      </c>
      <c r="E1085" s="23">
        <f>ROUND(IF(B1085=0,0,E1081/N1059*N1065),2)</f>
        <v>0</v>
      </c>
      <c r="F1085" s="24">
        <f>ROUND(IF(N1065=0,0,IFERROR(((LOOKUP(2,1/(A1070:A1073=A1085),H1070:H1073))/N1059*N1065),F1084/N1065*N1065)),2)</f>
        <v>0</v>
      </c>
      <c r="G1085" s="27">
        <f t="shared" si="122"/>
        <v>0</v>
      </c>
      <c r="H1085" s="76">
        <f>ROUND(IF(SUM(B1082:F1084)&lt;(L1097*3),IF((SUM(B1082:F1085))&gt;(L1097*4),(((L1097*4)-(SUM(B1082:F1085)-C1084))*H1081)+((SUM(B1085:F1085)-C1084)*H1081),SUM(B1085:F1085)*H1081),IF(SUM(B1082:F1085)&gt;(L1097*4),L1097*H1081,SUM(B1085:F1085)*H1081)),2)</f>
        <v>0</v>
      </c>
      <c r="I1085" s="76">
        <f>ROUND(IF(SUM(B1082:F1084)&lt;(L1098*3),IF((SUM(B1082:F1085))&gt;(L1098*4),(((L1098*4)-(SUM(B1082:F1085)-C1084))*I1081)+((SUM(B1085:F1085)-C1084)*I1081),SUM(B1085:F1085)*I1081),IF(SUM(B1082:F1085)&gt;(L1098*4),L1098*I1081,SUM(B1085:F1085)*I1081)),2)</f>
        <v>0</v>
      </c>
      <c r="J1085" s="76">
        <f>ROUND(IF(SUM(B1082:F1084)&lt;(L1098*3),IF((SUM(B1082:F1085))&gt;(L1098*4),(((L1098*4)-(SUM(B1082:F1085)-C1084))*J1081)+((SUM(B1085:F1085)-C1084)*J1081),SUM(B1085:F1085)*J1081),IF(SUM(B1082:F1085)&gt;(L1098*4),L1098*J1081,SUM(B1085:F1085)*J1081)),2)</f>
        <v>0</v>
      </c>
      <c r="K1085" s="76">
        <f>ROUND(IF(SUM(B1082:F1084)&lt;(L1097*3),IF((SUM(B1082:F1085))&gt;(L1097*4),(((L1097*4)-(SUM(B1082:F1085)-C1084))*K1081)+((SUM(B1085:F1085)-C1084)*K1081),SUM(B1085:F1085)*K1081),IF(SUM(B1082:F1085)&gt;(L1097*4),L1097*K1081,SUM(B1085:F1085)*K1081)),2)</f>
        <v>0</v>
      </c>
      <c r="L1085" s="76">
        <f>ROUND(IF(SUM(B1082:F1084)&lt;(L1098*3),IF((SUM(B1082:F1085))&gt;(L1098*4),(((L1098*4)-(SUM(B1082:F1085)-C1085))*L1081)+((SUM(B1085:F1085)-C1085)*L1081),(SUM(B1085:F1085)-C1085)*L1081),IF(SUM(B1082:F1085)&gt;(L1098*4),L1098*L1081,SUM(B1085:F1085)*L1081)),2)</f>
        <v>0</v>
      </c>
      <c r="M1085" s="76">
        <f>ROUND(IF(SUM(B1082:F1084)&lt;(L1098*3),IF((SUM(B1082:F1085))&gt;(L1098*4),(((L1098*4)-(SUM(B1082:F1085)-C1085))*M1081)+((SUM(B1085:F1085)-C1085)*M1081),(SUM(B1085:F1085)-C1085)*M1081),IF(SUM(B1082:F1085)&gt;(L1098*4),L1098*M1081,SUM(B1085:F1085)*M1081)),2)</f>
        <v>0</v>
      </c>
      <c r="N1085" s="76">
        <f>ROUND(IF(SUM(B1082:F1084)&lt;(L1098*3),IF((SUM(B1082:F1085))&gt;(L1098*4),(((L1098*4)-(SUM(B1082:F1085)-C1084))*N1081)+((SUM(B1085:F1085)-C1084)*N1081),SUM(B1085:F1085)*N1081),IF(SUM(B1082:F1085)&gt;(L1098*4),L1098*N1081,SUM(B1085:F1085)*N1081)),2)</f>
        <v>0</v>
      </c>
      <c r="O1085" s="23">
        <f>ROUND(SUM(B1085+C1085+F1085)*O1081,2)</f>
        <v>0</v>
      </c>
      <c r="P1085" s="27">
        <f t="shared" si="123"/>
        <v>0</v>
      </c>
    </row>
    <row r="1086" spans="1:16" s="1" customFormat="1" x14ac:dyDescent="0.2">
      <c r="A1086" s="100" t="str">
        <f>$A$30</f>
        <v>Mai 2022</v>
      </c>
      <c r="B1086" s="24">
        <f>ROUND(IF(N1066=0,0,IFERROR(((LOOKUP(2,1/(A1070:A1073=A1086),G1070:G1073))*N1066*4.348),B1085/N1066*N1066)),2)</f>
        <v>0</v>
      </c>
      <c r="C1086" s="23">
        <f>ROUND(IFERROR(((LOOKUP(2,1/(B1075=A1086),((SUM(B1088:B1090)+SUM(F1088:F1090))/3)*C1075))),0)+IFERROR(((LOOKUP(2,1/(E1075=A1086),(B1094+F1094)*F1075))),0),2)</f>
        <v>0</v>
      </c>
      <c r="D1086" s="23">
        <f>ROUND(IF(B1086=0,0,D1081/L1063*N1066),2)</f>
        <v>0</v>
      </c>
      <c r="E1086" s="23">
        <f>ROUND(IF(B1086=0,0,E1081/N1059*N1066),2)</f>
        <v>0</v>
      </c>
      <c r="F1086" s="24">
        <f>ROUND(IF(N1066=0,0,IFERROR(((LOOKUP(2,1/(A1070:A1073=A1086),H1070:H1073))/N1059*N1066),F1085/N1066*N1066)),2)</f>
        <v>0</v>
      </c>
      <c r="G1086" s="27">
        <f t="shared" si="122"/>
        <v>0</v>
      </c>
      <c r="H1086" s="76">
        <f>ROUND(IF(SUM(B1082:F1085)&lt;(L1097*4),IF((SUM(B1082:F1086))&gt;(L1097*5),(((L1097*5)-(SUM(B1082:F1086)-C1085))*H1081)+((SUM(B1086:F1086)-C1085)*H1081),SUM(B1086:F1086)*H1081),IF(SUM(B1082:F1086)&gt;(L1097*5),L1097*H1081,SUM(B1086:F1086)*H1081)),2)</f>
        <v>0</v>
      </c>
      <c r="I1086" s="76">
        <f>ROUND(IF(SUM(B1082:F1085)&lt;(L1098*4),IF((SUM(B1082:F1086))&gt;(L1098*5),(((L1098*5)-(SUM(B1082:F1086)-C1085))*I1081)+((SUM(B1086:F1086)-C1085)*I1081),SUM(B1086:F1086)*I1081),IF(SUM(B1082:F1086)&gt;(L1098*5),L1098*I1081,SUM(B1086:F1086)*I1081)),2)</f>
        <v>0</v>
      </c>
      <c r="J1086" s="76">
        <f>ROUND(IF(SUM(B1082:F1085)&lt;(L1098*4),IF((SUM(B1082:F1086))&gt;(L1098*5),(((L1098*5)-(SUM(B1082:F1086)-C1085))*J1081)+((SUM(B1086:F1086)-C1085)*J1081),SUM(B1086:F1086)*J1081),IF(SUM(B1082:F1086)&gt;(L1098*5),L1098*J1081,SUM(B1086:F1086)*J1081)),2)</f>
        <v>0</v>
      </c>
      <c r="K1086" s="76">
        <f>ROUND(IF(SUM(B1082:F1085)&lt;(L1097*4),IF((SUM(B1082:F1086))&gt;(L1097*5),(((L1097*5)-(SUM(B1082:F1086)-C1085))*K1081)+((SUM(B1086:F1086)-C1085)*K1081),SUM(B1086:F1086)*K1081),IF(SUM(B1082:F1086)&gt;(L1097*5),L1097*K1081,SUM(B1086:F1086)*K1081)),2)</f>
        <v>0</v>
      </c>
      <c r="L1086" s="76">
        <f>ROUND(IF(SUM(B1082:F1085)&lt;(L1098*4),IF((SUM(B1082:F1086))&gt;(L1098*5),(((L1098*5)-(SUM(B1082:F1086)-C1086))*L1081)+((SUM(B1086:F1086)-C1086)*L1081),(SUM(B1086:F1086)-C1086)*L1081),IF(SUM(B1082:F1086)&gt;(L1098*5),L1098*L1081,SUM(B1086:F1086)*L1081)),2)</f>
        <v>0</v>
      </c>
      <c r="M1086" s="76">
        <f>ROUND(IF(SUM(B1082:F1085)&lt;(L1098*4),IF((SUM(B1082:F1086))&gt;(L1098*5),(((L1098*5)-(SUM(B1082:F1086)-C1086))*M1081)+((SUM(B1086:F1086)-C1086)*M1081),(SUM(B1086:F1086)-C1086)*M1081),IF(SUM(B1082:F1086)&gt;(L1098*5),L1098*M1081,SUM(B1086:F1086)*M1081)),2)</f>
        <v>0</v>
      </c>
      <c r="N1086" s="76">
        <f>ROUND(IF(SUM(B1082:F1085)&lt;(L1098*4),IF((SUM(B1082:F1086))&gt;(L1098*5),(((L1098*5)-(SUM(B1082:F1086)-C1085))*N1081)+((SUM(B1086:F1086)-C1085)*N1081),SUM(B1086:F1086)*N1081),IF(SUM(B1082:F1086)&gt;(L1098*5),L1098*N1081,SUM(B1086:F1086)*N1081)),2)</f>
        <v>0</v>
      </c>
      <c r="O1086" s="23">
        <f>ROUND(SUM(B1086+C1086+F1086)*O1081,2)</f>
        <v>0</v>
      </c>
      <c r="P1086" s="27">
        <f t="shared" si="123"/>
        <v>0</v>
      </c>
    </row>
    <row r="1087" spans="1:16" s="1" customFormat="1" x14ac:dyDescent="0.2">
      <c r="A1087" s="100" t="str">
        <f>$A$31</f>
        <v>Jun 2022</v>
      </c>
      <c r="B1087" s="24">
        <f>ROUND(IF(N1067=0,0,IFERROR(((LOOKUP(2,1/(A1070:A1073=A1087),G1070:G1073))*N1067*4.348),B1086/N1067*N1067)),2)</f>
        <v>0</v>
      </c>
      <c r="C1087" s="23">
        <f>ROUND(IFERROR(((LOOKUP(2,1/(B1075=A1087),((SUM(B1088:B1090)+SUM(F1088:F1090))/3)*C1075))),0)+IFERROR(((LOOKUP(2,1/(E1075=A1087),(B1094+F1094)*F1075))),0),2)</f>
        <v>0</v>
      </c>
      <c r="D1087" s="23">
        <f>ROUND(IF(B1087=0,0,D1081/L1063*N1067),2)</f>
        <v>0</v>
      </c>
      <c r="E1087" s="23">
        <f>ROUND(IF(B1087=0,0,E1081/N1059*N1067),2)</f>
        <v>0</v>
      </c>
      <c r="F1087" s="24">
        <f>ROUND(IF(N1067=0,0,IFERROR(((LOOKUP(2,1/(A1070:A1073=A1087),H1070:H1073))/N1059*N1067),F1086/N1067*N1067)),2)</f>
        <v>0</v>
      </c>
      <c r="G1087" s="27">
        <f t="shared" si="122"/>
        <v>0</v>
      </c>
      <c r="H1087" s="76">
        <f>ROUND(IF(SUM(B1082:F1086)&lt;(L1097*5),IF((SUM(B1082:F1087))&gt;(L1097*6),(((L1097*6)-(SUM(B1082:F1087)-C1086))*H1081)+((SUM(B1087:F1087)-C1086)*H1081),SUM(B1087:F1087)*H1081),IF(SUM(B1082:F1087)&gt;(L1097*6),L1097*H1081,SUM(B1087:F1087)*H1081)),2)</f>
        <v>0</v>
      </c>
      <c r="I1087" s="76">
        <f>ROUND(IF(SUM(B1082:F1086)&lt;(L1098*5),IF((SUM(B1082:F1087))&gt;(L1098*6),(((L1098*6)-(SUM(B1082:F1087)-C1086))*I1081)+((SUM(B1087:F1087)-C1086)*I1081),SUM(B1087:F1087)*I1081),IF(SUM(B1082:F1087)&gt;(L1098*6),L1098*I1081,SUM(B1087:F1087)*I1081)),2)</f>
        <v>0</v>
      </c>
      <c r="J1087" s="76">
        <f>ROUND(IF(SUM(B1082:F1086)&lt;(L1098*5),IF((SUM(B1082:F1087))&gt;(L1098*6),(((L1098*6)-(SUM(B1082:F1087)-C1086))*J1081)+((SUM(B1087:F1087)-C1086)*J1081),SUM(B1087:F1087)*J1081),IF(SUM(B1082:F1087)&gt;(L1098*6),L1098*J1081,SUM(B1087:F1087)*J1081)),2)</f>
        <v>0</v>
      </c>
      <c r="K1087" s="76">
        <f>ROUND(IF(SUM(B1082:F1086)&lt;(L1097*5),IF((SUM(B1082:F1087))&gt;(L1097*6),(((L1097*6)-(SUM(B1082:F1087)-C1086))*K1081)+((SUM(B1087:F1087)-C1086)*K1081),SUM(B1087:F1087)*K1081),IF(SUM(B1082:F1087)&gt;(L1097*6),L1097*K1081,SUM(B1087:F1087)*K1081)),2)</f>
        <v>0</v>
      </c>
      <c r="L1087" s="76">
        <f>ROUND(IF(SUM(B1082:F1086)&lt;(L1098*5),IF((SUM(B1082:F1087))&gt;(L1098*6),(((L1098*6)-(SUM(B1082:F1087)-C1087))*L1081)+((SUM(B1087:F1087)-C1087)*L1081),(SUM(B1087:F1087)-C1087)*L1081),IF(SUM(B1082:F1087)&gt;(L1098*6),L1098*L1081,SUM(B1087:F1087)*L1081)),2)</f>
        <v>0</v>
      </c>
      <c r="M1087" s="76">
        <f>ROUND(IF(SUM(B1082:F1086)&lt;(L1098*5),IF((SUM(B1082:F1087))&gt;(L1098*6),(((L1098*6)-(SUM(B1082:F1087)-C1087))*M1081)+((SUM(B1087:F1087)-C1087)*M1081),(SUM(B1087:F1087)-C1087)*M1081),IF(SUM(B1082:F1087)&gt;(L1098*6),L1098*M1081,SUM(B1087:F1087)*M1081)),2)</f>
        <v>0</v>
      </c>
      <c r="N1087" s="76">
        <f>ROUND(IF(SUM(B1082:F1086)&lt;(L1098*5),IF((SUM(B1082:F1087))&gt;(L1098*6),(((L1098*6)-(SUM(B1082:F1087)-C1086))*N1081)+((SUM(B1087:F1087)-C1086)*N1081),SUM(B1087:F1087)*N1081),IF(SUM(B1082:F1087)&gt;(L1098*6),L1098*N1081,SUM(B1087:F1087)*N1081)),2)</f>
        <v>0</v>
      </c>
      <c r="O1087" s="23">
        <f>ROUND(SUM(B1087+C1087+F1087)*O1081,2)</f>
        <v>0</v>
      </c>
      <c r="P1087" s="27">
        <f t="shared" si="123"/>
        <v>0</v>
      </c>
    </row>
    <row r="1088" spans="1:16" s="1" customFormat="1" x14ac:dyDescent="0.2">
      <c r="A1088" s="100" t="str">
        <f>$A$32</f>
        <v>Jul 2022</v>
      </c>
      <c r="B1088" s="24">
        <f>ROUND(IF(P1062=0,0,IFERROR(((LOOKUP(2,1/(A1070:A1073=A1088),G1070:G1073))*P1062*4.348),B1087/P1062*P1062)),2)</f>
        <v>0</v>
      </c>
      <c r="C1088" s="23">
        <f>ROUND(IFERROR(((LOOKUP(2,1/(B1075=A1088),((SUM(B1088:B1090)+SUM(F1088:F1090))/3)*C1075))),0)+IFERROR(((LOOKUP(2,1/(E1075=A1088),(B1094+F1094)*F1075))),0),2)</f>
        <v>0</v>
      </c>
      <c r="D1088" s="23">
        <f>ROUND(IF(B1088=0,0,D1081/L1063*P1062),2)</f>
        <v>0</v>
      </c>
      <c r="E1088" s="23">
        <f>ROUND(IF(B1088=0,0,E1081/N1059*P1062),2)</f>
        <v>0</v>
      </c>
      <c r="F1088" s="24">
        <f>ROUND(IF(P1062=0,0,IFERROR(((LOOKUP(2,1/(A1070:A1073=A1088),H1070:H1073))/N1059*P1062),F1087/P1062*P1062)),2)</f>
        <v>0</v>
      </c>
      <c r="G1088" s="27">
        <f t="shared" si="122"/>
        <v>0</v>
      </c>
      <c r="H1088" s="76">
        <f>ROUND(IF(SUM(B1082:F1087)&lt;(L1097*6),IF((SUM(B1082:F1088))&gt;(L1097*7),(((L1097*7)-(SUM(B1082:F1088)-C1087))*H1081)+((SUM(B1088:F1088)-C1087)*H1081),SUM(B1088:F1088)*H1081),IF(SUM(B1082:F1088)&gt;(L1097*7),L1097*H1081,SUM(B1088:F1088)*H1081)),2)</f>
        <v>0</v>
      </c>
      <c r="I1088" s="76">
        <f>ROUND(IF(SUM(B1082:F1087)&lt;(L1098*6),IF((SUM(B1082:F1088))&gt;(L1098*7),(((L1098*7)-(SUM(B1082:F1088)-C1087))*I1081)+((SUM(B1088:F1088)-C1087)*I1081),SUM(B1088:F1088)*I1081),IF(SUM(B1082:F1088)&gt;(L1098*7),L1098*I1081,SUM(B1088:F1088)*I1081)),2)</f>
        <v>0</v>
      </c>
      <c r="J1088" s="76">
        <f>ROUND(IF(SUM(B1082:F1087)&lt;(L1098*6),IF((SUM(B1082:F1088))&gt;(L1098*7),(((L1098*7)-(SUM(B1082:F1088)-C1087))*J1081)+((SUM(B1088:F1088)-C1087)*J1081),SUM(B1088:F1088)*J1081),IF(SUM(B1082:F1088)&gt;(L1098*7),L1098*J1081,SUM(B1088:F1088)*J1081)),2)</f>
        <v>0</v>
      </c>
      <c r="K1088" s="76">
        <f>ROUND(IF(SUM(B1082:F1087)&lt;(L1097*6),IF((SUM(B1082:F1088))&gt;(L1097*7),(((L1097*7)-(SUM(B1082:F1088)-C1087))*K1081)+((SUM(B1088:F1088)-C1087)*K1081),SUM(B1088:F1088)*K1081),IF(SUM(B1082:F1088)&gt;(L1097*7),L1097*K1081,SUM(B1088:F1088)*K1081)),2)</f>
        <v>0</v>
      </c>
      <c r="L1088" s="76">
        <f>ROUND(IF(SUM(B1082:F1087)&lt;(L1098*6),IF((SUM(B1082:F1088))&gt;(L1098*7),(((L1098*7)-(SUM(B1082:F1088)-C1088))*L1081)+((SUM(B1088:F1088)-C1088)*L1081),(SUM(B1088:F1088)-C1088)*L1081),IF(SUM(B1082:F1088)&gt;(L1098*7),L1098*L1081,SUM(B1088:F1088)*L1081)),2)</f>
        <v>0</v>
      </c>
      <c r="M1088" s="76">
        <f>ROUND(IF(SUM(B1082:F1087)&lt;(L1098*6),IF((SUM(B1082:F1088))&gt;(L1098*7),(((L1098*7)-(SUM(B1082:F1088)-C1088))*M1081)+((SUM(B1088:F1088)-C1088)*M1081),(SUM(B1088:F1088)-C1088)*M1081),IF(SUM(B1082:F1088)&gt;(L1098*7),L1098*M1081,SUM(B1088:F1088)*M1081)),2)</f>
        <v>0</v>
      </c>
      <c r="N1088" s="76">
        <f>ROUND(IF(SUM(B1082:F1087)&lt;(L1098*6),IF((SUM(B1082:F1088))&gt;(L1098*7),(((L1098*7)-(SUM(B1082:F1088)-C1087))*N1081)+((SUM(B1088:F1088)-C1087)*N1081),SUM(B1088:F1088)*N1081),IF(SUM(B1082:F1088)&gt;(L1098*7),L1098*N1081,SUM(B1088:F1088)*N1081)),2)</f>
        <v>0</v>
      </c>
      <c r="O1088" s="23">
        <f>ROUND(SUM(B1088+C1088+F1088)*O1081,2)</f>
        <v>0</v>
      </c>
      <c r="P1088" s="27">
        <f t="shared" si="123"/>
        <v>0</v>
      </c>
    </row>
    <row r="1089" spans="1:16" s="1" customFormat="1" x14ac:dyDescent="0.2">
      <c r="A1089" s="100" t="str">
        <f>$A$33</f>
        <v>Aug 2022</v>
      </c>
      <c r="B1089" s="24">
        <f>ROUND(IF(P1063=0,0,IFERROR(((LOOKUP(2,1/(A1070:A1073=A1089),G1070:G1073))*P1063*4.348),B1088/P1063*P1063)),2)</f>
        <v>0</v>
      </c>
      <c r="C1089" s="23">
        <f>ROUND(IFERROR(((LOOKUP(2,1/(B1075=A1089),((SUM(B1088:B1090)+SUM(F1088:F1090))/3)*C1075))),0)+IFERROR(((LOOKUP(2,1/(E1075=A1089),(B1094+F1094)*F1075))),0),2)</f>
        <v>0</v>
      </c>
      <c r="D1089" s="23">
        <f>ROUND(IF(B1089=0,0,D1081/L1063*P1063),2)</f>
        <v>0</v>
      </c>
      <c r="E1089" s="23">
        <f>ROUND(IF(B1089=0,0,E1081/N1059*P1063),2)</f>
        <v>0</v>
      </c>
      <c r="F1089" s="24">
        <f>ROUND(IF(P1063=0,0,IFERROR(((LOOKUP(2,1/(A1070:A1073=A1089),H1070:H1073))/N1059*P1063),F1088/P1063*P1063)),2)</f>
        <v>0</v>
      </c>
      <c r="G1089" s="27">
        <f t="shared" si="122"/>
        <v>0</v>
      </c>
      <c r="H1089" s="76">
        <f>ROUND(IF(SUM(B1082:F1088)&lt;(L1097*7),IF((SUM(B1082:F1089))&gt;(L1097*8),(((L1097*8)-(SUM(B1082:F1089)-C1088))*H1081)+((SUM(B1089:F1089)-C1088)*H1081),SUM(B1089:F1089)*H1081),IF(SUM(B1082:F1089)&gt;(L1097*8),L1097*H1081,SUM(B1089:F1089)*H1081)),2)</f>
        <v>0</v>
      </c>
      <c r="I1089" s="76">
        <f>ROUND(IF(SUM(B1082:F1088)&lt;(L1098*7),IF((SUM(B1082:F1089))&gt;(L1098*8),(((L1098*8)-(SUM(B1082:F1089)-C1088))*I1081)+((SUM(B1089:F1089)-C1088)*I1081),SUM(B1089:F1089)*I1081),IF(SUM(B1082:F1089)&gt;(L1098*8),L1098*I1081,SUM(B1089:F1089)*I1081)),2)</f>
        <v>0</v>
      </c>
      <c r="J1089" s="76">
        <f>ROUND(IF(SUM(B1082:F1088)&lt;(L1098*7),IF((SUM(B1082:F1089))&gt;(L1098*8),(((L1098*8)-(SUM(B1082:F1089)-C1088))*J1081)+((SUM(B1089:F1089)-C1088)*J1081),SUM(B1089:F1089)*J1081),IF(SUM(B1082:F1089)&gt;(L1098*8),L1098*J1081,SUM(B1089:F1089)*J1081)),2)</f>
        <v>0</v>
      </c>
      <c r="K1089" s="76">
        <f>ROUND(IF(SUM(B1082:F1088)&lt;(L1097*7),IF((SUM(B1082:F1089))&gt;(L1097*8),(((L1097*8)-(SUM(B1082:F1089)-C1088))*K1081)+((SUM(B1089:F1089)-C1088)*K1081),SUM(B1089:F1089)*K1081),IF(SUM(B1082:F1089)&gt;(L1097*8),L1097*K1081,SUM(B1089:F1089)*K1081)),2)</f>
        <v>0</v>
      </c>
      <c r="L1089" s="76">
        <f>ROUND(IF(SUM(B1082:F1088)&lt;(L1098*7),IF((SUM(B1082:F1089))&gt;(L1098*8),(((L1098*8)-(SUM(B1082:F1089)-C1089))*L1081)+((SUM(B1089:F1089)-C1089)*L1081),(SUM(B1089:F1089)-C1089)*L1081),IF(SUM(B1082:F1089)&gt;(L1098*8),L1098*L1081,SUM(B1089:F1089)*L1081)),2)</f>
        <v>0</v>
      </c>
      <c r="M1089" s="76">
        <f>ROUND(IF(SUM(B1082:F1088)&lt;(L1098*7),IF((SUM(B1082:F1089))&gt;(L1098*8),(((L1098*8)-(SUM(B1082:F1089)-C1089))*M1081)+((SUM(B1089:F1089)-C1089)*M1081),(SUM(B1089:F1089)-C1089)*M1081),IF(SUM(B1082:F1089)&gt;(L1098*8),L1098*M1081,SUM(B1089:F1089)*M1081)),2)</f>
        <v>0</v>
      </c>
      <c r="N1089" s="76">
        <f>ROUND(IF(SUM(B1082:F1088)&lt;(L1098*7),IF((SUM(B1082:F1089))&gt;(L1098*8),(((L1098*8)-(SUM(B1082:F1089)-C1088))*N1081)+((SUM(B1089:F1089)-C1088)*N1081),SUM(B1089:F1089)*N1081),IF(SUM(B1082:F1089)&gt;(L1098*8),L1098*N1081,SUM(B1089:F1089)*N1081)),2)</f>
        <v>0</v>
      </c>
      <c r="O1089" s="23">
        <f>ROUND(SUM(B1089+C1089+F1089)*O1081,2)</f>
        <v>0</v>
      </c>
      <c r="P1089" s="27">
        <f t="shared" si="123"/>
        <v>0</v>
      </c>
    </row>
    <row r="1090" spans="1:16" s="1" customFormat="1" x14ac:dyDescent="0.2">
      <c r="A1090" s="100" t="str">
        <f>$A$34</f>
        <v>Sep 2022</v>
      </c>
      <c r="B1090" s="24">
        <f>ROUND(IF(P1064=0,0,IFERROR(((LOOKUP(2,1/(A1070:A1073=A1090),G1070:G1073))*P1064*4.348),B1089/P1064*P1064)),2)</f>
        <v>0</v>
      </c>
      <c r="C1090" s="23">
        <f>ROUND(IFERROR(((LOOKUP(2,1/(B1075=A1090),((SUM(B1088:B1090)+SUM(F1088:F1090))/3)*C1075))),0)+IFERROR(((LOOKUP(2,1/(E1075=A1090),(B1094+F1094)*F1075))),0),2)</f>
        <v>0</v>
      </c>
      <c r="D1090" s="23">
        <f>ROUND(IF(B1090=0,0,D1081/L1063*P1064),2)</f>
        <v>0</v>
      </c>
      <c r="E1090" s="23">
        <f>ROUND(IF(B1090=0,0,E1081/N1059*P1064),2)</f>
        <v>0</v>
      </c>
      <c r="F1090" s="24">
        <f>ROUND(IF(P1064=0,0,IFERROR(((LOOKUP(2,1/(A1070:A1073=A1090),H1070:H1073))/N1059*P1064),F1089/P1064*P1064)),2)</f>
        <v>0</v>
      </c>
      <c r="G1090" s="27">
        <f t="shared" si="122"/>
        <v>0</v>
      </c>
      <c r="H1090" s="76">
        <f>ROUND(IF(SUM(B1082:F1089)&lt;(L1097*8),IF((SUM(B1082:F1090))&gt;(L1097*9),(((L1097*9)-(SUM(B1082:F1090)-C1089))*H1081)+((SUM(B1090:F1090)-C1089)*H1081),SUM(B1090:F1090)*H1081),IF(SUM(B1082:F1090)&gt;(L1097*9),L1097*H1081,SUM(B1090:F1090)*H1081)),2)</f>
        <v>0</v>
      </c>
      <c r="I1090" s="76">
        <f>ROUND(IF(SUM(B1082:F1089)&lt;(L1098*8),IF((SUM(B1082:F1090))&gt;(L1098*9),(((L1098*9)-(SUM(B1082:F1090)-C1089))*I1081)+((SUM(B1090:F1090)-C1089)*I1081),SUM(B1090:F1090)*I1081),IF(SUM(B1082:F1090)&gt;(L1098*9),L1098*I1081,SUM(B1090:F1090)*I1081)),2)</f>
        <v>0</v>
      </c>
      <c r="J1090" s="76">
        <f>ROUND(IF(SUM(B1082:F1089)&lt;(L1098*8),IF((SUM(B1082:F1090))&gt;(L1098*9),(((L1098*9)-(SUM(B1082:F1090)-C1089))*J1081)+((SUM(B1090:F1090)-C1089)*J1081),SUM(B1090:F1090)*J1081),IF(SUM(B1082:F1090)&gt;(L1098*9),L1098*J1081,SUM(B1090:F1090)*J1081)),2)</f>
        <v>0</v>
      </c>
      <c r="K1090" s="76">
        <f>ROUND(IF(SUM(B1082:F1089)&lt;(L1097*8),IF((SUM(B1082:F1090))&gt;(L1097*9),(((L1097*9)-(SUM(B1082:F1090)-C1089))*K1081)+((SUM(B1090:F1090)-C1089)*K1081),SUM(B1090:F1090)*K1081),IF(SUM(B1082:F1090)&gt;(L1097*9),L1097*K1081,SUM(B1090:F1090)*K1081)),2)</f>
        <v>0</v>
      </c>
      <c r="L1090" s="76">
        <f>ROUND(IF(SUM(B1082:F1089)&lt;(L1098*8),IF((SUM(B1082:F1090))&gt;(L1098*9),(((L1098*9)-(SUM(B1082:F1090)-C1090))*L1081)+((SUM(B1090:F1090)-C1090)*L1081),(SUM(B1090:F1090)-C1090)*L1081),IF(SUM(B1082:F1090)&gt;(L1098*9),L1098*L1081,SUM(B1090:F1090)*L1081)),2)</f>
        <v>0</v>
      </c>
      <c r="M1090" s="76">
        <f>ROUND(IF(SUM(B1082:F1089)&lt;(L1098*8),IF((SUM(B1082:F1090))&gt;(L1098*9),(((L1098*9)-(SUM(B1082:F1090)-C1090))*M1081)+((SUM(B1090:F1090)-C1090)*M1081),(SUM(B1090:F1090)-C1090)*M1081),IF(SUM(B1082:F1090)&gt;(L1098*9),L1098*M1081,SUM(B1090:F1090)*M1081)),2)</f>
        <v>0</v>
      </c>
      <c r="N1090" s="76">
        <f>ROUND(IF(SUM(B1082:F1089)&lt;(L1098*8),IF((SUM(B1082:F1090))&gt;(L1098*9),(((L1098*9)-(SUM(B1082:F1090)-C1089))*N1081)+((SUM(B1090:F1090)-C1089)*N1081),SUM(B1090:F1090)*N1081),IF(SUM(B1082:F1090)&gt;(L1098*9),L1098*N1081,SUM(B1090:F1090)*N1081)),2)</f>
        <v>0</v>
      </c>
      <c r="O1090" s="23">
        <f>ROUND(SUM(B1090+C1090+F1090)*O1081,2)</f>
        <v>0</v>
      </c>
      <c r="P1090" s="27">
        <f t="shared" si="123"/>
        <v>0</v>
      </c>
    </row>
    <row r="1091" spans="1:16" s="1" customFormat="1" x14ac:dyDescent="0.2">
      <c r="A1091" s="100" t="str">
        <f>$A$35</f>
        <v>Okt 2022</v>
      </c>
      <c r="B1091" s="24">
        <f>ROUND(IF(P1065=0,0,IFERROR(((LOOKUP(2,1/(A1070:A1073=A1091),G1070:G1073))*P1065*4.348),B1090/P1065*P1065)),2)</f>
        <v>0</v>
      </c>
      <c r="C1091" s="23">
        <f>ROUND(IFERROR(((LOOKUP(2,1/(B1075=A1091),((SUM(B1088:B1090)+SUM(F1088:F1090))/3)*C1075))),0)+IFERROR(((LOOKUP(2,1/(E1075=A1091),(B1094+F1094)*F1075))),0),2)</f>
        <v>0</v>
      </c>
      <c r="D1091" s="23">
        <f>ROUND(IF(B1091=0,0,D1081/L1063*P1065),2)</f>
        <v>0</v>
      </c>
      <c r="E1091" s="23">
        <f>ROUND(IF(B1091=0,0,E1081/N1059*P1065),2)</f>
        <v>0</v>
      </c>
      <c r="F1091" s="24">
        <f>ROUND(IF(P1065=0,0,IFERROR(((LOOKUP(2,1/(A1070:A1073=A1091),H1070:H1073))/N1059*P1065),F1090/P1065*P1065)),2)</f>
        <v>0</v>
      </c>
      <c r="G1091" s="27">
        <f t="shared" si="122"/>
        <v>0</v>
      </c>
      <c r="H1091" s="76">
        <f>ROUND(IF(SUM(B1082:F1090)&lt;(L1097*9),IF((SUM(B1082:F1091))&gt;(L1097*10),(((L1097*10)-(SUM(B1082:F1091)-C1090))*H1081)+((SUM(B1091:F1091)-C1090)*H1081),SUM(B1091:F1091)*H1081),IF(SUM(B1082:F1091)&gt;(L1097*10),L1097*H1081,SUM(B1091:F1091)*H1081)),2)</f>
        <v>0</v>
      </c>
      <c r="I1091" s="76">
        <f>ROUND(IF(SUM(B1082:F1090)&lt;(L1098*9),IF((SUM(B1082:F1091))&gt;(L1098*10),(((L1098*10)-(SUM(B1082:F1091)-C1090))*I1081)+((SUM(B1091:F1091)-C1090)*I1081),SUM(B1091:F1091)*I1081),IF(SUM(B1082:F1091)&gt;(L1098*10),L1098*I1081,SUM(B1091:F1091)*I1081)),2)</f>
        <v>0</v>
      </c>
      <c r="J1091" s="76">
        <f>ROUND(IF(SUM(B1082:F1090)&lt;(L1098*9),IF((SUM(B1082:F1091))&gt;(L1098*10),(((L1098*10)-(SUM(B1082:F1091)-C1090))*J1081)+((SUM(B1091:F1091)-C1090)*J1081),SUM(B1091:F1091)*J1081),IF(SUM(B1082:F1091)&gt;(L1098*10),L1098*J1081,SUM(B1091:F1091)*J1081)),2)</f>
        <v>0</v>
      </c>
      <c r="K1091" s="76">
        <f>ROUND(IF(SUM(B1082:F1090)&lt;(L1097*9),IF((SUM(B1082:F1091))&gt;(L1097*10),(((L1097*10)-(SUM(B1082:F1091)-C1090))*K1081)+((SUM(B1091:F1091)-C1090)*K1081),SUM(B1091:F1091)*K1081),IF(SUM(B1082:F1091)&gt;(L1097*10),L1097*K1081,SUM(B1091:F1091)*K1081)),2)</f>
        <v>0</v>
      </c>
      <c r="L1091" s="76">
        <f>ROUND(IF(SUM(B1082:F1090)&lt;(L1098*9),IF((SUM(B1082:F1091))&gt;(L1098*10),(((L1098*10)-(SUM(B1082:F1091)-C1091))*L1081)+((SUM(B1091:F1091)-C1091)*L1081),(SUM(B1091:F1091)-C1091)*L1081),IF(SUM(B1082:F1091)&gt;(L1098*10),L1098*L1081,SUM(B1091:F1091)*L1081)),2)</f>
        <v>0</v>
      </c>
      <c r="M1091" s="76">
        <f>ROUND(IF(SUM(B1082:F1090)&lt;(L1098*9),IF((SUM(B1082:F1091))&gt;(L1098*10),(((L1098*10)-(SUM(B1082:F1091)-C1091))*M1081)+((SUM(B1091:F1091)-C1091)*M1081),(SUM(B1091:F1091)-C1091)*M1081),IF(SUM(B1082:F1091)&gt;(L1098*10),L1098*M1081,SUM(B1091:F1091)*M1081)),2)</f>
        <v>0</v>
      </c>
      <c r="N1091" s="76">
        <f>ROUND(IF(SUM(B1082:F1090)&lt;(L1098*9),IF((SUM(B1082:F1091))&gt;(L1098*10),(((L1098*10)-(SUM(B1082:F1091)-C1090))*N1081)+((SUM(B1091:F1091)-C1090)*N1081),SUM(B1091:F1091)*N1081),IF(SUM(B1082:F1091)&gt;(L1098*10),L1098*N1081,SUM(B1091:F1091)*N1081)),2)</f>
        <v>0</v>
      </c>
      <c r="O1091" s="23">
        <f>ROUND(SUM(B1091+C1091+F1091)*O1081,2)</f>
        <v>0</v>
      </c>
      <c r="P1091" s="27">
        <f t="shared" si="123"/>
        <v>0</v>
      </c>
    </row>
    <row r="1092" spans="1:16" s="1" customFormat="1" x14ac:dyDescent="0.2">
      <c r="A1092" s="100" t="str">
        <f>$A$36</f>
        <v>Nov 2022</v>
      </c>
      <c r="B1092" s="24">
        <f>ROUND(IF(P1066=0,0,IFERROR(((LOOKUP(2,1/(A1070:A1073=A1092),G1070:G1073))*P1066*4.348),B1091/P1066*P1066)),2)</f>
        <v>0</v>
      </c>
      <c r="C1092" s="23">
        <f>ROUND(IFERROR(((LOOKUP(2,1/(B1075=A1092),((SUM(B1088:B1090)+SUM(F1088:F1090))/3)*C1075))),0)+IFERROR(((LOOKUP(2,1/(E1075=A1092),(B1094+F1094)*F1075))),0),2)</f>
        <v>0</v>
      </c>
      <c r="D1092" s="23">
        <f>ROUND(IF(B1092=0,0,D1081/L1063*P1066),2)</f>
        <v>0</v>
      </c>
      <c r="E1092" s="23">
        <f>ROUND(IF(B1092=0,0,E1081/N1059*P1066),2)</f>
        <v>0</v>
      </c>
      <c r="F1092" s="24">
        <f>ROUND(IF(P1066=0,0,IFERROR(((LOOKUP(2,1/(A1070:A1073=A1092),H1070:H1073))/N1059*P1066),F1091/P1066*P1066)),2)</f>
        <v>0</v>
      </c>
      <c r="G1092" s="27">
        <f t="shared" si="122"/>
        <v>0</v>
      </c>
      <c r="H1092" s="76">
        <f>ROUND(IF(SUM(B1082:F1091)&lt;(L1097*10),IF((SUM(B1082:F1092))&gt;(L1097*11),(((L1097*11)-(SUM(B1082:F1092)-C1091))*H1081)+((SUM(B1092:F1092)-C1091)*H1081),SUM(B1092:F1092)*H1081),IF(SUM(B1082:F1092)&gt;(L1097*11),L1097*H1081,SUM(B1092:F1092)*H1081)),2)</f>
        <v>0</v>
      </c>
      <c r="I1092" s="76">
        <f>ROUND(IF(SUM(B1082:F1091)&lt;(L1098*10),IF((SUM(B1082:F1092))&gt;(L1098*11),(((L1098*11)-(SUM(B1082:F1092)-C1091))*I1081)+((SUM(B1092:F1092)-C1091)*I1081),SUM(B1092:F1092)*I1081),IF(SUM(B1082:F1092)&gt;(L1098*11),L1098*I1081,SUM(B1092:F1092)*I1081)),2)</f>
        <v>0</v>
      </c>
      <c r="J1092" s="76">
        <f>ROUND(IF(SUM(B1082:F1091)&lt;(L1098*10),IF((SUM(B1082:F1092))&gt;(L1098*11),(((L1098*11)-(SUM(B1082:F1092)-C1091))*J1081)+((SUM(B1092:F1092)-C1091)*J1081),SUM(B1092:F1092)*J1081),IF(SUM(B1082:F1092)&gt;(L1098*11),L1098*J1081,SUM(B1092:F1092)*J1081)),2)</f>
        <v>0</v>
      </c>
      <c r="K1092" s="76">
        <f>ROUND(IF(SUM(B1082:F1091)&lt;(L1097*10),IF((SUM(B1082:F1092))&gt;(L1097*11),(((L1097*11)-(SUM(B1082:F1092)-C1091))*K1081)+((SUM(B1092:F1092)-C1091)*K1081),SUM(B1092:F1092)*K1081),IF(SUM(B1082:F1092)&gt;(L1097*11),L1097*K1081,SUM(B1092:F1092)*K1081)),2)</f>
        <v>0</v>
      </c>
      <c r="L1092" s="76">
        <f>ROUND(IF(SUM(B1082:F1091)&lt;(L1098*10),IF((SUM(B1082:F1092))&gt;(L1098*11),(((L1098*11)-(SUM(B1082:F1092)-C1092))*L1081)+((SUM(B1092:F1092)-C1092)*L1081),(SUM(B1092:F1092)-C1092)*L1081),IF(SUM(B1082:F1092)&gt;(L1098*11),L1098*L1081,SUM(B1092:F1092)*L1081)),2)</f>
        <v>0</v>
      </c>
      <c r="M1092" s="76">
        <f>ROUND(IF(SUM(B1082:F1091)&lt;(L1098*10),IF((SUM(B1082:F1092))&gt;(L1098*11),(((L1098*11)-(SUM(B1082:F1092)-C1092))*M1081)+((SUM(B1092:F1092)-C1092)*M1081),(SUM(B1092:F1092)-C1092)*M1081),IF(SUM(B1082:F1092)&gt;(L1098*11),L1098*M1081,SUM(B1092:F1092)*M1081)),2)</f>
        <v>0</v>
      </c>
      <c r="N1092" s="76">
        <f>ROUND(IF(SUM(B1082:F1091)&lt;(L1098*10),IF((SUM(B1082:F1092))&gt;(L1098*11),(((L1098*11)-(SUM(B1082:F1092)-C1091))*N1081)+((SUM(B1092:F1092)-C1091)*N1081),SUM(B1092:F1092)*N1081),IF(SUM(B1082:F1092)&gt;(L1098*11),L1098*N1081,SUM(B1092:F1092)*N1081)),2)</f>
        <v>0</v>
      </c>
      <c r="O1092" s="23">
        <f>ROUND(SUM(B1092+C1092+F1092)*O1081,2)</f>
        <v>0</v>
      </c>
      <c r="P1092" s="27">
        <f t="shared" si="123"/>
        <v>0</v>
      </c>
    </row>
    <row r="1093" spans="1:16" s="1" customFormat="1" x14ac:dyDescent="0.2">
      <c r="A1093" s="100" t="str">
        <f>$A$37</f>
        <v>Dez 2022</v>
      </c>
      <c r="B1093" s="24">
        <f>ROUND(IF(P1067=0,0,IFERROR(((LOOKUP(2,1/(A1070:A1073=A1093),G1070:G1073))*P1067*4.348),B1092/P1067*P1067)),2)</f>
        <v>0</v>
      </c>
      <c r="C1093" s="23">
        <f>ROUND(IFERROR(((LOOKUP(2,1/(B1075=A1093),((SUM(B1088:B1090)+SUM(F1088:F1090))/3)*C1075))),0)+IFERROR(((LOOKUP(2,1/(E1075=A1093),(B1094+F1094)*F1075))),0),2)</f>
        <v>0</v>
      </c>
      <c r="D1093" s="23">
        <f>ROUND(IF(B1093=0,0,D1081/L1063*P1067),2)</f>
        <v>0</v>
      </c>
      <c r="E1093" s="23">
        <f>ROUND(IF(B1093=0,0,E1081/N1059*P1067),2)</f>
        <v>0</v>
      </c>
      <c r="F1093" s="24">
        <f>ROUND(IF(P1067=0,0,IFERROR(((LOOKUP(2,1/(A1070:A1073=A1093),H1070:H1073))/N1059*P1067),F1092/P1067*P1067)),2)</f>
        <v>0</v>
      </c>
      <c r="G1093" s="27">
        <f t="shared" si="122"/>
        <v>0</v>
      </c>
      <c r="H1093" s="76">
        <f>ROUND(IF(SUM(B1082:F1092)&lt;(L1097*11),IF((SUM(B1082:F1093))&gt;(L1097*12),(((L1097*12)-(SUM(B1082:F1093)-C1092))*H1081)+((SUM(B1093:F1093)-C1092)*H1081),SUM(B1093:F1093)*H1081),IF(SUM(B1082:F1093)&gt;(L1097*12),L1097*H1081,SUM(B1093:F1093)*H1081)),2)</f>
        <v>0</v>
      </c>
      <c r="I1093" s="76">
        <f>ROUND(IF(SUM(B1082:F1092)&lt;(L1098*11),IF((SUM(B1082:F1093))&gt;(L1098*12),(((L1098*12)-(SUM(B1082:F1093)-C1092))*I1081)+((SUM(B1093:F1093)-C1092)*I1081),SUM(B1093:F1093)*I1081),IF(SUM(B1082:F1093)&gt;(L1098*12),L1098*I1081,SUM(B1093:F1093)*I1081)),2)</f>
        <v>0</v>
      </c>
      <c r="J1093" s="76">
        <f>ROUND(IF(SUM(B1082:F1092)&lt;(L1098*11),IF((SUM(B1082:F1093))&gt;(L1098*12),(((L1098*12)-(SUM(B1082:F1093)-C1092))*J1081)+((SUM(B1093:F1093)-C1092)*J1081),SUM(B1093:F1093)*J1081),IF(SUM(B1082:F1093)&gt;(L1098*12),L1098*J1081,SUM(B1093:F1093)*J1081)),2)</f>
        <v>0</v>
      </c>
      <c r="K1093" s="76">
        <f>ROUND(IF(SUM(B1082:F1092)&lt;(L1097*11),IF((SUM(B1082:F1093))&gt;(L1097*12),(((L1097*12)-(SUM(B1082:F1093)-C1092))*K1081)+((SUM(B1093:F1093)-C1092)*K1081),SUM(B1093:F1093)*K1081),IF(SUM(B1082:F1093)&gt;(L1097*12),L1097*K1081,SUM(B1093:F1093)*K1081)),2)</f>
        <v>0</v>
      </c>
      <c r="L1093" s="76">
        <f>ROUND(IF(SUM(B1082:F1092)&lt;(L1098*11),IF((SUM(B1082:F1093))&gt;(L1098*12),(((L1098*12)-(SUM(B1082:F1093)-C1093))*L1081)+((SUM(B1093:F1093)-C1093)*L1081),(SUM(B1093:F1093)-C1093)*L1081),IF(SUM(B1082:F1093)&gt;(L1098*12),L1098*L1081,SUM(B1093:F1093)*L1081)),2)</f>
        <v>0</v>
      </c>
      <c r="M1093" s="76">
        <f>ROUND(IF(SUM(B1082:F1092)&lt;(L1098*11),IF((SUM(B1082:F1093))&gt;(L1098*12),(((L1098*12)-(SUM(B1082:F1093)-C1093))*M1081)+((SUM(B1093:F1093)-C1093)*M1081),(SUM(B1093:F1093)-C1093)*M1081),IF(SUM(B1082:F1093)&gt;(L1098*12),L1098*M1081,SUM(B1093:F1093)*M1081)),2)</f>
        <v>0</v>
      </c>
      <c r="N1093" s="76">
        <f>ROUND(IF(SUM(B1082:F1092)&lt;(L1098*11),IF((SUM(B1082:F1093))&gt;(L1098*12),(((L1098*12)-(SUM(B1082:F1093)-C1092))*N1081)+((SUM(B1093:F1093)-C1092)*N1081),SUM(B1093:F1093)*N1081),IF(SUM(B1082:F1093)&gt;(L1098*12),L1098*N1081,SUM(B1093:F1093)*N1081)),2)</f>
        <v>0</v>
      </c>
      <c r="O1093" s="23">
        <f>ROUND(SUM(B1093+C1093+F1093)*O1081,2)</f>
        <v>0</v>
      </c>
      <c r="P1093" s="27">
        <f t="shared" si="123"/>
        <v>0</v>
      </c>
    </row>
    <row r="1094" spans="1:16" s="14" customFormat="1" ht="15" x14ac:dyDescent="0.25">
      <c r="A1094" s="4" t="s">
        <v>2</v>
      </c>
      <c r="B1094" s="27">
        <f>SUM(B1082:B1093)</f>
        <v>0</v>
      </c>
      <c r="C1094" s="27">
        <f t="shared" ref="C1094:D1094" si="124">SUM(C1082:C1093)</f>
        <v>0</v>
      </c>
      <c r="D1094" s="27">
        <f t="shared" si="124"/>
        <v>0</v>
      </c>
      <c r="E1094" s="27">
        <f>SUM(E1082:E1093)</f>
        <v>0</v>
      </c>
      <c r="F1094" s="27">
        <f>SUM(F1082:F1093)</f>
        <v>0</v>
      </c>
      <c r="G1094" s="27">
        <f>SUM(G1082:G1093)</f>
        <v>0</v>
      </c>
      <c r="H1094" s="1133">
        <f>SUM(H1082:N1093)</f>
        <v>0</v>
      </c>
      <c r="I1094" s="1134"/>
      <c r="J1094" s="1134"/>
      <c r="K1094" s="1134"/>
      <c r="L1094" s="1134"/>
      <c r="M1094" s="1134"/>
      <c r="N1094" s="1135"/>
      <c r="O1094" s="27">
        <f>SUM(O1082:O1093)</f>
        <v>0</v>
      </c>
      <c r="P1094" s="27">
        <f>SUM(P1082:P1093)</f>
        <v>0</v>
      </c>
    </row>
    <row r="1095" spans="1:16" s="13" customFormat="1" ht="11.25" x14ac:dyDescent="0.2">
      <c r="A1095" s="3" t="s">
        <v>1</v>
      </c>
      <c r="B1095" s="2"/>
      <c r="C1095" s="2"/>
      <c r="D1095" s="2"/>
      <c r="E1095" s="2"/>
      <c r="F1095" s="2"/>
      <c r="G1095" s="2"/>
      <c r="H1095" s="2"/>
      <c r="I1095" s="2"/>
      <c r="J1095" s="2"/>
      <c r="K1095" s="2"/>
      <c r="L1095" s="2"/>
      <c r="M1095" s="2"/>
      <c r="N1095" s="2"/>
      <c r="O1095" s="2"/>
      <c r="P1095" s="2"/>
    </row>
    <row r="1096" spans="1:16" s="1" customFormat="1" ht="14.25" customHeight="1" x14ac:dyDescent="0.2">
      <c r="A1096" s="1136" t="s">
        <v>133</v>
      </c>
      <c r="B1096" s="1137"/>
      <c r="C1096" s="1137"/>
      <c r="D1096" s="1137" t="s">
        <v>134</v>
      </c>
      <c r="E1096" s="1137"/>
      <c r="F1096" s="94" t="str">
        <f>IF(IF(G1094=0,"",'päd.Personal - Leitung'!$F$40)=0,"",IF(G1094=0,"",'päd.Personal - Leitung'!$F$40))</f>
        <v/>
      </c>
      <c r="G1096" s="77" t="s">
        <v>135</v>
      </c>
      <c r="H1096" s="96" t="str">
        <f>IF(IF(G1094=0,"",'päd.Personal - Leitung'!$H$40)=0,"",IF(G1094=0,"",'päd.Personal - Leitung'!$H$40))</f>
        <v/>
      </c>
      <c r="I1096" s="73"/>
      <c r="J1096" s="194" t="s">
        <v>160</v>
      </c>
      <c r="K1096" s="194" t="str">
        <f>$K$40</f>
        <v>2021</v>
      </c>
      <c r="L1096" s="194" t="str">
        <f>$L$40</f>
        <v>anteilig 2021</v>
      </c>
      <c r="M1096" s="1138" t="s">
        <v>140</v>
      </c>
      <c r="N1096" s="1138"/>
      <c r="O1096" s="1139"/>
      <c r="P1096" s="27">
        <f>ROUND(IF(F1096="",IF(E1100="",0,(E1100*H1100/K1100)/L1063*L1064),G1094*F1096*H1096/1000),2)</f>
        <v>0</v>
      </c>
    </row>
    <row r="1097" spans="1:16" s="1" customFormat="1" ht="15" customHeight="1" x14ac:dyDescent="0.2">
      <c r="A1097" s="1140" t="s">
        <v>145</v>
      </c>
      <c r="B1097" s="1141"/>
      <c r="C1097" s="1141"/>
      <c r="D1097" s="18"/>
      <c r="E1097" s="107" t="s">
        <v>135</v>
      </c>
      <c r="F1097" s="95" t="str">
        <f>IF(IF(G1094=0,"",'päd.Personal - Leitung'!$F$41)=0,"",IF(G1094=0,"",'päd.Personal - Leitung'!$F$41))</f>
        <v/>
      </c>
      <c r="G1097" s="48"/>
      <c r="H1097" s="47"/>
      <c r="I1097" s="48"/>
      <c r="J1097" s="195" t="s">
        <v>158</v>
      </c>
      <c r="K1097" s="198">
        <f>$K$41</f>
        <v>4837.5</v>
      </c>
      <c r="L1097" s="197">
        <f>IF(L1063="",K1097,K1097/L1063*L1064)</f>
        <v>4837.5</v>
      </c>
      <c r="M1097" s="1138" t="s">
        <v>139</v>
      </c>
      <c r="N1097" s="1138"/>
      <c r="O1097" s="1139"/>
      <c r="P1097" s="27">
        <f>ROUND(IF(F1097="",0,G1094*F1097/1000),2)</f>
        <v>0</v>
      </c>
    </row>
    <row r="1098" spans="1:16" s="1" customFormat="1" ht="15.75" customHeight="1" x14ac:dyDescent="0.2">
      <c r="A1098" s="1142" t="s">
        <v>141</v>
      </c>
      <c r="B1098" s="1143"/>
      <c r="C1098" s="1143"/>
      <c r="D1098" s="1144" t="s">
        <v>143</v>
      </c>
      <c r="E1098" s="1144"/>
      <c r="F1098" s="1145" t="str">
        <f>IF(IF(G1094=0,"",'päd.Personal - Leitung'!$F$42)=0,"",IF(G1094=0,"",'päd.Personal - Leitung'!$F$42))</f>
        <v/>
      </c>
      <c r="G1098" s="1145"/>
      <c r="H1098" s="72"/>
      <c r="I1098" s="18"/>
      <c r="J1098" s="195" t="s">
        <v>159</v>
      </c>
      <c r="K1098" s="197">
        <f>$K$42</f>
        <v>6700</v>
      </c>
      <c r="L1098" s="197">
        <f>IF(L1063="",K1098,K1098/L1063*L1064)</f>
        <v>6700</v>
      </c>
      <c r="M1098" s="1138" t="s">
        <v>141</v>
      </c>
      <c r="N1098" s="1138"/>
      <c r="O1098" s="1139"/>
      <c r="P1098" s="23">
        <f>ROUND(IF(F1098="",0,IF(G1094=0,0,F1098/L1063*L1064)),2)</f>
        <v>0</v>
      </c>
    </row>
    <row r="1099" spans="1:16" s="1" customFormat="1" ht="14.25" customHeight="1" x14ac:dyDescent="0.2">
      <c r="A1099" s="18"/>
      <c r="B1099" s="18"/>
      <c r="C1099" s="18"/>
      <c r="D1099" s="18"/>
      <c r="E1099" s="18"/>
      <c r="F1099" s="18"/>
      <c r="G1099" s="18"/>
      <c r="H1099" s="18"/>
      <c r="I1099" s="18"/>
      <c r="J1099" s="18"/>
      <c r="K1099" s="74"/>
      <c r="L1099" s="82"/>
      <c r="M1099" s="1127" t="s">
        <v>146</v>
      </c>
      <c r="N1099" s="1127"/>
      <c r="O1099" s="1128"/>
      <c r="P1099" s="23">
        <f>ROUND(IF(G1094=0,0,$P$87),2)</f>
        <v>0</v>
      </c>
    </row>
    <row r="1100" spans="1:16" s="1" customFormat="1" ht="14.25" customHeight="1" x14ac:dyDescent="0.2">
      <c r="A1100" s="1129" t="s">
        <v>142</v>
      </c>
      <c r="B1100" s="1130"/>
      <c r="C1100" s="126" t="s">
        <v>136</v>
      </c>
      <c r="D1100" s="179" t="s">
        <v>137</v>
      </c>
      <c r="E1100" s="1131" t="str">
        <f>IF(IF(G1094=0,"",'päd.Personal - Leitung'!$E$44)=0,"",IF(G1094=0,"",'päd.Personal - Leitung'!$E$44))</f>
        <v/>
      </c>
      <c r="F1100" s="1131"/>
      <c r="G1100" s="83" t="s">
        <v>138</v>
      </c>
      <c r="H1100" s="97" t="str">
        <f>IF(IF(G1094=0,"",'päd.Personal - Leitung'!$H$44)=0,"",IF(G1094=0,"",'päd.Personal - Leitung'!$H$44))</f>
        <v/>
      </c>
      <c r="I1100" s="1132" t="s">
        <v>144</v>
      </c>
      <c r="J1100" s="1132"/>
      <c r="K1100" s="98" t="str">
        <f>IF(IF(G1094=0,"",'päd.Personal - Leitung'!$K$44)=0,"",IF(G1094=0,"",'päd.Personal - Leitung'!$K$44))</f>
        <v/>
      </c>
      <c r="L1100" s="29"/>
      <c r="M1100" s="29"/>
      <c r="N1100" s="29"/>
      <c r="O1100" s="28" t="s">
        <v>0</v>
      </c>
      <c r="P1100" s="27">
        <f>P1094+SUM(P1096:P1099)</f>
        <v>0</v>
      </c>
    </row>
    <row r="1101" spans="1:16" s="12" customFormat="1" ht="13.5" customHeight="1" x14ac:dyDescent="0.2">
      <c r="A1101" s="1178" t="s">
        <v>18</v>
      </c>
      <c r="B1101" s="1178"/>
      <c r="C1101" s="1178"/>
      <c r="D1101" s="1179" t="str">
        <f>IF($D$1="","",$D$1)</f>
        <v/>
      </c>
      <c r="E1101" s="1179"/>
      <c r="F1101" s="1179"/>
      <c r="G1101" s="1179"/>
      <c r="H1101" s="1179"/>
      <c r="I1101" s="1179"/>
      <c r="J1101" s="1179"/>
      <c r="K1101" s="1179"/>
      <c r="L1101" s="1179"/>
      <c r="M1101" s="1179"/>
      <c r="N1101" s="1179"/>
    </row>
    <row r="1102" spans="1:16" s="12" customFormat="1" ht="15" customHeight="1" x14ac:dyDescent="0.2">
      <c r="A1102" s="1178" t="s">
        <v>17</v>
      </c>
      <c r="B1102" s="1178"/>
      <c r="C1102" s="1178" t="s">
        <v>15</v>
      </c>
      <c r="D1102" s="1179" t="str">
        <f>IF($D$2="","",$D$2)</f>
        <v/>
      </c>
      <c r="E1102" s="1179"/>
      <c r="F1102" s="1179"/>
      <c r="G1102" s="1179"/>
      <c r="H1102" s="1179"/>
      <c r="I1102" s="1179"/>
      <c r="J1102" s="1179"/>
      <c r="K1102" s="1179"/>
      <c r="L1102" s="1179"/>
      <c r="M1102" s="1179"/>
      <c r="N1102" s="1179"/>
    </row>
    <row r="1103" spans="1:16" s="12" customFormat="1" ht="15" customHeight="1" x14ac:dyDescent="0.2">
      <c r="A1103" s="1178" t="s">
        <v>16</v>
      </c>
      <c r="B1103" s="1178"/>
      <c r="C1103" s="1178" t="s">
        <v>15</v>
      </c>
      <c r="D1103" s="1179" t="str">
        <f>IF($D$3="","",$D$3)</f>
        <v/>
      </c>
      <c r="E1103" s="1179"/>
      <c r="F1103" s="1179"/>
      <c r="G1103" s="1179"/>
      <c r="H1103" s="1179"/>
      <c r="I1103" s="1179"/>
      <c r="J1103" s="1179"/>
      <c r="K1103" s="1178" t="s">
        <v>103</v>
      </c>
      <c r="L1103" s="1178"/>
      <c r="M1103" s="1178"/>
      <c r="N1103" s="41" t="str">
        <f>IF($N$3="","",$N$3)</f>
        <v/>
      </c>
    </row>
    <row r="1104" spans="1:16" s="13" customFormat="1" ht="11.25" x14ac:dyDescent="0.2">
      <c r="A1104" s="1182"/>
      <c r="B1104" s="1182"/>
      <c r="C1104" s="1182"/>
      <c r="D1104" s="1183"/>
      <c r="E1104" s="1183"/>
      <c r="F1104" s="1183"/>
      <c r="G1104" s="1183"/>
      <c r="H1104" s="1183"/>
      <c r="I1104" s="1183"/>
      <c r="J1104" s="1183"/>
      <c r="K1104" s="11"/>
      <c r="L1104" s="11"/>
      <c r="M1104" s="11"/>
      <c r="N1104" s="11"/>
      <c r="O1104" s="11"/>
      <c r="P1104" s="11"/>
    </row>
    <row r="1105" spans="1:16" s="15" customFormat="1" ht="13.5" customHeight="1" x14ac:dyDescent="0.2">
      <c r="A1105" s="1177" t="s">
        <v>166</v>
      </c>
      <c r="B1105" s="1177"/>
      <c r="C1105" s="1177"/>
      <c r="D1105" s="1177"/>
      <c r="E1105" s="1177"/>
      <c r="F1105" s="1177"/>
      <c r="G1105" s="1177"/>
      <c r="H1105" s="1177"/>
      <c r="I1105" s="1177"/>
      <c r="J1105" s="1177"/>
      <c r="K1105" s="9"/>
      <c r="L1105" s="9"/>
      <c r="M1105" s="9"/>
      <c r="N1105" s="59" t="s">
        <v>154</v>
      </c>
      <c r="O1105" s="191">
        <f>$O$5</f>
        <v>2022</v>
      </c>
      <c r="P1105" s="59" t="s">
        <v>154</v>
      </c>
    </row>
    <row r="1106" spans="1:16" s="10" customFormat="1" ht="13.5" customHeight="1" x14ac:dyDescent="0.25">
      <c r="B1106" s="32"/>
      <c r="C1106" s="32"/>
      <c r="D1106" s="5" t="s">
        <v>59</v>
      </c>
      <c r="E1106" s="31"/>
      <c r="F1106" s="31"/>
      <c r="G1106" s="31"/>
      <c r="H1106" s="31"/>
      <c r="I1106" s="26"/>
      <c r="J1106" s="1174" t="s">
        <v>14</v>
      </c>
      <c r="K1106" s="1174"/>
      <c r="L1106" s="180"/>
      <c r="N1106" s="84">
        <f>IF(L1108="","",L1108)</f>
        <v>0</v>
      </c>
      <c r="O1106" s="58" t="str">
        <f>$O$6</f>
        <v>Jan                Jul</v>
      </c>
      <c r="P1106" s="85">
        <f>IF(N1111="","",N1111)</f>
        <v>0</v>
      </c>
    </row>
    <row r="1107" spans="1:16" s="7" customFormat="1" ht="13.5" customHeight="1" x14ac:dyDescent="0.25">
      <c r="A1107" s="1180" t="s">
        <v>71</v>
      </c>
      <c r="B1107" s="1180"/>
      <c r="C1107" s="1180"/>
      <c r="D1107" s="1184"/>
      <c r="E1107" s="1184"/>
      <c r="F1107" s="1184"/>
      <c r="G1107" s="1184"/>
      <c r="H1107" s="1184"/>
      <c r="I1107" s="1184"/>
      <c r="J1107" s="1174" t="s">
        <v>104</v>
      </c>
      <c r="K1107" s="1174"/>
      <c r="L1107" s="145"/>
      <c r="N1107" s="85">
        <f>IF(N1106="","",N1106)</f>
        <v>0</v>
      </c>
      <c r="O1107" s="58" t="str">
        <f>$O$7</f>
        <v>Feb              Aug</v>
      </c>
      <c r="P1107" s="85">
        <f>IF(P1106="","",P1106)</f>
        <v>0</v>
      </c>
    </row>
    <row r="1108" spans="1:16" s="1" customFormat="1" ht="13.5" customHeight="1" x14ac:dyDescent="0.2">
      <c r="A1108" s="1180" t="s">
        <v>13</v>
      </c>
      <c r="B1108" s="1180"/>
      <c r="C1108" s="1180"/>
      <c r="D1108" s="1181"/>
      <c r="E1108" s="1181"/>
      <c r="F1108" s="1181"/>
      <c r="G1108" s="1181"/>
      <c r="H1108" s="1181"/>
      <c r="I1108" s="1181"/>
      <c r="J1108" s="1174" t="s">
        <v>164</v>
      </c>
      <c r="K1108" s="1174"/>
      <c r="L1108" s="145">
        <f>IF((L1109+L1110)&gt;L1107,0,L1107-L1109-L1110)</f>
        <v>0</v>
      </c>
      <c r="N1108" s="85">
        <f>IF(N1107="","",N1107)</f>
        <v>0</v>
      </c>
      <c r="O1108" s="58" t="str">
        <f>$O$8</f>
        <v>Mrz              Sep</v>
      </c>
      <c r="P1108" s="85">
        <f>IF(P1107="","",P1107)</f>
        <v>0</v>
      </c>
    </row>
    <row r="1109" spans="1:16" s="1" customFormat="1" ht="13.5" customHeight="1" x14ac:dyDescent="0.2">
      <c r="A1109" s="1180" t="s">
        <v>12</v>
      </c>
      <c r="B1109" s="1180"/>
      <c r="C1109" s="1180"/>
      <c r="D1109" s="1181"/>
      <c r="E1109" s="1181"/>
      <c r="F1109" s="1181"/>
      <c r="G1109" s="1181"/>
      <c r="H1109" s="1181"/>
      <c r="I1109" s="1181"/>
      <c r="J1109" s="1174" t="s">
        <v>165</v>
      </c>
      <c r="K1109" s="1174"/>
      <c r="L1109" s="145"/>
      <c r="N1109" s="85">
        <f>IF(N1108="","",N1108)</f>
        <v>0</v>
      </c>
      <c r="O1109" s="58" t="str">
        <f>$O$9</f>
        <v>Apr               Okt</v>
      </c>
      <c r="P1109" s="85">
        <f t="shared" ref="P1109:P1111" si="125">IF(P1108="","",P1108)</f>
        <v>0</v>
      </c>
    </row>
    <row r="1110" spans="1:16" s="1" customFormat="1" ht="13.5" customHeight="1" x14ac:dyDescent="0.2">
      <c r="A1110" s="1180" t="s">
        <v>19</v>
      </c>
      <c r="B1110" s="1180"/>
      <c r="C1110" s="1180"/>
      <c r="D1110" s="1181"/>
      <c r="E1110" s="1181"/>
      <c r="F1110" s="1181"/>
      <c r="G1110" s="1181"/>
      <c r="H1110" s="1181"/>
      <c r="I1110" s="1181"/>
      <c r="J1110" s="1174" t="s">
        <v>252</v>
      </c>
      <c r="K1110" s="1174"/>
      <c r="L1110" s="145"/>
      <c r="M1110" s="92"/>
      <c r="N1110" s="85">
        <f>IF(N1109="","",N1109)</f>
        <v>0</v>
      </c>
      <c r="O1110" s="58" t="str">
        <f>$O$10</f>
        <v>Mai               Nov</v>
      </c>
      <c r="P1110" s="85">
        <f t="shared" si="125"/>
        <v>0</v>
      </c>
    </row>
    <row r="1111" spans="1:16" s="1" customFormat="1" ht="13.5" customHeight="1" x14ac:dyDescent="0.2">
      <c r="B1111" s="8"/>
      <c r="C1111" s="121" t="s">
        <v>162</v>
      </c>
      <c r="D1111" s="1175"/>
      <c r="E1111" s="1175"/>
      <c r="F1111" s="1176" t="s">
        <v>106</v>
      </c>
      <c r="G1111" s="1176"/>
      <c r="H1111" s="1186"/>
      <c r="I1111" s="1186"/>
      <c r="J1111" s="1174" t="s">
        <v>97</v>
      </c>
      <c r="K1111" s="1174"/>
      <c r="L1111" s="17" t="str">
        <f>IF(IF((COUNTIF(B1126:B1137,"&gt;0"))=0,0,(COUNTIF(B1126:B1137,"&gt;0")))&gt;Grundlagen!$C$24,Grundlagen!$C$24,IF((COUNTIF(B1126:B1137,"&gt;0"))=0,"",(COUNTIF(B1126:B1137,"&gt;0"))))</f>
        <v/>
      </c>
      <c r="N1111" s="85">
        <f>IF(N1110="","",N1110)</f>
        <v>0</v>
      </c>
      <c r="O1111" s="58" t="str">
        <f>'päd.Personal - Leitung'!$O$11</f>
        <v>Jun               Dez</v>
      </c>
      <c r="P1111" s="85">
        <f t="shared" si="125"/>
        <v>0</v>
      </c>
    </row>
    <row r="1112" spans="1:16" s="1" customFormat="1" ht="13.5" customHeight="1" x14ac:dyDescent="0.2">
      <c r="I1112" s="6"/>
      <c r="L1112" s="147" t="str">
        <f>IF((SUM(F1114:F1117))=0,"",IF(P1112&gt;L1108,L1108,IF(L1108="","",IF(L1111="","",P1112))))</f>
        <v/>
      </c>
      <c r="O1112" s="174" t="s">
        <v>251</v>
      </c>
      <c r="P1112" s="175">
        <f>IF(L1111="",0,((IF(SUMIF(B1126,"&gt;0"),N1106,0))+(IF(SUMIF(B1127,"&gt;0"),N1107,0))+(IF(SUMIF(B1128,"&gt;0"),N1108,0))+(IF(SUMIF(B1129,"&gt;0"),N1109,0))+(IF(SUMIF(B1130,"&gt;0"),N1110,0))+(IF(SUMIF(B1131,"&gt;0"),N1111,0))+(IF(SUMIF(B1132,"&gt;0"),P1106,0))+(IF(SUMIF(B1133,"&gt;0"),P1107,0))+(IF(SUMIF(B1134,"&gt;0"),P1108,0))+(IF(SUMIF(B1135,"&gt;0"),P1109,0))+(IF(SUMIF(B1136,"&gt;0"),P1110,0))+(IF(SUMIF(B1137,"&gt;0"),P1111,0)))/Grundlagen!$C$24)</f>
        <v>0</v>
      </c>
    </row>
    <row r="1113" spans="1:16" s="52" customFormat="1" ht="13.5" customHeight="1" x14ac:dyDescent="0.2">
      <c r="A1113" s="61" t="s">
        <v>148</v>
      </c>
      <c r="B1113" s="1168" t="s">
        <v>149</v>
      </c>
      <c r="C1113" s="1168"/>
      <c r="D1113" s="62" t="s">
        <v>150</v>
      </c>
      <c r="E1113" s="63" t="s">
        <v>151</v>
      </c>
      <c r="F1113" s="64" t="str">
        <f>CONCATENATE("Entg. ",N1103," h/Wo")</f>
        <v>Entg.  h/Wo</v>
      </c>
      <c r="G1113" s="65" t="s">
        <v>152</v>
      </c>
      <c r="H1113" s="65" t="s">
        <v>153</v>
      </c>
      <c r="K1113" s="1169" t="str">
        <f>CONCATENATE("Zuschläge / Zulagen für ",N1103,"h/Wo")</f>
        <v>Zuschläge / Zulagen für h/Wo</v>
      </c>
      <c r="L1113" s="1169"/>
      <c r="M1113" s="66" t="str">
        <f>IF(A1114="","",A1114)</f>
        <v>Jan 2022</v>
      </c>
      <c r="N1113" s="66" t="str">
        <f>IF(A1115="","",A1115)</f>
        <v/>
      </c>
      <c r="O1113" s="66" t="str">
        <f>IF(A1116="","",A1116)</f>
        <v/>
      </c>
      <c r="P1113" s="66" t="str">
        <f>IF(A1117="","",A1117)</f>
        <v/>
      </c>
    </row>
    <row r="1114" spans="1:16" s="52" customFormat="1" ht="13.5" customHeight="1" x14ac:dyDescent="0.25">
      <c r="A1114" s="54" t="str">
        <f>A1126</f>
        <v>Jan 2022</v>
      </c>
      <c r="B1114" s="1170" t="str">
        <f>IF($D$3="","",$D$3)</f>
        <v/>
      </c>
      <c r="C1114" s="1171"/>
      <c r="D1114" s="181"/>
      <c r="E1114" s="181"/>
      <c r="F1114" s="87"/>
      <c r="G1114" s="56">
        <f>IF(N1103="",0,F1114/N1103/4.348)</f>
        <v>0</v>
      </c>
      <c r="H1114" s="53">
        <f>IF(G1114=0,0,M1119)</f>
        <v>0</v>
      </c>
      <c r="K1114" s="1146"/>
      <c r="L1114" s="1146"/>
      <c r="M1114" s="172"/>
      <c r="N1114" s="172"/>
      <c r="O1114" s="172"/>
      <c r="P1114" s="172"/>
    </row>
    <row r="1115" spans="1:16" s="52" customFormat="1" ht="13.5" customHeight="1" x14ac:dyDescent="0.25">
      <c r="A1115" s="55"/>
      <c r="B1115" s="1172" t="str">
        <f>IF(A1115="","",B1114)</f>
        <v/>
      </c>
      <c r="C1115" s="1173"/>
      <c r="D1115" s="181"/>
      <c r="E1115" s="181"/>
      <c r="F1115" s="87"/>
      <c r="G1115" s="56">
        <f>IF(N1103="",0,F1115/N1103/4.348)</f>
        <v>0</v>
      </c>
      <c r="H1115" s="53">
        <f>IF(G1115=0,0,N1119)</f>
        <v>0</v>
      </c>
      <c r="K1115" s="1146"/>
      <c r="L1115" s="1146"/>
      <c r="M1115" s="172"/>
      <c r="N1115" s="172"/>
      <c r="O1115" s="172"/>
      <c r="P1115" s="172"/>
    </row>
    <row r="1116" spans="1:16" s="52" customFormat="1" ht="13.5" customHeight="1" x14ac:dyDescent="0.25">
      <c r="A1116" s="55"/>
      <c r="B1116" s="1172" t="str">
        <f>IF(A1116="","",B1115)</f>
        <v/>
      </c>
      <c r="C1116" s="1173"/>
      <c r="D1116" s="181"/>
      <c r="E1116" s="181"/>
      <c r="F1116" s="87"/>
      <c r="G1116" s="56">
        <f>IF(N1103="",0,F1116/N1103/4.348)</f>
        <v>0</v>
      </c>
      <c r="H1116" s="53">
        <f>IF(G1116=0,0,O1119)</f>
        <v>0</v>
      </c>
      <c r="K1116" s="1146"/>
      <c r="L1116" s="1146"/>
      <c r="M1116" s="172"/>
      <c r="N1116" s="172"/>
      <c r="O1116" s="172"/>
      <c r="P1116" s="172"/>
    </row>
    <row r="1117" spans="1:16" s="52" customFormat="1" ht="13.5" customHeight="1" x14ac:dyDescent="0.25">
      <c r="A1117" s="55"/>
      <c r="B1117" s="1172" t="str">
        <f>IF(A1117="","",B1116)</f>
        <v/>
      </c>
      <c r="C1117" s="1173"/>
      <c r="D1117" s="181"/>
      <c r="E1117" s="181"/>
      <c r="F1117" s="87"/>
      <c r="G1117" s="56">
        <f>IF(N1103="",0,F1117/N1103/4.348)</f>
        <v>0</v>
      </c>
      <c r="H1117" s="53">
        <f>IF(G1117=0,0,P1119)</f>
        <v>0</v>
      </c>
      <c r="K1117" s="1146"/>
      <c r="L1117" s="1146"/>
      <c r="M1117" s="172"/>
      <c r="N1117" s="172"/>
      <c r="O1117" s="172"/>
      <c r="P1117" s="172"/>
    </row>
    <row r="1118" spans="1:16" s="52" customFormat="1" ht="13.5" customHeight="1" x14ac:dyDescent="0.25">
      <c r="B1118" s="1167" t="s">
        <v>157</v>
      </c>
      <c r="C1118" s="1167"/>
      <c r="E1118" s="1167" t="s">
        <v>156</v>
      </c>
      <c r="F1118" s="1167"/>
      <c r="J1118" s="69"/>
      <c r="K1118" s="1146"/>
      <c r="L1118" s="1146"/>
      <c r="M1118" s="172"/>
      <c r="N1118" s="172"/>
      <c r="O1118" s="172"/>
      <c r="P1118" s="172"/>
    </row>
    <row r="1119" spans="1:16" s="52" customFormat="1" ht="13.5" customHeight="1" x14ac:dyDescent="0.25">
      <c r="A1119" s="70" t="s">
        <v>167</v>
      </c>
      <c r="B1119" s="67"/>
      <c r="C1119" s="99" t="str">
        <f>IF(C1075="","",C1075)</f>
        <v/>
      </c>
      <c r="D1119" s="70" t="s">
        <v>167</v>
      </c>
      <c r="E1119" s="67"/>
      <c r="F1119" s="99" t="str">
        <f>IF(F1075="","",F1075)</f>
        <v/>
      </c>
      <c r="J1119" s="68"/>
      <c r="M1119" s="173">
        <f>SUM(M1114:M1118)</f>
        <v>0</v>
      </c>
      <c r="N1119" s="173">
        <f t="shared" ref="N1119:P1119" si="126">SUM(N1114:N1118)</f>
        <v>0</v>
      </c>
      <c r="O1119" s="173">
        <f t="shared" si="126"/>
        <v>0</v>
      </c>
      <c r="P1119" s="173">
        <f t="shared" si="126"/>
        <v>0</v>
      </c>
    </row>
    <row r="1120" spans="1:16" s="52" customFormat="1" ht="13.5" customHeight="1" x14ac:dyDescent="0.2">
      <c r="A1120" s="60" t="s">
        <v>155</v>
      </c>
    </row>
    <row r="1121" spans="1:16" s="1" customFormat="1" ht="14.25" customHeight="1" x14ac:dyDescent="0.2">
      <c r="A1121" s="1147"/>
      <c r="B1121" s="1149" t="s">
        <v>9</v>
      </c>
      <c r="C1121" s="1150"/>
      <c r="D1121" s="1150"/>
      <c r="E1121" s="1150"/>
      <c r="F1121" s="1150"/>
      <c r="G1121" s="1151"/>
      <c r="H1121" s="1152" t="s">
        <v>119</v>
      </c>
      <c r="I1121" s="1153"/>
      <c r="J1121" s="1153"/>
      <c r="K1121" s="1153"/>
      <c r="L1121" s="1153"/>
      <c r="M1121" s="1153"/>
      <c r="N1121" s="1153"/>
      <c r="O1121" s="33"/>
      <c r="P1121" s="1154" t="s">
        <v>0</v>
      </c>
    </row>
    <row r="1122" spans="1:16" s="1" customFormat="1" ht="14.25" customHeight="1" x14ac:dyDescent="0.2">
      <c r="A1122" s="1148"/>
      <c r="B1122" s="1157" t="s">
        <v>117</v>
      </c>
      <c r="C1122" s="124" t="s">
        <v>115</v>
      </c>
      <c r="D1122" s="1159" t="s">
        <v>277</v>
      </c>
      <c r="E1122" s="1161" t="s">
        <v>147</v>
      </c>
      <c r="F1122" s="127" t="s">
        <v>7</v>
      </c>
      <c r="G1122" s="1162" t="s">
        <v>6</v>
      </c>
      <c r="H1122" s="1161" t="s">
        <v>129</v>
      </c>
      <c r="I1122" s="1161" t="s">
        <v>5</v>
      </c>
      <c r="J1122" s="1161" t="s">
        <v>4</v>
      </c>
      <c r="K1122" s="1161" t="s">
        <v>3</v>
      </c>
      <c r="L1122" s="1161" t="s">
        <v>121</v>
      </c>
      <c r="M1122" s="1161" t="s">
        <v>122</v>
      </c>
      <c r="N1122" s="1161" t="s">
        <v>123</v>
      </c>
      <c r="O1122" s="1160" t="s">
        <v>114</v>
      </c>
      <c r="P1122" s="1155"/>
    </row>
    <row r="1123" spans="1:16" s="1" customFormat="1" ht="14.25" customHeight="1" x14ac:dyDescent="0.2">
      <c r="A1123" s="1148"/>
      <c r="B1123" s="1157"/>
      <c r="C1123" s="21" t="str">
        <f>IF(C1119="","",C1119)</f>
        <v/>
      </c>
      <c r="D1123" s="1160"/>
      <c r="E1123" s="1161"/>
      <c r="F1123" s="1165" t="str">
        <f>IF(H1114=0,"","siehe Zuschläge / Zulagen")</f>
        <v/>
      </c>
      <c r="G1123" s="1162"/>
      <c r="H1123" s="1164" t="s">
        <v>127</v>
      </c>
      <c r="I1123" s="1164"/>
      <c r="J1123" s="1164"/>
      <c r="K1123" s="1164"/>
      <c r="L1123" s="1164"/>
      <c r="M1123" s="1164"/>
      <c r="N1123" s="1164"/>
      <c r="O1123" s="1160"/>
      <c r="P1123" s="1155"/>
    </row>
    <row r="1124" spans="1:16" s="1" customFormat="1" x14ac:dyDescent="0.2">
      <c r="A1124" s="1148"/>
      <c r="B1124" s="1157"/>
      <c r="C1124" s="122" t="s">
        <v>70</v>
      </c>
      <c r="D1124" s="1160"/>
      <c r="E1124" s="1161"/>
      <c r="F1124" s="1165"/>
      <c r="G1124" s="1162"/>
      <c r="H1124" s="43" t="s">
        <v>128</v>
      </c>
      <c r="I1124" s="43" t="s">
        <v>255</v>
      </c>
      <c r="J1124" s="43" t="s">
        <v>256</v>
      </c>
      <c r="K1124" s="43" t="s">
        <v>257</v>
      </c>
      <c r="L1124" s="43"/>
      <c r="M1124" s="43"/>
      <c r="N1124" s="43" t="s">
        <v>254</v>
      </c>
      <c r="O1124" s="1160"/>
      <c r="P1124" s="1155"/>
    </row>
    <row r="1125" spans="1:16" s="1" customFormat="1" x14ac:dyDescent="0.2">
      <c r="A1125" s="1148"/>
      <c r="B1125" s="1158"/>
      <c r="C1125" s="21" t="str">
        <f>IF(F1119="","",F1119)</f>
        <v/>
      </c>
      <c r="D1125" s="51"/>
      <c r="E1125" s="51"/>
      <c r="F1125" s="1166"/>
      <c r="G1125" s="1163"/>
      <c r="H1125" s="93"/>
      <c r="I1125" s="139">
        <f>$I$69</f>
        <v>0</v>
      </c>
      <c r="J1125" s="139">
        <f>$J$69</f>
        <v>0</v>
      </c>
      <c r="K1125" s="44">
        <f>$K$69</f>
        <v>0</v>
      </c>
      <c r="L1125" s="21"/>
      <c r="M1125" s="21"/>
      <c r="N1125" s="139">
        <f>$N$69</f>
        <v>0</v>
      </c>
      <c r="O1125" s="21">
        <f>O1081</f>
        <v>0</v>
      </c>
      <c r="P1125" s="1156"/>
    </row>
    <row r="1126" spans="1:16" s="1" customFormat="1" x14ac:dyDescent="0.2">
      <c r="A1126" s="100" t="str">
        <f>$A$26</f>
        <v>Jan 2022</v>
      </c>
      <c r="B1126" s="24">
        <f>ROUND(IF(N1106=0,0,(LOOKUP(2,1/(A1114:A1117=A1126),G1114:G1117))*N1106*4.348),2)</f>
        <v>0</v>
      </c>
      <c r="C1126" s="23">
        <f>ROUND(IFERROR(((LOOKUP(2,1/(B1119=A1126),((SUM(B1132:B1134)+SUM(F1132:F1134))/3)*C1119))),0)+IFERROR(((LOOKUP(2,1/(E1119=A1126),(B1138+F1138)*F1119))),0),2)</f>
        <v>0</v>
      </c>
      <c r="D1126" s="23">
        <f>ROUND(IF(B1126=0,0,D1125/L1107*N1106),2)</f>
        <v>0</v>
      </c>
      <c r="E1126" s="23">
        <f>ROUND(IF(B1126=0,0,E1125/N1103*N1106),2)</f>
        <v>0</v>
      </c>
      <c r="F1126" s="24">
        <f>ROUND(IF(N1106=0,0,(LOOKUP(2,1/(A1114:A1117=A1126),H1114:H1117))/N1103*N1106),2)</f>
        <v>0</v>
      </c>
      <c r="G1126" s="27">
        <f>SUM(B1126+C1126+E1126+F1126)</f>
        <v>0</v>
      </c>
      <c r="H1126" s="76">
        <f>ROUND(IF((SUM(B1126:F1126))&gt;L1141,L1141*H1125,SUM(B1126:F1126)*H1125),2)</f>
        <v>0</v>
      </c>
      <c r="I1126" s="76">
        <f>ROUND(IF((SUM(B1126:F1126))&gt;L1142,L1142*I1125,SUM(B1126:F1126)*I1125),2)</f>
        <v>0</v>
      </c>
      <c r="J1126" s="76">
        <f>ROUND(IF((SUM(B1126:F1126))&gt;L1142,L1142*J1125,SUM(B1126:F1126)*J1125),2)</f>
        <v>0</v>
      </c>
      <c r="K1126" s="76">
        <f>ROUND(IF((SUM(B1126:F1126))&gt;L1141,L1141*K1125,SUM(B1126:F1126)*K1125),2)</f>
        <v>0</v>
      </c>
      <c r="L1126" s="76">
        <f>ROUND(IF((SUM(B1126:F1126))&gt;L1142,L1142*L1125,(SUM(B1126:F1126)-C1126)*L1125),2)</f>
        <v>0</v>
      </c>
      <c r="M1126" s="76">
        <f>ROUND(IF((SUM(B1126:F1126))&gt;L1142,L1142*M1125,(SUM(B1126:F1126)-C1126)*M1125),2)</f>
        <v>0</v>
      </c>
      <c r="N1126" s="76">
        <f>ROUND(IF((SUM(B1126:F1126))&gt;L1142,L1142*N1125,SUM(B1126:F1126)*N1125),2)</f>
        <v>0</v>
      </c>
      <c r="O1126" s="23">
        <f>ROUND(SUM(B1126+C1126+F1126)*O1125,2)</f>
        <v>0</v>
      </c>
      <c r="P1126" s="27">
        <f>SUM(G1126:O1126)</f>
        <v>0</v>
      </c>
    </row>
    <row r="1127" spans="1:16" s="1" customFormat="1" x14ac:dyDescent="0.2">
      <c r="A1127" s="100" t="str">
        <f>$A$27</f>
        <v>Feb 2022</v>
      </c>
      <c r="B1127" s="24">
        <f>ROUND(IF(N1107=0,0,IFERROR(((LOOKUP(2,1/(A1114:A1117=A1127),G1114:G1117))*N1107*4.348),B1126/N1107*N1107)),2)</f>
        <v>0</v>
      </c>
      <c r="C1127" s="23">
        <f>ROUND(IFERROR(((LOOKUP(2,1/(B1119=A1127),((SUM(B1132:B1134)+SUM(F1132:F1134))/3)*C1119))),0)+IFERROR(((LOOKUP(2,1/(E1119=A1127),(B1138+F1138)*F1119))),0),2)</f>
        <v>0</v>
      </c>
      <c r="D1127" s="23">
        <f>ROUND(IF(B1127=0,0,D1125/L1107*N1107),2)</f>
        <v>0</v>
      </c>
      <c r="E1127" s="23">
        <f>ROUND(IF(B1127=0,0,E1125/N1103*N1107),2)</f>
        <v>0</v>
      </c>
      <c r="F1127" s="24">
        <f>ROUND(IF(N1107=0,0,IFERROR(((LOOKUP(2,1/(A1114:A1117=A1127),H1114:H1117))/N1103*N1107),F1126/N1107*N1107)),2)</f>
        <v>0</v>
      </c>
      <c r="G1127" s="27">
        <f t="shared" ref="G1127:G1137" si="127">SUM(B1127+C1127+E1127+F1127)</f>
        <v>0</v>
      </c>
      <c r="H1127" s="76">
        <f>ROUND(IF(SUM(B1126:F1126)&lt;(L1141*1),IF((SUM(B1126:F1127))&gt;(L1141*2),(((L1141*2)-(SUM(B1126:F1127)-C1126))*H1125)+((SUM(B1127:F1127)-C1126)*H1125),SUM(B1127:F1127)*H1125),IF(SUM(B1126:F1127)&gt;(L1141*2),L1141*H1125,SUM(B1127:F1127)*H1125)),2)</f>
        <v>0</v>
      </c>
      <c r="I1127" s="76">
        <f>ROUND(IF(SUM(B1126:F1126)&lt;(L1142*1),IF((SUM(B1126:F1127))&gt;(L1142*2),(((L1142*2)-(SUM(B1126:F1127)-C1126))*I1125)+((SUM(B1127:F1127)-C1126)*I1125),SUM(B1127:F1127)*I1125),IF(SUM(B1126:F1127)&gt;(L1142*2),L1142*I1125,SUM(B1127:F1127)*I1125)),2)</f>
        <v>0</v>
      </c>
      <c r="J1127" s="76">
        <f>ROUND(IF(SUM(B1126:F1126)&lt;(L1142*1),IF((SUM(B1126:F1127))&gt;(L1142*2),(((L1142*2)-(SUM(B1126:F1127)-C1126))*J1125)+((SUM(B1127:F1127)-C1126)*J1125),SUM(B1127:F1127)*J1125),IF(SUM(B1126:F1127)&gt;(L1142*2),L1142*J1125,SUM(B1127:F1127)*J1125)),2)</f>
        <v>0</v>
      </c>
      <c r="K1127" s="76">
        <f>ROUND(IF(SUM(B1126:F1126)&lt;(L1141*1),IF((SUM(B1126:F1127))&gt;(L1141*2),(((L1141*2)-(SUM(B1126:F1127)-C1126))*K1125)+((SUM(B1127:F1127)-C1126)*K1125),SUM(B1127:F1127)*K1125),IF(SUM(B1126:F1127)&gt;(L1141*2),L1141*K1125,SUM(B1127:F1127)*K1125)),2)</f>
        <v>0</v>
      </c>
      <c r="L1127" s="76">
        <f>ROUND(IF(SUM(B1126:F1126)&lt;(L1142*1),IF((SUM(B1126:F1127))&gt;(L1142*2),(((L1142*2)-(SUM(B1126:F1127)-C1127))*L1125)+((SUM(B1127:F1127)-C1127)*L1125),(SUM(B1127:F1127)-C1127)*L1125),IF(SUM(B1126:F1127)&gt;(L1142*2),L1142*L1125,SUM(B1127:F1127)*L1125)),2)</f>
        <v>0</v>
      </c>
      <c r="M1127" s="76">
        <f>ROUND(IF(SUM(B1126:F1126)&lt;(L1142*1),IF((SUM(B1126:F1127))&gt;(L1142*2),(((L1142*2)-(SUM(B1126:F1127)-C1127))*M1125)+((SUM(B1127:F1127)-C1127)*M1125),(SUM(B1127:F1127)-C1127)*M1125),IF(SUM(B1126:F1127)&gt;(L1142*2),L1142*M1125,SUM(B1127:F1127)*M1125)),2)</f>
        <v>0</v>
      </c>
      <c r="N1127" s="76">
        <f>ROUND(IF(SUM(B1126:F1126)&lt;(L1142*1),IF((SUM(B1126:F1127))&gt;(L1142*2),(((L1142*2)-(SUM(B1126:F1127)-C1126))*N1125)+((SUM(B1127:F1127)-C1126)*N1125),SUM(B1127:F1127)*N1125),IF(SUM(B1126:F1127)&gt;(L1142*2),L1142*N1125,SUM(B1127:F1127)*N1125)),2)</f>
        <v>0</v>
      </c>
      <c r="O1127" s="23">
        <f>ROUND(SUM(B1127+C1127+F1127)*O1125,2)</f>
        <v>0</v>
      </c>
      <c r="P1127" s="27">
        <f>SUM(G1127:O1127)</f>
        <v>0</v>
      </c>
    </row>
    <row r="1128" spans="1:16" s="1" customFormat="1" x14ac:dyDescent="0.2">
      <c r="A1128" s="100" t="str">
        <f>$A$28</f>
        <v>Mrz 2022</v>
      </c>
      <c r="B1128" s="24">
        <f>ROUND(IF(N1108=0,0,IFERROR(((LOOKUP(2,1/(A1114:A1117=A1128),G1114:G1117))*N1108*4.348),B1127/N1108*N1108)),2)</f>
        <v>0</v>
      </c>
      <c r="C1128" s="23">
        <f>ROUND(IFERROR(((LOOKUP(2,1/(B1119=A1128),((SUM(B1132:B1134)+SUM(F1132:F1134))/3)*C1119))),0)+IFERROR(((LOOKUP(2,1/(E1119=A1128),(B1138+F1138)*F1119))),0),2)</f>
        <v>0</v>
      </c>
      <c r="D1128" s="23">
        <f>ROUND(IF(B1128=0,0,D1125/L1107*N1108),2)</f>
        <v>0</v>
      </c>
      <c r="E1128" s="23">
        <f>ROUND(IF(B1128=0,0,E1125/N1103*N1108),2)</f>
        <v>0</v>
      </c>
      <c r="F1128" s="24">
        <f>ROUND(IF(N1108=0,0,IFERROR(((LOOKUP(2,1/(A1114:A1117=A1128),H1114:H1117))/N1103*N1108),F1127/N1108*N1108)),2)</f>
        <v>0</v>
      </c>
      <c r="G1128" s="27">
        <f t="shared" si="127"/>
        <v>0</v>
      </c>
      <c r="H1128" s="76">
        <f>ROUND(IF(SUM(B1126:F1127)&lt;(L1141*2),IF((SUM(B1126:F1128))&gt;(L1141*3),(((L1141*3)-(SUM(B1126:F1128)-C1127))*H1125)+((SUM(B1128:F1128)-C1127)*H1125),SUM(B1128:F1128)*H1125),IF(SUM(B1126:F1128)&gt;(L1141*3),L1141*H1125,SUM(B1128:F1128)*H1125)),2)</f>
        <v>0</v>
      </c>
      <c r="I1128" s="76">
        <f>ROUND(IF(SUM(B1126:F1127)&lt;(L1142*2),IF((SUM(B1126:F1128))&gt;(L1142*3),(((L1142*3)-(SUM(B1126:F1128)-C1127))*I1125)+((SUM(B1128:F1128)-C1127)*I1125),SUM(B1128:F1128)*I1125),IF(SUM(B1126:F1128)&gt;(L1142*3),L1142*I1125,SUM(B1128:F1128)*I1125)),2)</f>
        <v>0</v>
      </c>
      <c r="J1128" s="76">
        <f>ROUND(IF(SUM(B1126:F1127)&lt;(L1142*2),IF((SUM(B1126:F1128))&gt;(L1142*3),(((L1142*3)-(SUM(B1126:F1128)-C1127))*J1125)+((SUM(B1128:F1128)-C1127)*J1125),SUM(B1128:F1128)*J1125),IF(SUM(B1126:F1128)&gt;(L1142*3),L1142*J1125,SUM(B1128:F1128)*J1125)),2)</f>
        <v>0</v>
      </c>
      <c r="K1128" s="76">
        <f>ROUND(IF(SUM(B1126:F1127)&lt;(L1141*2),IF((SUM(B1126:F1128))&gt;(L1141*3),(((L1141*3)-(SUM(B1126:F1128)-C1127))*K1125)+((SUM(B1128:F1128)-C1127)*K1125),SUM(B1128:F1128)*K1125),IF(SUM(B1126:F1128)&gt;(L1141*3),L1141*K1125,SUM(B1128:F1128)*K1125)),2)</f>
        <v>0</v>
      </c>
      <c r="L1128" s="76">
        <f>ROUND(IF(SUM(B1126:F1127)&lt;(L1142*2),IF((SUM(B1126:F1128))&gt;(L1142*3),(((L1142*3)-(SUM(B1126:F1128)-C1128))*L1125)+((SUM(B1128:F1128)-C1128)*L1125),(SUM(B1128:F1128)-C1128)*L1125),IF(SUM(B1126:F1128)&gt;(L1142*3),L1142*L1125,SUM(B1128:F1128)*L1125)),2)</f>
        <v>0</v>
      </c>
      <c r="M1128" s="76">
        <f>ROUND(IF(SUM(B1126:F1127)&lt;(L1142*2),IF((SUM(B1126:F1128))&gt;(L1142*3),(((L1142*3)-(SUM(B1126:F1128)-C1128))*M1125)+((SUM(B1128:F1128)-C1128)*M1125),(SUM(B1128:F1128)-C1128)*M1125),IF(SUM(B1126:F1128)&gt;(L1142*3),L1142*M1125,SUM(B1128:F1128)*M1125)),2)</f>
        <v>0</v>
      </c>
      <c r="N1128" s="76">
        <f>ROUND(IF(SUM(B1126:F1127)&lt;(L1142*2),IF((SUM(B1126:F1128))&gt;(L1142*3),(((L1142*3)-(SUM(B1126:F1128)-C1127))*N1125)+((SUM(B1128:F1128)-C1127)*N1125),SUM(B1128:F1128)*N1125),IF(SUM(B1126:F1128)&gt;(L1142*3),L1142*N1125,SUM(B1128:F1128)*N1125)),2)</f>
        <v>0</v>
      </c>
      <c r="O1128" s="23">
        <f>ROUND(SUM(B1128+C1128+F1128)*O1125,2)</f>
        <v>0</v>
      </c>
      <c r="P1128" s="27">
        <f t="shared" ref="P1128:P1137" si="128">SUM(G1128:O1128)</f>
        <v>0</v>
      </c>
    </row>
    <row r="1129" spans="1:16" s="1" customFormat="1" x14ac:dyDescent="0.2">
      <c r="A1129" s="100" t="str">
        <f>$A$29</f>
        <v>Apr 2022</v>
      </c>
      <c r="B1129" s="24">
        <f>ROUND(IF(N1109=0,0,IFERROR(((LOOKUP(2,1/(A1114:A1117=A1129),G1114:G1117))*N1109*4.348),B1128/N1109*N1109)),2)</f>
        <v>0</v>
      </c>
      <c r="C1129" s="23">
        <f>ROUND(IFERROR(((LOOKUP(2,1/(B1119=A1129),((SUM(B1132:B1134)+SUM(F1132:F1134))/3)*C1119))),0)+IFERROR(((LOOKUP(2,1/(E1119=A1129),(B1138+F1138)*F1119))),0),2)</f>
        <v>0</v>
      </c>
      <c r="D1129" s="23">
        <f>ROUND(IF(B1129=0,0,D1125/L1107*N1109),2)</f>
        <v>0</v>
      </c>
      <c r="E1129" s="23">
        <f>ROUND(IF(B1129=0,0,E1125/N1103*N1109),2)</f>
        <v>0</v>
      </c>
      <c r="F1129" s="24">
        <f>ROUND(IF(N1109=0,0,IFERROR(((LOOKUP(2,1/(A1114:A1117=A1129),H1114:H1117))/N1103*N1109),F1128/N1109*N1109)),2)</f>
        <v>0</v>
      </c>
      <c r="G1129" s="27">
        <f t="shared" si="127"/>
        <v>0</v>
      </c>
      <c r="H1129" s="76">
        <f>ROUND(IF(SUM(B1126:F1128)&lt;(L1141*3),IF((SUM(B1126:F1129))&gt;(L1141*4),(((L1141*4)-(SUM(B1126:F1129)-C1128))*H1125)+((SUM(B1129:F1129)-C1128)*H1125),SUM(B1129:F1129)*H1125),IF(SUM(B1126:F1129)&gt;(L1141*4),L1141*H1125,SUM(B1129:F1129)*H1125)),2)</f>
        <v>0</v>
      </c>
      <c r="I1129" s="76">
        <f>ROUND(IF(SUM(B1126:F1128)&lt;(L1142*3),IF((SUM(B1126:F1129))&gt;(L1142*4),(((L1142*4)-(SUM(B1126:F1129)-C1128))*I1125)+((SUM(B1129:F1129)-C1128)*I1125),SUM(B1129:F1129)*I1125),IF(SUM(B1126:F1129)&gt;(L1142*4),L1142*I1125,SUM(B1129:F1129)*I1125)),2)</f>
        <v>0</v>
      </c>
      <c r="J1129" s="76">
        <f>ROUND(IF(SUM(B1126:F1128)&lt;(L1142*3),IF((SUM(B1126:F1129))&gt;(L1142*4),(((L1142*4)-(SUM(B1126:F1129)-C1128))*J1125)+((SUM(B1129:F1129)-C1128)*J1125),SUM(B1129:F1129)*J1125),IF(SUM(B1126:F1129)&gt;(L1142*4),L1142*J1125,SUM(B1129:F1129)*J1125)),2)</f>
        <v>0</v>
      </c>
      <c r="K1129" s="76">
        <f>ROUND(IF(SUM(B1126:F1128)&lt;(L1141*3),IF((SUM(B1126:F1129))&gt;(L1141*4),(((L1141*4)-(SUM(B1126:F1129)-C1128))*K1125)+((SUM(B1129:F1129)-C1128)*K1125),SUM(B1129:F1129)*K1125),IF(SUM(B1126:F1129)&gt;(L1141*4),L1141*K1125,SUM(B1129:F1129)*K1125)),2)</f>
        <v>0</v>
      </c>
      <c r="L1129" s="76">
        <f>ROUND(IF(SUM(B1126:F1128)&lt;(L1142*3),IF((SUM(B1126:F1129))&gt;(L1142*4),(((L1142*4)-(SUM(B1126:F1129)-C1129))*L1125)+((SUM(B1129:F1129)-C1129)*L1125),(SUM(B1129:F1129)-C1129)*L1125),IF(SUM(B1126:F1129)&gt;(L1142*4),L1142*L1125,SUM(B1129:F1129)*L1125)),2)</f>
        <v>0</v>
      </c>
      <c r="M1129" s="76">
        <f>ROUND(IF(SUM(B1126:F1128)&lt;(L1142*3),IF((SUM(B1126:F1129))&gt;(L1142*4),(((L1142*4)-(SUM(B1126:F1129)-C1129))*M1125)+((SUM(B1129:F1129)-C1129)*M1125),(SUM(B1129:F1129)-C1129)*M1125),IF(SUM(B1126:F1129)&gt;(L1142*4),L1142*M1125,SUM(B1129:F1129)*M1125)),2)</f>
        <v>0</v>
      </c>
      <c r="N1129" s="76">
        <f>ROUND(IF(SUM(B1126:F1128)&lt;(L1142*3),IF((SUM(B1126:F1129))&gt;(L1142*4),(((L1142*4)-(SUM(B1126:F1129)-C1128))*N1125)+((SUM(B1129:F1129)-C1128)*N1125),SUM(B1129:F1129)*N1125),IF(SUM(B1126:F1129)&gt;(L1142*4),L1142*N1125,SUM(B1129:F1129)*N1125)),2)</f>
        <v>0</v>
      </c>
      <c r="O1129" s="23">
        <f>ROUND(SUM(B1129+C1129+F1129)*O1125,2)</f>
        <v>0</v>
      </c>
      <c r="P1129" s="27">
        <f t="shared" si="128"/>
        <v>0</v>
      </c>
    </row>
    <row r="1130" spans="1:16" s="1" customFormat="1" x14ac:dyDescent="0.2">
      <c r="A1130" s="100" t="str">
        <f>$A$30</f>
        <v>Mai 2022</v>
      </c>
      <c r="B1130" s="24">
        <f>ROUND(IF(N1110=0,0,IFERROR(((LOOKUP(2,1/(A1114:A1117=A1130),G1114:G1117))*N1110*4.348),B1129/N1110*N1110)),2)</f>
        <v>0</v>
      </c>
      <c r="C1130" s="23">
        <f>ROUND(IFERROR(((LOOKUP(2,1/(B1119=A1130),((SUM(B1132:B1134)+SUM(F1132:F1134))/3)*C1119))),0)+IFERROR(((LOOKUP(2,1/(E1119=A1130),(B1138+F1138)*F1119))),0),2)</f>
        <v>0</v>
      </c>
      <c r="D1130" s="23">
        <f>ROUND(IF(B1130=0,0,D1125/L1107*N1110),2)</f>
        <v>0</v>
      </c>
      <c r="E1130" s="23">
        <f>ROUND(IF(B1130=0,0,E1125/N1103*N1110),2)</f>
        <v>0</v>
      </c>
      <c r="F1130" s="24">
        <f>ROUND(IF(N1110=0,0,IFERROR(((LOOKUP(2,1/(A1114:A1117=A1130),H1114:H1117))/N1103*N1110),F1129/N1110*N1110)),2)</f>
        <v>0</v>
      </c>
      <c r="G1130" s="27">
        <f t="shared" si="127"/>
        <v>0</v>
      </c>
      <c r="H1130" s="76">
        <f>ROUND(IF(SUM(B1126:F1129)&lt;(L1141*4),IF((SUM(B1126:F1130))&gt;(L1141*5),(((L1141*5)-(SUM(B1126:F1130)-C1129))*H1125)+((SUM(B1130:F1130)-C1129)*H1125),SUM(B1130:F1130)*H1125),IF(SUM(B1126:F1130)&gt;(L1141*5),L1141*H1125,SUM(B1130:F1130)*H1125)),2)</f>
        <v>0</v>
      </c>
      <c r="I1130" s="76">
        <f>ROUND(IF(SUM(B1126:F1129)&lt;(L1142*4),IF((SUM(B1126:F1130))&gt;(L1142*5),(((L1142*5)-(SUM(B1126:F1130)-C1129))*I1125)+((SUM(B1130:F1130)-C1129)*I1125),SUM(B1130:F1130)*I1125),IF(SUM(B1126:F1130)&gt;(L1142*5),L1142*I1125,SUM(B1130:F1130)*I1125)),2)</f>
        <v>0</v>
      </c>
      <c r="J1130" s="76">
        <f>ROUND(IF(SUM(B1126:F1129)&lt;(L1142*4),IF((SUM(B1126:F1130))&gt;(L1142*5),(((L1142*5)-(SUM(B1126:F1130)-C1129))*J1125)+((SUM(B1130:F1130)-C1129)*J1125),SUM(B1130:F1130)*J1125),IF(SUM(B1126:F1130)&gt;(L1142*5),L1142*J1125,SUM(B1130:F1130)*J1125)),2)</f>
        <v>0</v>
      </c>
      <c r="K1130" s="76">
        <f>ROUND(IF(SUM(B1126:F1129)&lt;(L1141*4),IF((SUM(B1126:F1130))&gt;(L1141*5),(((L1141*5)-(SUM(B1126:F1130)-C1129))*K1125)+((SUM(B1130:F1130)-C1129)*K1125),SUM(B1130:F1130)*K1125),IF(SUM(B1126:F1130)&gt;(L1141*5),L1141*K1125,SUM(B1130:F1130)*K1125)),2)</f>
        <v>0</v>
      </c>
      <c r="L1130" s="76">
        <f>ROUND(IF(SUM(B1126:F1129)&lt;(L1142*4),IF((SUM(B1126:F1130))&gt;(L1142*5),(((L1142*5)-(SUM(B1126:F1130)-C1130))*L1125)+((SUM(B1130:F1130)-C1130)*L1125),(SUM(B1130:F1130)-C1130)*L1125),IF(SUM(B1126:F1130)&gt;(L1142*5),L1142*L1125,SUM(B1130:F1130)*L1125)),2)</f>
        <v>0</v>
      </c>
      <c r="M1130" s="76">
        <f>ROUND(IF(SUM(B1126:F1129)&lt;(L1142*4),IF((SUM(B1126:F1130))&gt;(L1142*5),(((L1142*5)-(SUM(B1126:F1130)-C1130))*M1125)+((SUM(B1130:F1130)-C1130)*M1125),(SUM(B1130:F1130)-C1130)*M1125),IF(SUM(B1126:F1130)&gt;(L1142*5),L1142*M1125,SUM(B1130:F1130)*M1125)),2)</f>
        <v>0</v>
      </c>
      <c r="N1130" s="76">
        <f>ROUND(IF(SUM(B1126:F1129)&lt;(L1142*4),IF((SUM(B1126:F1130))&gt;(L1142*5),(((L1142*5)-(SUM(B1126:F1130)-C1129))*N1125)+((SUM(B1130:F1130)-C1129)*N1125),SUM(B1130:F1130)*N1125),IF(SUM(B1126:F1130)&gt;(L1142*5),L1142*N1125,SUM(B1130:F1130)*N1125)),2)</f>
        <v>0</v>
      </c>
      <c r="O1130" s="23">
        <f>ROUND(SUM(B1130+C1130+F1130)*O1125,2)</f>
        <v>0</v>
      </c>
      <c r="P1130" s="27">
        <f t="shared" si="128"/>
        <v>0</v>
      </c>
    </row>
    <row r="1131" spans="1:16" s="1" customFormat="1" x14ac:dyDescent="0.2">
      <c r="A1131" s="100" t="str">
        <f>$A$31</f>
        <v>Jun 2022</v>
      </c>
      <c r="B1131" s="24">
        <f>ROUND(IF(N1111=0,0,IFERROR(((LOOKUP(2,1/(A1114:A1117=A1131),G1114:G1117))*N1111*4.348),B1130/N1111*N1111)),2)</f>
        <v>0</v>
      </c>
      <c r="C1131" s="23">
        <f>ROUND(IFERROR(((LOOKUP(2,1/(B1119=A1131),((SUM(B1132:B1134)+SUM(F1132:F1134))/3)*C1119))),0)+IFERROR(((LOOKUP(2,1/(E1119=A1131),(B1138+F1138)*F1119))),0),2)</f>
        <v>0</v>
      </c>
      <c r="D1131" s="23">
        <f>ROUND(IF(B1131=0,0,D1125/L1107*N1111),2)</f>
        <v>0</v>
      </c>
      <c r="E1131" s="23">
        <f>ROUND(IF(B1131=0,0,E1125/N1103*N1111),2)</f>
        <v>0</v>
      </c>
      <c r="F1131" s="24">
        <f>ROUND(IF(N1111=0,0,IFERROR(((LOOKUP(2,1/(A1114:A1117=A1131),H1114:H1117))/N1103*N1111),F1130/N1111*N1111)),2)</f>
        <v>0</v>
      </c>
      <c r="G1131" s="27">
        <f t="shared" si="127"/>
        <v>0</v>
      </c>
      <c r="H1131" s="76">
        <f>ROUND(IF(SUM(B1126:F1130)&lt;(L1141*5),IF((SUM(B1126:F1131))&gt;(L1141*6),(((L1141*6)-(SUM(B1126:F1131)-C1130))*H1125)+((SUM(B1131:F1131)-C1130)*H1125),SUM(B1131:F1131)*H1125),IF(SUM(B1126:F1131)&gt;(L1141*6),L1141*H1125,SUM(B1131:F1131)*H1125)),2)</f>
        <v>0</v>
      </c>
      <c r="I1131" s="76">
        <f>ROUND(IF(SUM(B1126:F1130)&lt;(L1142*5),IF((SUM(B1126:F1131))&gt;(L1142*6),(((L1142*6)-(SUM(B1126:F1131)-C1130))*I1125)+((SUM(B1131:F1131)-C1130)*I1125),SUM(B1131:F1131)*I1125),IF(SUM(B1126:F1131)&gt;(L1142*6),L1142*I1125,SUM(B1131:F1131)*I1125)),2)</f>
        <v>0</v>
      </c>
      <c r="J1131" s="76">
        <f>ROUND(IF(SUM(B1126:F1130)&lt;(L1142*5),IF((SUM(B1126:F1131))&gt;(L1142*6),(((L1142*6)-(SUM(B1126:F1131)-C1130))*J1125)+((SUM(B1131:F1131)-C1130)*J1125),SUM(B1131:F1131)*J1125),IF(SUM(B1126:F1131)&gt;(L1142*6),L1142*J1125,SUM(B1131:F1131)*J1125)),2)</f>
        <v>0</v>
      </c>
      <c r="K1131" s="76">
        <f>ROUND(IF(SUM(B1126:F1130)&lt;(L1141*5),IF((SUM(B1126:F1131))&gt;(L1141*6),(((L1141*6)-(SUM(B1126:F1131)-C1130))*K1125)+((SUM(B1131:F1131)-C1130)*K1125),SUM(B1131:F1131)*K1125),IF(SUM(B1126:F1131)&gt;(L1141*6),L1141*K1125,SUM(B1131:F1131)*K1125)),2)</f>
        <v>0</v>
      </c>
      <c r="L1131" s="76">
        <f>ROUND(IF(SUM(B1126:F1130)&lt;(L1142*5),IF((SUM(B1126:F1131))&gt;(L1142*6),(((L1142*6)-(SUM(B1126:F1131)-C1131))*L1125)+((SUM(B1131:F1131)-C1131)*L1125),(SUM(B1131:F1131)-C1131)*L1125),IF(SUM(B1126:F1131)&gt;(L1142*6),L1142*L1125,SUM(B1131:F1131)*L1125)),2)</f>
        <v>0</v>
      </c>
      <c r="M1131" s="76">
        <f>ROUND(IF(SUM(B1126:F1130)&lt;(L1142*5),IF((SUM(B1126:F1131))&gt;(L1142*6),(((L1142*6)-(SUM(B1126:F1131)-C1131))*M1125)+((SUM(B1131:F1131)-C1131)*M1125),(SUM(B1131:F1131)-C1131)*M1125),IF(SUM(B1126:F1131)&gt;(L1142*6),L1142*M1125,SUM(B1131:F1131)*M1125)),2)</f>
        <v>0</v>
      </c>
      <c r="N1131" s="76">
        <f>ROUND(IF(SUM(B1126:F1130)&lt;(L1142*5),IF((SUM(B1126:F1131))&gt;(L1142*6),(((L1142*6)-(SUM(B1126:F1131)-C1130))*N1125)+((SUM(B1131:F1131)-C1130)*N1125),SUM(B1131:F1131)*N1125),IF(SUM(B1126:F1131)&gt;(L1142*6),L1142*N1125,SUM(B1131:F1131)*N1125)),2)</f>
        <v>0</v>
      </c>
      <c r="O1131" s="23">
        <f>ROUND(SUM(B1131+C1131+F1131)*O1125,2)</f>
        <v>0</v>
      </c>
      <c r="P1131" s="27">
        <f t="shared" si="128"/>
        <v>0</v>
      </c>
    </row>
    <row r="1132" spans="1:16" s="1" customFormat="1" x14ac:dyDescent="0.2">
      <c r="A1132" s="100" t="str">
        <f>$A$32</f>
        <v>Jul 2022</v>
      </c>
      <c r="B1132" s="24">
        <f>ROUND(IF(P1106=0,0,IFERROR(((LOOKUP(2,1/(A1114:A1117=A1132),G1114:G1117))*P1106*4.348),B1131/P1106*P1106)),2)</f>
        <v>0</v>
      </c>
      <c r="C1132" s="23">
        <f>ROUND(IFERROR(((LOOKUP(2,1/(B1119=A1132),((SUM(B1132:B1134)+SUM(F1132:F1134))/3)*C1119))),0)+IFERROR(((LOOKUP(2,1/(E1119=A1132),(B1138+F1138)*F1119))),0),2)</f>
        <v>0</v>
      </c>
      <c r="D1132" s="23">
        <f>ROUND(IF(B1132=0,0,D1125/L1107*P1106),2)</f>
        <v>0</v>
      </c>
      <c r="E1132" s="23">
        <f>ROUND(IF(B1132=0,0,E1125/N1103*P1106),2)</f>
        <v>0</v>
      </c>
      <c r="F1132" s="24">
        <f>ROUND(IF(P1106=0,0,IFERROR(((LOOKUP(2,1/(A1114:A1117=A1132),H1114:H1117))/N1103*P1106),F1131/P1106*P1106)),2)</f>
        <v>0</v>
      </c>
      <c r="G1132" s="27">
        <f t="shared" si="127"/>
        <v>0</v>
      </c>
      <c r="H1132" s="76">
        <f>ROUND(IF(SUM(B1126:F1131)&lt;(L1141*6),IF((SUM(B1126:F1132))&gt;(L1141*7),(((L1141*7)-(SUM(B1126:F1132)-C1131))*H1125)+((SUM(B1132:F1132)-C1131)*H1125),SUM(B1132:F1132)*H1125),IF(SUM(B1126:F1132)&gt;(L1141*7),L1141*H1125,SUM(B1132:F1132)*H1125)),2)</f>
        <v>0</v>
      </c>
      <c r="I1132" s="76">
        <f>ROUND(IF(SUM(B1126:F1131)&lt;(L1142*6),IF((SUM(B1126:F1132))&gt;(L1142*7),(((L1142*7)-(SUM(B1126:F1132)-C1131))*I1125)+((SUM(B1132:F1132)-C1131)*I1125),SUM(B1132:F1132)*I1125),IF(SUM(B1126:F1132)&gt;(L1142*7),L1142*I1125,SUM(B1132:F1132)*I1125)),2)</f>
        <v>0</v>
      </c>
      <c r="J1132" s="76">
        <f>ROUND(IF(SUM(B1126:F1131)&lt;(L1142*6),IF((SUM(B1126:F1132))&gt;(L1142*7),(((L1142*7)-(SUM(B1126:F1132)-C1131))*J1125)+((SUM(B1132:F1132)-C1131)*J1125),SUM(B1132:F1132)*J1125),IF(SUM(B1126:F1132)&gt;(L1142*7),L1142*J1125,SUM(B1132:F1132)*J1125)),2)</f>
        <v>0</v>
      </c>
      <c r="K1132" s="76">
        <f>ROUND(IF(SUM(B1126:F1131)&lt;(L1141*6),IF((SUM(B1126:F1132))&gt;(L1141*7),(((L1141*7)-(SUM(B1126:F1132)-C1131))*K1125)+((SUM(B1132:F1132)-C1131)*K1125),SUM(B1132:F1132)*K1125),IF(SUM(B1126:F1132)&gt;(L1141*7),L1141*K1125,SUM(B1132:F1132)*K1125)),2)</f>
        <v>0</v>
      </c>
      <c r="L1132" s="76">
        <f>ROUND(IF(SUM(B1126:F1131)&lt;(L1142*6),IF((SUM(B1126:F1132))&gt;(L1142*7),(((L1142*7)-(SUM(B1126:F1132)-C1132))*L1125)+((SUM(B1132:F1132)-C1132)*L1125),(SUM(B1132:F1132)-C1132)*L1125),IF(SUM(B1126:F1132)&gt;(L1142*7),L1142*L1125,SUM(B1132:F1132)*L1125)),2)</f>
        <v>0</v>
      </c>
      <c r="M1132" s="76">
        <f>ROUND(IF(SUM(B1126:F1131)&lt;(L1142*6),IF((SUM(B1126:F1132))&gt;(L1142*7),(((L1142*7)-(SUM(B1126:F1132)-C1132))*M1125)+((SUM(B1132:F1132)-C1132)*M1125),(SUM(B1132:F1132)-C1132)*M1125),IF(SUM(B1126:F1132)&gt;(L1142*7),L1142*M1125,SUM(B1132:F1132)*M1125)),2)</f>
        <v>0</v>
      </c>
      <c r="N1132" s="76">
        <f>ROUND(IF(SUM(B1126:F1131)&lt;(L1142*6),IF((SUM(B1126:F1132))&gt;(L1142*7),(((L1142*7)-(SUM(B1126:F1132)-C1131))*N1125)+((SUM(B1132:F1132)-C1131)*N1125),SUM(B1132:F1132)*N1125),IF(SUM(B1126:F1132)&gt;(L1142*7),L1142*N1125,SUM(B1132:F1132)*N1125)),2)</f>
        <v>0</v>
      </c>
      <c r="O1132" s="23">
        <f>ROUND(SUM(B1132+C1132+F1132)*O1125,2)</f>
        <v>0</v>
      </c>
      <c r="P1132" s="27">
        <f t="shared" si="128"/>
        <v>0</v>
      </c>
    </row>
    <row r="1133" spans="1:16" s="1" customFormat="1" x14ac:dyDescent="0.2">
      <c r="A1133" s="100" t="str">
        <f>$A$33</f>
        <v>Aug 2022</v>
      </c>
      <c r="B1133" s="24">
        <f>ROUND(IF(P1107=0,0,IFERROR(((LOOKUP(2,1/(A1114:A1117=A1133),G1114:G1117))*P1107*4.348),B1132/P1107*P1107)),2)</f>
        <v>0</v>
      </c>
      <c r="C1133" s="23">
        <f>ROUND(IFERROR(((LOOKUP(2,1/(B1119=A1133),((SUM(B1132:B1134)+SUM(F1132:F1134))/3)*C1119))),0)+IFERROR(((LOOKUP(2,1/(E1119=A1133),(B1138+F1138)*F1119))),0),2)</f>
        <v>0</v>
      </c>
      <c r="D1133" s="23">
        <f>ROUND(IF(B1133=0,0,D1125/L1107*P1107),2)</f>
        <v>0</v>
      </c>
      <c r="E1133" s="23">
        <f>ROUND(IF(B1133=0,0,E1125/N1103*P1107),2)</f>
        <v>0</v>
      </c>
      <c r="F1133" s="24">
        <f>ROUND(IF(P1107=0,0,IFERROR(((LOOKUP(2,1/(A1114:A1117=A1133),H1114:H1117))/N1103*P1107),F1132/P1107*P1107)),2)</f>
        <v>0</v>
      </c>
      <c r="G1133" s="27">
        <f t="shared" si="127"/>
        <v>0</v>
      </c>
      <c r="H1133" s="76">
        <f>ROUND(IF(SUM(B1126:F1132)&lt;(L1141*7),IF((SUM(B1126:F1133))&gt;(L1141*8),(((L1141*8)-(SUM(B1126:F1133)-C1132))*H1125)+((SUM(B1133:F1133)-C1132)*H1125),SUM(B1133:F1133)*H1125),IF(SUM(B1126:F1133)&gt;(L1141*8),L1141*H1125,SUM(B1133:F1133)*H1125)),2)</f>
        <v>0</v>
      </c>
      <c r="I1133" s="76">
        <f>ROUND(IF(SUM(B1126:F1132)&lt;(L1142*7),IF((SUM(B1126:F1133))&gt;(L1142*8),(((L1142*8)-(SUM(B1126:F1133)-C1132))*I1125)+((SUM(B1133:F1133)-C1132)*I1125),SUM(B1133:F1133)*I1125),IF(SUM(B1126:F1133)&gt;(L1142*8),L1142*I1125,SUM(B1133:F1133)*I1125)),2)</f>
        <v>0</v>
      </c>
      <c r="J1133" s="76">
        <f>ROUND(IF(SUM(B1126:F1132)&lt;(L1142*7),IF((SUM(B1126:F1133))&gt;(L1142*8),(((L1142*8)-(SUM(B1126:F1133)-C1132))*J1125)+((SUM(B1133:F1133)-C1132)*J1125),SUM(B1133:F1133)*J1125),IF(SUM(B1126:F1133)&gt;(L1142*8),L1142*J1125,SUM(B1133:F1133)*J1125)),2)</f>
        <v>0</v>
      </c>
      <c r="K1133" s="76">
        <f>ROUND(IF(SUM(B1126:F1132)&lt;(L1141*7),IF((SUM(B1126:F1133))&gt;(L1141*8),(((L1141*8)-(SUM(B1126:F1133)-C1132))*K1125)+((SUM(B1133:F1133)-C1132)*K1125),SUM(B1133:F1133)*K1125),IF(SUM(B1126:F1133)&gt;(L1141*8),L1141*K1125,SUM(B1133:F1133)*K1125)),2)</f>
        <v>0</v>
      </c>
      <c r="L1133" s="76">
        <f>ROUND(IF(SUM(B1126:F1132)&lt;(L1142*7),IF((SUM(B1126:F1133))&gt;(L1142*8),(((L1142*8)-(SUM(B1126:F1133)-C1133))*L1125)+((SUM(B1133:F1133)-C1133)*L1125),(SUM(B1133:F1133)-C1133)*L1125),IF(SUM(B1126:F1133)&gt;(L1142*8),L1142*L1125,SUM(B1133:F1133)*L1125)),2)</f>
        <v>0</v>
      </c>
      <c r="M1133" s="76">
        <f>ROUND(IF(SUM(B1126:F1132)&lt;(L1142*7),IF((SUM(B1126:F1133))&gt;(L1142*8),(((L1142*8)-(SUM(B1126:F1133)-C1133))*M1125)+((SUM(B1133:F1133)-C1133)*M1125),(SUM(B1133:F1133)-C1133)*M1125),IF(SUM(B1126:F1133)&gt;(L1142*8),L1142*M1125,SUM(B1133:F1133)*M1125)),2)</f>
        <v>0</v>
      </c>
      <c r="N1133" s="76">
        <f>ROUND(IF(SUM(B1126:F1132)&lt;(L1142*7),IF((SUM(B1126:F1133))&gt;(L1142*8),(((L1142*8)-(SUM(B1126:F1133)-C1132))*N1125)+((SUM(B1133:F1133)-C1132)*N1125),SUM(B1133:F1133)*N1125),IF(SUM(B1126:F1133)&gt;(L1142*8),L1142*N1125,SUM(B1133:F1133)*N1125)),2)</f>
        <v>0</v>
      </c>
      <c r="O1133" s="23">
        <f>ROUND(SUM(B1133+C1133+F1133)*O1125,2)</f>
        <v>0</v>
      </c>
      <c r="P1133" s="27">
        <f t="shared" si="128"/>
        <v>0</v>
      </c>
    </row>
    <row r="1134" spans="1:16" s="1" customFormat="1" x14ac:dyDescent="0.2">
      <c r="A1134" s="100" t="str">
        <f>$A$34</f>
        <v>Sep 2022</v>
      </c>
      <c r="B1134" s="24">
        <f>ROUND(IF(P1108=0,0,IFERROR(((LOOKUP(2,1/(A1114:A1117=A1134),G1114:G1117))*P1108*4.348),B1133/P1108*P1108)),2)</f>
        <v>0</v>
      </c>
      <c r="C1134" s="23">
        <f>ROUND(IFERROR(((LOOKUP(2,1/(B1119=A1134),((SUM(B1132:B1134)+SUM(F1132:F1134))/3)*C1119))),0)+IFERROR(((LOOKUP(2,1/(E1119=A1134),(B1138+F1138)*F1119))),0),2)</f>
        <v>0</v>
      </c>
      <c r="D1134" s="23">
        <f>ROUND(IF(B1134=0,0,D1125/L1107*P1108),2)</f>
        <v>0</v>
      </c>
      <c r="E1134" s="23">
        <f>ROUND(IF(B1134=0,0,E1125/N1103*P1108),2)</f>
        <v>0</v>
      </c>
      <c r="F1134" s="24">
        <f>ROUND(IF(P1108=0,0,IFERROR(((LOOKUP(2,1/(A1114:A1117=A1134),H1114:H1117))/N1103*P1108),F1133/P1108*P1108)),2)</f>
        <v>0</v>
      </c>
      <c r="G1134" s="27">
        <f t="shared" si="127"/>
        <v>0</v>
      </c>
      <c r="H1134" s="76">
        <f>ROUND(IF(SUM(B1126:F1133)&lt;(L1141*8),IF((SUM(B1126:F1134))&gt;(L1141*9),(((L1141*9)-(SUM(B1126:F1134)-C1133))*H1125)+((SUM(B1134:F1134)-C1133)*H1125),SUM(B1134:F1134)*H1125),IF(SUM(B1126:F1134)&gt;(L1141*9),L1141*H1125,SUM(B1134:F1134)*H1125)),2)</f>
        <v>0</v>
      </c>
      <c r="I1134" s="76">
        <f>ROUND(IF(SUM(B1126:F1133)&lt;(L1142*8),IF((SUM(B1126:F1134))&gt;(L1142*9),(((L1142*9)-(SUM(B1126:F1134)-C1133))*I1125)+((SUM(B1134:F1134)-C1133)*I1125),SUM(B1134:F1134)*I1125),IF(SUM(B1126:F1134)&gt;(L1142*9),L1142*I1125,SUM(B1134:F1134)*I1125)),2)</f>
        <v>0</v>
      </c>
      <c r="J1134" s="76">
        <f>ROUND(IF(SUM(B1126:F1133)&lt;(L1142*8),IF((SUM(B1126:F1134))&gt;(L1142*9),(((L1142*9)-(SUM(B1126:F1134)-C1133))*J1125)+((SUM(B1134:F1134)-C1133)*J1125),SUM(B1134:F1134)*J1125),IF(SUM(B1126:F1134)&gt;(L1142*9),L1142*J1125,SUM(B1134:F1134)*J1125)),2)</f>
        <v>0</v>
      </c>
      <c r="K1134" s="76">
        <f>ROUND(IF(SUM(B1126:F1133)&lt;(L1141*8),IF((SUM(B1126:F1134))&gt;(L1141*9),(((L1141*9)-(SUM(B1126:F1134)-C1133))*K1125)+((SUM(B1134:F1134)-C1133)*K1125),SUM(B1134:F1134)*K1125),IF(SUM(B1126:F1134)&gt;(L1141*9),L1141*K1125,SUM(B1134:F1134)*K1125)),2)</f>
        <v>0</v>
      </c>
      <c r="L1134" s="76">
        <f>ROUND(IF(SUM(B1126:F1133)&lt;(L1142*8),IF((SUM(B1126:F1134))&gt;(L1142*9),(((L1142*9)-(SUM(B1126:F1134)-C1134))*L1125)+((SUM(B1134:F1134)-C1134)*L1125),(SUM(B1134:F1134)-C1134)*L1125),IF(SUM(B1126:F1134)&gt;(L1142*9),L1142*L1125,SUM(B1134:F1134)*L1125)),2)</f>
        <v>0</v>
      </c>
      <c r="M1134" s="76">
        <f>ROUND(IF(SUM(B1126:F1133)&lt;(L1142*8),IF((SUM(B1126:F1134))&gt;(L1142*9),(((L1142*9)-(SUM(B1126:F1134)-C1134))*M1125)+((SUM(B1134:F1134)-C1134)*M1125),(SUM(B1134:F1134)-C1134)*M1125),IF(SUM(B1126:F1134)&gt;(L1142*9),L1142*M1125,SUM(B1134:F1134)*M1125)),2)</f>
        <v>0</v>
      </c>
      <c r="N1134" s="76">
        <f>ROUND(IF(SUM(B1126:F1133)&lt;(L1142*8),IF((SUM(B1126:F1134))&gt;(L1142*9),(((L1142*9)-(SUM(B1126:F1134)-C1133))*N1125)+((SUM(B1134:F1134)-C1133)*N1125),SUM(B1134:F1134)*N1125),IF(SUM(B1126:F1134)&gt;(L1142*9),L1142*N1125,SUM(B1134:F1134)*N1125)),2)</f>
        <v>0</v>
      </c>
      <c r="O1134" s="23">
        <f>ROUND(SUM(B1134+C1134+F1134)*O1125,2)</f>
        <v>0</v>
      </c>
      <c r="P1134" s="27">
        <f t="shared" si="128"/>
        <v>0</v>
      </c>
    </row>
    <row r="1135" spans="1:16" s="1" customFormat="1" x14ac:dyDescent="0.2">
      <c r="A1135" s="100" t="str">
        <f>$A$35</f>
        <v>Okt 2022</v>
      </c>
      <c r="B1135" s="24">
        <f>ROUND(IF(P1109=0,0,IFERROR(((LOOKUP(2,1/(A1114:A1117=A1135),G1114:G1117))*P1109*4.348),B1134/P1109*P1109)),2)</f>
        <v>0</v>
      </c>
      <c r="C1135" s="23">
        <f>ROUND(IFERROR(((LOOKUP(2,1/(B1119=A1135),((SUM(B1132:B1134)+SUM(F1132:F1134))/3)*C1119))),0)+IFERROR(((LOOKUP(2,1/(E1119=A1135),(B1138+F1138)*F1119))),0),2)</f>
        <v>0</v>
      </c>
      <c r="D1135" s="23">
        <f>ROUND(IF(B1135=0,0,D1125/L1107*P1109),2)</f>
        <v>0</v>
      </c>
      <c r="E1135" s="23">
        <f>ROUND(IF(B1135=0,0,E1125/N1103*P1109),2)</f>
        <v>0</v>
      </c>
      <c r="F1135" s="24">
        <f>ROUND(IF(P1109=0,0,IFERROR(((LOOKUP(2,1/(A1114:A1117=A1135),H1114:H1117))/N1103*P1109),F1134/P1109*P1109)),2)</f>
        <v>0</v>
      </c>
      <c r="G1135" s="27">
        <f t="shared" si="127"/>
        <v>0</v>
      </c>
      <c r="H1135" s="76">
        <f>ROUND(IF(SUM(B1126:F1134)&lt;(L1141*9),IF((SUM(B1126:F1135))&gt;(L1141*10),(((L1141*10)-(SUM(B1126:F1135)-C1134))*H1125)+((SUM(B1135:F1135)-C1134)*H1125),SUM(B1135:F1135)*H1125),IF(SUM(B1126:F1135)&gt;(L1141*10),L1141*H1125,SUM(B1135:F1135)*H1125)),2)</f>
        <v>0</v>
      </c>
      <c r="I1135" s="76">
        <f>ROUND(IF(SUM(B1126:F1134)&lt;(L1142*9),IF((SUM(B1126:F1135))&gt;(L1142*10),(((L1142*10)-(SUM(B1126:F1135)-C1134))*I1125)+((SUM(B1135:F1135)-C1134)*I1125),SUM(B1135:F1135)*I1125),IF(SUM(B1126:F1135)&gt;(L1142*10),L1142*I1125,SUM(B1135:F1135)*I1125)),2)</f>
        <v>0</v>
      </c>
      <c r="J1135" s="76">
        <f>ROUND(IF(SUM(B1126:F1134)&lt;(L1142*9),IF((SUM(B1126:F1135))&gt;(L1142*10),(((L1142*10)-(SUM(B1126:F1135)-C1134))*J1125)+((SUM(B1135:F1135)-C1134)*J1125),SUM(B1135:F1135)*J1125),IF(SUM(B1126:F1135)&gt;(L1142*10),L1142*J1125,SUM(B1135:F1135)*J1125)),2)</f>
        <v>0</v>
      </c>
      <c r="K1135" s="76">
        <f>ROUND(IF(SUM(B1126:F1134)&lt;(L1141*9),IF((SUM(B1126:F1135))&gt;(L1141*10),(((L1141*10)-(SUM(B1126:F1135)-C1134))*K1125)+((SUM(B1135:F1135)-C1134)*K1125),SUM(B1135:F1135)*K1125),IF(SUM(B1126:F1135)&gt;(L1141*10),L1141*K1125,SUM(B1135:F1135)*K1125)),2)</f>
        <v>0</v>
      </c>
      <c r="L1135" s="76">
        <f>ROUND(IF(SUM(B1126:F1134)&lt;(L1142*9),IF((SUM(B1126:F1135))&gt;(L1142*10),(((L1142*10)-(SUM(B1126:F1135)-C1135))*L1125)+((SUM(B1135:F1135)-C1135)*L1125),(SUM(B1135:F1135)-C1135)*L1125),IF(SUM(B1126:F1135)&gt;(L1142*10),L1142*L1125,SUM(B1135:F1135)*L1125)),2)</f>
        <v>0</v>
      </c>
      <c r="M1135" s="76">
        <f>ROUND(IF(SUM(B1126:F1134)&lt;(L1142*9),IF((SUM(B1126:F1135))&gt;(L1142*10),(((L1142*10)-(SUM(B1126:F1135)-C1135))*M1125)+((SUM(B1135:F1135)-C1135)*M1125),(SUM(B1135:F1135)-C1135)*M1125),IF(SUM(B1126:F1135)&gt;(L1142*10),L1142*M1125,SUM(B1135:F1135)*M1125)),2)</f>
        <v>0</v>
      </c>
      <c r="N1135" s="76">
        <f>ROUND(IF(SUM(B1126:F1134)&lt;(L1142*9),IF((SUM(B1126:F1135))&gt;(L1142*10),(((L1142*10)-(SUM(B1126:F1135)-C1134))*N1125)+((SUM(B1135:F1135)-C1134)*N1125),SUM(B1135:F1135)*N1125),IF(SUM(B1126:F1135)&gt;(L1142*10),L1142*N1125,SUM(B1135:F1135)*N1125)),2)</f>
        <v>0</v>
      </c>
      <c r="O1135" s="23">
        <f>ROUND(SUM(B1135+C1135+F1135)*O1125,2)</f>
        <v>0</v>
      </c>
      <c r="P1135" s="27">
        <f t="shared" si="128"/>
        <v>0</v>
      </c>
    </row>
    <row r="1136" spans="1:16" s="1" customFormat="1" x14ac:dyDescent="0.2">
      <c r="A1136" s="100" t="str">
        <f>$A$36</f>
        <v>Nov 2022</v>
      </c>
      <c r="B1136" s="24">
        <f>ROUND(IF(P1110=0,0,IFERROR(((LOOKUP(2,1/(A1114:A1117=A1136),G1114:G1117))*P1110*4.348),B1135/P1110*P1110)),2)</f>
        <v>0</v>
      </c>
      <c r="C1136" s="23">
        <f>ROUND(IFERROR(((LOOKUP(2,1/(B1119=A1136),((SUM(B1132:B1134)+SUM(F1132:F1134))/3)*C1119))),0)+IFERROR(((LOOKUP(2,1/(E1119=A1136),(B1138+F1138)*F1119))),0),2)</f>
        <v>0</v>
      </c>
      <c r="D1136" s="23">
        <f>ROUND(IF(B1136=0,0,D1125/L1107*P1110),2)</f>
        <v>0</v>
      </c>
      <c r="E1136" s="23">
        <f>ROUND(IF(B1136=0,0,E1125/N1103*P1110),2)</f>
        <v>0</v>
      </c>
      <c r="F1136" s="24">
        <f>ROUND(IF(P1110=0,0,IFERROR(((LOOKUP(2,1/(A1114:A1117=A1136),H1114:H1117))/N1103*P1110),F1135/P1110*P1110)),2)</f>
        <v>0</v>
      </c>
      <c r="G1136" s="27">
        <f t="shared" si="127"/>
        <v>0</v>
      </c>
      <c r="H1136" s="76">
        <f>ROUND(IF(SUM(B1126:F1135)&lt;(L1141*10),IF((SUM(B1126:F1136))&gt;(L1141*11),(((L1141*11)-(SUM(B1126:F1136)-C1135))*H1125)+((SUM(B1136:F1136)-C1135)*H1125),SUM(B1136:F1136)*H1125),IF(SUM(B1126:F1136)&gt;(L1141*11),L1141*H1125,SUM(B1136:F1136)*H1125)),2)</f>
        <v>0</v>
      </c>
      <c r="I1136" s="76">
        <f>ROUND(IF(SUM(B1126:F1135)&lt;(L1142*10),IF((SUM(B1126:F1136))&gt;(L1142*11),(((L1142*11)-(SUM(B1126:F1136)-C1135))*I1125)+((SUM(B1136:F1136)-C1135)*I1125),SUM(B1136:F1136)*I1125),IF(SUM(B1126:F1136)&gt;(L1142*11),L1142*I1125,SUM(B1136:F1136)*I1125)),2)</f>
        <v>0</v>
      </c>
      <c r="J1136" s="76">
        <f>ROUND(IF(SUM(B1126:F1135)&lt;(L1142*10),IF((SUM(B1126:F1136))&gt;(L1142*11),(((L1142*11)-(SUM(B1126:F1136)-C1135))*J1125)+((SUM(B1136:F1136)-C1135)*J1125),SUM(B1136:F1136)*J1125),IF(SUM(B1126:F1136)&gt;(L1142*11),L1142*J1125,SUM(B1136:F1136)*J1125)),2)</f>
        <v>0</v>
      </c>
      <c r="K1136" s="76">
        <f>ROUND(IF(SUM(B1126:F1135)&lt;(L1141*10),IF((SUM(B1126:F1136))&gt;(L1141*11),(((L1141*11)-(SUM(B1126:F1136)-C1135))*K1125)+((SUM(B1136:F1136)-C1135)*K1125),SUM(B1136:F1136)*K1125),IF(SUM(B1126:F1136)&gt;(L1141*11),L1141*K1125,SUM(B1136:F1136)*K1125)),2)</f>
        <v>0</v>
      </c>
      <c r="L1136" s="76">
        <f>ROUND(IF(SUM(B1126:F1135)&lt;(L1142*10),IF((SUM(B1126:F1136))&gt;(L1142*11),(((L1142*11)-(SUM(B1126:F1136)-C1136))*L1125)+((SUM(B1136:F1136)-C1136)*L1125),(SUM(B1136:F1136)-C1136)*L1125),IF(SUM(B1126:F1136)&gt;(L1142*11),L1142*L1125,SUM(B1136:F1136)*L1125)),2)</f>
        <v>0</v>
      </c>
      <c r="M1136" s="76">
        <f>ROUND(IF(SUM(B1126:F1135)&lt;(L1142*10),IF((SUM(B1126:F1136))&gt;(L1142*11),(((L1142*11)-(SUM(B1126:F1136)-C1136))*M1125)+((SUM(B1136:F1136)-C1136)*M1125),(SUM(B1136:F1136)-C1136)*M1125),IF(SUM(B1126:F1136)&gt;(L1142*11),L1142*M1125,SUM(B1136:F1136)*M1125)),2)</f>
        <v>0</v>
      </c>
      <c r="N1136" s="76">
        <f>ROUND(IF(SUM(B1126:F1135)&lt;(L1142*10),IF((SUM(B1126:F1136))&gt;(L1142*11),(((L1142*11)-(SUM(B1126:F1136)-C1135))*N1125)+((SUM(B1136:F1136)-C1135)*N1125),SUM(B1136:F1136)*N1125),IF(SUM(B1126:F1136)&gt;(L1142*11),L1142*N1125,SUM(B1136:F1136)*N1125)),2)</f>
        <v>0</v>
      </c>
      <c r="O1136" s="23">
        <f>ROUND(SUM(B1136+C1136+F1136)*O1125,2)</f>
        <v>0</v>
      </c>
      <c r="P1136" s="27">
        <f t="shared" si="128"/>
        <v>0</v>
      </c>
    </row>
    <row r="1137" spans="1:16" s="1" customFormat="1" x14ac:dyDescent="0.2">
      <c r="A1137" s="100" t="str">
        <f>$A$37</f>
        <v>Dez 2022</v>
      </c>
      <c r="B1137" s="24">
        <f>ROUND(IF(P1111=0,0,IFERROR(((LOOKUP(2,1/(A1114:A1117=A1137),G1114:G1117))*P1111*4.348),B1136/P1111*P1111)),2)</f>
        <v>0</v>
      </c>
      <c r="C1137" s="23">
        <f>ROUND(IFERROR(((LOOKUP(2,1/(B1119=A1137),((SUM(B1132:B1134)+SUM(F1132:F1134))/3)*C1119))),0)+IFERROR(((LOOKUP(2,1/(E1119=A1137),(B1138+F1138)*F1119))),0),2)</f>
        <v>0</v>
      </c>
      <c r="D1137" s="23">
        <f>ROUND(IF(B1137=0,0,D1125/L1107*P1111),2)</f>
        <v>0</v>
      </c>
      <c r="E1137" s="23">
        <f>ROUND(IF(B1137=0,0,E1125/N1103*P1111),2)</f>
        <v>0</v>
      </c>
      <c r="F1137" s="24">
        <f>ROUND(IF(P1111=0,0,IFERROR(((LOOKUP(2,1/(A1114:A1117=A1137),H1114:H1117))/N1103*P1111),F1136/P1111*P1111)),2)</f>
        <v>0</v>
      </c>
      <c r="G1137" s="27">
        <f t="shared" si="127"/>
        <v>0</v>
      </c>
      <c r="H1137" s="76">
        <f>ROUND(IF(SUM(B1126:F1136)&lt;(L1141*11),IF((SUM(B1126:F1137))&gt;(L1141*12),(((L1141*12)-(SUM(B1126:F1137)-C1136))*H1125)+((SUM(B1137:F1137)-C1136)*H1125),SUM(B1137:F1137)*H1125),IF(SUM(B1126:F1137)&gt;(L1141*12),L1141*H1125,SUM(B1137:F1137)*H1125)),2)</f>
        <v>0</v>
      </c>
      <c r="I1137" s="76">
        <f>ROUND(IF(SUM(B1126:F1136)&lt;(L1142*11),IF((SUM(B1126:F1137))&gt;(L1142*12),(((L1142*12)-(SUM(B1126:F1137)-C1136))*I1125)+((SUM(B1137:F1137)-C1136)*I1125),SUM(B1137:F1137)*I1125),IF(SUM(B1126:F1137)&gt;(L1142*12),L1142*I1125,SUM(B1137:F1137)*I1125)),2)</f>
        <v>0</v>
      </c>
      <c r="J1137" s="76">
        <f>ROUND(IF(SUM(B1126:F1136)&lt;(L1142*11),IF((SUM(B1126:F1137))&gt;(L1142*12),(((L1142*12)-(SUM(B1126:F1137)-C1136))*J1125)+((SUM(B1137:F1137)-C1136)*J1125),SUM(B1137:F1137)*J1125),IF(SUM(B1126:F1137)&gt;(L1142*12),L1142*J1125,SUM(B1137:F1137)*J1125)),2)</f>
        <v>0</v>
      </c>
      <c r="K1137" s="76">
        <f>ROUND(IF(SUM(B1126:F1136)&lt;(L1141*11),IF((SUM(B1126:F1137))&gt;(L1141*12),(((L1141*12)-(SUM(B1126:F1137)-C1136))*K1125)+((SUM(B1137:F1137)-C1136)*K1125),SUM(B1137:F1137)*K1125),IF(SUM(B1126:F1137)&gt;(L1141*12),L1141*K1125,SUM(B1137:F1137)*K1125)),2)</f>
        <v>0</v>
      </c>
      <c r="L1137" s="76">
        <f>ROUND(IF(SUM(B1126:F1136)&lt;(L1142*11),IF((SUM(B1126:F1137))&gt;(L1142*12),(((L1142*12)-(SUM(B1126:F1137)-C1137))*L1125)+((SUM(B1137:F1137)-C1137)*L1125),(SUM(B1137:F1137)-C1137)*L1125),IF(SUM(B1126:F1137)&gt;(L1142*12),L1142*L1125,SUM(B1137:F1137)*L1125)),2)</f>
        <v>0</v>
      </c>
      <c r="M1137" s="76">
        <f>ROUND(IF(SUM(B1126:F1136)&lt;(L1142*11),IF((SUM(B1126:F1137))&gt;(L1142*12),(((L1142*12)-(SUM(B1126:F1137)-C1137))*M1125)+((SUM(B1137:F1137)-C1137)*M1125),(SUM(B1137:F1137)-C1137)*M1125),IF(SUM(B1126:F1137)&gt;(L1142*12),L1142*M1125,SUM(B1137:F1137)*M1125)),2)</f>
        <v>0</v>
      </c>
      <c r="N1137" s="76">
        <f>ROUND(IF(SUM(B1126:F1136)&lt;(L1142*11),IF((SUM(B1126:F1137))&gt;(L1142*12),(((L1142*12)-(SUM(B1126:F1137)-C1136))*N1125)+((SUM(B1137:F1137)-C1136)*N1125),SUM(B1137:F1137)*N1125),IF(SUM(B1126:F1137)&gt;(L1142*12),L1142*N1125,SUM(B1137:F1137)*N1125)),2)</f>
        <v>0</v>
      </c>
      <c r="O1137" s="23">
        <f>ROUND(SUM(B1137+C1137+F1137)*O1125,2)</f>
        <v>0</v>
      </c>
      <c r="P1137" s="27">
        <f t="shared" si="128"/>
        <v>0</v>
      </c>
    </row>
    <row r="1138" spans="1:16" s="14" customFormat="1" ht="15" x14ac:dyDescent="0.25">
      <c r="A1138" s="4" t="s">
        <v>2</v>
      </c>
      <c r="B1138" s="27">
        <f>SUM(B1126:B1137)</f>
        <v>0</v>
      </c>
      <c r="C1138" s="27">
        <f t="shared" ref="C1138:D1138" si="129">SUM(C1126:C1137)</f>
        <v>0</v>
      </c>
      <c r="D1138" s="27">
        <f t="shared" si="129"/>
        <v>0</v>
      </c>
      <c r="E1138" s="27">
        <f>SUM(E1126:E1137)</f>
        <v>0</v>
      </c>
      <c r="F1138" s="27">
        <f>SUM(F1126:F1137)</f>
        <v>0</v>
      </c>
      <c r="G1138" s="27">
        <f>SUM(G1126:G1137)</f>
        <v>0</v>
      </c>
      <c r="H1138" s="1133">
        <f>SUM(H1126:N1137)</f>
        <v>0</v>
      </c>
      <c r="I1138" s="1134"/>
      <c r="J1138" s="1134"/>
      <c r="K1138" s="1134"/>
      <c r="L1138" s="1134"/>
      <c r="M1138" s="1134"/>
      <c r="N1138" s="1135"/>
      <c r="O1138" s="27">
        <f>SUM(O1126:O1137)</f>
        <v>0</v>
      </c>
      <c r="P1138" s="27">
        <f>SUM(P1126:P1137)</f>
        <v>0</v>
      </c>
    </row>
    <row r="1139" spans="1:16" s="13" customFormat="1" ht="11.25" x14ac:dyDescent="0.2">
      <c r="A1139" s="3" t="s">
        <v>1</v>
      </c>
      <c r="B1139" s="2"/>
      <c r="C1139" s="2"/>
      <c r="D1139" s="2"/>
      <c r="E1139" s="2"/>
      <c r="F1139" s="2"/>
      <c r="G1139" s="2"/>
      <c r="H1139" s="2"/>
      <c r="I1139" s="2"/>
      <c r="J1139" s="2"/>
      <c r="K1139" s="2"/>
      <c r="L1139" s="2"/>
      <c r="M1139" s="2"/>
      <c r="N1139" s="2"/>
      <c r="O1139" s="2"/>
      <c r="P1139" s="2"/>
    </row>
    <row r="1140" spans="1:16" s="1" customFormat="1" ht="14.25" customHeight="1" x14ac:dyDescent="0.2">
      <c r="A1140" s="1136" t="s">
        <v>133</v>
      </c>
      <c r="B1140" s="1137"/>
      <c r="C1140" s="1137"/>
      <c r="D1140" s="1137" t="s">
        <v>134</v>
      </c>
      <c r="E1140" s="1137"/>
      <c r="F1140" s="94" t="str">
        <f>IF(IF(G1138=0,"",'päd.Personal - Leitung'!$F$40)=0,"",IF(G1138=0,"",'päd.Personal - Leitung'!$F$40))</f>
        <v/>
      </c>
      <c r="G1140" s="77" t="s">
        <v>135</v>
      </c>
      <c r="H1140" s="96" t="str">
        <f>IF(IF(G1138=0,"",'päd.Personal - Leitung'!$H$40)=0,"",IF(G1138=0,"",'päd.Personal - Leitung'!$H$40))</f>
        <v/>
      </c>
      <c r="I1140" s="73"/>
      <c r="J1140" s="194" t="s">
        <v>160</v>
      </c>
      <c r="K1140" s="194" t="str">
        <f>$K$40</f>
        <v>2021</v>
      </c>
      <c r="L1140" s="194" t="str">
        <f>$L$40</f>
        <v>anteilig 2021</v>
      </c>
      <c r="M1140" s="1138" t="s">
        <v>140</v>
      </c>
      <c r="N1140" s="1138"/>
      <c r="O1140" s="1139"/>
      <c r="P1140" s="27">
        <f>ROUND(IF(F1140="",IF(E1144="",0,(E1144*H1144/K1144)/L1107*L1108),G1138*F1140*H1140/1000),2)</f>
        <v>0</v>
      </c>
    </row>
    <row r="1141" spans="1:16" s="1" customFormat="1" ht="15" customHeight="1" x14ac:dyDescent="0.2">
      <c r="A1141" s="1140" t="s">
        <v>145</v>
      </c>
      <c r="B1141" s="1141"/>
      <c r="C1141" s="1141"/>
      <c r="D1141" s="18"/>
      <c r="E1141" s="107" t="s">
        <v>135</v>
      </c>
      <c r="F1141" s="95" t="str">
        <f>IF(IF(G1138=0,"",'päd.Personal - Leitung'!$F$41)=0,"",IF(G1138=0,"",'päd.Personal - Leitung'!$F$41))</f>
        <v/>
      </c>
      <c r="G1141" s="48"/>
      <c r="H1141" s="47"/>
      <c r="I1141" s="48"/>
      <c r="J1141" s="195" t="s">
        <v>158</v>
      </c>
      <c r="K1141" s="198">
        <f>$K$41</f>
        <v>4837.5</v>
      </c>
      <c r="L1141" s="197">
        <f>IF(L1107="",K1141,K1141/L1107*L1108)</f>
        <v>4837.5</v>
      </c>
      <c r="M1141" s="1138" t="s">
        <v>139</v>
      </c>
      <c r="N1141" s="1138"/>
      <c r="O1141" s="1139"/>
      <c r="P1141" s="27">
        <f>ROUND(IF(F1141="",0,G1138*F1141/1000),2)</f>
        <v>0</v>
      </c>
    </row>
    <row r="1142" spans="1:16" s="1" customFormat="1" ht="15.75" customHeight="1" x14ac:dyDescent="0.2">
      <c r="A1142" s="1142" t="s">
        <v>141</v>
      </c>
      <c r="B1142" s="1143"/>
      <c r="C1142" s="1143"/>
      <c r="D1142" s="1144" t="s">
        <v>143</v>
      </c>
      <c r="E1142" s="1144"/>
      <c r="F1142" s="1145" t="str">
        <f>IF(IF(G1138=0,"",'päd.Personal - Leitung'!$F$42)=0,"",IF(G1138=0,"",'päd.Personal - Leitung'!$F$42))</f>
        <v/>
      </c>
      <c r="G1142" s="1145"/>
      <c r="H1142" s="72"/>
      <c r="I1142" s="18"/>
      <c r="J1142" s="195" t="s">
        <v>159</v>
      </c>
      <c r="K1142" s="197">
        <f>$K$42</f>
        <v>6700</v>
      </c>
      <c r="L1142" s="197">
        <f>IF(L1107="",K1142,K1142/L1107*L1108)</f>
        <v>6700</v>
      </c>
      <c r="M1142" s="1138" t="s">
        <v>141</v>
      </c>
      <c r="N1142" s="1138"/>
      <c r="O1142" s="1139"/>
      <c r="P1142" s="23">
        <f>ROUND(IF(F1142="",0,IF(G1138=0,0,F1142/L1107*L1108)),2)</f>
        <v>0</v>
      </c>
    </row>
    <row r="1143" spans="1:16" s="1" customFormat="1" ht="14.25" customHeight="1" x14ac:dyDescent="0.2">
      <c r="A1143" s="18"/>
      <c r="B1143" s="18"/>
      <c r="C1143" s="18"/>
      <c r="D1143" s="18"/>
      <c r="E1143" s="18"/>
      <c r="F1143" s="18"/>
      <c r="G1143" s="18"/>
      <c r="H1143" s="18"/>
      <c r="I1143" s="18"/>
      <c r="J1143" s="18"/>
      <c r="K1143" s="74"/>
      <c r="L1143" s="82"/>
      <c r="M1143" s="1127" t="s">
        <v>146</v>
      </c>
      <c r="N1143" s="1127"/>
      <c r="O1143" s="1128"/>
      <c r="P1143" s="23">
        <f>ROUND(IF(G1138=0,0,$P$87),2)</f>
        <v>0</v>
      </c>
    </row>
    <row r="1144" spans="1:16" s="1" customFormat="1" ht="14.25" customHeight="1" x14ac:dyDescent="0.2">
      <c r="A1144" s="1129" t="s">
        <v>142</v>
      </c>
      <c r="B1144" s="1130"/>
      <c r="C1144" s="126" t="s">
        <v>136</v>
      </c>
      <c r="D1144" s="179" t="s">
        <v>137</v>
      </c>
      <c r="E1144" s="1131" t="str">
        <f>IF(IF(G1138=0,"",'päd.Personal - Leitung'!$E$44)=0,"",IF(G1138=0,"",'päd.Personal - Leitung'!$E$44))</f>
        <v/>
      </c>
      <c r="F1144" s="1131"/>
      <c r="G1144" s="83" t="s">
        <v>138</v>
      </c>
      <c r="H1144" s="97" t="str">
        <f>IF(IF(G1138=0,"",'päd.Personal - Leitung'!$H$44)=0,"",IF(G1138=0,"",'päd.Personal - Leitung'!$H$44))</f>
        <v/>
      </c>
      <c r="I1144" s="1132" t="s">
        <v>144</v>
      </c>
      <c r="J1144" s="1132"/>
      <c r="K1144" s="98" t="str">
        <f>IF(IF(G1138=0,"",'päd.Personal - Leitung'!$K$44)=0,"",IF(G1138=0,"",'päd.Personal - Leitung'!$K$44))</f>
        <v/>
      </c>
      <c r="L1144" s="29"/>
      <c r="M1144" s="29"/>
      <c r="N1144" s="29"/>
      <c r="O1144" s="28" t="s">
        <v>0</v>
      </c>
      <c r="P1144" s="27">
        <f>P1138+SUM(P1140:P1143)</f>
        <v>0</v>
      </c>
    </row>
    <row r="1145" spans="1:16" s="12" customFormat="1" ht="13.5" customHeight="1" x14ac:dyDescent="0.2">
      <c r="A1145" s="1178" t="s">
        <v>18</v>
      </c>
      <c r="B1145" s="1178"/>
      <c r="C1145" s="1178"/>
      <c r="D1145" s="1179" t="str">
        <f>IF($D$1="","",$D$1)</f>
        <v/>
      </c>
      <c r="E1145" s="1179"/>
      <c r="F1145" s="1179"/>
      <c r="G1145" s="1179"/>
      <c r="H1145" s="1179"/>
      <c r="I1145" s="1179"/>
      <c r="J1145" s="1179"/>
      <c r="K1145" s="1179"/>
      <c r="L1145" s="1179"/>
      <c r="M1145" s="1179"/>
      <c r="N1145" s="1179"/>
    </row>
    <row r="1146" spans="1:16" s="12" customFormat="1" ht="15" customHeight="1" x14ac:dyDescent="0.2">
      <c r="A1146" s="1178" t="s">
        <v>17</v>
      </c>
      <c r="B1146" s="1178"/>
      <c r="C1146" s="1178" t="s">
        <v>15</v>
      </c>
      <c r="D1146" s="1179" t="str">
        <f>IF($D$2="","",$D$2)</f>
        <v/>
      </c>
      <c r="E1146" s="1179"/>
      <c r="F1146" s="1179"/>
      <c r="G1146" s="1179"/>
      <c r="H1146" s="1179"/>
      <c r="I1146" s="1179"/>
      <c r="J1146" s="1179"/>
      <c r="K1146" s="1179"/>
      <c r="L1146" s="1179"/>
      <c r="M1146" s="1179"/>
      <c r="N1146" s="1179"/>
    </row>
    <row r="1147" spans="1:16" s="12" customFormat="1" ht="15" customHeight="1" x14ac:dyDescent="0.2">
      <c r="A1147" s="1178" t="s">
        <v>16</v>
      </c>
      <c r="B1147" s="1178"/>
      <c r="C1147" s="1178" t="s">
        <v>15</v>
      </c>
      <c r="D1147" s="1179" t="str">
        <f>IF($D$3="","",$D$3)</f>
        <v/>
      </c>
      <c r="E1147" s="1179"/>
      <c r="F1147" s="1179"/>
      <c r="G1147" s="1179"/>
      <c r="H1147" s="1179"/>
      <c r="I1147" s="1179"/>
      <c r="J1147" s="1179"/>
      <c r="K1147" s="1178" t="s">
        <v>103</v>
      </c>
      <c r="L1147" s="1178"/>
      <c r="M1147" s="1178"/>
      <c r="N1147" s="41" t="str">
        <f>IF($N$3="","",$N$3)</f>
        <v/>
      </c>
    </row>
    <row r="1148" spans="1:16" s="13" customFormat="1" ht="11.25" x14ac:dyDescent="0.2">
      <c r="A1148" s="1182"/>
      <c r="B1148" s="1182"/>
      <c r="C1148" s="1182"/>
      <c r="D1148" s="1183"/>
      <c r="E1148" s="1183"/>
      <c r="F1148" s="1183"/>
      <c r="G1148" s="1183"/>
      <c r="H1148" s="1183"/>
      <c r="I1148" s="1183"/>
      <c r="J1148" s="1183"/>
      <c r="K1148" s="11"/>
      <c r="L1148" s="11"/>
      <c r="M1148" s="11"/>
      <c r="N1148" s="11"/>
      <c r="O1148" s="11"/>
      <c r="P1148" s="11"/>
    </row>
    <row r="1149" spans="1:16" s="15" customFormat="1" ht="13.5" customHeight="1" x14ac:dyDescent="0.2">
      <c r="A1149" s="1177" t="s">
        <v>166</v>
      </c>
      <c r="B1149" s="1177"/>
      <c r="C1149" s="1177"/>
      <c r="D1149" s="1177"/>
      <c r="E1149" s="1177"/>
      <c r="F1149" s="1177"/>
      <c r="G1149" s="1177"/>
      <c r="H1149" s="1177"/>
      <c r="I1149" s="1177"/>
      <c r="J1149" s="1177"/>
      <c r="K1149" s="9"/>
      <c r="L1149" s="9"/>
      <c r="M1149" s="9"/>
      <c r="N1149" s="59" t="s">
        <v>154</v>
      </c>
      <c r="O1149" s="191">
        <f>$O$5</f>
        <v>2022</v>
      </c>
      <c r="P1149" s="59" t="s">
        <v>154</v>
      </c>
    </row>
    <row r="1150" spans="1:16" s="10" customFormat="1" ht="13.5" customHeight="1" x14ac:dyDescent="0.25">
      <c r="B1150" s="32"/>
      <c r="C1150" s="32"/>
      <c r="D1150" s="5" t="s">
        <v>60</v>
      </c>
      <c r="E1150" s="31"/>
      <c r="F1150" s="31"/>
      <c r="G1150" s="31"/>
      <c r="H1150" s="31"/>
      <c r="I1150" s="26"/>
      <c r="J1150" s="1174" t="s">
        <v>14</v>
      </c>
      <c r="K1150" s="1174"/>
      <c r="L1150" s="180"/>
      <c r="N1150" s="84">
        <f>IF(L1152="","",L1152)</f>
        <v>0</v>
      </c>
      <c r="O1150" s="58" t="str">
        <f>$O$6</f>
        <v>Jan                Jul</v>
      </c>
      <c r="P1150" s="85">
        <f>IF(N1155="","",N1155)</f>
        <v>0</v>
      </c>
    </row>
    <row r="1151" spans="1:16" s="7" customFormat="1" ht="13.5" customHeight="1" x14ac:dyDescent="0.25">
      <c r="A1151" s="1180" t="s">
        <v>71</v>
      </c>
      <c r="B1151" s="1180"/>
      <c r="C1151" s="1180"/>
      <c r="D1151" s="1184"/>
      <c r="E1151" s="1184"/>
      <c r="F1151" s="1184"/>
      <c r="G1151" s="1184"/>
      <c r="H1151" s="1184"/>
      <c r="I1151" s="1184"/>
      <c r="J1151" s="1174" t="s">
        <v>104</v>
      </c>
      <c r="K1151" s="1174"/>
      <c r="L1151" s="145"/>
      <c r="N1151" s="85">
        <f>IF(N1150="","",N1150)</f>
        <v>0</v>
      </c>
      <c r="O1151" s="58" t="str">
        <f>$O$7</f>
        <v>Feb              Aug</v>
      </c>
      <c r="P1151" s="85">
        <f>IF(P1150="","",P1150)</f>
        <v>0</v>
      </c>
    </row>
    <row r="1152" spans="1:16" s="1" customFormat="1" ht="13.5" customHeight="1" x14ac:dyDescent="0.2">
      <c r="A1152" s="1180" t="s">
        <v>13</v>
      </c>
      <c r="B1152" s="1180"/>
      <c r="C1152" s="1180"/>
      <c r="D1152" s="1181"/>
      <c r="E1152" s="1181"/>
      <c r="F1152" s="1181"/>
      <c r="G1152" s="1181"/>
      <c r="H1152" s="1181"/>
      <c r="I1152" s="1181"/>
      <c r="J1152" s="1174" t="s">
        <v>164</v>
      </c>
      <c r="K1152" s="1174"/>
      <c r="L1152" s="145">
        <f>IF((L1153+L1154)&gt;L1151,0,L1151-L1153-L1154)</f>
        <v>0</v>
      </c>
      <c r="N1152" s="85">
        <f>IF(N1151="","",N1151)</f>
        <v>0</v>
      </c>
      <c r="O1152" s="58" t="str">
        <f>$O$8</f>
        <v>Mrz              Sep</v>
      </c>
      <c r="P1152" s="85">
        <f>IF(P1151="","",P1151)</f>
        <v>0</v>
      </c>
    </row>
    <row r="1153" spans="1:16" s="1" customFormat="1" ht="13.5" customHeight="1" x14ac:dyDescent="0.2">
      <c r="A1153" s="1180" t="s">
        <v>12</v>
      </c>
      <c r="B1153" s="1180"/>
      <c r="C1153" s="1180"/>
      <c r="D1153" s="1181"/>
      <c r="E1153" s="1181"/>
      <c r="F1153" s="1181"/>
      <c r="G1153" s="1181"/>
      <c r="H1153" s="1181"/>
      <c r="I1153" s="1181"/>
      <c r="J1153" s="1174" t="s">
        <v>165</v>
      </c>
      <c r="K1153" s="1174"/>
      <c r="L1153" s="145"/>
      <c r="N1153" s="85">
        <f>IF(N1152="","",N1152)</f>
        <v>0</v>
      </c>
      <c r="O1153" s="58" t="str">
        <f>$O$9</f>
        <v>Apr               Okt</v>
      </c>
      <c r="P1153" s="85">
        <f t="shared" ref="P1153:P1155" si="130">IF(P1152="","",P1152)</f>
        <v>0</v>
      </c>
    </row>
    <row r="1154" spans="1:16" s="1" customFormat="1" ht="13.5" customHeight="1" x14ac:dyDescent="0.2">
      <c r="A1154" s="1180" t="s">
        <v>19</v>
      </c>
      <c r="B1154" s="1180"/>
      <c r="C1154" s="1180"/>
      <c r="D1154" s="1181"/>
      <c r="E1154" s="1181"/>
      <c r="F1154" s="1181"/>
      <c r="G1154" s="1181"/>
      <c r="H1154" s="1181"/>
      <c r="I1154" s="1181"/>
      <c r="J1154" s="1174" t="s">
        <v>252</v>
      </c>
      <c r="K1154" s="1174"/>
      <c r="L1154" s="145"/>
      <c r="M1154" s="92"/>
      <c r="N1154" s="85">
        <f>IF(N1153="","",N1153)</f>
        <v>0</v>
      </c>
      <c r="O1154" s="58" t="str">
        <f>$O$10</f>
        <v>Mai               Nov</v>
      </c>
      <c r="P1154" s="85">
        <f t="shared" si="130"/>
        <v>0</v>
      </c>
    </row>
    <row r="1155" spans="1:16" s="1" customFormat="1" ht="13.5" customHeight="1" x14ac:dyDescent="0.2">
      <c r="B1155" s="8"/>
      <c r="C1155" s="121" t="s">
        <v>162</v>
      </c>
      <c r="D1155" s="1175"/>
      <c r="E1155" s="1175"/>
      <c r="F1155" s="1176" t="s">
        <v>106</v>
      </c>
      <c r="G1155" s="1176"/>
      <c r="H1155" s="1186"/>
      <c r="I1155" s="1186"/>
      <c r="J1155" s="1174" t="s">
        <v>97</v>
      </c>
      <c r="K1155" s="1174"/>
      <c r="L1155" s="17" t="str">
        <f>IF(IF((COUNTIF(B1170:B1181,"&gt;0"))=0,0,(COUNTIF(B1170:B1181,"&gt;0")))&gt;Grundlagen!$C$24,Grundlagen!$C$24,IF((COUNTIF(B1170:B1181,"&gt;0"))=0,"",(COUNTIF(B1170:B1181,"&gt;0"))))</f>
        <v/>
      </c>
      <c r="N1155" s="85">
        <f>IF(N1154="","",N1154)</f>
        <v>0</v>
      </c>
      <c r="O1155" s="58" t="str">
        <f>'päd.Personal - Leitung'!$O$11</f>
        <v>Jun               Dez</v>
      </c>
      <c r="P1155" s="85">
        <f t="shared" si="130"/>
        <v>0</v>
      </c>
    </row>
    <row r="1156" spans="1:16" s="1" customFormat="1" ht="13.5" customHeight="1" x14ac:dyDescent="0.2">
      <c r="I1156" s="6"/>
      <c r="L1156" s="147" t="str">
        <f>IF((SUM(F1158:F1161))=0,"",IF(P1156&gt;L1152,L1152,IF(L1152="","",IF(L1155="","",P1156))))</f>
        <v/>
      </c>
      <c r="O1156" s="174" t="s">
        <v>251</v>
      </c>
      <c r="P1156" s="175">
        <f>IF(L1155="",0,((IF(SUMIF(B1170,"&gt;0"),N1150,0))+(IF(SUMIF(B1171,"&gt;0"),N1151,0))+(IF(SUMIF(B1172,"&gt;0"),N1152,0))+(IF(SUMIF(B1173,"&gt;0"),N1153,0))+(IF(SUMIF(B1174,"&gt;0"),N1154,0))+(IF(SUMIF(B1175,"&gt;0"),N1155,0))+(IF(SUMIF(B1176,"&gt;0"),P1150,0))+(IF(SUMIF(B1177,"&gt;0"),P1151,0))+(IF(SUMIF(B1178,"&gt;0"),P1152,0))+(IF(SUMIF(B1179,"&gt;0"),P1153,0))+(IF(SUMIF(B1180,"&gt;0"),P1154,0))+(IF(SUMIF(B1181,"&gt;0"),P1155,0)))/Grundlagen!$C$24)</f>
        <v>0</v>
      </c>
    </row>
    <row r="1157" spans="1:16" s="52" customFormat="1" ht="13.5" customHeight="1" x14ac:dyDescent="0.2">
      <c r="A1157" s="61" t="s">
        <v>148</v>
      </c>
      <c r="B1157" s="1168" t="s">
        <v>149</v>
      </c>
      <c r="C1157" s="1168"/>
      <c r="D1157" s="62" t="s">
        <v>150</v>
      </c>
      <c r="E1157" s="63" t="s">
        <v>151</v>
      </c>
      <c r="F1157" s="64" t="str">
        <f>CONCATENATE("Entg. ",N1147," h/Wo")</f>
        <v>Entg.  h/Wo</v>
      </c>
      <c r="G1157" s="65" t="s">
        <v>152</v>
      </c>
      <c r="H1157" s="65" t="s">
        <v>153</v>
      </c>
      <c r="K1157" s="1169" t="str">
        <f>CONCATENATE("Zuschläge / Zulagen für ",N1147,"h/Wo")</f>
        <v>Zuschläge / Zulagen für h/Wo</v>
      </c>
      <c r="L1157" s="1169"/>
      <c r="M1157" s="66" t="str">
        <f>IF(A1158="","",A1158)</f>
        <v>Jan 2022</v>
      </c>
      <c r="N1157" s="66" t="str">
        <f>IF(A1159="","",A1159)</f>
        <v/>
      </c>
      <c r="O1157" s="66" t="str">
        <f>IF(A1160="","",A1160)</f>
        <v/>
      </c>
      <c r="P1157" s="66" t="str">
        <f>IF(A1161="","",A1161)</f>
        <v/>
      </c>
    </row>
    <row r="1158" spans="1:16" s="52" customFormat="1" ht="13.5" customHeight="1" x14ac:dyDescent="0.25">
      <c r="A1158" s="54" t="str">
        <f>A1170</f>
        <v>Jan 2022</v>
      </c>
      <c r="B1158" s="1170" t="str">
        <f>IF($D$3="","",$D$3)</f>
        <v/>
      </c>
      <c r="C1158" s="1171"/>
      <c r="D1158" s="181"/>
      <c r="E1158" s="181"/>
      <c r="F1158" s="87"/>
      <c r="G1158" s="56">
        <f>IF(N1147="",0,F1158/N1147/4.348)</f>
        <v>0</v>
      </c>
      <c r="H1158" s="53">
        <f>IF(G1158=0,0,M1163)</f>
        <v>0</v>
      </c>
      <c r="K1158" s="1146"/>
      <c r="L1158" s="1146"/>
      <c r="M1158" s="172"/>
      <c r="N1158" s="172"/>
      <c r="O1158" s="172"/>
      <c r="P1158" s="172"/>
    </row>
    <row r="1159" spans="1:16" s="52" customFormat="1" ht="13.5" customHeight="1" x14ac:dyDescent="0.25">
      <c r="A1159" s="55"/>
      <c r="B1159" s="1172" t="str">
        <f>IF(A1159="","",B1158)</f>
        <v/>
      </c>
      <c r="C1159" s="1173"/>
      <c r="D1159" s="181"/>
      <c r="E1159" s="181"/>
      <c r="F1159" s="87"/>
      <c r="G1159" s="56">
        <f>IF(N1147="",0,F1159/N1147/4.348)</f>
        <v>0</v>
      </c>
      <c r="H1159" s="53">
        <f>IF(G1159=0,0,N1163)</f>
        <v>0</v>
      </c>
      <c r="K1159" s="1146"/>
      <c r="L1159" s="1146"/>
      <c r="M1159" s="172"/>
      <c r="N1159" s="172"/>
      <c r="O1159" s="172"/>
      <c r="P1159" s="172"/>
    </row>
    <row r="1160" spans="1:16" s="52" customFormat="1" ht="13.5" customHeight="1" x14ac:dyDescent="0.25">
      <c r="A1160" s="55"/>
      <c r="B1160" s="1172" t="str">
        <f>IF(A1160="","",B1159)</f>
        <v/>
      </c>
      <c r="C1160" s="1173"/>
      <c r="D1160" s="181"/>
      <c r="E1160" s="181"/>
      <c r="F1160" s="87"/>
      <c r="G1160" s="56">
        <f>IF(N1147="",0,F1160/N1147/4.348)</f>
        <v>0</v>
      </c>
      <c r="H1160" s="53">
        <f>IF(G1160=0,0,O1163)</f>
        <v>0</v>
      </c>
      <c r="K1160" s="1146"/>
      <c r="L1160" s="1146"/>
      <c r="M1160" s="172"/>
      <c r="N1160" s="172"/>
      <c r="O1160" s="172"/>
      <c r="P1160" s="172"/>
    </row>
    <row r="1161" spans="1:16" s="52" customFormat="1" ht="13.5" customHeight="1" x14ac:dyDescent="0.25">
      <c r="A1161" s="55"/>
      <c r="B1161" s="1172" t="str">
        <f>IF(A1161="","",B1160)</f>
        <v/>
      </c>
      <c r="C1161" s="1173"/>
      <c r="D1161" s="181"/>
      <c r="E1161" s="181"/>
      <c r="F1161" s="87"/>
      <c r="G1161" s="56">
        <f>IF(N1147="",0,F1161/N1147/4.348)</f>
        <v>0</v>
      </c>
      <c r="H1161" s="53">
        <f>IF(G1161=0,0,P1163)</f>
        <v>0</v>
      </c>
      <c r="K1161" s="1146"/>
      <c r="L1161" s="1146"/>
      <c r="M1161" s="172"/>
      <c r="N1161" s="172"/>
      <c r="O1161" s="172"/>
      <c r="P1161" s="172"/>
    </row>
    <row r="1162" spans="1:16" s="52" customFormat="1" ht="13.5" customHeight="1" x14ac:dyDescent="0.25">
      <c r="B1162" s="1167" t="s">
        <v>157</v>
      </c>
      <c r="C1162" s="1167"/>
      <c r="E1162" s="1167" t="s">
        <v>156</v>
      </c>
      <c r="F1162" s="1167"/>
      <c r="J1162" s="69"/>
      <c r="K1162" s="1146"/>
      <c r="L1162" s="1146"/>
      <c r="M1162" s="172"/>
      <c r="N1162" s="172"/>
      <c r="O1162" s="172"/>
      <c r="P1162" s="172"/>
    </row>
    <row r="1163" spans="1:16" s="52" customFormat="1" ht="13.5" customHeight="1" x14ac:dyDescent="0.25">
      <c r="A1163" s="70" t="s">
        <v>167</v>
      </c>
      <c r="B1163" s="67"/>
      <c r="C1163" s="99" t="str">
        <f>IF(C1119="","",C1119)</f>
        <v/>
      </c>
      <c r="D1163" s="70" t="s">
        <v>167</v>
      </c>
      <c r="E1163" s="67"/>
      <c r="F1163" s="99" t="str">
        <f>IF(F1119="","",F1119)</f>
        <v/>
      </c>
      <c r="J1163" s="68"/>
      <c r="M1163" s="173">
        <f>SUM(M1158:M1162)</f>
        <v>0</v>
      </c>
      <c r="N1163" s="173">
        <f t="shared" ref="N1163:P1163" si="131">SUM(N1158:N1162)</f>
        <v>0</v>
      </c>
      <c r="O1163" s="173">
        <f t="shared" si="131"/>
        <v>0</v>
      </c>
      <c r="P1163" s="173">
        <f t="shared" si="131"/>
        <v>0</v>
      </c>
    </row>
    <row r="1164" spans="1:16" s="52" customFormat="1" ht="13.5" customHeight="1" x14ac:dyDescent="0.2">
      <c r="A1164" s="60" t="s">
        <v>155</v>
      </c>
    </row>
    <row r="1165" spans="1:16" s="1" customFormat="1" ht="14.25" customHeight="1" x14ac:dyDescent="0.2">
      <c r="A1165" s="1147"/>
      <c r="B1165" s="1149" t="s">
        <v>9</v>
      </c>
      <c r="C1165" s="1150"/>
      <c r="D1165" s="1150"/>
      <c r="E1165" s="1150"/>
      <c r="F1165" s="1150"/>
      <c r="G1165" s="1151"/>
      <c r="H1165" s="1152" t="s">
        <v>119</v>
      </c>
      <c r="I1165" s="1153"/>
      <c r="J1165" s="1153"/>
      <c r="K1165" s="1153"/>
      <c r="L1165" s="1153"/>
      <c r="M1165" s="1153"/>
      <c r="N1165" s="1153"/>
      <c r="O1165" s="33"/>
      <c r="P1165" s="1154" t="s">
        <v>0</v>
      </c>
    </row>
    <row r="1166" spans="1:16" s="1" customFormat="1" ht="14.25" customHeight="1" x14ac:dyDescent="0.2">
      <c r="A1166" s="1148"/>
      <c r="B1166" s="1157" t="s">
        <v>117</v>
      </c>
      <c r="C1166" s="124" t="s">
        <v>115</v>
      </c>
      <c r="D1166" s="1159" t="s">
        <v>277</v>
      </c>
      <c r="E1166" s="1161" t="s">
        <v>147</v>
      </c>
      <c r="F1166" s="127" t="s">
        <v>7</v>
      </c>
      <c r="G1166" s="1162" t="s">
        <v>6</v>
      </c>
      <c r="H1166" s="1161" t="s">
        <v>129</v>
      </c>
      <c r="I1166" s="1161" t="s">
        <v>5</v>
      </c>
      <c r="J1166" s="1161" t="s">
        <v>4</v>
      </c>
      <c r="K1166" s="1161" t="s">
        <v>3</v>
      </c>
      <c r="L1166" s="1161" t="s">
        <v>121</v>
      </c>
      <c r="M1166" s="1161" t="s">
        <v>122</v>
      </c>
      <c r="N1166" s="1161" t="s">
        <v>123</v>
      </c>
      <c r="O1166" s="1160" t="s">
        <v>114</v>
      </c>
      <c r="P1166" s="1155"/>
    </row>
    <row r="1167" spans="1:16" s="1" customFormat="1" ht="14.25" customHeight="1" x14ac:dyDescent="0.2">
      <c r="A1167" s="1148"/>
      <c r="B1167" s="1157"/>
      <c r="C1167" s="21" t="str">
        <f>IF(C1163="","",C1163)</f>
        <v/>
      </c>
      <c r="D1167" s="1160"/>
      <c r="E1167" s="1161"/>
      <c r="F1167" s="1165" t="str">
        <f>IF(H1158=0,"","siehe Zuschläge / Zulagen")</f>
        <v/>
      </c>
      <c r="G1167" s="1162"/>
      <c r="H1167" s="1164" t="s">
        <v>127</v>
      </c>
      <c r="I1167" s="1164"/>
      <c r="J1167" s="1164"/>
      <c r="K1167" s="1164"/>
      <c r="L1167" s="1164"/>
      <c r="M1167" s="1164"/>
      <c r="N1167" s="1164"/>
      <c r="O1167" s="1160"/>
      <c r="P1167" s="1155"/>
    </row>
    <row r="1168" spans="1:16" s="1" customFormat="1" x14ac:dyDescent="0.2">
      <c r="A1168" s="1148"/>
      <c r="B1168" s="1157"/>
      <c r="C1168" s="122" t="s">
        <v>70</v>
      </c>
      <c r="D1168" s="1160"/>
      <c r="E1168" s="1161"/>
      <c r="F1168" s="1165"/>
      <c r="G1168" s="1162"/>
      <c r="H1168" s="43" t="s">
        <v>128</v>
      </c>
      <c r="I1168" s="43" t="s">
        <v>255</v>
      </c>
      <c r="J1168" s="43" t="s">
        <v>256</v>
      </c>
      <c r="K1168" s="43" t="s">
        <v>257</v>
      </c>
      <c r="L1168" s="43"/>
      <c r="M1168" s="43"/>
      <c r="N1168" s="43" t="s">
        <v>254</v>
      </c>
      <c r="O1168" s="1160"/>
      <c r="P1168" s="1155"/>
    </row>
    <row r="1169" spans="1:16" s="1" customFormat="1" x14ac:dyDescent="0.2">
      <c r="A1169" s="1148"/>
      <c r="B1169" s="1158"/>
      <c r="C1169" s="21" t="str">
        <f>IF(F1163="","",F1163)</f>
        <v/>
      </c>
      <c r="D1169" s="51"/>
      <c r="E1169" s="51"/>
      <c r="F1169" s="1166"/>
      <c r="G1169" s="1163"/>
      <c r="H1169" s="93"/>
      <c r="I1169" s="139">
        <f>$I$69</f>
        <v>0</v>
      </c>
      <c r="J1169" s="139">
        <f>$J$69</f>
        <v>0</v>
      </c>
      <c r="K1169" s="44">
        <f>$K$69</f>
        <v>0</v>
      </c>
      <c r="L1169" s="21"/>
      <c r="M1169" s="21"/>
      <c r="N1169" s="139">
        <f>$N$69</f>
        <v>0</v>
      </c>
      <c r="O1169" s="21">
        <f>O1125</f>
        <v>0</v>
      </c>
      <c r="P1169" s="1156"/>
    </row>
    <row r="1170" spans="1:16" s="1" customFormat="1" x14ac:dyDescent="0.2">
      <c r="A1170" s="100" t="str">
        <f>$A$26</f>
        <v>Jan 2022</v>
      </c>
      <c r="B1170" s="24">
        <f>ROUND(IF(N1150=0,0,(LOOKUP(2,1/(A1158:A1161=A1170),G1158:G1161))*N1150*4.348),2)</f>
        <v>0</v>
      </c>
      <c r="C1170" s="23">
        <f>ROUND(IFERROR(((LOOKUP(2,1/(B1163=A1170),((SUM(B1176:B1178)+SUM(F1176:F1178))/3)*C1163))),0)+IFERROR(((LOOKUP(2,1/(E1163=A1170),(B1182+F1182)*F1163))),0),2)</f>
        <v>0</v>
      </c>
      <c r="D1170" s="23">
        <f>ROUND(IF(B1170=0,0,D1169/L1151*N1150),2)</f>
        <v>0</v>
      </c>
      <c r="E1170" s="23">
        <f>ROUND(IF(B1170=0,0,E1169/N1147*N1150),2)</f>
        <v>0</v>
      </c>
      <c r="F1170" s="24">
        <f>ROUND(IF(N1150=0,0,(LOOKUP(2,1/(A1158:A1161=A1170),H1158:H1161))/N1147*N1150),2)</f>
        <v>0</v>
      </c>
      <c r="G1170" s="27">
        <f>SUM(B1170+C1170+E1170+F1170)</f>
        <v>0</v>
      </c>
      <c r="H1170" s="76">
        <f>ROUND(IF((SUM(B1170:F1170))&gt;L1185,L1185*H1169,SUM(B1170:F1170)*H1169),2)</f>
        <v>0</v>
      </c>
      <c r="I1170" s="76">
        <f>ROUND(IF((SUM(B1170:F1170))&gt;L1186,L1186*I1169,SUM(B1170:F1170)*I1169),2)</f>
        <v>0</v>
      </c>
      <c r="J1170" s="76">
        <f>ROUND(IF((SUM(B1170:F1170))&gt;L1186,L1186*J1169,SUM(B1170:F1170)*J1169),2)</f>
        <v>0</v>
      </c>
      <c r="K1170" s="76">
        <f>ROUND(IF((SUM(B1170:F1170))&gt;L1185,L1185*K1169,SUM(B1170:F1170)*K1169),2)</f>
        <v>0</v>
      </c>
      <c r="L1170" s="76">
        <f>ROUND(IF((SUM(B1170:F1170))&gt;L1186,L1186*L1169,(SUM(B1170:F1170)-C1170)*L1169),2)</f>
        <v>0</v>
      </c>
      <c r="M1170" s="76">
        <f>ROUND(IF((SUM(B1170:F1170))&gt;L1186,L1186*M1169,(SUM(B1170:F1170)-C1170)*M1169),2)</f>
        <v>0</v>
      </c>
      <c r="N1170" s="76">
        <f>ROUND(IF((SUM(B1170:F1170))&gt;L1186,L1186*N1169,SUM(B1170:F1170)*N1169),2)</f>
        <v>0</v>
      </c>
      <c r="O1170" s="23">
        <f>ROUND(SUM(B1170+C1170+F1170)*O1169,2)</f>
        <v>0</v>
      </c>
      <c r="P1170" s="27">
        <f>SUM(G1170:O1170)</f>
        <v>0</v>
      </c>
    </row>
    <row r="1171" spans="1:16" s="1" customFormat="1" x14ac:dyDescent="0.2">
      <c r="A1171" s="100" t="str">
        <f>$A$27</f>
        <v>Feb 2022</v>
      </c>
      <c r="B1171" s="24">
        <f>ROUND(IF(N1151=0,0,IFERROR(((LOOKUP(2,1/(A1158:A1161=A1171),G1158:G1161))*N1151*4.348),B1170/N1151*N1151)),2)</f>
        <v>0</v>
      </c>
      <c r="C1171" s="23">
        <f>ROUND(IFERROR(((LOOKUP(2,1/(B1163=A1171),((SUM(B1176:B1178)+SUM(F1176:F1178))/3)*C1163))),0)+IFERROR(((LOOKUP(2,1/(E1163=A1171),(B1182+F1182)*F1163))),0),2)</f>
        <v>0</v>
      </c>
      <c r="D1171" s="23">
        <f>ROUND(IF(B1171=0,0,D1169/L1151*N1151),2)</f>
        <v>0</v>
      </c>
      <c r="E1171" s="23">
        <f>ROUND(IF(B1171=0,0,E1169/N1147*N1151),2)</f>
        <v>0</v>
      </c>
      <c r="F1171" s="24">
        <f>ROUND(IF(N1151=0,0,IFERROR(((LOOKUP(2,1/(A1158:A1161=A1171),H1158:H1161))/N1147*N1151),F1170/N1151*N1151)),2)</f>
        <v>0</v>
      </c>
      <c r="G1171" s="27">
        <f t="shared" ref="G1171:G1181" si="132">SUM(B1171+C1171+E1171+F1171)</f>
        <v>0</v>
      </c>
      <c r="H1171" s="76">
        <f>ROUND(IF(SUM(B1170:F1170)&lt;(L1185*1),IF((SUM(B1170:F1171))&gt;(L1185*2),(((L1185*2)-(SUM(B1170:F1171)-C1170))*H1169)+((SUM(B1171:F1171)-C1170)*H1169),SUM(B1171:F1171)*H1169),IF(SUM(B1170:F1171)&gt;(L1185*2),L1185*H1169,SUM(B1171:F1171)*H1169)),2)</f>
        <v>0</v>
      </c>
      <c r="I1171" s="76">
        <f>ROUND(IF(SUM(B1170:F1170)&lt;(L1186*1),IF((SUM(B1170:F1171))&gt;(L1186*2),(((L1186*2)-(SUM(B1170:F1171)-C1170))*I1169)+((SUM(B1171:F1171)-C1170)*I1169),SUM(B1171:F1171)*I1169),IF(SUM(B1170:F1171)&gt;(L1186*2),L1186*I1169,SUM(B1171:F1171)*I1169)),2)</f>
        <v>0</v>
      </c>
      <c r="J1171" s="76">
        <f>ROUND(IF(SUM(B1170:F1170)&lt;(L1186*1),IF((SUM(B1170:F1171))&gt;(L1186*2),(((L1186*2)-(SUM(B1170:F1171)-C1170))*J1169)+((SUM(B1171:F1171)-C1170)*J1169),SUM(B1171:F1171)*J1169),IF(SUM(B1170:F1171)&gt;(L1186*2),L1186*J1169,SUM(B1171:F1171)*J1169)),2)</f>
        <v>0</v>
      </c>
      <c r="K1171" s="76">
        <f>ROUND(IF(SUM(B1170:F1170)&lt;(L1185*1),IF((SUM(B1170:F1171))&gt;(L1185*2),(((L1185*2)-(SUM(B1170:F1171)-C1170))*K1169)+((SUM(B1171:F1171)-C1170)*K1169),SUM(B1171:F1171)*K1169),IF(SUM(B1170:F1171)&gt;(L1185*2),L1185*K1169,SUM(B1171:F1171)*K1169)),2)</f>
        <v>0</v>
      </c>
      <c r="L1171" s="76">
        <f>ROUND(IF(SUM(B1170:F1170)&lt;(L1186*1),IF((SUM(B1170:F1171))&gt;(L1186*2),(((L1186*2)-(SUM(B1170:F1171)-C1171))*L1169)+((SUM(B1171:F1171)-C1171)*L1169),(SUM(B1171:F1171)-C1171)*L1169),IF(SUM(B1170:F1171)&gt;(L1186*2),L1186*L1169,SUM(B1171:F1171)*L1169)),2)</f>
        <v>0</v>
      </c>
      <c r="M1171" s="76">
        <f>ROUND(IF(SUM(B1170:F1170)&lt;(L1186*1),IF((SUM(B1170:F1171))&gt;(L1186*2),(((L1186*2)-(SUM(B1170:F1171)-C1171))*M1169)+((SUM(B1171:F1171)-C1171)*M1169),(SUM(B1171:F1171)-C1171)*M1169),IF(SUM(B1170:F1171)&gt;(L1186*2),L1186*M1169,SUM(B1171:F1171)*M1169)),2)</f>
        <v>0</v>
      </c>
      <c r="N1171" s="76">
        <f>ROUND(IF(SUM(B1170:F1170)&lt;(L1186*1),IF((SUM(B1170:F1171))&gt;(L1186*2),(((L1186*2)-(SUM(B1170:F1171)-C1170))*N1169)+((SUM(B1171:F1171)-C1170)*N1169),SUM(B1171:F1171)*N1169),IF(SUM(B1170:F1171)&gt;(L1186*2),L1186*N1169,SUM(B1171:F1171)*N1169)),2)</f>
        <v>0</v>
      </c>
      <c r="O1171" s="23">
        <f>ROUND(SUM(B1171+C1171+F1171)*O1169,2)</f>
        <v>0</v>
      </c>
      <c r="P1171" s="27">
        <f>SUM(G1171:O1171)</f>
        <v>0</v>
      </c>
    </row>
    <row r="1172" spans="1:16" s="1" customFormat="1" x14ac:dyDescent="0.2">
      <c r="A1172" s="100" t="str">
        <f>$A$28</f>
        <v>Mrz 2022</v>
      </c>
      <c r="B1172" s="24">
        <f>ROUND(IF(N1152=0,0,IFERROR(((LOOKUP(2,1/(A1158:A1161=A1172),G1158:G1161))*N1152*4.348),B1171/N1152*N1152)),2)</f>
        <v>0</v>
      </c>
      <c r="C1172" s="23">
        <f>ROUND(IFERROR(((LOOKUP(2,1/(B1163=A1172),((SUM(B1176:B1178)+SUM(F1176:F1178))/3)*C1163))),0)+IFERROR(((LOOKUP(2,1/(E1163=A1172),(B1182+F1182)*F1163))),0),2)</f>
        <v>0</v>
      </c>
      <c r="D1172" s="23">
        <f>ROUND(IF(B1172=0,0,D1169/L1151*N1152),2)</f>
        <v>0</v>
      </c>
      <c r="E1172" s="23">
        <f>ROUND(IF(B1172=0,0,E1169/N1147*N1152),2)</f>
        <v>0</v>
      </c>
      <c r="F1172" s="24">
        <f>ROUND(IF(N1152=0,0,IFERROR(((LOOKUP(2,1/(A1158:A1161=A1172),H1158:H1161))/N1147*N1152),F1171/N1152*N1152)),2)</f>
        <v>0</v>
      </c>
      <c r="G1172" s="27">
        <f t="shared" si="132"/>
        <v>0</v>
      </c>
      <c r="H1172" s="76">
        <f>ROUND(IF(SUM(B1170:F1171)&lt;(L1185*2),IF((SUM(B1170:F1172))&gt;(L1185*3),(((L1185*3)-(SUM(B1170:F1172)-C1171))*H1169)+((SUM(B1172:F1172)-C1171)*H1169),SUM(B1172:F1172)*H1169),IF(SUM(B1170:F1172)&gt;(L1185*3),L1185*H1169,SUM(B1172:F1172)*H1169)),2)</f>
        <v>0</v>
      </c>
      <c r="I1172" s="76">
        <f>ROUND(IF(SUM(B1170:F1171)&lt;(L1186*2),IF((SUM(B1170:F1172))&gt;(L1186*3),(((L1186*3)-(SUM(B1170:F1172)-C1171))*I1169)+((SUM(B1172:F1172)-C1171)*I1169),SUM(B1172:F1172)*I1169),IF(SUM(B1170:F1172)&gt;(L1186*3),L1186*I1169,SUM(B1172:F1172)*I1169)),2)</f>
        <v>0</v>
      </c>
      <c r="J1172" s="76">
        <f>ROUND(IF(SUM(B1170:F1171)&lt;(L1186*2),IF((SUM(B1170:F1172))&gt;(L1186*3),(((L1186*3)-(SUM(B1170:F1172)-C1171))*J1169)+((SUM(B1172:F1172)-C1171)*J1169),SUM(B1172:F1172)*J1169),IF(SUM(B1170:F1172)&gt;(L1186*3),L1186*J1169,SUM(B1172:F1172)*J1169)),2)</f>
        <v>0</v>
      </c>
      <c r="K1172" s="76">
        <f>ROUND(IF(SUM(B1170:F1171)&lt;(L1185*2),IF((SUM(B1170:F1172))&gt;(L1185*3),(((L1185*3)-(SUM(B1170:F1172)-C1171))*K1169)+((SUM(B1172:F1172)-C1171)*K1169),SUM(B1172:F1172)*K1169),IF(SUM(B1170:F1172)&gt;(L1185*3),L1185*K1169,SUM(B1172:F1172)*K1169)),2)</f>
        <v>0</v>
      </c>
      <c r="L1172" s="76">
        <f>ROUND(IF(SUM(B1170:F1171)&lt;(L1186*2),IF((SUM(B1170:F1172))&gt;(L1186*3),(((L1186*3)-(SUM(B1170:F1172)-C1172))*L1169)+((SUM(B1172:F1172)-C1172)*L1169),(SUM(B1172:F1172)-C1172)*L1169),IF(SUM(B1170:F1172)&gt;(L1186*3),L1186*L1169,SUM(B1172:F1172)*L1169)),2)</f>
        <v>0</v>
      </c>
      <c r="M1172" s="76">
        <f>ROUND(IF(SUM(B1170:F1171)&lt;(L1186*2),IF((SUM(B1170:F1172))&gt;(L1186*3),(((L1186*3)-(SUM(B1170:F1172)-C1172))*M1169)+((SUM(B1172:F1172)-C1172)*M1169),(SUM(B1172:F1172)-C1172)*M1169),IF(SUM(B1170:F1172)&gt;(L1186*3),L1186*M1169,SUM(B1172:F1172)*M1169)),2)</f>
        <v>0</v>
      </c>
      <c r="N1172" s="76">
        <f>ROUND(IF(SUM(B1170:F1171)&lt;(L1186*2),IF((SUM(B1170:F1172))&gt;(L1186*3),(((L1186*3)-(SUM(B1170:F1172)-C1171))*N1169)+((SUM(B1172:F1172)-C1171)*N1169),SUM(B1172:F1172)*N1169),IF(SUM(B1170:F1172)&gt;(L1186*3),L1186*N1169,SUM(B1172:F1172)*N1169)),2)</f>
        <v>0</v>
      </c>
      <c r="O1172" s="23">
        <f>ROUND(SUM(B1172+C1172+F1172)*O1169,2)</f>
        <v>0</v>
      </c>
      <c r="P1172" s="27">
        <f t="shared" ref="P1172:P1181" si="133">SUM(G1172:O1172)</f>
        <v>0</v>
      </c>
    </row>
    <row r="1173" spans="1:16" s="1" customFormat="1" x14ac:dyDescent="0.2">
      <c r="A1173" s="100" t="str">
        <f>$A$29</f>
        <v>Apr 2022</v>
      </c>
      <c r="B1173" s="24">
        <f>ROUND(IF(N1153=0,0,IFERROR(((LOOKUP(2,1/(A1158:A1161=A1173),G1158:G1161))*N1153*4.348),B1172/N1153*N1153)),2)</f>
        <v>0</v>
      </c>
      <c r="C1173" s="23">
        <f>ROUND(IFERROR(((LOOKUP(2,1/(B1163=A1173),((SUM(B1176:B1178)+SUM(F1176:F1178))/3)*C1163))),0)+IFERROR(((LOOKUP(2,1/(E1163=A1173),(B1182+F1182)*F1163))),0),2)</f>
        <v>0</v>
      </c>
      <c r="D1173" s="23">
        <f>ROUND(IF(B1173=0,0,D1169/L1151*N1153),2)</f>
        <v>0</v>
      </c>
      <c r="E1173" s="23">
        <f>ROUND(IF(B1173=0,0,E1169/N1147*N1153),2)</f>
        <v>0</v>
      </c>
      <c r="F1173" s="24">
        <f>ROUND(IF(N1153=0,0,IFERROR(((LOOKUP(2,1/(A1158:A1161=A1173),H1158:H1161))/N1147*N1153),F1172/N1153*N1153)),2)</f>
        <v>0</v>
      </c>
      <c r="G1173" s="27">
        <f t="shared" si="132"/>
        <v>0</v>
      </c>
      <c r="H1173" s="76">
        <f>ROUND(IF(SUM(B1170:F1172)&lt;(L1185*3),IF((SUM(B1170:F1173))&gt;(L1185*4),(((L1185*4)-(SUM(B1170:F1173)-C1172))*H1169)+((SUM(B1173:F1173)-C1172)*H1169),SUM(B1173:F1173)*H1169),IF(SUM(B1170:F1173)&gt;(L1185*4),L1185*H1169,SUM(B1173:F1173)*H1169)),2)</f>
        <v>0</v>
      </c>
      <c r="I1173" s="76">
        <f>ROUND(IF(SUM(B1170:F1172)&lt;(L1186*3),IF((SUM(B1170:F1173))&gt;(L1186*4),(((L1186*4)-(SUM(B1170:F1173)-C1172))*I1169)+((SUM(B1173:F1173)-C1172)*I1169),SUM(B1173:F1173)*I1169),IF(SUM(B1170:F1173)&gt;(L1186*4),L1186*I1169,SUM(B1173:F1173)*I1169)),2)</f>
        <v>0</v>
      </c>
      <c r="J1173" s="76">
        <f>ROUND(IF(SUM(B1170:F1172)&lt;(L1186*3),IF((SUM(B1170:F1173))&gt;(L1186*4),(((L1186*4)-(SUM(B1170:F1173)-C1172))*J1169)+((SUM(B1173:F1173)-C1172)*J1169),SUM(B1173:F1173)*J1169),IF(SUM(B1170:F1173)&gt;(L1186*4),L1186*J1169,SUM(B1173:F1173)*J1169)),2)</f>
        <v>0</v>
      </c>
      <c r="K1173" s="76">
        <f>ROUND(IF(SUM(B1170:F1172)&lt;(L1185*3),IF((SUM(B1170:F1173))&gt;(L1185*4),(((L1185*4)-(SUM(B1170:F1173)-C1172))*K1169)+((SUM(B1173:F1173)-C1172)*K1169),SUM(B1173:F1173)*K1169),IF(SUM(B1170:F1173)&gt;(L1185*4),L1185*K1169,SUM(B1173:F1173)*K1169)),2)</f>
        <v>0</v>
      </c>
      <c r="L1173" s="76">
        <f>ROUND(IF(SUM(B1170:F1172)&lt;(L1186*3),IF((SUM(B1170:F1173))&gt;(L1186*4),(((L1186*4)-(SUM(B1170:F1173)-C1173))*L1169)+((SUM(B1173:F1173)-C1173)*L1169),(SUM(B1173:F1173)-C1173)*L1169),IF(SUM(B1170:F1173)&gt;(L1186*4),L1186*L1169,SUM(B1173:F1173)*L1169)),2)</f>
        <v>0</v>
      </c>
      <c r="M1173" s="76">
        <f>ROUND(IF(SUM(B1170:F1172)&lt;(L1186*3),IF((SUM(B1170:F1173))&gt;(L1186*4),(((L1186*4)-(SUM(B1170:F1173)-C1173))*M1169)+((SUM(B1173:F1173)-C1173)*M1169),(SUM(B1173:F1173)-C1173)*M1169),IF(SUM(B1170:F1173)&gt;(L1186*4),L1186*M1169,SUM(B1173:F1173)*M1169)),2)</f>
        <v>0</v>
      </c>
      <c r="N1173" s="76">
        <f>ROUND(IF(SUM(B1170:F1172)&lt;(L1186*3),IF((SUM(B1170:F1173))&gt;(L1186*4),(((L1186*4)-(SUM(B1170:F1173)-C1172))*N1169)+((SUM(B1173:F1173)-C1172)*N1169),SUM(B1173:F1173)*N1169),IF(SUM(B1170:F1173)&gt;(L1186*4),L1186*N1169,SUM(B1173:F1173)*N1169)),2)</f>
        <v>0</v>
      </c>
      <c r="O1173" s="23">
        <f>ROUND(SUM(B1173+C1173+F1173)*O1169,2)</f>
        <v>0</v>
      </c>
      <c r="P1173" s="27">
        <f t="shared" si="133"/>
        <v>0</v>
      </c>
    </row>
    <row r="1174" spans="1:16" s="1" customFormat="1" x14ac:dyDescent="0.2">
      <c r="A1174" s="100" t="str">
        <f>$A$30</f>
        <v>Mai 2022</v>
      </c>
      <c r="B1174" s="24">
        <f>ROUND(IF(N1154=0,0,IFERROR(((LOOKUP(2,1/(A1158:A1161=A1174),G1158:G1161))*N1154*4.348),B1173/N1154*N1154)),2)</f>
        <v>0</v>
      </c>
      <c r="C1174" s="23">
        <f>ROUND(IFERROR(((LOOKUP(2,1/(B1163=A1174),((SUM(B1176:B1178)+SUM(F1176:F1178))/3)*C1163))),0)+IFERROR(((LOOKUP(2,1/(E1163=A1174),(B1182+F1182)*F1163))),0),2)</f>
        <v>0</v>
      </c>
      <c r="D1174" s="23">
        <f>ROUND(IF(B1174=0,0,D1169/L1151*N1154),2)</f>
        <v>0</v>
      </c>
      <c r="E1174" s="23">
        <f>ROUND(IF(B1174=0,0,E1169/N1147*N1154),2)</f>
        <v>0</v>
      </c>
      <c r="F1174" s="24">
        <f>ROUND(IF(N1154=0,0,IFERROR(((LOOKUP(2,1/(A1158:A1161=A1174),H1158:H1161))/N1147*N1154),F1173/N1154*N1154)),2)</f>
        <v>0</v>
      </c>
      <c r="G1174" s="27">
        <f t="shared" si="132"/>
        <v>0</v>
      </c>
      <c r="H1174" s="76">
        <f>ROUND(IF(SUM(B1170:F1173)&lt;(L1185*4),IF((SUM(B1170:F1174))&gt;(L1185*5),(((L1185*5)-(SUM(B1170:F1174)-C1173))*H1169)+((SUM(B1174:F1174)-C1173)*H1169),SUM(B1174:F1174)*H1169),IF(SUM(B1170:F1174)&gt;(L1185*5),L1185*H1169,SUM(B1174:F1174)*H1169)),2)</f>
        <v>0</v>
      </c>
      <c r="I1174" s="76">
        <f>ROUND(IF(SUM(B1170:F1173)&lt;(L1186*4),IF((SUM(B1170:F1174))&gt;(L1186*5),(((L1186*5)-(SUM(B1170:F1174)-C1173))*I1169)+((SUM(B1174:F1174)-C1173)*I1169),SUM(B1174:F1174)*I1169),IF(SUM(B1170:F1174)&gt;(L1186*5),L1186*I1169,SUM(B1174:F1174)*I1169)),2)</f>
        <v>0</v>
      </c>
      <c r="J1174" s="76">
        <f>ROUND(IF(SUM(B1170:F1173)&lt;(L1186*4),IF((SUM(B1170:F1174))&gt;(L1186*5),(((L1186*5)-(SUM(B1170:F1174)-C1173))*J1169)+((SUM(B1174:F1174)-C1173)*J1169),SUM(B1174:F1174)*J1169),IF(SUM(B1170:F1174)&gt;(L1186*5),L1186*J1169,SUM(B1174:F1174)*J1169)),2)</f>
        <v>0</v>
      </c>
      <c r="K1174" s="76">
        <f>ROUND(IF(SUM(B1170:F1173)&lt;(L1185*4),IF((SUM(B1170:F1174))&gt;(L1185*5),(((L1185*5)-(SUM(B1170:F1174)-C1173))*K1169)+((SUM(B1174:F1174)-C1173)*K1169),SUM(B1174:F1174)*K1169),IF(SUM(B1170:F1174)&gt;(L1185*5),L1185*K1169,SUM(B1174:F1174)*K1169)),2)</f>
        <v>0</v>
      </c>
      <c r="L1174" s="76">
        <f>ROUND(IF(SUM(B1170:F1173)&lt;(L1186*4),IF((SUM(B1170:F1174))&gt;(L1186*5),(((L1186*5)-(SUM(B1170:F1174)-C1174))*L1169)+((SUM(B1174:F1174)-C1174)*L1169),(SUM(B1174:F1174)-C1174)*L1169),IF(SUM(B1170:F1174)&gt;(L1186*5),L1186*L1169,SUM(B1174:F1174)*L1169)),2)</f>
        <v>0</v>
      </c>
      <c r="M1174" s="76">
        <f>ROUND(IF(SUM(B1170:F1173)&lt;(L1186*4),IF((SUM(B1170:F1174))&gt;(L1186*5),(((L1186*5)-(SUM(B1170:F1174)-C1174))*M1169)+((SUM(B1174:F1174)-C1174)*M1169),(SUM(B1174:F1174)-C1174)*M1169),IF(SUM(B1170:F1174)&gt;(L1186*5),L1186*M1169,SUM(B1174:F1174)*M1169)),2)</f>
        <v>0</v>
      </c>
      <c r="N1174" s="76">
        <f>ROUND(IF(SUM(B1170:F1173)&lt;(L1186*4),IF((SUM(B1170:F1174))&gt;(L1186*5),(((L1186*5)-(SUM(B1170:F1174)-C1173))*N1169)+((SUM(B1174:F1174)-C1173)*N1169),SUM(B1174:F1174)*N1169),IF(SUM(B1170:F1174)&gt;(L1186*5),L1186*N1169,SUM(B1174:F1174)*N1169)),2)</f>
        <v>0</v>
      </c>
      <c r="O1174" s="23">
        <f>ROUND(SUM(B1174+C1174+F1174)*O1169,2)</f>
        <v>0</v>
      </c>
      <c r="P1174" s="27">
        <f t="shared" si="133"/>
        <v>0</v>
      </c>
    </row>
    <row r="1175" spans="1:16" s="1" customFormat="1" x14ac:dyDescent="0.2">
      <c r="A1175" s="100" t="str">
        <f>$A$31</f>
        <v>Jun 2022</v>
      </c>
      <c r="B1175" s="24">
        <f>ROUND(IF(N1155=0,0,IFERROR(((LOOKUP(2,1/(A1158:A1161=A1175),G1158:G1161))*N1155*4.348),B1174/N1155*N1155)),2)</f>
        <v>0</v>
      </c>
      <c r="C1175" s="23">
        <f>ROUND(IFERROR(((LOOKUP(2,1/(B1163=A1175),((SUM(B1176:B1178)+SUM(F1176:F1178))/3)*C1163))),0)+IFERROR(((LOOKUP(2,1/(E1163=A1175),(B1182+F1182)*F1163))),0),2)</f>
        <v>0</v>
      </c>
      <c r="D1175" s="23">
        <f>ROUND(IF(B1175=0,0,D1169/L1151*N1155),2)</f>
        <v>0</v>
      </c>
      <c r="E1175" s="23">
        <f>ROUND(IF(B1175=0,0,E1169/N1147*N1155),2)</f>
        <v>0</v>
      </c>
      <c r="F1175" s="24">
        <f>ROUND(IF(N1155=0,0,IFERROR(((LOOKUP(2,1/(A1158:A1161=A1175),H1158:H1161))/N1147*N1155),F1174/N1155*N1155)),2)</f>
        <v>0</v>
      </c>
      <c r="G1175" s="27">
        <f t="shared" si="132"/>
        <v>0</v>
      </c>
      <c r="H1175" s="76">
        <f>ROUND(IF(SUM(B1170:F1174)&lt;(L1185*5),IF((SUM(B1170:F1175))&gt;(L1185*6),(((L1185*6)-(SUM(B1170:F1175)-C1174))*H1169)+((SUM(B1175:F1175)-C1174)*H1169),SUM(B1175:F1175)*H1169),IF(SUM(B1170:F1175)&gt;(L1185*6),L1185*H1169,SUM(B1175:F1175)*H1169)),2)</f>
        <v>0</v>
      </c>
      <c r="I1175" s="76">
        <f>ROUND(IF(SUM(B1170:F1174)&lt;(L1186*5),IF((SUM(B1170:F1175))&gt;(L1186*6),(((L1186*6)-(SUM(B1170:F1175)-C1174))*I1169)+((SUM(B1175:F1175)-C1174)*I1169),SUM(B1175:F1175)*I1169),IF(SUM(B1170:F1175)&gt;(L1186*6),L1186*I1169,SUM(B1175:F1175)*I1169)),2)</f>
        <v>0</v>
      </c>
      <c r="J1175" s="76">
        <f>ROUND(IF(SUM(B1170:F1174)&lt;(L1186*5),IF((SUM(B1170:F1175))&gt;(L1186*6),(((L1186*6)-(SUM(B1170:F1175)-C1174))*J1169)+((SUM(B1175:F1175)-C1174)*J1169),SUM(B1175:F1175)*J1169),IF(SUM(B1170:F1175)&gt;(L1186*6),L1186*J1169,SUM(B1175:F1175)*J1169)),2)</f>
        <v>0</v>
      </c>
      <c r="K1175" s="76">
        <f>ROUND(IF(SUM(B1170:F1174)&lt;(L1185*5),IF((SUM(B1170:F1175))&gt;(L1185*6),(((L1185*6)-(SUM(B1170:F1175)-C1174))*K1169)+((SUM(B1175:F1175)-C1174)*K1169),SUM(B1175:F1175)*K1169),IF(SUM(B1170:F1175)&gt;(L1185*6),L1185*K1169,SUM(B1175:F1175)*K1169)),2)</f>
        <v>0</v>
      </c>
      <c r="L1175" s="76">
        <f>ROUND(IF(SUM(B1170:F1174)&lt;(L1186*5),IF((SUM(B1170:F1175))&gt;(L1186*6),(((L1186*6)-(SUM(B1170:F1175)-C1175))*L1169)+((SUM(B1175:F1175)-C1175)*L1169),(SUM(B1175:F1175)-C1175)*L1169),IF(SUM(B1170:F1175)&gt;(L1186*6),L1186*L1169,SUM(B1175:F1175)*L1169)),2)</f>
        <v>0</v>
      </c>
      <c r="M1175" s="76">
        <f>ROUND(IF(SUM(B1170:F1174)&lt;(L1186*5),IF((SUM(B1170:F1175))&gt;(L1186*6),(((L1186*6)-(SUM(B1170:F1175)-C1175))*M1169)+((SUM(B1175:F1175)-C1175)*M1169),(SUM(B1175:F1175)-C1175)*M1169),IF(SUM(B1170:F1175)&gt;(L1186*6),L1186*M1169,SUM(B1175:F1175)*M1169)),2)</f>
        <v>0</v>
      </c>
      <c r="N1175" s="76">
        <f>ROUND(IF(SUM(B1170:F1174)&lt;(L1186*5),IF((SUM(B1170:F1175))&gt;(L1186*6),(((L1186*6)-(SUM(B1170:F1175)-C1174))*N1169)+((SUM(B1175:F1175)-C1174)*N1169),SUM(B1175:F1175)*N1169),IF(SUM(B1170:F1175)&gt;(L1186*6),L1186*N1169,SUM(B1175:F1175)*N1169)),2)</f>
        <v>0</v>
      </c>
      <c r="O1175" s="23">
        <f>ROUND(SUM(B1175+C1175+F1175)*O1169,2)</f>
        <v>0</v>
      </c>
      <c r="P1175" s="27">
        <f t="shared" si="133"/>
        <v>0</v>
      </c>
    </row>
    <row r="1176" spans="1:16" s="1" customFormat="1" x14ac:dyDescent="0.2">
      <c r="A1176" s="100" t="str">
        <f>$A$32</f>
        <v>Jul 2022</v>
      </c>
      <c r="B1176" s="24">
        <f>ROUND(IF(P1150=0,0,IFERROR(((LOOKUP(2,1/(A1158:A1161=A1176),G1158:G1161))*P1150*4.348),B1175/P1150*P1150)),2)</f>
        <v>0</v>
      </c>
      <c r="C1176" s="23">
        <f>ROUND(IFERROR(((LOOKUP(2,1/(B1163=A1176),((SUM(B1176:B1178)+SUM(F1176:F1178))/3)*C1163))),0)+IFERROR(((LOOKUP(2,1/(E1163=A1176),(B1182+F1182)*F1163))),0),2)</f>
        <v>0</v>
      </c>
      <c r="D1176" s="23">
        <f>ROUND(IF(B1176=0,0,D1169/L1151*P1150),2)</f>
        <v>0</v>
      </c>
      <c r="E1176" s="23">
        <f>ROUND(IF(B1176=0,0,E1169/N1147*P1150),2)</f>
        <v>0</v>
      </c>
      <c r="F1176" s="24">
        <f>ROUND(IF(P1150=0,0,IFERROR(((LOOKUP(2,1/(A1158:A1161=A1176),H1158:H1161))/N1147*P1150),F1175/P1150*P1150)),2)</f>
        <v>0</v>
      </c>
      <c r="G1176" s="27">
        <f t="shared" si="132"/>
        <v>0</v>
      </c>
      <c r="H1176" s="76">
        <f>ROUND(IF(SUM(B1170:F1175)&lt;(L1185*6),IF((SUM(B1170:F1176))&gt;(L1185*7),(((L1185*7)-(SUM(B1170:F1176)-C1175))*H1169)+((SUM(B1176:F1176)-C1175)*H1169),SUM(B1176:F1176)*H1169),IF(SUM(B1170:F1176)&gt;(L1185*7),L1185*H1169,SUM(B1176:F1176)*H1169)),2)</f>
        <v>0</v>
      </c>
      <c r="I1176" s="76">
        <f>ROUND(IF(SUM(B1170:F1175)&lt;(L1186*6),IF((SUM(B1170:F1176))&gt;(L1186*7),(((L1186*7)-(SUM(B1170:F1176)-C1175))*I1169)+((SUM(B1176:F1176)-C1175)*I1169),SUM(B1176:F1176)*I1169),IF(SUM(B1170:F1176)&gt;(L1186*7),L1186*I1169,SUM(B1176:F1176)*I1169)),2)</f>
        <v>0</v>
      </c>
      <c r="J1176" s="76">
        <f>ROUND(IF(SUM(B1170:F1175)&lt;(L1186*6),IF((SUM(B1170:F1176))&gt;(L1186*7),(((L1186*7)-(SUM(B1170:F1176)-C1175))*J1169)+((SUM(B1176:F1176)-C1175)*J1169),SUM(B1176:F1176)*J1169),IF(SUM(B1170:F1176)&gt;(L1186*7),L1186*J1169,SUM(B1176:F1176)*J1169)),2)</f>
        <v>0</v>
      </c>
      <c r="K1176" s="76">
        <f>ROUND(IF(SUM(B1170:F1175)&lt;(L1185*6),IF((SUM(B1170:F1176))&gt;(L1185*7),(((L1185*7)-(SUM(B1170:F1176)-C1175))*K1169)+((SUM(B1176:F1176)-C1175)*K1169),SUM(B1176:F1176)*K1169),IF(SUM(B1170:F1176)&gt;(L1185*7),L1185*K1169,SUM(B1176:F1176)*K1169)),2)</f>
        <v>0</v>
      </c>
      <c r="L1176" s="76">
        <f>ROUND(IF(SUM(B1170:F1175)&lt;(L1186*6),IF((SUM(B1170:F1176))&gt;(L1186*7),(((L1186*7)-(SUM(B1170:F1176)-C1176))*L1169)+((SUM(B1176:F1176)-C1176)*L1169),(SUM(B1176:F1176)-C1176)*L1169),IF(SUM(B1170:F1176)&gt;(L1186*7),L1186*L1169,SUM(B1176:F1176)*L1169)),2)</f>
        <v>0</v>
      </c>
      <c r="M1176" s="76">
        <f>ROUND(IF(SUM(B1170:F1175)&lt;(L1186*6),IF((SUM(B1170:F1176))&gt;(L1186*7),(((L1186*7)-(SUM(B1170:F1176)-C1176))*M1169)+((SUM(B1176:F1176)-C1176)*M1169),(SUM(B1176:F1176)-C1176)*M1169),IF(SUM(B1170:F1176)&gt;(L1186*7),L1186*M1169,SUM(B1176:F1176)*M1169)),2)</f>
        <v>0</v>
      </c>
      <c r="N1176" s="76">
        <f>ROUND(IF(SUM(B1170:F1175)&lt;(L1186*6),IF((SUM(B1170:F1176))&gt;(L1186*7),(((L1186*7)-(SUM(B1170:F1176)-C1175))*N1169)+((SUM(B1176:F1176)-C1175)*N1169),SUM(B1176:F1176)*N1169),IF(SUM(B1170:F1176)&gt;(L1186*7),L1186*N1169,SUM(B1176:F1176)*N1169)),2)</f>
        <v>0</v>
      </c>
      <c r="O1176" s="23">
        <f>ROUND(SUM(B1176+C1176+F1176)*O1169,2)</f>
        <v>0</v>
      </c>
      <c r="P1176" s="27">
        <f t="shared" si="133"/>
        <v>0</v>
      </c>
    </row>
    <row r="1177" spans="1:16" s="1" customFormat="1" x14ac:dyDescent="0.2">
      <c r="A1177" s="100" t="str">
        <f>$A$33</f>
        <v>Aug 2022</v>
      </c>
      <c r="B1177" s="24">
        <f>ROUND(IF(P1151=0,0,IFERROR(((LOOKUP(2,1/(A1158:A1161=A1177),G1158:G1161))*P1151*4.348),B1176/P1151*P1151)),2)</f>
        <v>0</v>
      </c>
      <c r="C1177" s="23">
        <f>ROUND(IFERROR(((LOOKUP(2,1/(B1163=A1177),((SUM(B1176:B1178)+SUM(F1176:F1178))/3)*C1163))),0)+IFERROR(((LOOKUP(2,1/(E1163=A1177),(B1182+F1182)*F1163))),0),2)</f>
        <v>0</v>
      </c>
      <c r="D1177" s="23">
        <f>ROUND(IF(B1177=0,0,D1169/L1151*P1151),2)</f>
        <v>0</v>
      </c>
      <c r="E1177" s="23">
        <f>ROUND(IF(B1177=0,0,E1169/N1147*P1151),2)</f>
        <v>0</v>
      </c>
      <c r="F1177" s="24">
        <f>ROUND(IF(P1151=0,0,IFERROR(((LOOKUP(2,1/(A1158:A1161=A1177),H1158:H1161))/N1147*P1151),F1176/P1151*P1151)),2)</f>
        <v>0</v>
      </c>
      <c r="G1177" s="27">
        <f t="shared" si="132"/>
        <v>0</v>
      </c>
      <c r="H1177" s="76">
        <f>ROUND(IF(SUM(B1170:F1176)&lt;(L1185*7),IF((SUM(B1170:F1177))&gt;(L1185*8),(((L1185*8)-(SUM(B1170:F1177)-C1176))*H1169)+((SUM(B1177:F1177)-C1176)*H1169),SUM(B1177:F1177)*H1169),IF(SUM(B1170:F1177)&gt;(L1185*8),L1185*H1169,SUM(B1177:F1177)*H1169)),2)</f>
        <v>0</v>
      </c>
      <c r="I1177" s="76">
        <f>ROUND(IF(SUM(B1170:F1176)&lt;(L1186*7),IF((SUM(B1170:F1177))&gt;(L1186*8),(((L1186*8)-(SUM(B1170:F1177)-C1176))*I1169)+((SUM(B1177:F1177)-C1176)*I1169),SUM(B1177:F1177)*I1169),IF(SUM(B1170:F1177)&gt;(L1186*8),L1186*I1169,SUM(B1177:F1177)*I1169)),2)</f>
        <v>0</v>
      </c>
      <c r="J1177" s="76">
        <f>ROUND(IF(SUM(B1170:F1176)&lt;(L1186*7),IF((SUM(B1170:F1177))&gt;(L1186*8),(((L1186*8)-(SUM(B1170:F1177)-C1176))*J1169)+((SUM(B1177:F1177)-C1176)*J1169),SUM(B1177:F1177)*J1169),IF(SUM(B1170:F1177)&gt;(L1186*8),L1186*J1169,SUM(B1177:F1177)*J1169)),2)</f>
        <v>0</v>
      </c>
      <c r="K1177" s="76">
        <f>ROUND(IF(SUM(B1170:F1176)&lt;(L1185*7),IF((SUM(B1170:F1177))&gt;(L1185*8),(((L1185*8)-(SUM(B1170:F1177)-C1176))*K1169)+((SUM(B1177:F1177)-C1176)*K1169),SUM(B1177:F1177)*K1169),IF(SUM(B1170:F1177)&gt;(L1185*8),L1185*K1169,SUM(B1177:F1177)*K1169)),2)</f>
        <v>0</v>
      </c>
      <c r="L1177" s="76">
        <f>ROUND(IF(SUM(B1170:F1176)&lt;(L1186*7),IF((SUM(B1170:F1177))&gt;(L1186*8),(((L1186*8)-(SUM(B1170:F1177)-C1177))*L1169)+((SUM(B1177:F1177)-C1177)*L1169),(SUM(B1177:F1177)-C1177)*L1169),IF(SUM(B1170:F1177)&gt;(L1186*8),L1186*L1169,SUM(B1177:F1177)*L1169)),2)</f>
        <v>0</v>
      </c>
      <c r="M1177" s="76">
        <f>ROUND(IF(SUM(B1170:F1176)&lt;(L1186*7),IF((SUM(B1170:F1177))&gt;(L1186*8),(((L1186*8)-(SUM(B1170:F1177)-C1177))*M1169)+((SUM(B1177:F1177)-C1177)*M1169),(SUM(B1177:F1177)-C1177)*M1169),IF(SUM(B1170:F1177)&gt;(L1186*8),L1186*M1169,SUM(B1177:F1177)*M1169)),2)</f>
        <v>0</v>
      </c>
      <c r="N1177" s="76">
        <f>ROUND(IF(SUM(B1170:F1176)&lt;(L1186*7),IF((SUM(B1170:F1177))&gt;(L1186*8),(((L1186*8)-(SUM(B1170:F1177)-C1176))*N1169)+((SUM(B1177:F1177)-C1176)*N1169),SUM(B1177:F1177)*N1169),IF(SUM(B1170:F1177)&gt;(L1186*8),L1186*N1169,SUM(B1177:F1177)*N1169)),2)</f>
        <v>0</v>
      </c>
      <c r="O1177" s="23">
        <f>ROUND(SUM(B1177+C1177+F1177)*O1169,2)</f>
        <v>0</v>
      </c>
      <c r="P1177" s="27">
        <f t="shared" si="133"/>
        <v>0</v>
      </c>
    </row>
    <row r="1178" spans="1:16" s="1" customFormat="1" x14ac:dyDescent="0.2">
      <c r="A1178" s="100" t="str">
        <f>$A$34</f>
        <v>Sep 2022</v>
      </c>
      <c r="B1178" s="24">
        <f>ROUND(IF(P1152=0,0,IFERROR(((LOOKUP(2,1/(A1158:A1161=A1178),G1158:G1161))*P1152*4.348),B1177/P1152*P1152)),2)</f>
        <v>0</v>
      </c>
      <c r="C1178" s="23">
        <f>ROUND(IFERROR(((LOOKUP(2,1/(B1163=A1178),((SUM(B1176:B1178)+SUM(F1176:F1178))/3)*C1163))),0)+IFERROR(((LOOKUP(2,1/(E1163=A1178),(B1182+F1182)*F1163))),0),2)</f>
        <v>0</v>
      </c>
      <c r="D1178" s="23">
        <f>ROUND(IF(B1178=0,0,D1169/L1151*P1152),2)</f>
        <v>0</v>
      </c>
      <c r="E1178" s="23">
        <f>ROUND(IF(B1178=0,0,E1169/N1147*P1152),2)</f>
        <v>0</v>
      </c>
      <c r="F1178" s="24">
        <f>ROUND(IF(P1152=0,0,IFERROR(((LOOKUP(2,1/(A1158:A1161=A1178),H1158:H1161))/N1147*P1152),F1177/P1152*P1152)),2)</f>
        <v>0</v>
      </c>
      <c r="G1178" s="27">
        <f t="shared" si="132"/>
        <v>0</v>
      </c>
      <c r="H1178" s="76">
        <f>ROUND(IF(SUM(B1170:F1177)&lt;(L1185*8),IF((SUM(B1170:F1178))&gt;(L1185*9),(((L1185*9)-(SUM(B1170:F1178)-C1177))*H1169)+((SUM(B1178:F1178)-C1177)*H1169),SUM(B1178:F1178)*H1169),IF(SUM(B1170:F1178)&gt;(L1185*9),L1185*H1169,SUM(B1178:F1178)*H1169)),2)</f>
        <v>0</v>
      </c>
      <c r="I1178" s="76">
        <f>ROUND(IF(SUM(B1170:F1177)&lt;(L1186*8),IF((SUM(B1170:F1178))&gt;(L1186*9),(((L1186*9)-(SUM(B1170:F1178)-C1177))*I1169)+((SUM(B1178:F1178)-C1177)*I1169),SUM(B1178:F1178)*I1169),IF(SUM(B1170:F1178)&gt;(L1186*9),L1186*I1169,SUM(B1178:F1178)*I1169)),2)</f>
        <v>0</v>
      </c>
      <c r="J1178" s="76">
        <f>ROUND(IF(SUM(B1170:F1177)&lt;(L1186*8),IF((SUM(B1170:F1178))&gt;(L1186*9),(((L1186*9)-(SUM(B1170:F1178)-C1177))*J1169)+((SUM(B1178:F1178)-C1177)*J1169),SUM(B1178:F1178)*J1169),IF(SUM(B1170:F1178)&gt;(L1186*9),L1186*J1169,SUM(B1178:F1178)*J1169)),2)</f>
        <v>0</v>
      </c>
      <c r="K1178" s="76">
        <f>ROUND(IF(SUM(B1170:F1177)&lt;(L1185*8),IF((SUM(B1170:F1178))&gt;(L1185*9),(((L1185*9)-(SUM(B1170:F1178)-C1177))*K1169)+((SUM(B1178:F1178)-C1177)*K1169),SUM(B1178:F1178)*K1169),IF(SUM(B1170:F1178)&gt;(L1185*9),L1185*K1169,SUM(B1178:F1178)*K1169)),2)</f>
        <v>0</v>
      </c>
      <c r="L1178" s="76">
        <f>ROUND(IF(SUM(B1170:F1177)&lt;(L1186*8),IF((SUM(B1170:F1178))&gt;(L1186*9),(((L1186*9)-(SUM(B1170:F1178)-C1178))*L1169)+((SUM(B1178:F1178)-C1178)*L1169),(SUM(B1178:F1178)-C1178)*L1169),IF(SUM(B1170:F1178)&gt;(L1186*9),L1186*L1169,SUM(B1178:F1178)*L1169)),2)</f>
        <v>0</v>
      </c>
      <c r="M1178" s="76">
        <f>ROUND(IF(SUM(B1170:F1177)&lt;(L1186*8),IF((SUM(B1170:F1178))&gt;(L1186*9),(((L1186*9)-(SUM(B1170:F1178)-C1178))*M1169)+((SUM(B1178:F1178)-C1178)*M1169),(SUM(B1178:F1178)-C1178)*M1169),IF(SUM(B1170:F1178)&gt;(L1186*9),L1186*M1169,SUM(B1178:F1178)*M1169)),2)</f>
        <v>0</v>
      </c>
      <c r="N1178" s="76">
        <f>ROUND(IF(SUM(B1170:F1177)&lt;(L1186*8),IF((SUM(B1170:F1178))&gt;(L1186*9),(((L1186*9)-(SUM(B1170:F1178)-C1177))*N1169)+((SUM(B1178:F1178)-C1177)*N1169),SUM(B1178:F1178)*N1169),IF(SUM(B1170:F1178)&gt;(L1186*9),L1186*N1169,SUM(B1178:F1178)*N1169)),2)</f>
        <v>0</v>
      </c>
      <c r="O1178" s="23">
        <f>ROUND(SUM(B1178+C1178+F1178)*O1169,2)</f>
        <v>0</v>
      </c>
      <c r="P1178" s="27">
        <f t="shared" si="133"/>
        <v>0</v>
      </c>
    </row>
    <row r="1179" spans="1:16" s="1" customFormat="1" x14ac:dyDescent="0.2">
      <c r="A1179" s="100" t="str">
        <f>$A$35</f>
        <v>Okt 2022</v>
      </c>
      <c r="B1179" s="24">
        <f>ROUND(IF(P1153=0,0,IFERROR(((LOOKUP(2,1/(A1158:A1161=A1179),G1158:G1161))*P1153*4.348),B1178/P1153*P1153)),2)</f>
        <v>0</v>
      </c>
      <c r="C1179" s="23">
        <f>ROUND(IFERROR(((LOOKUP(2,1/(B1163=A1179),((SUM(B1176:B1178)+SUM(F1176:F1178))/3)*C1163))),0)+IFERROR(((LOOKUP(2,1/(E1163=A1179),(B1182+F1182)*F1163))),0),2)</f>
        <v>0</v>
      </c>
      <c r="D1179" s="23">
        <f>ROUND(IF(B1179=0,0,D1169/L1151*P1153),2)</f>
        <v>0</v>
      </c>
      <c r="E1179" s="23">
        <f>ROUND(IF(B1179=0,0,E1169/N1147*P1153),2)</f>
        <v>0</v>
      </c>
      <c r="F1179" s="24">
        <f>ROUND(IF(P1153=0,0,IFERROR(((LOOKUP(2,1/(A1158:A1161=A1179),H1158:H1161))/N1147*P1153),F1178/P1153*P1153)),2)</f>
        <v>0</v>
      </c>
      <c r="G1179" s="27">
        <f t="shared" si="132"/>
        <v>0</v>
      </c>
      <c r="H1179" s="76">
        <f>ROUND(IF(SUM(B1170:F1178)&lt;(L1185*9),IF((SUM(B1170:F1179))&gt;(L1185*10),(((L1185*10)-(SUM(B1170:F1179)-C1178))*H1169)+((SUM(B1179:F1179)-C1178)*H1169),SUM(B1179:F1179)*H1169),IF(SUM(B1170:F1179)&gt;(L1185*10),L1185*H1169,SUM(B1179:F1179)*H1169)),2)</f>
        <v>0</v>
      </c>
      <c r="I1179" s="76">
        <f>ROUND(IF(SUM(B1170:F1178)&lt;(L1186*9),IF((SUM(B1170:F1179))&gt;(L1186*10),(((L1186*10)-(SUM(B1170:F1179)-C1178))*I1169)+((SUM(B1179:F1179)-C1178)*I1169),SUM(B1179:F1179)*I1169),IF(SUM(B1170:F1179)&gt;(L1186*10),L1186*I1169,SUM(B1179:F1179)*I1169)),2)</f>
        <v>0</v>
      </c>
      <c r="J1179" s="76">
        <f>ROUND(IF(SUM(B1170:F1178)&lt;(L1186*9),IF((SUM(B1170:F1179))&gt;(L1186*10),(((L1186*10)-(SUM(B1170:F1179)-C1178))*J1169)+((SUM(B1179:F1179)-C1178)*J1169),SUM(B1179:F1179)*J1169),IF(SUM(B1170:F1179)&gt;(L1186*10),L1186*J1169,SUM(B1179:F1179)*J1169)),2)</f>
        <v>0</v>
      </c>
      <c r="K1179" s="76">
        <f>ROUND(IF(SUM(B1170:F1178)&lt;(L1185*9),IF((SUM(B1170:F1179))&gt;(L1185*10),(((L1185*10)-(SUM(B1170:F1179)-C1178))*K1169)+((SUM(B1179:F1179)-C1178)*K1169),SUM(B1179:F1179)*K1169),IF(SUM(B1170:F1179)&gt;(L1185*10),L1185*K1169,SUM(B1179:F1179)*K1169)),2)</f>
        <v>0</v>
      </c>
      <c r="L1179" s="76">
        <f>ROUND(IF(SUM(B1170:F1178)&lt;(L1186*9),IF((SUM(B1170:F1179))&gt;(L1186*10),(((L1186*10)-(SUM(B1170:F1179)-C1179))*L1169)+((SUM(B1179:F1179)-C1179)*L1169),(SUM(B1179:F1179)-C1179)*L1169),IF(SUM(B1170:F1179)&gt;(L1186*10),L1186*L1169,SUM(B1179:F1179)*L1169)),2)</f>
        <v>0</v>
      </c>
      <c r="M1179" s="76">
        <f>ROUND(IF(SUM(B1170:F1178)&lt;(L1186*9),IF((SUM(B1170:F1179))&gt;(L1186*10),(((L1186*10)-(SUM(B1170:F1179)-C1179))*M1169)+((SUM(B1179:F1179)-C1179)*M1169),(SUM(B1179:F1179)-C1179)*M1169),IF(SUM(B1170:F1179)&gt;(L1186*10),L1186*M1169,SUM(B1179:F1179)*M1169)),2)</f>
        <v>0</v>
      </c>
      <c r="N1179" s="76">
        <f>ROUND(IF(SUM(B1170:F1178)&lt;(L1186*9),IF((SUM(B1170:F1179))&gt;(L1186*10),(((L1186*10)-(SUM(B1170:F1179)-C1178))*N1169)+((SUM(B1179:F1179)-C1178)*N1169),SUM(B1179:F1179)*N1169),IF(SUM(B1170:F1179)&gt;(L1186*10),L1186*N1169,SUM(B1179:F1179)*N1169)),2)</f>
        <v>0</v>
      </c>
      <c r="O1179" s="23">
        <f>ROUND(SUM(B1179+C1179+F1179)*O1169,2)</f>
        <v>0</v>
      </c>
      <c r="P1179" s="27">
        <f t="shared" si="133"/>
        <v>0</v>
      </c>
    </row>
    <row r="1180" spans="1:16" s="1" customFormat="1" x14ac:dyDescent="0.2">
      <c r="A1180" s="100" t="str">
        <f>$A$36</f>
        <v>Nov 2022</v>
      </c>
      <c r="B1180" s="24">
        <f>ROUND(IF(P1154=0,0,IFERROR(((LOOKUP(2,1/(A1158:A1161=A1180),G1158:G1161))*P1154*4.348),B1179/P1154*P1154)),2)</f>
        <v>0</v>
      </c>
      <c r="C1180" s="23">
        <f>ROUND(IFERROR(((LOOKUP(2,1/(B1163=A1180),((SUM(B1176:B1178)+SUM(F1176:F1178))/3)*C1163))),0)+IFERROR(((LOOKUP(2,1/(E1163=A1180),(B1182+F1182)*F1163))),0),2)</f>
        <v>0</v>
      </c>
      <c r="D1180" s="23">
        <f>ROUND(IF(B1180=0,0,D1169/L1151*P1154),2)</f>
        <v>0</v>
      </c>
      <c r="E1180" s="23">
        <f>ROUND(IF(B1180=0,0,E1169/N1147*P1154),2)</f>
        <v>0</v>
      </c>
      <c r="F1180" s="24">
        <f>ROUND(IF(P1154=0,0,IFERROR(((LOOKUP(2,1/(A1158:A1161=A1180),H1158:H1161))/N1147*P1154),F1179/P1154*P1154)),2)</f>
        <v>0</v>
      </c>
      <c r="G1180" s="27">
        <f t="shared" si="132"/>
        <v>0</v>
      </c>
      <c r="H1180" s="76">
        <f>ROUND(IF(SUM(B1170:F1179)&lt;(L1185*10),IF((SUM(B1170:F1180))&gt;(L1185*11),(((L1185*11)-(SUM(B1170:F1180)-C1179))*H1169)+((SUM(B1180:F1180)-C1179)*H1169),SUM(B1180:F1180)*H1169),IF(SUM(B1170:F1180)&gt;(L1185*11),L1185*H1169,SUM(B1180:F1180)*H1169)),2)</f>
        <v>0</v>
      </c>
      <c r="I1180" s="76">
        <f>ROUND(IF(SUM(B1170:F1179)&lt;(L1186*10),IF((SUM(B1170:F1180))&gt;(L1186*11),(((L1186*11)-(SUM(B1170:F1180)-C1179))*I1169)+((SUM(B1180:F1180)-C1179)*I1169),SUM(B1180:F1180)*I1169),IF(SUM(B1170:F1180)&gt;(L1186*11),L1186*I1169,SUM(B1180:F1180)*I1169)),2)</f>
        <v>0</v>
      </c>
      <c r="J1180" s="76">
        <f>ROUND(IF(SUM(B1170:F1179)&lt;(L1186*10),IF((SUM(B1170:F1180))&gt;(L1186*11),(((L1186*11)-(SUM(B1170:F1180)-C1179))*J1169)+((SUM(B1180:F1180)-C1179)*J1169),SUM(B1180:F1180)*J1169),IF(SUM(B1170:F1180)&gt;(L1186*11),L1186*J1169,SUM(B1180:F1180)*J1169)),2)</f>
        <v>0</v>
      </c>
      <c r="K1180" s="76">
        <f>ROUND(IF(SUM(B1170:F1179)&lt;(L1185*10),IF((SUM(B1170:F1180))&gt;(L1185*11),(((L1185*11)-(SUM(B1170:F1180)-C1179))*K1169)+((SUM(B1180:F1180)-C1179)*K1169),SUM(B1180:F1180)*K1169),IF(SUM(B1170:F1180)&gt;(L1185*11),L1185*K1169,SUM(B1180:F1180)*K1169)),2)</f>
        <v>0</v>
      </c>
      <c r="L1180" s="76">
        <f>ROUND(IF(SUM(B1170:F1179)&lt;(L1186*10),IF((SUM(B1170:F1180))&gt;(L1186*11),(((L1186*11)-(SUM(B1170:F1180)-C1180))*L1169)+((SUM(B1180:F1180)-C1180)*L1169),(SUM(B1180:F1180)-C1180)*L1169),IF(SUM(B1170:F1180)&gt;(L1186*11),L1186*L1169,SUM(B1180:F1180)*L1169)),2)</f>
        <v>0</v>
      </c>
      <c r="M1180" s="76">
        <f>ROUND(IF(SUM(B1170:F1179)&lt;(L1186*10),IF((SUM(B1170:F1180))&gt;(L1186*11),(((L1186*11)-(SUM(B1170:F1180)-C1180))*M1169)+((SUM(B1180:F1180)-C1180)*M1169),(SUM(B1180:F1180)-C1180)*M1169),IF(SUM(B1170:F1180)&gt;(L1186*11),L1186*M1169,SUM(B1180:F1180)*M1169)),2)</f>
        <v>0</v>
      </c>
      <c r="N1180" s="76">
        <f>ROUND(IF(SUM(B1170:F1179)&lt;(L1186*10),IF((SUM(B1170:F1180))&gt;(L1186*11),(((L1186*11)-(SUM(B1170:F1180)-C1179))*N1169)+((SUM(B1180:F1180)-C1179)*N1169),SUM(B1180:F1180)*N1169),IF(SUM(B1170:F1180)&gt;(L1186*11),L1186*N1169,SUM(B1180:F1180)*N1169)),2)</f>
        <v>0</v>
      </c>
      <c r="O1180" s="23">
        <f>ROUND(SUM(B1180+C1180+F1180)*O1169,2)</f>
        <v>0</v>
      </c>
      <c r="P1180" s="27">
        <f t="shared" si="133"/>
        <v>0</v>
      </c>
    </row>
    <row r="1181" spans="1:16" s="1" customFormat="1" x14ac:dyDescent="0.2">
      <c r="A1181" s="100" t="str">
        <f>$A$37</f>
        <v>Dez 2022</v>
      </c>
      <c r="B1181" s="24">
        <f>ROUND(IF(P1155=0,0,IFERROR(((LOOKUP(2,1/(A1158:A1161=A1181),G1158:G1161))*P1155*4.348),B1180/P1155*P1155)),2)</f>
        <v>0</v>
      </c>
      <c r="C1181" s="23">
        <f>ROUND(IFERROR(((LOOKUP(2,1/(B1163=A1181),((SUM(B1176:B1178)+SUM(F1176:F1178))/3)*C1163))),0)+IFERROR(((LOOKUP(2,1/(E1163=A1181),(B1182+F1182)*F1163))),0),2)</f>
        <v>0</v>
      </c>
      <c r="D1181" s="23">
        <f>ROUND(IF(B1181=0,0,D1169/L1151*P1155),2)</f>
        <v>0</v>
      </c>
      <c r="E1181" s="23">
        <f>ROUND(IF(B1181=0,0,E1169/N1147*P1155),2)</f>
        <v>0</v>
      </c>
      <c r="F1181" s="24">
        <f>ROUND(IF(P1155=0,0,IFERROR(((LOOKUP(2,1/(A1158:A1161=A1181),H1158:H1161))/N1147*P1155),F1180/P1155*P1155)),2)</f>
        <v>0</v>
      </c>
      <c r="G1181" s="27">
        <f t="shared" si="132"/>
        <v>0</v>
      </c>
      <c r="H1181" s="76">
        <f>ROUND(IF(SUM(B1170:F1180)&lt;(L1185*11),IF((SUM(B1170:F1181))&gt;(L1185*12),(((L1185*12)-(SUM(B1170:F1181)-C1180))*H1169)+((SUM(B1181:F1181)-C1180)*H1169),SUM(B1181:F1181)*H1169),IF(SUM(B1170:F1181)&gt;(L1185*12),L1185*H1169,SUM(B1181:F1181)*H1169)),2)</f>
        <v>0</v>
      </c>
      <c r="I1181" s="76">
        <f>ROUND(IF(SUM(B1170:F1180)&lt;(L1186*11),IF((SUM(B1170:F1181))&gt;(L1186*12),(((L1186*12)-(SUM(B1170:F1181)-C1180))*I1169)+((SUM(B1181:F1181)-C1180)*I1169),SUM(B1181:F1181)*I1169),IF(SUM(B1170:F1181)&gt;(L1186*12),L1186*I1169,SUM(B1181:F1181)*I1169)),2)</f>
        <v>0</v>
      </c>
      <c r="J1181" s="76">
        <f>ROUND(IF(SUM(B1170:F1180)&lt;(L1186*11),IF((SUM(B1170:F1181))&gt;(L1186*12),(((L1186*12)-(SUM(B1170:F1181)-C1180))*J1169)+((SUM(B1181:F1181)-C1180)*J1169),SUM(B1181:F1181)*J1169),IF(SUM(B1170:F1181)&gt;(L1186*12),L1186*J1169,SUM(B1181:F1181)*J1169)),2)</f>
        <v>0</v>
      </c>
      <c r="K1181" s="76">
        <f>ROUND(IF(SUM(B1170:F1180)&lt;(L1185*11),IF((SUM(B1170:F1181))&gt;(L1185*12),(((L1185*12)-(SUM(B1170:F1181)-C1180))*K1169)+((SUM(B1181:F1181)-C1180)*K1169),SUM(B1181:F1181)*K1169),IF(SUM(B1170:F1181)&gt;(L1185*12),L1185*K1169,SUM(B1181:F1181)*K1169)),2)</f>
        <v>0</v>
      </c>
      <c r="L1181" s="76">
        <f>ROUND(IF(SUM(B1170:F1180)&lt;(L1186*11),IF((SUM(B1170:F1181))&gt;(L1186*12),(((L1186*12)-(SUM(B1170:F1181)-C1181))*L1169)+((SUM(B1181:F1181)-C1181)*L1169),(SUM(B1181:F1181)-C1181)*L1169),IF(SUM(B1170:F1181)&gt;(L1186*12),L1186*L1169,SUM(B1181:F1181)*L1169)),2)</f>
        <v>0</v>
      </c>
      <c r="M1181" s="76">
        <f>ROUND(IF(SUM(B1170:F1180)&lt;(L1186*11),IF((SUM(B1170:F1181))&gt;(L1186*12),(((L1186*12)-(SUM(B1170:F1181)-C1181))*M1169)+((SUM(B1181:F1181)-C1181)*M1169),(SUM(B1181:F1181)-C1181)*M1169),IF(SUM(B1170:F1181)&gt;(L1186*12),L1186*M1169,SUM(B1181:F1181)*M1169)),2)</f>
        <v>0</v>
      </c>
      <c r="N1181" s="76">
        <f>ROUND(IF(SUM(B1170:F1180)&lt;(L1186*11),IF((SUM(B1170:F1181))&gt;(L1186*12),(((L1186*12)-(SUM(B1170:F1181)-C1180))*N1169)+((SUM(B1181:F1181)-C1180)*N1169),SUM(B1181:F1181)*N1169),IF(SUM(B1170:F1181)&gt;(L1186*12),L1186*N1169,SUM(B1181:F1181)*N1169)),2)</f>
        <v>0</v>
      </c>
      <c r="O1181" s="23">
        <f>ROUND(SUM(B1181+C1181+F1181)*O1169,2)</f>
        <v>0</v>
      </c>
      <c r="P1181" s="27">
        <f t="shared" si="133"/>
        <v>0</v>
      </c>
    </row>
    <row r="1182" spans="1:16" s="14" customFormat="1" ht="15" x14ac:dyDescent="0.25">
      <c r="A1182" s="4" t="s">
        <v>2</v>
      </c>
      <c r="B1182" s="27">
        <f>SUM(B1170:B1181)</f>
        <v>0</v>
      </c>
      <c r="C1182" s="27">
        <f t="shared" ref="C1182:D1182" si="134">SUM(C1170:C1181)</f>
        <v>0</v>
      </c>
      <c r="D1182" s="27">
        <f t="shared" si="134"/>
        <v>0</v>
      </c>
      <c r="E1182" s="27">
        <f>SUM(E1170:E1181)</f>
        <v>0</v>
      </c>
      <c r="F1182" s="27">
        <f>SUM(F1170:F1181)</f>
        <v>0</v>
      </c>
      <c r="G1182" s="27">
        <f>SUM(G1170:G1181)</f>
        <v>0</v>
      </c>
      <c r="H1182" s="1133">
        <f>SUM(H1170:N1181)</f>
        <v>0</v>
      </c>
      <c r="I1182" s="1134"/>
      <c r="J1182" s="1134"/>
      <c r="K1182" s="1134"/>
      <c r="L1182" s="1134"/>
      <c r="M1182" s="1134"/>
      <c r="N1182" s="1135"/>
      <c r="O1182" s="27">
        <f>SUM(O1170:O1181)</f>
        <v>0</v>
      </c>
      <c r="P1182" s="27">
        <f>SUM(P1170:P1181)</f>
        <v>0</v>
      </c>
    </row>
    <row r="1183" spans="1:16" s="13" customFormat="1" ht="11.25" x14ac:dyDescent="0.2">
      <c r="A1183" s="3" t="s">
        <v>1</v>
      </c>
      <c r="B1183" s="2"/>
      <c r="C1183" s="2"/>
      <c r="D1183" s="2"/>
      <c r="E1183" s="2"/>
      <c r="F1183" s="2"/>
      <c r="G1183" s="2"/>
      <c r="H1183" s="2"/>
      <c r="I1183" s="2"/>
      <c r="J1183" s="2"/>
      <c r="K1183" s="2"/>
      <c r="L1183" s="2"/>
      <c r="M1183" s="2"/>
      <c r="N1183" s="2"/>
      <c r="O1183" s="2"/>
      <c r="P1183" s="2"/>
    </row>
    <row r="1184" spans="1:16" s="1" customFormat="1" ht="14.25" customHeight="1" x14ac:dyDescent="0.2">
      <c r="A1184" s="1136" t="s">
        <v>133</v>
      </c>
      <c r="B1184" s="1137"/>
      <c r="C1184" s="1137"/>
      <c r="D1184" s="1137" t="s">
        <v>134</v>
      </c>
      <c r="E1184" s="1137"/>
      <c r="F1184" s="94" t="str">
        <f>IF(IF(G1182=0,"",'päd.Personal - Leitung'!$F$40)=0,"",IF(G1182=0,"",'päd.Personal - Leitung'!$F$40))</f>
        <v/>
      </c>
      <c r="G1184" s="77" t="s">
        <v>135</v>
      </c>
      <c r="H1184" s="96" t="str">
        <f>IF(IF(G1182=0,"",'päd.Personal - Leitung'!$H$40)=0,"",IF(G1182=0,"",'päd.Personal - Leitung'!$H$40))</f>
        <v/>
      </c>
      <c r="I1184" s="73"/>
      <c r="J1184" s="194" t="s">
        <v>160</v>
      </c>
      <c r="K1184" s="194" t="str">
        <f>$K$40</f>
        <v>2021</v>
      </c>
      <c r="L1184" s="194" t="str">
        <f>$L$40</f>
        <v>anteilig 2021</v>
      </c>
      <c r="M1184" s="1138" t="s">
        <v>140</v>
      </c>
      <c r="N1184" s="1138"/>
      <c r="O1184" s="1139"/>
      <c r="P1184" s="27">
        <f>ROUND(IF(F1184="",IF(E1188="",0,(E1188*H1188/K1188)/L1151*L1152),G1182*F1184*H1184/1000),2)</f>
        <v>0</v>
      </c>
    </row>
    <row r="1185" spans="1:16" s="1" customFormat="1" ht="15" customHeight="1" x14ac:dyDescent="0.2">
      <c r="A1185" s="1140" t="s">
        <v>145</v>
      </c>
      <c r="B1185" s="1141"/>
      <c r="C1185" s="1141"/>
      <c r="D1185" s="18"/>
      <c r="E1185" s="107" t="s">
        <v>135</v>
      </c>
      <c r="F1185" s="95" t="str">
        <f>IF(IF(G1182=0,"",'päd.Personal - Leitung'!$F$41)=0,"",IF(G1182=0,"",'päd.Personal - Leitung'!$F$41))</f>
        <v/>
      </c>
      <c r="G1185" s="48"/>
      <c r="H1185" s="47"/>
      <c r="I1185" s="48"/>
      <c r="J1185" s="195" t="s">
        <v>158</v>
      </c>
      <c r="K1185" s="198">
        <f>$K$41</f>
        <v>4837.5</v>
      </c>
      <c r="L1185" s="197">
        <f>IF(L1151="",K1185,K1185/L1151*L1152)</f>
        <v>4837.5</v>
      </c>
      <c r="M1185" s="1138" t="s">
        <v>139</v>
      </c>
      <c r="N1185" s="1138"/>
      <c r="O1185" s="1139"/>
      <c r="P1185" s="27">
        <f>ROUND(IF(F1185="",0,G1182*F1185/1000),2)</f>
        <v>0</v>
      </c>
    </row>
    <row r="1186" spans="1:16" s="1" customFormat="1" ht="15.75" customHeight="1" x14ac:dyDescent="0.2">
      <c r="A1186" s="1142" t="s">
        <v>141</v>
      </c>
      <c r="B1186" s="1143"/>
      <c r="C1186" s="1143"/>
      <c r="D1186" s="1144" t="s">
        <v>143</v>
      </c>
      <c r="E1186" s="1144"/>
      <c r="F1186" s="1145" t="str">
        <f>IF(IF(G1182=0,"",'päd.Personal - Leitung'!$F$42)=0,"",IF(G1182=0,"",'päd.Personal - Leitung'!$F$42))</f>
        <v/>
      </c>
      <c r="G1186" s="1145"/>
      <c r="H1186" s="72"/>
      <c r="I1186" s="18"/>
      <c r="J1186" s="195" t="s">
        <v>159</v>
      </c>
      <c r="K1186" s="197">
        <f>$K$42</f>
        <v>6700</v>
      </c>
      <c r="L1186" s="197">
        <f>IF(L1151="",K1186,K1186/L1151*L1152)</f>
        <v>6700</v>
      </c>
      <c r="M1186" s="1138" t="s">
        <v>141</v>
      </c>
      <c r="N1186" s="1138"/>
      <c r="O1186" s="1139"/>
      <c r="P1186" s="23">
        <f>ROUND(IF(F1186="",0,IF(G1182=0,0,F1186/L1151*L1152)),2)</f>
        <v>0</v>
      </c>
    </row>
    <row r="1187" spans="1:16" s="1" customFormat="1" ht="14.25" customHeight="1" x14ac:dyDescent="0.2">
      <c r="A1187" s="18"/>
      <c r="B1187" s="18"/>
      <c r="C1187" s="18"/>
      <c r="D1187" s="18"/>
      <c r="E1187" s="18"/>
      <c r="F1187" s="18"/>
      <c r="G1187" s="18"/>
      <c r="H1187" s="18"/>
      <c r="I1187" s="18"/>
      <c r="J1187" s="18"/>
      <c r="K1187" s="74"/>
      <c r="L1187" s="82"/>
      <c r="M1187" s="1127" t="s">
        <v>146</v>
      </c>
      <c r="N1187" s="1127"/>
      <c r="O1187" s="1128"/>
      <c r="P1187" s="23">
        <f>ROUND(IF(G1182=0,0,$P$87),2)</f>
        <v>0</v>
      </c>
    </row>
    <row r="1188" spans="1:16" s="1" customFormat="1" ht="14.25" customHeight="1" x14ac:dyDescent="0.2">
      <c r="A1188" s="1129" t="s">
        <v>142</v>
      </c>
      <c r="B1188" s="1130"/>
      <c r="C1188" s="126" t="s">
        <v>136</v>
      </c>
      <c r="D1188" s="179" t="s">
        <v>137</v>
      </c>
      <c r="E1188" s="1131" t="str">
        <f>IF(IF(G1182=0,"",'päd.Personal - Leitung'!$E$44)=0,"",IF(G1182=0,"",'päd.Personal - Leitung'!$E$44))</f>
        <v/>
      </c>
      <c r="F1188" s="1131"/>
      <c r="G1188" s="83" t="s">
        <v>138</v>
      </c>
      <c r="H1188" s="97" t="str">
        <f>IF(IF(G1182=0,"",'päd.Personal - Leitung'!$H$44)=0,"",IF(G1182=0,"",'päd.Personal - Leitung'!$H$44))</f>
        <v/>
      </c>
      <c r="I1188" s="1132" t="s">
        <v>144</v>
      </c>
      <c r="J1188" s="1132"/>
      <c r="K1188" s="98" t="str">
        <f>IF(IF(G1182=0,"",'päd.Personal - Leitung'!$K$44)=0,"",IF(G1182=0,"",'päd.Personal - Leitung'!$K$44))</f>
        <v/>
      </c>
      <c r="L1188" s="29"/>
      <c r="M1188" s="29"/>
      <c r="N1188" s="29"/>
      <c r="O1188" s="28" t="s">
        <v>0</v>
      </c>
      <c r="P1188" s="27">
        <f>P1182+SUM(P1184:P1187)</f>
        <v>0</v>
      </c>
    </row>
    <row r="1189" spans="1:16" s="12" customFormat="1" ht="13.5" customHeight="1" x14ac:dyDescent="0.2">
      <c r="A1189" s="1178" t="s">
        <v>18</v>
      </c>
      <c r="B1189" s="1178"/>
      <c r="C1189" s="1178"/>
      <c r="D1189" s="1179" t="str">
        <f>IF($D$1="","",$D$1)</f>
        <v/>
      </c>
      <c r="E1189" s="1179"/>
      <c r="F1189" s="1179"/>
      <c r="G1189" s="1179"/>
      <c r="H1189" s="1179"/>
      <c r="I1189" s="1179"/>
      <c r="J1189" s="1179"/>
      <c r="K1189" s="1179"/>
      <c r="L1189" s="1179"/>
      <c r="M1189" s="1179"/>
      <c r="N1189" s="1179"/>
    </row>
    <row r="1190" spans="1:16" s="12" customFormat="1" ht="15" customHeight="1" x14ac:dyDescent="0.2">
      <c r="A1190" s="1178" t="s">
        <v>17</v>
      </c>
      <c r="B1190" s="1178"/>
      <c r="C1190" s="1178" t="s">
        <v>15</v>
      </c>
      <c r="D1190" s="1179" t="str">
        <f>IF($D$2="","",$D$2)</f>
        <v/>
      </c>
      <c r="E1190" s="1179"/>
      <c r="F1190" s="1179"/>
      <c r="G1190" s="1179"/>
      <c r="H1190" s="1179"/>
      <c r="I1190" s="1179"/>
      <c r="J1190" s="1179"/>
      <c r="K1190" s="1179"/>
      <c r="L1190" s="1179"/>
      <c r="M1190" s="1179"/>
      <c r="N1190" s="1179"/>
    </row>
    <row r="1191" spans="1:16" s="12" customFormat="1" ht="15" customHeight="1" x14ac:dyDescent="0.2">
      <c r="A1191" s="1178" t="s">
        <v>16</v>
      </c>
      <c r="B1191" s="1178"/>
      <c r="C1191" s="1178" t="s">
        <v>15</v>
      </c>
      <c r="D1191" s="1179" t="str">
        <f>IF($D$3="","",$D$3)</f>
        <v/>
      </c>
      <c r="E1191" s="1179"/>
      <c r="F1191" s="1179"/>
      <c r="G1191" s="1179"/>
      <c r="H1191" s="1179"/>
      <c r="I1191" s="1179"/>
      <c r="J1191" s="1179"/>
      <c r="K1191" s="1178" t="s">
        <v>103</v>
      </c>
      <c r="L1191" s="1178"/>
      <c r="M1191" s="1178"/>
      <c r="N1191" s="41" t="str">
        <f>IF($N$3="","",$N$3)</f>
        <v/>
      </c>
    </row>
    <row r="1192" spans="1:16" s="13" customFormat="1" ht="11.25" x14ac:dyDescent="0.2">
      <c r="A1192" s="1182"/>
      <c r="B1192" s="1182"/>
      <c r="C1192" s="1182"/>
      <c r="D1192" s="1183"/>
      <c r="E1192" s="1183"/>
      <c r="F1192" s="1183"/>
      <c r="G1192" s="1183"/>
      <c r="H1192" s="1183"/>
      <c r="I1192" s="1183"/>
      <c r="J1192" s="1183"/>
      <c r="K1192" s="11"/>
      <c r="L1192" s="11"/>
      <c r="M1192" s="11"/>
      <c r="N1192" s="11"/>
      <c r="O1192" s="11"/>
      <c r="P1192" s="11"/>
    </row>
    <row r="1193" spans="1:16" s="15" customFormat="1" ht="13.5" customHeight="1" x14ac:dyDescent="0.2">
      <c r="A1193" s="1177" t="s">
        <v>166</v>
      </c>
      <c r="B1193" s="1177"/>
      <c r="C1193" s="1177"/>
      <c r="D1193" s="1177"/>
      <c r="E1193" s="1177"/>
      <c r="F1193" s="1177"/>
      <c r="G1193" s="1177"/>
      <c r="H1193" s="1177"/>
      <c r="I1193" s="1177"/>
      <c r="J1193" s="1177"/>
      <c r="K1193" s="9"/>
      <c r="L1193" s="9"/>
      <c r="M1193" s="9"/>
      <c r="N1193" s="59" t="s">
        <v>154</v>
      </c>
      <c r="O1193" s="191">
        <f>$O$5</f>
        <v>2022</v>
      </c>
      <c r="P1193" s="59" t="s">
        <v>154</v>
      </c>
    </row>
    <row r="1194" spans="1:16" s="10" customFormat="1" ht="13.5" customHeight="1" x14ac:dyDescent="0.25">
      <c r="B1194" s="32"/>
      <c r="C1194" s="32"/>
      <c r="D1194" s="5" t="s">
        <v>61</v>
      </c>
      <c r="E1194" s="31"/>
      <c r="F1194" s="31"/>
      <c r="G1194" s="31"/>
      <c r="H1194" s="31"/>
      <c r="I1194" s="26"/>
      <c r="J1194" s="1174" t="s">
        <v>14</v>
      </c>
      <c r="K1194" s="1174"/>
      <c r="L1194" s="180"/>
      <c r="N1194" s="84">
        <f>IF(L1196="","",L1196)</f>
        <v>0</v>
      </c>
      <c r="O1194" s="58" t="str">
        <f>$O$6</f>
        <v>Jan                Jul</v>
      </c>
      <c r="P1194" s="85">
        <f>IF(N1199="","",N1199)</f>
        <v>0</v>
      </c>
    </row>
    <row r="1195" spans="1:16" s="7" customFormat="1" ht="13.5" customHeight="1" x14ac:dyDescent="0.25">
      <c r="A1195" s="1180" t="s">
        <v>71</v>
      </c>
      <c r="B1195" s="1180"/>
      <c r="C1195" s="1180"/>
      <c r="D1195" s="1184"/>
      <c r="E1195" s="1184"/>
      <c r="F1195" s="1184"/>
      <c r="G1195" s="1184"/>
      <c r="H1195" s="1184"/>
      <c r="I1195" s="1184"/>
      <c r="J1195" s="1174" t="s">
        <v>104</v>
      </c>
      <c r="K1195" s="1174"/>
      <c r="L1195" s="145"/>
      <c r="N1195" s="85">
        <f>IF(N1194="","",N1194)</f>
        <v>0</v>
      </c>
      <c r="O1195" s="58" t="str">
        <f>$O$7</f>
        <v>Feb              Aug</v>
      </c>
      <c r="P1195" s="85">
        <f>IF(P1194="","",P1194)</f>
        <v>0</v>
      </c>
    </row>
    <row r="1196" spans="1:16" s="1" customFormat="1" ht="13.5" customHeight="1" x14ac:dyDescent="0.2">
      <c r="A1196" s="1180" t="s">
        <v>13</v>
      </c>
      <c r="B1196" s="1180"/>
      <c r="C1196" s="1180"/>
      <c r="D1196" s="1181"/>
      <c r="E1196" s="1181"/>
      <c r="F1196" s="1181"/>
      <c r="G1196" s="1181"/>
      <c r="H1196" s="1181"/>
      <c r="I1196" s="1181"/>
      <c r="J1196" s="1174" t="s">
        <v>164</v>
      </c>
      <c r="K1196" s="1174"/>
      <c r="L1196" s="145">
        <f>IF((L1197+L1198)&gt;L1195,0,L1195-L1197-L1198)</f>
        <v>0</v>
      </c>
      <c r="N1196" s="85">
        <f>IF(N1195="","",N1195)</f>
        <v>0</v>
      </c>
      <c r="O1196" s="58" t="str">
        <f>$O$8</f>
        <v>Mrz              Sep</v>
      </c>
      <c r="P1196" s="85">
        <f>IF(P1195="","",P1195)</f>
        <v>0</v>
      </c>
    </row>
    <row r="1197" spans="1:16" s="1" customFormat="1" ht="13.5" customHeight="1" x14ac:dyDescent="0.2">
      <c r="A1197" s="1180" t="s">
        <v>12</v>
      </c>
      <c r="B1197" s="1180"/>
      <c r="C1197" s="1180"/>
      <c r="D1197" s="1181"/>
      <c r="E1197" s="1181"/>
      <c r="F1197" s="1181"/>
      <c r="G1197" s="1181"/>
      <c r="H1197" s="1181"/>
      <c r="I1197" s="1181"/>
      <c r="J1197" s="1174" t="s">
        <v>165</v>
      </c>
      <c r="K1197" s="1174"/>
      <c r="L1197" s="145"/>
      <c r="N1197" s="85">
        <f>IF(N1196="","",N1196)</f>
        <v>0</v>
      </c>
      <c r="O1197" s="58" t="str">
        <f>$O$9</f>
        <v>Apr               Okt</v>
      </c>
      <c r="P1197" s="85">
        <f t="shared" ref="P1197:P1199" si="135">IF(P1196="","",P1196)</f>
        <v>0</v>
      </c>
    </row>
    <row r="1198" spans="1:16" s="1" customFormat="1" ht="13.5" customHeight="1" x14ac:dyDescent="0.2">
      <c r="A1198" s="1180" t="s">
        <v>19</v>
      </c>
      <c r="B1198" s="1180"/>
      <c r="C1198" s="1180"/>
      <c r="D1198" s="1181"/>
      <c r="E1198" s="1181"/>
      <c r="F1198" s="1181"/>
      <c r="G1198" s="1181"/>
      <c r="H1198" s="1181"/>
      <c r="I1198" s="1181"/>
      <c r="J1198" s="1174" t="s">
        <v>252</v>
      </c>
      <c r="K1198" s="1174"/>
      <c r="L1198" s="145"/>
      <c r="M1198" s="92"/>
      <c r="N1198" s="85">
        <f>IF(N1197="","",N1197)</f>
        <v>0</v>
      </c>
      <c r="O1198" s="58" t="str">
        <f>$O$10</f>
        <v>Mai               Nov</v>
      </c>
      <c r="P1198" s="85">
        <f t="shared" si="135"/>
        <v>0</v>
      </c>
    </row>
    <row r="1199" spans="1:16" s="1" customFormat="1" ht="13.5" customHeight="1" x14ac:dyDescent="0.2">
      <c r="B1199" s="8"/>
      <c r="C1199" s="121" t="s">
        <v>162</v>
      </c>
      <c r="D1199" s="1175"/>
      <c r="E1199" s="1175"/>
      <c r="F1199" s="1176" t="s">
        <v>106</v>
      </c>
      <c r="G1199" s="1176"/>
      <c r="H1199" s="1186"/>
      <c r="I1199" s="1186"/>
      <c r="J1199" s="1174" t="s">
        <v>97</v>
      </c>
      <c r="K1199" s="1174"/>
      <c r="L1199" s="17" t="str">
        <f>IF(IF((COUNTIF(B1214:B1225,"&gt;0"))=0,0,(COUNTIF(B1214:B1225,"&gt;0")))&gt;Grundlagen!$C$24,Grundlagen!$C$24,IF((COUNTIF(B1214:B1225,"&gt;0"))=0,"",(COUNTIF(B1214:B1225,"&gt;0"))))</f>
        <v/>
      </c>
      <c r="N1199" s="85">
        <f>IF(N1198="","",N1198)</f>
        <v>0</v>
      </c>
      <c r="O1199" s="58" t="str">
        <f>'päd.Personal - Leitung'!$O$11</f>
        <v>Jun               Dez</v>
      </c>
      <c r="P1199" s="85">
        <f t="shared" si="135"/>
        <v>0</v>
      </c>
    </row>
    <row r="1200" spans="1:16" s="1" customFormat="1" ht="13.5" customHeight="1" x14ac:dyDescent="0.2">
      <c r="I1200" s="6"/>
      <c r="L1200" s="147" t="str">
        <f>IF((SUM(F1202:F1205))=0,"",IF(P1200&gt;L1196,L1196,IF(L1196="","",IF(L1199="","",P1200))))</f>
        <v/>
      </c>
      <c r="O1200" s="174" t="s">
        <v>251</v>
      </c>
      <c r="P1200" s="175">
        <f>IF(L1199="",0,((IF(SUMIF(B1214,"&gt;0"),N1194,0))+(IF(SUMIF(B1215,"&gt;0"),N1195,0))+(IF(SUMIF(B1216,"&gt;0"),N1196,0))+(IF(SUMIF(B1217,"&gt;0"),N1197,0))+(IF(SUMIF(B1218,"&gt;0"),N1198,0))+(IF(SUMIF(B1219,"&gt;0"),N1199,0))+(IF(SUMIF(B1220,"&gt;0"),P1194,0))+(IF(SUMIF(B1221,"&gt;0"),P1195,0))+(IF(SUMIF(B1222,"&gt;0"),P1196,0))+(IF(SUMIF(B1223,"&gt;0"),P1197,0))+(IF(SUMIF(B1224,"&gt;0"),P1198,0))+(IF(SUMIF(B1225,"&gt;0"),P1199,0)))/Grundlagen!$C$24)</f>
        <v>0</v>
      </c>
    </row>
    <row r="1201" spans="1:16" s="52" customFormat="1" ht="13.5" customHeight="1" x14ac:dyDescent="0.2">
      <c r="A1201" s="61" t="s">
        <v>148</v>
      </c>
      <c r="B1201" s="1168" t="s">
        <v>149</v>
      </c>
      <c r="C1201" s="1168"/>
      <c r="D1201" s="62" t="s">
        <v>150</v>
      </c>
      <c r="E1201" s="63" t="s">
        <v>151</v>
      </c>
      <c r="F1201" s="64" t="str">
        <f>CONCATENATE("Entg. ",N1191," h/Wo")</f>
        <v>Entg.  h/Wo</v>
      </c>
      <c r="G1201" s="65" t="s">
        <v>152</v>
      </c>
      <c r="H1201" s="65" t="s">
        <v>153</v>
      </c>
      <c r="K1201" s="1169" t="str">
        <f>CONCATENATE("Zuschläge / Zulagen für ",N1191,"h/Wo")</f>
        <v>Zuschläge / Zulagen für h/Wo</v>
      </c>
      <c r="L1201" s="1169"/>
      <c r="M1201" s="66" t="str">
        <f>IF(A1202="","",A1202)</f>
        <v>Jan 2022</v>
      </c>
      <c r="N1201" s="66" t="str">
        <f>IF(A1203="","",A1203)</f>
        <v/>
      </c>
      <c r="O1201" s="66" t="str">
        <f>IF(A1204="","",A1204)</f>
        <v/>
      </c>
      <c r="P1201" s="66" t="str">
        <f>IF(A1205="","",A1205)</f>
        <v/>
      </c>
    </row>
    <row r="1202" spans="1:16" s="52" customFormat="1" ht="13.5" customHeight="1" x14ac:dyDescent="0.25">
      <c r="A1202" s="54" t="str">
        <f>A1214</f>
        <v>Jan 2022</v>
      </c>
      <c r="B1202" s="1170" t="str">
        <f>IF($D$3="","",$D$3)</f>
        <v/>
      </c>
      <c r="C1202" s="1171"/>
      <c r="D1202" s="181"/>
      <c r="E1202" s="181"/>
      <c r="F1202" s="87"/>
      <c r="G1202" s="56">
        <f>IF(N1191="",0,F1202/N1191/4.348)</f>
        <v>0</v>
      </c>
      <c r="H1202" s="53">
        <f>IF(G1202=0,0,M1207)</f>
        <v>0</v>
      </c>
      <c r="K1202" s="1146"/>
      <c r="L1202" s="1146"/>
      <c r="M1202" s="172"/>
      <c r="N1202" s="172"/>
      <c r="O1202" s="172"/>
      <c r="P1202" s="172"/>
    </row>
    <row r="1203" spans="1:16" s="52" customFormat="1" ht="13.5" customHeight="1" x14ac:dyDescent="0.25">
      <c r="A1203" s="55"/>
      <c r="B1203" s="1172" t="str">
        <f>IF(A1203="","",B1202)</f>
        <v/>
      </c>
      <c r="C1203" s="1173"/>
      <c r="D1203" s="181"/>
      <c r="E1203" s="181"/>
      <c r="F1203" s="87"/>
      <c r="G1203" s="56">
        <f>IF(N1191="",0,F1203/N1191/4.348)</f>
        <v>0</v>
      </c>
      <c r="H1203" s="53">
        <f>IF(G1203=0,0,N1207)</f>
        <v>0</v>
      </c>
      <c r="K1203" s="1146"/>
      <c r="L1203" s="1146"/>
      <c r="M1203" s="172"/>
      <c r="N1203" s="172"/>
      <c r="O1203" s="172"/>
      <c r="P1203" s="172"/>
    </row>
    <row r="1204" spans="1:16" s="52" customFormat="1" ht="13.5" customHeight="1" x14ac:dyDescent="0.25">
      <c r="A1204" s="55"/>
      <c r="B1204" s="1172" t="str">
        <f>IF(A1204="","",B1203)</f>
        <v/>
      </c>
      <c r="C1204" s="1173"/>
      <c r="D1204" s="181"/>
      <c r="E1204" s="181"/>
      <c r="F1204" s="87"/>
      <c r="G1204" s="56">
        <f>IF(N1191="",0,F1204/N1191/4.348)</f>
        <v>0</v>
      </c>
      <c r="H1204" s="53">
        <f>IF(G1204=0,0,O1207)</f>
        <v>0</v>
      </c>
      <c r="K1204" s="1146"/>
      <c r="L1204" s="1146"/>
      <c r="M1204" s="172"/>
      <c r="N1204" s="172"/>
      <c r="O1204" s="172"/>
      <c r="P1204" s="172"/>
    </row>
    <row r="1205" spans="1:16" s="52" customFormat="1" ht="13.5" customHeight="1" x14ac:dyDescent="0.25">
      <c r="A1205" s="55"/>
      <c r="B1205" s="1172" t="str">
        <f>IF(A1205="","",B1204)</f>
        <v/>
      </c>
      <c r="C1205" s="1173"/>
      <c r="D1205" s="181"/>
      <c r="E1205" s="181"/>
      <c r="F1205" s="87"/>
      <c r="G1205" s="56">
        <f>IF(N1191="",0,F1205/N1191/4.348)</f>
        <v>0</v>
      </c>
      <c r="H1205" s="53">
        <f>IF(G1205=0,0,P1207)</f>
        <v>0</v>
      </c>
      <c r="K1205" s="1146"/>
      <c r="L1205" s="1146"/>
      <c r="M1205" s="172"/>
      <c r="N1205" s="172"/>
      <c r="O1205" s="172"/>
      <c r="P1205" s="172"/>
    </row>
    <row r="1206" spans="1:16" s="52" customFormat="1" ht="13.5" customHeight="1" x14ac:dyDescent="0.25">
      <c r="B1206" s="1167" t="s">
        <v>157</v>
      </c>
      <c r="C1206" s="1167"/>
      <c r="E1206" s="1167" t="s">
        <v>156</v>
      </c>
      <c r="F1206" s="1167"/>
      <c r="J1206" s="69"/>
      <c r="K1206" s="1146"/>
      <c r="L1206" s="1146"/>
      <c r="M1206" s="172"/>
      <c r="N1206" s="172"/>
      <c r="O1206" s="172"/>
      <c r="P1206" s="172"/>
    </row>
    <row r="1207" spans="1:16" s="52" customFormat="1" ht="13.5" customHeight="1" x14ac:dyDescent="0.25">
      <c r="A1207" s="70" t="s">
        <v>167</v>
      </c>
      <c r="B1207" s="67"/>
      <c r="C1207" s="99" t="str">
        <f>IF(C1163="","",C1163)</f>
        <v/>
      </c>
      <c r="D1207" s="70" t="s">
        <v>167</v>
      </c>
      <c r="E1207" s="67"/>
      <c r="F1207" s="99" t="str">
        <f>IF(F1163="","",F1163)</f>
        <v/>
      </c>
      <c r="J1207" s="68"/>
      <c r="M1207" s="173">
        <f>SUM(M1202:M1206)</f>
        <v>0</v>
      </c>
      <c r="N1207" s="173">
        <f t="shared" ref="N1207:P1207" si="136">SUM(N1202:N1206)</f>
        <v>0</v>
      </c>
      <c r="O1207" s="173">
        <f t="shared" si="136"/>
        <v>0</v>
      </c>
      <c r="P1207" s="173">
        <f t="shared" si="136"/>
        <v>0</v>
      </c>
    </row>
    <row r="1208" spans="1:16" s="52" customFormat="1" ht="13.5" customHeight="1" x14ac:dyDescent="0.2">
      <c r="A1208" s="60" t="s">
        <v>155</v>
      </c>
    </row>
    <row r="1209" spans="1:16" s="1" customFormat="1" ht="14.25" customHeight="1" x14ac:dyDescent="0.2">
      <c r="A1209" s="1147"/>
      <c r="B1209" s="1149" t="s">
        <v>9</v>
      </c>
      <c r="C1209" s="1150"/>
      <c r="D1209" s="1150"/>
      <c r="E1209" s="1150"/>
      <c r="F1209" s="1150"/>
      <c r="G1209" s="1151"/>
      <c r="H1209" s="1152" t="s">
        <v>119</v>
      </c>
      <c r="I1209" s="1153"/>
      <c r="J1209" s="1153"/>
      <c r="K1209" s="1153"/>
      <c r="L1209" s="1153"/>
      <c r="M1209" s="1153"/>
      <c r="N1209" s="1153"/>
      <c r="O1209" s="33"/>
      <c r="P1209" s="1154" t="s">
        <v>0</v>
      </c>
    </row>
    <row r="1210" spans="1:16" s="1" customFormat="1" ht="14.25" customHeight="1" x14ac:dyDescent="0.2">
      <c r="A1210" s="1148"/>
      <c r="B1210" s="1157" t="s">
        <v>117</v>
      </c>
      <c r="C1210" s="124" t="s">
        <v>115</v>
      </c>
      <c r="D1210" s="1159" t="s">
        <v>277</v>
      </c>
      <c r="E1210" s="1161" t="s">
        <v>147</v>
      </c>
      <c r="F1210" s="127" t="s">
        <v>7</v>
      </c>
      <c r="G1210" s="1162" t="s">
        <v>6</v>
      </c>
      <c r="H1210" s="1161" t="s">
        <v>129</v>
      </c>
      <c r="I1210" s="1161" t="s">
        <v>5</v>
      </c>
      <c r="J1210" s="1161" t="s">
        <v>4</v>
      </c>
      <c r="K1210" s="1161" t="s">
        <v>3</v>
      </c>
      <c r="L1210" s="1161" t="s">
        <v>121</v>
      </c>
      <c r="M1210" s="1161" t="s">
        <v>122</v>
      </c>
      <c r="N1210" s="1161" t="s">
        <v>123</v>
      </c>
      <c r="O1210" s="1160" t="s">
        <v>114</v>
      </c>
      <c r="P1210" s="1155"/>
    </row>
    <row r="1211" spans="1:16" s="1" customFormat="1" ht="14.25" customHeight="1" x14ac:dyDescent="0.2">
      <c r="A1211" s="1148"/>
      <c r="B1211" s="1157"/>
      <c r="C1211" s="21" t="str">
        <f>IF(C1207="","",C1207)</f>
        <v/>
      </c>
      <c r="D1211" s="1160"/>
      <c r="E1211" s="1161"/>
      <c r="F1211" s="1165" t="str">
        <f>IF(H1202=0,"","siehe Zuschläge / Zulagen")</f>
        <v/>
      </c>
      <c r="G1211" s="1162"/>
      <c r="H1211" s="1164" t="s">
        <v>127</v>
      </c>
      <c r="I1211" s="1164"/>
      <c r="J1211" s="1164"/>
      <c r="K1211" s="1164"/>
      <c r="L1211" s="1164"/>
      <c r="M1211" s="1164"/>
      <c r="N1211" s="1164"/>
      <c r="O1211" s="1160"/>
      <c r="P1211" s="1155"/>
    </row>
    <row r="1212" spans="1:16" s="1" customFormat="1" x14ac:dyDescent="0.2">
      <c r="A1212" s="1148"/>
      <c r="B1212" s="1157"/>
      <c r="C1212" s="122" t="s">
        <v>70</v>
      </c>
      <c r="D1212" s="1160"/>
      <c r="E1212" s="1161"/>
      <c r="F1212" s="1165"/>
      <c r="G1212" s="1162"/>
      <c r="H1212" s="43" t="s">
        <v>128</v>
      </c>
      <c r="I1212" s="43" t="s">
        <v>255</v>
      </c>
      <c r="J1212" s="43" t="s">
        <v>256</v>
      </c>
      <c r="K1212" s="43" t="s">
        <v>257</v>
      </c>
      <c r="L1212" s="43"/>
      <c r="M1212" s="43"/>
      <c r="N1212" s="43" t="s">
        <v>254</v>
      </c>
      <c r="O1212" s="1160"/>
      <c r="P1212" s="1155"/>
    </row>
    <row r="1213" spans="1:16" s="1" customFormat="1" x14ac:dyDescent="0.2">
      <c r="A1213" s="1148"/>
      <c r="B1213" s="1158"/>
      <c r="C1213" s="21" t="str">
        <f>IF(F1207="","",F1207)</f>
        <v/>
      </c>
      <c r="D1213" s="51"/>
      <c r="E1213" s="51"/>
      <c r="F1213" s="1166"/>
      <c r="G1213" s="1163"/>
      <c r="H1213" s="93"/>
      <c r="I1213" s="139">
        <f>$I$69</f>
        <v>0</v>
      </c>
      <c r="J1213" s="139">
        <f>$J$69</f>
        <v>0</v>
      </c>
      <c r="K1213" s="44">
        <f>$K$69</f>
        <v>0</v>
      </c>
      <c r="L1213" s="21"/>
      <c r="M1213" s="21"/>
      <c r="N1213" s="139">
        <f>$N$69</f>
        <v>0</v>
      </c>
      <c r="O1213" s="21">
        <f>O1169</f>
        <v>0</v>
      </c>
      <c r="P1213" s="1156"/>
    </row>
    <row r="1214" spans="1:16" s="1" customFormat="1" x14ac:dyDescent="0.2">
      <c r="A1214" s="100" t="str">
        <f>$A$26</f>
        <v>Jan 2022</v>
      </c>
      <c r="B1214" s="24">
        <f>ROUND(IF(N1194=0,0,(LOOKUP(2,1/(A1202:A1205=A1214),G1202:G1205))*N1194*4.348),2)</f>
        <v>0</v>
      </c>
      <c r="C1214" s="23">
        <f>ROUND(IFERROR(((LOOKUP(2,1/(B1207=A1214),((SUM(B1220:B1222)+SUM(F1220:F1222))/3)*C1207))),0)+IFERROR(((LOOKUP(2,1/(E1207=A1214),(B1226+F1226)*F1207))),0),2)</f>
        <v>0</v>
      </c>
      <c r="D1214" s="23">
        <f>ROUND(IF(B1214=0,0,D1213/L1195*N1194),2)</f>
        <v>0</v>
      </c>
      <c r="E1214" s="23">
        <f>ROUND(IF(B1214=0,0,E1213/N1191*N1194),2)</f>
        <v>0</v>
      </c>
      <c r="F1214" s="24">
        <f>ROUND(IF(N1194=0,0,(LOOKUP(2,1/(A1202:A1205=A1214),H1202:H1205))/N1191*N1194),2)</f>
        <v>0</v>
      </c>
      <c r="G1214" s="27">
        <f>SUM(B1214+C1214+E1214+F1214)</f>
        <v>0</v>
      </c>
      <c r="H1214" s="76">
        <f>ROUND(IF((SUM(B1214:F1214))&gt;L1229,L1229*H1213,SUM(B1214:F1214)*H1213),2)</f>
        <v>0</v>
      </c>
      <c r="I1214" s="76">
        <f>ROUND(IF((SUM(B1214:F1214))&gt;L1230,L1230*I1213,SUM(B1214:F1214)*I1213),2)</f>
        <v>0</v>
      </c>
      <c r="J1214" s="76">
        <f>ROUND(IF((SUM(B1214:F1214))&gt;L1230,L1230*J1213,SUM(B1214:F1214)*J1213),2)</f>
        <v>0</v>
      </c>
      <c r="K1214" s="76">
        <f>ROUND(IF((SUM(B1214:F1214))&gt;L1229,L1229*K1213,SUM(B1214:F1214)*K1213),2)</f>
        <v>0</v>
      </c>
      <c r="L1214" s="76">
        <f>ROUND(IF((SUM(B1214:F1214))&gt;L1230,L1230*L1213,(SUM(B1214:F1214)-C1214)*L1213),2)</f>
        <v>0</v>
      </c>
      <c r="M1214" s="76">
        <f>ROUND(IF((SUM(B1214:F1214))&gt;L1230,L1230*M1213,(SUM(B1214:F1214)-C1214)*M1213),2)</f>
        <v>0</v>
      </c>
      <c r="N1214" s="76">
        <f>ROUND(IF((SUM(B1214:F1214))&gt;L1230,L1230*N1213,SUM(B1214:F1214)*N1213),2)</f>
        <v>0</v>
      </c>
      <c r="O1214" s="23">
        <f>ROUND(SUM(B1214+C1214+F1214)*O1213,2)</f>
        <v>0</v>
      </c>
      <c r="P1214" s="27">
        <f>SUM(G1214:O1214)</f>
        <v>0</v>
      </c>
    </row>
    <row r="1215" spans="1:16" s="1" customFormat="1" x14ac:dyDescent="0.2">
      <c r="A1215" s="100" t="str">
        <f>$A$27</f>
        <v>Feb 2022</v>
      </c>
      <c r="B1215" s="24">
        <f>ROUND(IF(N1195=0,0,IFERROR(((LOOKUP(2,1/(A1202:A1205=A1215),G1202:G1205))*N1195*4.348),B1214/N1195*N1195)),2)</f>
        <v>0</v>
      </c>
      <c r="C1215" s="23">
        <f>ROUND(IFERROR(((LOOKUP(2,1/(B1207=A1215),((SUM(B1220:B1222)+SUM(F1220:F1222))/3)*C1207))),0)+IFERROR(((LOOKUP(2,1/(E1207=A1215),(B1226+F1226)*F1207))),0),2)</f>
        <v>0</v>
      </c>
      <c r="D1215" s="23">
        <f>ROUND(IF(B1215=0,0,D1213/L1195*N1195),2)</f>
        <v>0</v>
      </c>
      <c r="E1215" s="23">
        <f>ROUND(IF(B1215=0,0,E1213/N1191*N1195),2)</f>
        <v>0</v>
      </c>
      <c r="F1215" s="24">
        <f>ROUND(IF(N1195=0,0,IFERROR(((LOOKUP(2,1/(A1202:A1205=A1215),H1202:H1205))/N1191*N1195),F1214/N1195*N1195)),2)</f>
        <v>0</v>
      </c>
      <c r="G1215" s="27">
        <f t="shared" ref="G1215:G1225" si="137">SUM(B1215+C1215+E1215+F1215)</f>
        <v>0</v>
      </c>
      <c r="H1215" s="76">
        <f>ROUND(IF(SUM(B1214:F1214)&lt;(L1229*1),IF((SUM(B1214:F1215))&gt;(L1229*2),(((L1229*2)-(SUM(B1214:F1215)-C1214))*H1213)+((SUM(B1215:F1215)-C1214)*H1213),SUM(B1215:F1215)*H1213),IF(SUM(B1214:F1215)&gt;(L1229*2),L1229*H1213,SUM(B1215:F1215)*H1213)),2)</f>
        <v>0</v>
      </c>
      <c r="I1215" s="76">
        <f>ROUND(IF(SUM(B1214:F1214)&lt;(L1230*1),IF((SUM(B1214:F1215))&gt;(L1230*2),(((L1230*2)-(SUM(B1214:F1215)-C1214))*I1213)+((SUM(B1215:F1215)-C1214)*I1213),SUM(B1215:F1215)*I1213),IF(SUM(B1214:F1215)&gt;(L1230*2),L1230*I1213,SUM(B1215:F1215)*I1213)),2)</f>
        <v>0</v>
      </c>
      <c r="J1215" s="76">
        <f>ROUND(IF(SUM(B1214:F1214)&lt;(L1230*1),IF((SUM(B1214:F1215))&gt;(L1230*2),(((L1230*2)-(SUM(B1214:F1215)-C1214))*J1213)+((SUM(B1215:F1215)-C1214)*J1213),SUM(B1215:F1215)*J1213),IF(SUM(B1214:F1215)&gt;(L1230*2),L1230*J1213,SUM(B1215:F1215)*J1213)),2)</f>
        <v>0</v>
      </c>
      <c r="K1215" s="76">
        <f>ROUND(IF(SUM(B1214:F1214)&lt;(L1229*1),IF((SUM(B1214:F1215))&gt;(L1229*2),(((L1229*2)-(SUM(B1214:F1215)-C1214))*K1213)+((SUM(B1215:F1215)-C1214)*K1213),SUM(B1215:F1215)*K1213),IF(SUM(B1214:F1215)&gt;(L1229*2),L1229*K1213,SUM(B1215:F1215)*K1213)),2)</f>
        <v>0</v>
      </c>
      <c r="L1215" s="76">
        <f>ROUND(IF(SUM(B1214:F1214)&lt;(L1230*1),IF((SUM(B1214:F1215))&gt;(L1230*2),(((L1230*2)-(SUM(B1214:F1215)-C1215))*L1213)+((SUM(B1215:F1215)-C1215)*L1213),(SUM(B1215:F1215)-C1215)*L1213),IF(SUM(B1214:F1215)&gt;(L1230*2),L1230*L1213,SUM(B1215:F1215)*L1213)),2)</f>
        <v>0</v>
      </c>
      <c r="M1215" s="76">
        <f>ROUND(IF(SUM(B1214:F1214)&lt;(L1230*1),IF((SUM(B1214:F1215))&gt;(L1230*2),(((L1230*2)-(SUM(B1214:F1215)-C1215))*M1213)+((SUM(B1215:F1215)-C1215)*M1213),(SUM(B1215:F1215)-C1215)*M1213),IF(SUM(B1214:F1215)&gt;(L1230*2),L1230*M1213,SUM(B1215:F1215)*M1213)),2)</f>
        <v>0</v>
      </c>
      <c r="N1215" s="76">
        <f>ROUND(IF(SUM(B1214:F1214)&lt;(L1230*1),IF((SUM(B1214:F1215))&gt;(L1230*2),(((L1230*2)-(SUM(B1214:F1215)-C1214))*N1213)+((SUM(B1215:F1215)-C1214)*N1213),SUM(B1215:F1215)*N1213),IF(SUM(B1214:F1215)&gt;(L1230*2),L1230*N1213,SUM(B1215:F1215)*N1213)),2)</f>
        <v>0</v>
      </c>
      <c r="O1215" s="23">
        <f>ROUND(SUM(B1215+C1215+F1215)*O1213,2)</f>
        <v>0</v>
      </c>
      <c r="P1215" s="27">
        <f>SUM(G1215:O1215)</f>
        <v>0</v>
      </c>
    </row>
    <row r="1216" spans="1:16" s="1" customFormat="1" x14ac:dyDescent="0.2">
      <c r="A1216" s="100" t="str">
        <f>$A$28</f>
        <v>Mrz 2022</v>
      </c>
      <c r="B1216" s="24">
        <f>ROUND(IF(N1196=0,0,IFERROR(((LOOKUP(2,1/(A1202:A1205=A1216),G1202:G1205))*N1196*4.348),B1215/N1196*N1196)),2)</f>
        <v>0</v>
      </c>
      <c r="C1216" s="23">
        <f>ROUND(IFERROR(((LOOKUP(2,1/(B1207=A1216),((SUM(B1220:B1222)+SUM(F1220:F1222))/3)*C1207))),0)+IFERROR(((LOOKUP(2,1/(E1207=A1216),(B1226+F1226)*F1207))),0),2)</f>
        <v>0</v>
      </c>
      <c r="D1216" s="23">
        <f>ROUND(IF(B1216=0,0,D1213/L1195*N1196),2)</f>
        <v>0</v>
      </c>
      <c r="E1216" s="23">
        <f>ROUND(IF(B1216=0,0,E1213/N1191*N1196),2)</f>
        <v>0</v>
      </c>
      <c r="F1216" s="24">
        <f>ROUND(IF(N1196=0,0,IFERROR(((LOOKUP(2,1/(A1202:A1205=A1216),H1202:H1205))/N1191*N1196),F1215/N1196*N1196)),2)</f>
        <v>0</v>
      </c>
      <c r="G1216" s="27">
        <f t="shared" si="137"/>
        <v>0</v>
      </c>
      <c r="H1216" s="76">
        <f>ROUND(IF(SUM(B1214:F1215)&lt;(L1229*2),IF((SUM(B1214:F1216))&gt;(L1229*3),(((L1229*3)-(SUM(B1214:F1216)-C1215))*H1213)+((SUM(B1216:F1216)-C1215)*H1213),SUM(B1216:F1216)*H1213),IF(SUM(B1214:F1216)&gt;(L1229*3),L1229*H1213,SUM(B1216:F1216)*H1213)),2)</f>
        <v>0</v>
      </c>
      <c r="I1216" s="76">
        <f>ROUND(IF(SUM(B1214:F1215)&lt;(L1230*2),IF((SUM(B1214:F1216))&gt;(L1230*3),(((L1230*3)-(SUM(B1214:F1216)-C1215))*I1213)+((SUM(B1216:F1216)-C1215)*I1213),SUM(B1216:F1216)*I1213),IF(SUM(B1214:F1216)&gt;(L1230*3),L1230*I1213,SUM(B1216:F1216)*I1213)),2)</f>
        <v>0</v>
      </c>
      <c r="J1216" s="76">
        <f>ROUND(IF(SUM(B1214:F1215)&lt;(L1230*2),IF((SUM(B1214:F1216))&gt;(L1230*3),(((L1230*3)-(SUM(B1214:F1216)-C1215))*J1213)+((SUM(B1216:F1216)-C1215)*J1213),SUM(B1216:F1216)*J1213),IF(SUM(B1214:F1216)&gt;(L1230*3),L1230*J1213,SUM(B1216:F1216)*J1213)),2)</f>
        <v>0</v>
      </c>
      <c r="K1216" s="76">
        <f>ROUND(IF(SUM(B1214:F1215)&lt;(L1229*2),IF((SUM(B1214:F1216))&gt;(L1229*3),(((L1229*3)-(SUM(B1214:F1216)-C1215))*K1213)+((SUM(B1216:F1216)-C1215)*K1213),SUM(B1216:F1216)*K1213),IF(SUM(B1214:F1216)&gt;(L1229*3),L1229*K1213,SUM(B1216:F1216)*K1213)),2)</f>
        <v>0</v>
      </c>
      <c r="L1216" s="76">
        <f>ROUND(IF(SUM(B1214:F1215)&lt;(L1230*2),IF((SUM(B1214:F1216))&gt;(L1230*3),(((L1230*3)-(SUM(B1214:F1216)-C1216))*L1213)+((SUM(B1216:F1216)-C1216)*L1213),(SUM(B1216:F1216)-C1216)*L1213),IF(SUM(B1214:F1216)&gt;(L1230*3),L1230*L1213,SUM(B1216:F1216)*L1213)),2)</f>
        <v>0</v>
      </c>
      <c r="M1216" s="76">
        <f>ROUND(IF(SUM(B1214:F1215)&lt;(L1230*2),IF((SUM(B1214:F1216))&gt;(L1230*3),(((L1230*3)-(SUM(B1214:F1216)-C1216))*M1213)+((SUM(B1216:F1216)-C1216)*M1213),(SUM(B1216:F1216)-C1216)*M1213),IF(SUM(B1214:F1216)&gt;(L1230*3),L1230*M1213,SUM(B1216:F1216)*M1213)),2)</f>
        <v>0</v>
      </c>
      <c r="N1216" s="76">
        <f>ROUND(IF(SUM(B1214:F1215)&lt;(L1230*2),IF((SUM(B1214:F1216))&gt;(L1230*3),(((L1230*3)-(SUM(B1214:F1216)-C1215))*N1213)+((SUM(B1216:F1216)-C1215)*N1213),SUM(B1216:F1216)*N1213),IF(SUM(B1214:F1216)&gt;(L1230*3),L1230*N1213,SUM(B1216:F1216)*N1213)),2)</f>
        <v>0</v>
      </c>
      <c r="O1216" s="23">
        <f>ROUND(SUM(B1216+C1216+F1216)*O1213,2)</f>
        <v>0</v>
      </c>
      <c r="P1216" s="27">
        <f t="shared" ref="P1216:P1225" si="138">SUM(G1216:O1216)</f>
        <v>0</v>
      </c>
    </row>
    <row r="1217" spans="1:16" s="1" customFormat="1" x14ac:dyDescent="0.2">
      <c r="A1217" s="100" t="str">
        <f>$A$29</f>
        <v>Apr 2022</v>
      </c>
      <c r="B1217" s="24">
        <f>ROUND(IF(N1197=0,0,IFERROR(((LOOKUP(2,1/(A1202:A1205=A1217),G1202:G1205))*N1197*4.348),B1216/N1197*N1197)),2)</f>
        <v>0</v>
      </c>
      <c r="C1217" s="23">
        <f>ROUND(IFERROR(((LOOKUP(2,1/(B1207=A1217),((SUM(B1220:B1222)+SUM(F1220:F1222))/3)*C1207))),0)+IFERROR(((LOOKUP(2,1/(E1207=A1217),(B1226+F1226)*F1207))),0),2)</f>
        <v>0</v>
      </c>
      <c r="D1217" s="23">
        <f>ROUND(IF(B1217=0,0,D1213/L1195*N1197),2)</f>
        <v>0</v>
      </c>
      <c r="E1217" s="23">
        <f>ROUND(IF(B1217=0,0,E1213/N1191*N1197),2)</f>
        <v>0</v>
      </c>
      <c r="F1217" s="24">
        <f>ROUND(IF(N1197=0,0,IFERROR(((LOOKUP(2,1/(A1202:A1205=A1217),H1202:H1205))/N1191*N1197),F1216/N1197*N1197)),2)</f>
        <v>0</v>
      </c>
      <c r="G1217" s="27">
        <f t="shared" si="137"/>
        <v>0</v>
      </c>
      <c r="H1217" s="76">
        <f>ROUND(IF(SUM(B1214:F1216)&lt;(L1229*3),IF((SUM(B1214:F1217))&gt;(L1229*4),(((L1229*4)-(SUM(B1214:F1217)-C1216))*H1213)+((SUM(B1217:F1217)-C1216)*H1213),SUM(B1217:F1217)*H1213),IF(SUM(B1214:F1217)&gt;(L1229*4),L1229*H1213,SUM(B1217:F1217)*H1213)),2)</f>
        <v>0</v>
      </c>
      <c r="I1217" s="76">
        <f>ROUND(IF(SUM(B1214:F1216)&lt;(L1230*3),IF((SUM(B1214:F1217))&gt;(L1230*4),(((L1230*4)-(SUM(B1214:F1217)-C1216))*I1213)+((SUM(B1217:F1217)-C1216)*I1213),SUM(B1217:F1217)*I1213),IF(SUM(B1214:F1217)&gt;(L1230*4),L1230*I1213,SUM(B1217:F1217)*I1213)),2)</f>
        <v>0</v>
      </c>
      <c r="J1217" s="76">
        <f>ROUND(IF(SUM(B1214:F1216)&lt;(L1230*3),IF((SUM(B1214:F1217))&gt;(L1230*4),(((L1230*4)-(SUM(B1214:F1217)-C1216))*J1213)+((SUM(B1217:F1217)-C1216)*J1213),SUM(B1217:F1217)*J1213),IF(SUM(B1214:F1217)&gt;(L1230*4),L1230*J1213,SUM(B1217:F1217)*J1213)),2)</f>
        <v>0</v>
      </c>
      <c r="K1217" s="76">
        <f>ROUND(IF(SUM(B1214:F1216)&lt;(L1229*3),IF((SUM(B1214:F1217))&gt;(L1229*4),(((L1229*4)-(SUM(B1214:F1217)-C1216))*K1213)+((SUM(B1217:F1217)-C1216)*K1213),SUM(B1217:F1217)*K1213),IF(SUM(B1214:F1217)&gt;(L1229*4),L1229*K1213,SUM(B1217:F1217)*K1213)),2)</f>
        <v>0</v>
      </c>
      <c r="L1217" s="76">
        <f>ROUND(IF(SUM(B1214:F1216)&lt;(L1230*3),IF((SUM(B1214:F1217))&gt;(L1230*4),(((L1230*4)-(SUM(B1214:F1217)-C1217))*L1213)+((SUM(B1217:F1217)-C1217)*L1213),(SUM(B1217:F1217)-C1217)*L1213),IF(SUM(B1214:F1217)&gt;(L1230*4),L1230*L1213,SUM(B1217:F1217)*L1213)),2)</f>
        <v>0</v>
      </c>
      <c r="M1217" s="76">
        <f>ROUND(IF(SUM(B1214:F1216)&lt;(L1230*3),IF((SUM(B1214:F1217))&gt;(L1230*4),(((L1230*4)-(SUM(B1214:F1217)-C1217))*M1213)+((SUM(B1217:F1217)-C1217)*M1213),(SUM(B1217:F1217)-C1217)*M1213),IF(SUM(B1214:F1217)&gt;(L1230*4),L1230*M1213,SUM(B1217:F1217)*M1213)),2)</f>
        <v>0</v>
      </c>
      <c r="N1217" s="76">
        <f>ROUND(IF(SUM(B1214:F1216)&lt;(L1230*3),IF((SUM(B1214:F1217))&gt;(L1230*4),(((L1230*4)-(SUM(B1214:F1217)-C1216))*N1213)+((SUM(B1217:F1217)-C1216)*N1213),SUM(B1217:F1217)*N1213),IF(SUM(B1214:F1217)&gt;(L1230*4),L1230*N1213,SUM(B1217:F1217)*N1213)),2)</f>
        <v>0</v>
      </c>
      <c r="O1217" s="23">
        <f>ROUND(SUM(B1217+C1217+F1217)*O1213,2)</f>
        <v>0</v>
      </c>
      <c r="P1217" s="27">
        <f t="shared" si="138"/>
        <v>0</v>
      </c>
    </row>
    <row r="1218" spans="1:16" s="1" customFormat="1" x14ac:dyDescent="0.2">
      <c r="A1218" s="100" t="str">
        <f>$A$30</f>
        <v>Mai 2022</v>
      </c>
      <c r="B1218" s="24">
        <f>ROUND(IF(N1198=0,0,IFERROR(((LOOKUP(2,1/(A1202:A1205=A1218),G1202:G1205))*N1198*4.348),B1217/N1198*N1198)),2)</f>
        <v>0</v>
      </c>
      <c r="C1218" s="23">
        <f>ROUND(IFERROR(((LOOKUP(2,1/(B1207=A1218),((SUM(B1220:B1222)+SUM(F1220:F1222))/3)*C1207))),0)+IFERROR(((LOOKUP(2,1/(E1207=A1218),(B1226+F1226)*F1207))),0),2)</f>
        <v>0</v>
      </c>
      <c r="D1218" s="23">
        <f>ROUND(IF(B1218=0,0,D1213/L1195*N1198),2)</f>
        <v>0</v>
      </c>
      <c r="E1218" s="23">
        <f>ROUND(IF(B1218=0,0,E1213/N1191*N1198),2)</f>
        <v>0</v>
      </c>
      <c r="F1218" s="24">
        <f>ROUND(IF(N1198=0,0,IFERROR(((LOOKUP(2,1/(A1202:A1205=A1218),H1202:H1205))/N1191*N1198),F1217/N1198*N1198)),2)</f>
        <v>0</v>
      </c>
      <c r="G1218" s="27">
        <f t="shared" si="137"/>
        <v>0</v>
      </c>
      <c r="H1218" s="76">
        <f>ROUND(IF(SUM(B1214:F1217)&lt;(L1229*4),IF((SUM(B1214:F1218))&gt;(L1229*5),(((L1229*5)-(SUM(B1214:F1218)-C1217))*H1213)+((SUM(B1218:F1218)-C1217)*H1213),SUM(B1218:F1218)*H1213),IF(SUM(B1214:F1218)&gt;(L1229*5),L1229*H1213,SUM(B1218:F1218)*H1213)),2)</f>
        <v>0</v>
      </c>
      <c r="I1218" s="76">
        <f>ROUND(IF(SUM(B1214:F1217)&lt;(L1230*4),IF((SUM(B1214:F1218))&gt;(L1230*5),(((L1230*5)-(SUM(B1214:F1218)-C1217))*I1213)+((SUM(B1218:F1218)-C1217)*I1213),SUM(B1218:F1218)*I1213),IF(SUM(B1214:F1218)&gt;(L1230*5),L1230*I1213,SUM(B1218:F1218)*I1213)),2)</f>
        <v>0</v>
      </c>
      <c r="J1218" s="76">
        <f>ROUND(IF(SUM(B1214:F1217)&lt;(L1230*4),IF((SUM(B1214:F1218))&gt;(L1230*5),(((L1230*5)-(SUM(B1214:F1218)-C1217))*J1213)+((SUM(B1218:F1218)-C1217)*J1213),SUM(B1218:F1218)*J1213),IF(SUM(B1214:F1218)&gt;(L1230*5),L1230*J1213,SUM(B1218:F1218)*J1213)),2)</f>
        <v>0</v>
      </c>
      <c r="K1218" s="76">
        <f>ROUND(IF(SUM(B1214:F1217)&lt;(L1229*4),IF((SUM(B1214:F1218))&gt;(L1229*5),(((L1229*5)-(SUM(B1214:F1218)-C1217))*K1213)+((SUM(B1218:F1218)-C1217)*K1213),SUM(B1218:F1218)*K1213),IF(SUM(B1214:F1218)&gt;(L1229*5),L1229*K1213,SUM(B1218:F1218)*K1213)),2)</f>
        <v>0</v>
      </c>
      <c r="L1218" s="76">
        <f>ROUND(IF(SUM(B1214:F1217)&lt;(L1230*4),IF((SUM(B1214:F1218))&gt;(L1230*5),(((L1230*5)-(SUM(B1214:F1218)-C1218))*L1213)+((SUM(B1218:F1218)-C1218)*L1213),(SUM(B1218:F1218)-C1218)*L1213),IF(SUM(B1214:F1218)&gt;(L1230*5),L1230*L1213,SUM(B1218:F1218)*L1213)),2)</f>
        <v>0</v>
      </c>
      <c r="M1218" s="76">
        <f>ROUND(IF(SUM(B1214:F1217)&lt;(L1230*4),IF((SUM(B1214:F1218))&gt;(L1230*5),(((L1230*5)-(SUM(B1214:F1218)-C1218))*M1213)+((SUM(B1218:F1218)-C1218)*M1213),(SUM(B1218:F1218)-C1218)*M1213),IF(SUM(B1214:F1218)&gt;(L1230*5),L1230*M1213,SUM(B1218:F1218)*M1213)),2)</f>
        <v>0</v>
      </c>
      <c r="N1218" s="76">
        <f>ROUND(IF(SUM(B1214:F1217)&lt;(L1230*4),IF((SUM(B1214:F1218))&gt;(L1230*5),(((L1230*5)-(SUM(B1214:F1218)-C1217))*N1213)+((SUM(B1218:F1218)-C1217)*N1213),SUM(B1218:F1218)*N1213),IF(SUM(B1214:F1218)&gt;(L1230*5),L1230*N1213,SUM(B1218:F1218)*N1213)),2)</f>
        <v>0</v>
      </c>
      <c r="O1218" s="23">
        <f>ROUND(SUM(B1218+C1218+F1218)*O1213,2)</f>
        <v>0</v>
      </c>
      <c r="P1218" s="27">
        <f t="shared" si="138"/>
        <v>0</v>
      </c>
    </row>
    <row r="1219" spans="1:16" s="1" customFormat="1" x14ac:dyDescent="0.2">
      <c r="A1219" s="100" t="str">
        <f>$A$31</f>
        <v>Jun 2022</v>
      </c>
      <c r="B1219" s="24">
        <f>ROUND(IF(N1199=0,0,IFERROR(((LOOKUP(2,1/(A1202:A1205=A1219),G1202:G1205))*N1199*4.348),B1218/N1199*N1199)),2)</f>
        <v>0</v>
      </c>
      <c r="C1219" s="23">
        <f>ROUND(IFERROR(((LOOKUP(2,1/(B1207=A1219),((SUM(B1220:B1222)+SUM(F1220:F1222))/3)*C1207))),0)+IFERROR(((LOOKUP(2,1/(E1207=A1219),(B1226+F1226)*F1207))),0),2)</f>
        <v>0</v>
      </c>
      <c r="D1219" s="23">
        <f>ROUND(IF(B1219=0,0,D1213/L1195*N1199),2)</f>
        <v>0</v>
      </c>
      <c r="E1219" s="23">
        <f>ROUND(IF(B1219=0,0,E1213/N1191*N1199),2)</f>
        <v>0</v>
      </c>
      <c r="F1219" s="24">
        <f>ROUND(IF(N1199=0,0,IFERROR(((LOOKUP(2,1/(A1202:A1205=A1219),H1202:H1205))/N1191*N1199),F1218/N1199*N1199)),2)</f>
        <v>0</v>
      </c>
      <c r="G1219" s="27">
        <f t="shared" si="137"/>
        <v>0</v>
      </c>
      <c r="H1219" s="76">
        <f>ROUND(IF(SUM(B1214:F1218)&lt;(L1229*5),IF((SUM(B1214:F1219))&gt;(L1229*6),(((L1229*6)-(SUM(B1214:F1219)-C1218))*H1213)+((SUM(B1219:F1219)-C1218)*H1213),SUM(B1219:F1219)*H1213),IF(SUM(B1214:F1219)&gt;(L1229*6),L1229*H1213,SUM(B1219:F1219)*H1213)),2)</f>
        <v>0</v>
      </c>
      <c r="I1219" s="76">
        <f>ROUND(IF(SUM(B1214:F1218)&lt;(L1230*5),IF((SUM(B1214:F1219))&gt;(L1230*6),(((L1230*6)-(SUM(B1214:F1219)-C1218))*I1213)+((SUM(B1219:F1219)-C1218)*I1213),SUM(B1219:F1219)*I1213),IF(SUM(B1214:F1219)&gt;(L1230*6),L1230*I1213,SUM(B1219:F1219)*I1213)),2)</f>
        <v>0</v>
      </c>
      <c r="J1219" s="76">
        <f>ROUND(IF(SUM(B1214:F1218)&lt;(L1230*5),IF((SUM(B1214:F1219))&gt;(L1230*6),(((L1230*6)-(SUM(B1214:F1219)-C1218))*J1213)+((SUM(B1219:F1219)-C1218)*J1213),SUM(B1219:F1219)*J1213),IF(SUM(B1214:F1219)&gt;(L1230*6),L1230*J1213,SUM(B1219:F1219)*J1213)),2)</f>
        <v>0</v>
      </c>
      <c r="K1219" s="76">
        <f>ROUND(IF(SUM(B1214:F1218)&lt;(L1229*5),IF((SUM(B1214:F1219))&gt;(L1229*6),(((L1229*6)-(SUM(B1214:F1219)-C1218))*K1213)+((SUM(B1219:F1219)-C1218)*K1213),SUM(B1219:F1219)*K1213),IF(SUM(B1214:F1219)&gt;(L1229*6),L1229*K1213,SUM(B1219:F1219)*K1213)),2)</f>
        <v>0</v>
      </c>
      <c r="L1219" s="76">
        <f>ROUND(IF(SUM(B1214:F1218)&lt;(L1230*5),IF((SUM(B1214:F1219))&gt;(L1230*6),(((L1230*6)-(SUM(B1214:F1219)-C1219))*L1213)+((SUM(B1219:F1219)-C1219)*L1213),(SUM(B1219:F1219)-C1219)*L1213),IF(SUM(B1214:F1219)&gt;(L1230*6),L1230*L1213,SUM(B1219:F1219)*L1213)),2)</f>
        <v>0</v>
      </c>
      <c r="M1219" s="76">
        <f>ROUND(IF(SUM(B1214:F1218)&lt;(L1230*5),IF((SUM(B1214:F1219))&gt;(L1230*6),(((L1230*6)-(SUM(B1214:F1219)-C1219))*M1213)+((SUM(B1219:F1219)-C1219)*M1213),(SUM(B1219:F1219)-C1219)*M1213),IF(SUM(B1214:F1219)&gt;(L1230*6),L1230*M1213,SUM(B1219:F1219)*M1213)),2)</f>
        <v>0</v>
      </c>
      <c r="N1219" s="76">
        <f>ROUND(IF(SUM(B1214:F1218)&lt;(L1230*5),IF((SUM(B1214:F1219))&gt;(L1230*6),(((L1230*6)-(SUM(B1214:F1219)-C1218))*N1213)+((SUM(B1219:F1219)-C1218)*N1213),SUM(B1219:F1219)*N1213),IF(SUM(B1214:F1219)&gt;(L1230*6),L1230*N1213,SUM(B1219:F1219)*N1213)),2)</f>
        <v>0</v>
      </c>
      <c r="O1219" s="23">
        <f>ROUND(SUM(B1219+C1219+F1219)*O1213,2)</f>
        <v>0</v>
      </c>
      <c r="P1219" s="27">
        <f t="shared" si="138"/>
        <v>0</v>
      </c>
    </row>
    <row r="1220" spans="1:16" s="1" customFormat="1" x14ac:dyDescent="0.2">
      <c r="A1220" s="100" t="str">
        <f>$A$32</f>
        <v>Jul 2022</v>
      </c>
      <c r="B1220" s="24">
        <f>ROUND(IF(P1194=0,0,IFERROR(((LOOKUP(2,1/(A1202:A1205=A1220),G1202:G1205))*P1194*4.348),B1219/P1194*P1194)),2)</f>
        <v>0</v>
      </c>
      <c r="C1220" s="23">
        <f>ROUND(IFERROR(((LOOKUP(2,1/(B1207=A1220),((SUM(B1220:B1222)+SUM(F1220:F1222))/3)*C1207))),0)+IFERROR(((LOOKUP(2,1/(E1207=A1220),(B1226+F1226)*F1207))),0),2)</f>
        <v>0</v>
      </c>
      <c r="D1220" s="23">
        <f>ROUND(IF(B1220=0,0,D1213/L1195*P1194),2)</f>
        <v>0</v>
      </c>
      <c r="E1220" s="23">
        <f>ROUND(IF(B1220=0,0,E1213/N1191*P1194),2)</f>
        <v>0</v>
      </c>
      <c r="F1220" s="24">
        <f>ROUND(IF(P1194=0,0,IFERROR(((LOOKUP(2,1/(A1202:A1205=A1220),H1202:H1205))/N1191*P1194),F1219/P1194*P1194)),2)</f>
        <v>0</v>
      </c>
      <c r="G1220" s="27">
        <f t="shared" si="137"/>
        <v>0</v>
      </c>
      <c r="H1220" s="76">
        <f>ROUND(IF(SUM(B1214:F1219)&lt;(L1229*6),IF((SUM(B1214:F1220))&gt;(L1229*7),(((L1229*7)-(SUM(B1214:F1220)-C1219))*H1213)+((SUM(B1220:F1220)-C1219)*H1213),SUM(B1220:F1220)*H1213),IF(SUM(B1214:F1220)&gt;(L1229*7),L1229*H1213,SUM(B1220:F1220)*H1213)),2)</f>
        <v>0</v>
      </c>
      <c r="I1220" s="76">
        <f>ROUND(IF(SUM(B1214:F1219)&lt;(L1230*6),IF((SUM(B1214:F1220))&gt;(L1230*7),(((L1230*7)-(SUM(B1214:F1220)-C1219))*I1213)+((SUM(B1220:F1220)-C1219)*I1213),SUM(B1220:F1220)*I1213),IF(SUM(B1214:F1220)&gt;(L1230*7),L1230*I1213,SUM(B1220:F1220)*I1213)),2)</f>
        <v>0</v>
      </c>
      <c r="J1220" s="76">
        <f>ROUND(IF(SUM(B1214:F1219)&lt;(L1230*6),IF((SUM(B1214:F1220))&gt;(L1230*7),(((L1230*7)-(SUM(B1214:F1220)-C1219))*J1213)+((SUM(B1220:F1220)-C1219)*J1213),SUM(B1220:F1220)*J1213),IF(SUM(B1214:F1220)&gt;(L1230*7),L1230*J1213,SUM(B1220:F1220)*J1213)),2)</f>
        <v>0</v>
      </c>
      <c r="K1220" s="76">
        <f>ROUND(IF(SUM(B1214:F1219)&lt;(L1229*6),IF((SUM(B1214:F1220))&gt;(L1229*7),(((L1229*7)-(SUM(B1214:F1220)-C1219))*K1213)+((SUM(B1220:F1220)-C1219)*K1213),SUM(B1220:F1220)*K1213),IF(SUM(B1214:F1220)&gt;(L1229*7),L1229*K1213,SUM(B1220:F1220)*K1213)),2)</f>
        <v>0</v>
      </c>
      <c r="L1220" s="76">
        <f>ROUND(IF(SUM(B1214:F1219)&lt;(L1230*6),IF((SUM(B1214:F1220))&gt;(L1230*7),(((L1230*7)-(SUM(B1214:F1220)-C1220))*L1213)+((SUM(B1220:F1220)-C1220)*L1213),(SUM(B1220:F1220)-C1220)*L1213),IF(SUM(B1214:F1220)&gt;(L1230*7),L1230*L1213,SUM(B1220:F1220)*L1213)),2)</f>
        <v>0</v>
      </c>
      <c r="M1220" s="76">
        <f>ROUND(IF(SUM(B1214:F1219)&lt;(L1230*6),IF((SUM(B1214:F1220))&gt;(L1230*7),(((L1230*7)-(SUM(B1214:F1220)-C1220))*M1213)+((SUM(B1220:F1220)-C1220)*M1213),(SUM(B1220:F1220)-C1220)*M1213),IF(SUM(B1214:F1220)&gt;(L1230*7),L1230*M1213,SUM(B1220:F1220)*M1213)),2)</f>
        <v>0</v>
      </c>
      <c r="N1220" s="76">
        <f>ROUND(IF(SUM(B1214:F1219)&lt;(L1230*6),IF((SUM(B1214:F1220))&gt;(L1230*7),(((L1230*7)-(SUM(B1214:F1220)-C1219))*N1213)+((SUM(B1220:F1220)-C1219)*N1213),SUM(B1220:F1220)*N1213),IF(SUM(B1214:F1220)&gt;(L1230*7),L1230*N1213,SUM(B1220:F1220)*N1213)),2)</f>
        <v>0</v>
      </c>
      <c r="O1220" s="23">
        <f>ROUND(SUM(B1220+C1220+F1220)*O1213,2)</f>
        <v>0</v>
      </c>
      <c r="P1220" s="27">
        <f t="shared" si="138"/>
        <v>0</v>
      </c>
    </row>
    <row r="1221" spans="1:16" s="1" customFormat="1" x14ac:dyDescent="0.2">
      <c r="A1221" s="100" t="str">
        <f>$A$33</f>
        <v>Aug 2022</v>
      </c>
      <c r="B1221" s="24">
        <f>ROUND(IF(P1195=0,0,IFERROR(((LOOKUP(2,1/(A1202:A1205=A1221),G1202:G1205))*P1195*4.348),B1220/P1195*P1195)),2)</f>
        <v>0</v>
      </c>
      <c r="C1221" s="23">
        <f>ROUND(IFERROR(((LOOKUP(2,1/(B1207=A1221),((SUM(B1220:B1222)+SUM(F1220:F1222))/3)*C1207))),0)+IFERROR(((LOOKUP(2,1/(E1207=A1221),(B1226+F1226)*F1207))),0),2)</f>
        <v>0</v>
      </c>
      <c r="D1221" s="23">
        <f>ROUND(IF(B1221=0,0,D1213/L1195*P1195),2)</f>
        <v>0</v>
      </c>
      <c r="E1221" s="23">
        <f>ROUND(IF(B1221=0,0,E1213/N1191*P1195),2)</f>
        <v>0</v>
      </c>
      <c r="F1221" s="24">
        <f>ROUND(IF(P1195=0,0,IFERROR(((LOOKUP(2,1/(A1202:A1205=A1221),H1202:H1205))/N1191*P1195),F1220/P1195*P1195)),2)</f>
        <v>0</v>
      </c>
      <c r="G1221" s="27">
        <f t="shared" si="137"/>
        <v>0</v>
      </c>
      <c r="H1221" s="76">
        <f>ROUND(IF(SUM(B1214:F1220)&lt;(L1229*7),IF((SUM(B1214:F1221))&gt;(L1229*8),(((L1229*8)-(SUM(B1214:F1221)-C1220))*H1213)+((SUM(B1221:F1221)-C1220)*H1213),SUM(B1221:F1221)*H1213),IF(SUM(B1214:F1221)&gt;(L1229*8),L1229*H1213,SUM(B1221:F1221)*H1213)),2)</f>
        <v>0</v>
      </c>
      <c r="I1221" s="76">
        <f>ROUND(IF(SUM(B1214:F1220)&lt;(L1230*7),IF((SUM(B1214:F1221))&gt;(L1230*8),(((L1230*8)-(SUM(B1214:F1221)-C1220))*I1213)+((SUM(B1221:F1221)-C1220)*I1213),SUM(B1221:F1221)*I1213),IF(SUM(B1214:F1221)&gt;(L1230*8),L1230*I1213,SUM(B1221:F1221)*I1213)),2)</f>
        <v>0</v>
      </c>
      <c r="J1221" s="76">
        <f>ROUND(IF(SUM(B1214:F1220)&lt;(L1230*7),IF((SUM(B1214:F1221))&gt;(L1230*8),(((L1230*8)-(SUM(B1214:F1221)-C1220))*J1213)+((SUM(B1221:F1221)-C1220)*J1213),SUM(B1221:F1221)*J1213),IF(SUM(B1214:F1221)&gt;(L1230*8),L1230*J1213,SUM(B1221:F1221)*J1213)),2)</f>
        <v>0</v>
      </c>
      <c r="K1221" s="76">
        <f>ROUND(IF(SUM(B1214:F1220)&lt;(L1229*7),IF((SUM(B1214:F1221))&gt;(L1229*8),(((L1229*8)-(SUM(B1214:F1221)-C1220))*K1213)+((SUM(B1221:F1221)-C1220)*K1213),SUM(B1221:F1221)*K1213),IF(SUM(B1214:F1221)&gt;(L1229*8),L1229*K1213,SUM(B1221:F1221)*K1213)),2)</f>
        <v>0</v>
      </c>
      <c r="L1221" s="76">
        <f>ROUND(IF(SUM(B1214:F1220)&lt;(L1230*7),IF((SUM(B1214:F1221))&gt;(L1230*8),(((L1230*8)-(SUM(B1214:F1221)-C1221))*L1213)+((SUM(B1221:F1221)-C1221)*L1213),(SUM(B1221:F1221)-C1221)*L1213),IF(SUM(B1214:F1221)&gt;(L1230*8),L1230*L1213,SUM(B1221:F1221)*L1213)),2)</f>
        <v>0</v>
      </c>
      <c r="M1221" s="76">
        <f>ROUND(IF(SUM(B1214:F1220)&lt;(L1230*7),IF((SUM(B1214:F1221))&gt;(L1230*8),(((L1230*8)-(SUM(B1214:F1221)-C1221))*M1213)+((SUM(B1221:F1221)-C1221)*M1213),(SUM(B1221:F1221)-C1221)*M1213),IF(SUM(B1214:F1221)&gt;(L1230*8),L1230*M1213,SUM(B1221:F1221)*M1213)),2)</f>
        <v>0</v>
      </c>
      <c r="N1221" s="76">
        <f>ROUND(IF(SUM(B1214:F1220)&lt;(L1230*7),IF((SUM(B1214:F1221))&gt;(L1230*8),(((L1230*8)-(SUM(B1214:F1221)-C1220))*N1213)+((SUM(B1221:F1221)-C1220)*N1213),SUM(B1221:F1221)*N1213),IF(SUM(B1214:F1221)&gt;(L1230*8),L1230*N1213,SUM(B1221:F1221)*N1213)),2)</f>
        <v>0</v>
      </c>
      <c r="O1221" s="23">
        <f>ROUND(SUM(B1221+C1221+F1221)*O1213,2)</f>
        <v>0</v>
      </c>
      <c r="P1221" s="27">
        <f t="shared" si="138"/>
        <v>0</v>
      </c>
    </row>
    <row r="1222" spans="1:16" s="1" customFormat="1" x14ac:dyDescent="0.2">
      <c r="A1222" s="100" t="str">
        <f>$A$34</f>
        <v>Sep 2022</v>
      </c>
      <c r="B1222" s="24">
        <f>ROUND(IF(P1196=0,0,IFERROR(((LOOKUP(2,1/(A1202:A1205=A1222),G1202:G1205))*P1196*4.348),B1221/P1196*P1196)),2)</f>
        <v>0</v>
      </c>
      <c r="C1222" s="23">
        <f>ROUND(IFERROR(((LOOKUP(2,1/(B1207=A1222),((SUM(B1220:B1222)+SUM(F1220:F1222))/3)*C1207))),0)+IFERROR(((LOOKUP(2,1/(E1207=A1222),(B1226+F1226)*F1207))),0),2)</f>
        <v>0</v>
      </c>
      <c r="D1222" s="23">
        <f>ROUND(IF(B1222=0,0,D1213/L1195*P1196),2)</f>
        <v>0</v>
      </c>
      <c r="E1222" s="23">
        <f>ROUND(IF(B1222=0,0,E1213/N1191*P1196),2)</f>
        <v>0</v>
      </c>
      <c r="F1222" s="24">
        <f>ROUND(IF(P1196=0,0,IFERROR(((LOOKUP(2,1/(A1202:A1205=A1222),H1202:H1205))/N1191*P1196),F1221/P1196*P1196)),2)</f>
        <v>0</v>
      </c>
      <c r="G1222" s="27">
        <f t="shared" si="137"/>
        <v>0</v>
      </c>
      <c r="H1222" s="76">
        <f>ROUND(IF(SUM(B1214:F1221)&lt;(L1229*8),IF((SUM(B1214:F1222))&gt;(L1229*9),(((L1229*9)-(SUM(B1214:F1222)-C1221))*H1213)+((SUM(B1222:F1222)-C1221)*H1213),SUM(B1222:F1222)*H1213),IF(SUM(B1214:F1222)&gt;(L1229*9),L1229*H1213,SUM(B1222:F1222)*H1213)),2)</f>
        <v>0</v>
      </c>
      <c r="I1222" s="76">
        <f>ROUND(IF(SUM(B1214:F1221)&lt;(L1230*8),IF((SUM(B1214:F1222))&gt;(L1230*9),(((L1230*9)-(SUM(B1214:F1222)-C1221))*I1213)+((SUM(B1222:F1222)-C1221)*I1213),SUM(B1222:F1222)*I1213),IF(SUM(B1214:F1222)&gt;(L1230*9),L1230*I1213,SUM(B1222:F1222)*I1213)),2)</f>
        <v>0</v>
      </c>
      <c r="J1222" s="76">
        <f>ROUND(IF(SUM(B1214:F1221)&lt;(L1230*8),IF((SUM(B1214:F1222))&gt;(L1230*9),(((L1230*9)-(SUM(B1214:F1222)-C1221))*J1213)+((SUM(B1222:F1222)-C1221)*J1213),SUM(B1222:F1222)*J1213),IF(SUM(B1214:F1222)&gt;(L1230*9),L1230*J1213,SUM(B1222:F1222)*J1213)),2)</f>
        <v>0</v>
      </c>
      <c r="K1222" s="76">
        <f>ROUND(IF(SUM(B1214:F1221)&lt;(L1229*8),IF((SUM(B1214:F1222))&gt;(L1229*9),(((L1229*9)-(SUM(B1214:F1222)-C1221))*K1213)+((SUM(B1222:F1222)-C1221)*K1213),SUM(B1222:F1222)*K1213),IF(SUM(B1214:F1222)&gt;(L1229*9),L1229*K1213,SUM(B1222:F1222)*K1213)),2)</f>
        <v>0</v>
      </c>
      <c r="L1222" s="76">
        <f>ROUND(IF(SUM(B1214:F1221)&lt;(L1230*8),IF((SUM(B1214:F1222))&gt;(L1230*9),(((L1230*9)-(SUM(B1214:F1222)-C1222))*L1213)+((SUM(B1222:F1222)-C1222)*L1213),(SUM(B1222:F1222)-C1222)*L1213),IF(SUM(B1214:F1222)&gt;(L1230*9),L1230*L1213,SUM(B1222:F1222)*L1213)),2)</f>
        <v>0</v>
      </c>
      <c r="M1222" s="76">
        <f>ROUND(IF(SUM(B1214:F1221)&lt;(L1230*8),IF((SUM(B1214:F1222))&gt;(L1230*9),(((L1230*9)-(SUM(B1214:F1222)-C1222))*M1213)+((SUM(B1222:F1222)-C1222)*M1213),(SUM(B1222:F1222)-C1222)*M1213),IF(SUM(B1214:F1222)&gt;(L1230*9),L1230*M1213,SUM(B1222:F1222)*M1213)),2)</f>
        <v>0</v>
      </c>
      <c r="N1222" s="76">
        <f>ROUND(IF(SUM(B1214:F1221)&lt;(L1230*8),IF((SUM(B1214:F1222))&gt;(L1230*9),(((L1230*9)-(SUM(B1214:F1222)-C1221))*N1213)+((SUM(B1222:F1222)-C1221)*N1213),SUM(B1222:F1222)*N1213),IF(SUM(B1214:F1222)&gt;(L1230*9),L1230*N1213,SUM(B1222:F1222)*N1213)),2)</f>
        <v>0</v>
      </c>
      <c r="O1222" s="23">
        <f>ROUND(SUM(B1222+C1222+F1222)*O1213,2)</f>
        <v>0</v>
      </c>
      <c r="P1222" s="27">
        <f t="shared" si="138"/>
        <v>0</v>
      </c>
    </row>
    <row r="1223" spans="1:16" s="1" customFormat="1" x14ac:dyDescent="0.2">
      <c r="A1223" s="100" t="str">
        <f>$A$35</f>
        <v>Okt 2022</v>
      </c>
      <c r="B1223" s="24">
        <f>ROUND(IF(P1197=0,0,IFERROR(((LOOKUP(2,1/(A1202:A1205=A1223),G1202:G1205))*P1197*4.348),B1222/P1197*P1197)),2)</f>
        <v>0</v>
      </c>
      <c r="C1223" s="23">
        <f>ROUND(IFERROR(((LOOKUP(2,1/(B1207=A1223),((SUM(B1220:B1222)+SUM(F1220:F1222))/3)*C1207))),0)+IFERROR(((LOOKUP(2,1/(E1207=A1223),(B1226+F1226)*F1207))),0),2)</f>
        <v>0</v>
      </c>
      <c r="D1223" s="23">
        <f>ROUND(IF(B1223=0,0,D1213/L1195*P1197),2)</f>
        <v>0</v>
      </c>
      <c r="E1223" s="23">
        <f>ROUND(IF(B1223=0,0,E1213/N1191*P1197),2)</f>
        <v>0</v>
      </c>
      <c r="F1223" s="24">
        <f>ROUND(IF(P1197=0,0,IFERROR(((LOOKUP(2,1/(A1202:A1205=A1223),H1202:H1205))/N1191*P1197),F1222/P1197*P1197)),2)</f>
        <v>0</v>
      </c>
      <c r="G1223" s="27">
        <f t="shared" si="137"/>
        <v>0</v>
      </c>
      <c r="H1223" s="76">
        <f>ROUND(IF(SUM(B1214:F1222)&lt;(L1229*9),IF((SUM(B1214:F1223))&gt;(L1229*10),(((L1229*10)-(SUM(B1214:F1223)-C1222))*H1213)+((SUM(B1223:F1223)-C1222)*H1213),SUM(B1223:F1223)*H1213),IF(SUM(B1214:F1223)&gt;(L1229*10),L1229*H1213,SUM(B1223:F1223)*H1213)),2)</f>
        <v>0</v>
      </c>
      <c r="I1223" s="76">
        <f>ROUND(IF(SUM(B1214:F1222)&lt;(L1230*9),IF((SUM(B1214:F1223))&gt;(L1230*10),(((L1230*10)-(SUM(B1214:F1223)-C1222))*I1213)+((SUM(B1223:F1223)-C1222)*I1213),SUM(B1223:F1223)*I1213),IF(SUM(B1214:F1223)&gt;(L1230*10),L1230*I1213,SUM(B1223:F1223)*I1213)),2)</f>
        <v>0</v>
      </c>
      <c r="J1223" s="76">
        <f>ROUND(IF(SUM(B1214:F1222)&lt;(L1230*9),IF((SUM(B1214:F1223))&gt;(L1230*10),(((L1230*10)-(SUM(B1214:F1223)-C1222))*J1213)+((SUM(B1223:F1223)-C1222)*J1213),SUM(B1223:F1223)*J1213),IF(SUM(B1214:F1223)&gt;(L1230*10),L1230*J1213,SUM(B1223:F1223)*J1213)),2)</f>
        <v>0</v>
      </c>
      <c r="K1223" s="76">
        <f>ROUND(IF(SUM(B1214:F1222)&lt;(L1229*9),IF((SUM(B1214:F1223))&gt;(L1229*10),(((L1229*10)-(SUM(B1214:F1223)-C1222))*K1213)+((SUM(B1223:F1223)-C1222)*K1213),SUM(B1223:F1223)*K1213),IF(SUM(B1214:F1223)&gt;(L1229*10),L1229*K1213,SUM(B1223:F1223)*K1213)),2)</f>
        <v>0</v>
      </c>
      <c r="L1223" s="76">
        <f>ROUND(IF(SUM(B1214:F1222)&lt;(L1230*9),IF((SUM(B1214:F1223))&gt;(L1230*10),(((L1230*10)-(SUM(B1214:F1223)-C1223))*L1213)+((SUM(B1223:F1223)-C1223)*L1213),(SUM(B1223:F1223)-C1223)*L1213),IF(SUM(B1214:F1223)&gt;(L1230*10),L1230*L1213,SUM(B1223:F1223)*L1213)),2)</f>
        <v>0</v>
      </c>
      <c r="M1223" s="76">
        <f>ROUND(IF(SUM(B1214:F1222)&lt;(L1230*9),IF((SUM(B1214:F1223))&gt;(L1230*10),(((L1230*10)-(SUM(B1214:F1223)-C1223))*M1213)+((SUM(B1223:F1223)-C1223)*M1213),(SUM(B1223:F1223)-C1223)*M1213),IF(SUM(B1214:F1223)&gt;(L1230*10),L1230*M1213,SUM(B1223:F1223)*M1213)),2)</f>
        <v>0</v>
      </c>
      <c r="N1223" s="76">
        <f>ROUND(IF(SUM(B1214:F1222)&lt;(L1230*9),IF((SUM(B1214:F1223))&gt;(L1230*10),(((L1230*10)-(SUM(B1214:F1223)-C1222))*N1213)+((SUM(B1223:F1223)-C1222)*N1213),SUM(B1223:F1223)*N1213),IF(SUM(B1214:F1223)&gt;(L1230*10),L1230*N1213,SUM(B1223:F1223)*N1213)),2)</f>
        <v>0</v>
      </c>
      <c r="O1223" s="23">
        <f>ROUND(SUM(B1223+C1223+F1223)*O1213,2)</f>
        <v>0</v>
      </c>
      <c r="P1223" s="27">
        <f t="shared" si="138"/>
        <v>0</v>
      </c>
    </row>
    <row r="1224" spans="1:16" s="1" customFormat="1" x14ac:dyDescent="0.2">
      <c r="A1224" s="100" t="str">
        <f>$A$36</f>
        <v>Nov 2022</v>
      </c>
      <c r="B1224" s="24">
        <f>ROUND(IF(P1198=0,0,IFERROR(((LOOKUP(2,1/(A1202:A1205=A1224),G1202:G1205))*P1198*4.348),B1223/P1198*P1198)),2)</f>
        <v>0</v>
      </c>
      <c r="C1224" s="23">
        <f>ROUND(IFERROR(((LOOKUP(2,1/(B1207=A1224),((SUM(B1220:B1222)+SUM(F1220:F1222))/3)*C1207))),0)+IFERROR(((LOOKUP(2,1/(E1207=A1224),(B1226+F1226)*F1207))),0),2)</f>
        <v>0</v>
      </c>
      <c r="D1224" s="23">
        <f>ROUND(IF(B1224=0,0,D1213/L1195*P1198),2)</f>
        <v>0</v>
      </c>
      <c r="E1224" s="23">
        <f>ROUND(IF(B1224=0,0,E1213/N1191*P1198),2)</f>
        <v>0</v>
      </c>
      <c r="F1224" s="24">
        <f>ROUND(IF(P1198=0,0,IFERROR(((LOOKUP(2,1/(A1202:A1205=A1224),H1202:H1205))/N1191*P1198),F1223/P1198*P1198)),2)</f>
        <v>0</v>
      </c>
      <c r="G1224" s="27">
        <f t="shared" si="137"/>
        <v>0</v>
      </c>
      <c r="H1224" s="76">
        <f>ROUND(IF(SUM(B1214:F1223)&lt;(L1229*10),IF((SUM(B1214:F1224))&gt;(L1229*11),(((L1229*11)-(SUM(B1214:F1224)-C1223))*H1213)+((SUM(B1224:F1224)-C1223)*H1213),SUM(B1224:F1224)*H1213),IF(SUM(B1214:F1224)&gt;(L1229*11),L1229*H1213,SUM(B1224:F1224)*H1213)),2)</f>
        <v>0</v>
      </c>
      <c r="I1224" s="76">
        <f>ROUND(IF(SUM(B1214:F1223)&lt;(L1230*10),IF((SUM(B1214:F1224))&gt;(L1230*11),(((L1230*11)-(SUM(B1214:F1224)-C1223))*I1213)+((SUM(B1224:F1224)-C1223)*I1213),SUM(B1224:F1224)*I1213),IF(SUM(B1214:F1224)&gt;(L1230*11),L1230*I1213,SUM(B1224:F1224)*I1213)),2)</f>
        <v>0</v>
      </c>
      <c r="J1224" s="76">
        <f>ROUND(IF(SUM(B1214:F1223)&lt;(L1230*10),IF((SUM(B1214:F1224))&gt;(L1230*11),(((L1230*11)-(SUM(B1214:F1224)-C1223))*J1213)+((SUM(B1224:F1224)-C1223)*J1213),SUM(B1224:F1224)*J1213),IF(SUM(B1214:F1224)&gt;(L1230*11),L1230*J1213,SUM(B1224:F1224)*J1213)),2)</f>
        <v>0</v>
      </c>
      <c r="K1224" s="76">
        <f>ROUND(IF(SUM(B1214:F1223)&lt;(L1229*10),IF((SUM(B1214:F1224))&gt;(L1229*11),(((L1229*11)-(SUM(B1214:F1224)-C1223))*K1213)+((SUM(B1224:F1224)-C1223)*K1213),SUM(B1224:F1224)*K1213),IF(SUM(B1214:F1224)&gt;(L1229*11),L1229*K1213,SUM(B1224:F1224)*K1213)),2)</f>
        <v>0</v>
      </c>
      <c r="L1224" s="76">
        <f>ROUND(IF(SUM(B1214:F1223)&lt;(L1230*10),IF((SUM(B1214:F1224))&gt;(L1230*11),(((L1230*11)-(SUM(B1214:F1224)-C1224))*L1213)+((SUM(B1224:F1224)-C1224)*L1213),(SUM(B1224:F1224)-C1224)*L1213),IF(SUM(B1214:F1224)&gt;(L1230*11),L1230*L1213,SUM(B1224:F1224)*L1213)),2)</f>
        <v>0</v>
      </c>
      <c r="M1224" s="76">
        <f>ROUND(IF(SUM(B1214:F1223)&lt;(L1230*10),IF((SUM(B1214:F1224))&gt;(L1230*11),(((L1230*11)-(SUM(B1214:F1224)-C1224))*M1213)+((SUM(B1224:F1224)-C1224)*M1213),(SUM(B1224:F1224)-C1224)*M1213),IF(SUM(B1214:F1224)&gt;(L1230*11),L1230*M1213,SUM(B1224:F1224)*M1213)),2)</f>
        <v>0</v>
      </c>
      <c r="N1224" s="76">
        <f>ROUND(IF(SUM(B1214:F1223)&lt;(L1230*10),IF((SUM(B1214:F1224))&gt;(L1230*11),(((L1230*11)-(SUM(B1214:F1224)-C1223))*N1213)+((SUM(B1224:F1224)-C1223)*N1213),SUM(B1224:F1224)*N1213),IF(SUM(B1214:F1224)&gt;(L1230*11),L1230*N1213,SUM(B1224:F1224)*N1213)),2)</f>
        <v>0</v>
      </c>
      <c r="O1224" s="23">
        <f>ROUND(SUM(B1224+C1224+F1224)*O1213,2)</f>
        <v>0</v>
      </c>
      <c r="P1224" s="27">
        <f t="shared" si="138"/>
        <v>0</v>
      </c>
    </row>
    <row r="1225" spans="1:16" s="1" customFormat="1" x14ac:dyDescent="0.2">
      <c r="A1225" s="100" t="str">
        <f>$A$37</f>
        <v>Dez 2022</v>
      </c>
      <c r="B1225" s="24">
        <f>ROUND(IF(P1199=0,0,IFERROR(((LOOKUP(2,1/(A1202:A1205=A1225),G1202:G1205))*P1199*4.348),B1224/P1199*P1199)),2)</f>
        <v>0</v>
      </c>
      <c r="C1225" s="23">
        <f>ROUND(IFERROR(((LOOKUP(2,1/(B1207=A1225),((SUM(B1220:B1222)+SUM(F1220:F1222))/3)*C1207))),0)+IFERROR(((LOOKUP(2,1/(E1207=A1225),(B1226+F1226)*F1207))),0),2)</f>
        <v>0</v>
      </c>
      <c r="D1225" s="23">
        <f>ROUND(IF(B1225=0,0,D1213/L1195*P1199),2)</f>
        <v>0</v>
      </c>
      <c r="E1225" s="23">
        <f>ROUND(IF(B1225=0,0,E1213/N1191*P1199),2)</f>
        <v>0</v>
      </c>
      <c r="F1225" s="24">
        <f>ROUND(IF(P1199=0,0,IFERROR(((LOOKUP(2,1/(A1202:A1205=A1225),H1202:H1205))/N1191*P1199),F1224/P1199*P1199)),2)</f>
        <v>0</v>
      </c>
      <c r="G1225" s="27">
        <f t="shared" si="137"/>
        <v>0</v>
      </c>
      <c r="H1225" s="76">
        <f>ROUND(IF(SUM(B1214:F1224)&lt;(L1229*11),IF((SUM(B1214:F1225))&gt;(L1229*12),(((L1229*12)-(SUM(B1214:F1225)-C1224))*H1213)+((SUM(B1225:F1225)-C1224)*H1213),SUM(B1225:F1225)*H1213),IF(SUM(B1214:F1225)&gt;(L1229*12),L1229*H1213,SUM(B1225:F1225)*H1213)),2)</f>
        <v>0</v>
      </c>
      <c r="I1225" s="76">
        <f>ROUND(IF(SUM(B1214:F1224)&lt;(L1230*11),IF((SUM(B1214:F1225))&gt;(L1230*12),(((L1230*12)-(SUM(B1214:F1225)-C1224))*I1213)+((SUM(B1225:F1225)-C1224)*I1213),SUM(B1225:F1225)*I1213),IF(SUM(B1214:F1225)&gt;(L1230*12),L1230*I1213,SUM(B1225:F1225)*I1213)),2)</f>
        <v>0</v>
      </c>
      <c r="J1225" s="76">
        <f>ROUND(IF(SUM(B1214:F1224)&lt;(L1230*11),IF((SUM(B1214:F1225))&gt;(L1230*12),(((L1230*12)-(SUM(B1214:F1225)-C1224))*J1213)+((SUM(B1225:F1225)-C1224)*J1213),SUM(B1225:F1225)*J1213),IF(SUM(B1214:F1225)&gt;(L1230*12),L1230*J1213,SUM(B1225:F1225)*J1213)),2)</f>
        <v>0</v>
      </c>
      <c r="K1225" s="76">
        <f>ROUND(IF(SUM(B1214:F1224)&lt;(L1229*11),IF((SUM(B1214:F1225))&gt;(L1229*12),(((L1229*12)-(SUM(B1214:F1225)-C1224))*K1213)+((SUM(B1225:F1225)-C1224)*K1213),SUM(B1225:F1225)*K1213),IF(SUM(B1214:F1225)&gt;(L1229*12),L1229*K1213,SUM(B1225:F1225)*K1213)),2)</f>
        <v>0</v>
      </c>
      <c r="L1225" s="76">
        <f>ROUND(IF(SUM(B1214:F1224)&lt;(L1230*11),IF((SUM(B1214:F1225))&gt;(L1230*12),(((L1230*12)-(SUM(B1214:F1225)-C1225))*L1213)+((SUM(B1225:F1225)-C1225)*L1213),(SUM(B1225:F1225)-C1225)*L1213),IF(SUM(B1214:F1225)&gt;(L1230*12),L1230*L1213,SUM(B1225:F1225)*L1213)),2)</f>
        <v>0</v>
      </c>
      <c r="M1225" s="76">
        <f>ROUND(IF(SUM(B1214:F1224)&lt;(L1230*11),IF((SUM(B1214:F1225))&gt;(L1230*12),(((L1230*12)-(SUM(B1214:F1225)-C1225))*M1213)+((SUM(B1225:F1225)-C1225)*M1213),(SUM(B1225:F1225)-C1225)*M1213),IF(SUM(B1214:F1225)&gt;(L1230*12),L1230*M1213,SUM(B1225:F1225)*M1213)),2)</f>
        <v>0</v>
      </c>
      <c r="N1225" s="76">
        <f>ROUND(IF(SUM(B1214:F1224)&lt;(L1230*11),IF((SUM(B1214:F1225))&gt;(L1230*12),(((L1230*12)-(SUM(B1214:F1225)-C1224))*N1213)+((SUM(B1225:F1225)-C1224)*N1213),SUM(B1225:F1225)*N1213),IF(SUM(B1214:F1225)&gt;(L1230*12),L1230*N1213,SUM(B1225:F1225)*N1213)),2)</f>
        <v>0</v>
      </c>
      <c r="O1225" s="23">
        <f>ROUND(SUM(B1225+C1225+F1225)*O1213,2)</f>
        <v>0</v>
      </c>
      <c r="P1225" s="27">
        <f t="shared" si="138"/>
        <v>0</v>
      </c>
    </row>
    <row r="1226" spans="1:16" s="14" customFormat="1" ht="15" x14ac:dyDescent="0.25">
      <c r="A1226" s="4" t="s">
        <v>2</v>
      </c>
      <c r="B1226" s="27">
        <f>SUM(B1214:B1225)</f>
        <v>0</v>
      </c>
      <c r="C1226" s="27">
        <f t="shared" ref="C1226:D1226" si="139">SUM(C1214:C1225)</f>
        <v>0</v>
      </c>
      <c r="D1226" s="27">
        <f t="shared" si="139"/>
        <v>0</v>
      </c>
      <c r="E1226" s="27">
        <f>SUM(E1214:E1225)</f>
        <v>0</v>
      </c>
      <c r="F1226" s="27">
        <f>SUM(F1214:F1225)</f>
        <v>0</v>
      </c>
      <c r="G1226" s="27">
        <f>SUM(G1214:G1225)</f>
        <v>0</v>
      </c>
      <c r="H1226" s="1133">
        <f>SUM(H1214:N1225)</f>
        <v>0</v>
      </c>
      <c r="I1226" s="1134"/>
      <c r="J1226" s="1134"/>
      <c r="K1226" s="1134"/>
      <c r="L1226" s="1134"/>
      <c r="M1226" s="1134"/>
      <c r="N1226" s="1135"/>
      <c r="O1226" s="27">
        <f>SUM(O1214:O1225)</f>
        <v>0</v>
      </c>
      <c r="P1226" s="27">
        <f>SUM(P1214:P1225)</f>
        <v>0</v>
      </c>
    </row>
    <row r="1227" spans="1:16" s="13" customFormat="1" ht="11.25" x14ac:dyDescent="0.2">
      <c r="A1227" s="3" t="s">
        <v>1</v>
      </c>
      <c r="B1227" s="2"/>
      <c r="C1227" s="2"/>
      <c r="D1227" s="2"/>
      <c r="E1227" s="2"/>
      <c r="F1227" s="2"/>
      <c r="G1227" s="2"/>
      <c r="H1227" s="2"/>
      <c r="I1227" s="2"/>
      <c r="J1227" s="2"/>
      <c r="K1227" s="2"/>
      <c r="L1227" s="2"/>
      <c r="M1227" s="2"/>
      <c r="N1227" s="2"/>
      <c r="O1227" s="2"/>
      <c r="P1227" s="2"/>
    </row>
    <row r="1228" spans="1:16" s="1" customFormat="1" ht="14.25" customHeight="1" x14ac:dyDescent="0.2">
      <c r="A1228" s="1136" t="s">
        <v>133</v>
      </c>
      <c r="B1228" s="1137"/>
      <c r="C1228" s="1137"/>
      <c r="D1228" s="1137" t="s">
        <v>134</v>
      </c>
      <c r="E1228" s="1137"/>
      <c r="F1228" s="94" t="str">
        <f>IF(IF(G1226=0,"",'päd.Personal - Leitung'!$F$40)=0,"",IF(G1226=0,"",'päd.Personal - Leitung'!$F$40))</f>
        <v/>
      </c>
      <c r="G1228" s="77" t="s">
        <v>135</v>
      </c>
      <c r="H1228" s="96" t="str">
        <f>IF(IF(G1226=0,"",'päd.Personal - Leitung'!$H$40)=0,"",IF(G1226=0,"",'päd.Personal - Leitung'!$H$40))</f>
        <v/>
      </c>
      <c r="I1228" s="73"/>
      <c r="J1228" s="194" t="s">
        <v>160</v>
      </c>
      <c r="K1228" s="194" t="str">
        <f>$K$40</f>
        <v>2021</v>
      </c>
      <c r="L1228" s="194" t="str">
        <f>$L$40</f>
        <v>anteilig 2021</v>
      </c>
      <c r="M1228" s="1138" t="s">
        <v>140</v>
      </c>
      <c r="N1228" s="1138"/>
      <c r="O1228" s="1139"/>
      <c r="P1228" s="27">
        <f>ROUND(IF(F1228="",IF(E1232="",0,(E1232*H1232/K1232)/L1195*L1196),G1226*F1228*H1228/1000),2)</f>
        <v>0</v>
      </c>
    </row>
    <row r="1229" spans="1:16" s="1" customFormat="1" ht="15" customHeight="1" x14ac:dyDescent="0.2">
      <c r="A1229" s="1140" t="s">
        <v>145</v>
      </c>
      <c r="B1229" s="1141"/>
      <c r="C1229" s="1141"/>
      <c r="D1229" s="18"/>
      <c r="E1229" s="107" t="s">
        <v>135</v>
      </c>
      <c r="F1229" s="95" t="str">
        <f>IF(IF(G1226=0,"",'päd.Personal - Leitung'!$F$41)=0,"",IF(G1226=0,"",'päd.Personal - Leitung'!$F$41))</f>
        <v/>
      </c>
      <c r="G1229" s="48"/>
      <c r="H1229" s="47"/>
      <c r="I1229" s="48"/>
      <c r="J1229" s="195" t="s">
        <v>158</v>
      </c>
      <c r="K1229" s="198">
        <f>$K$41</f>
        <v>4837.5</v>
      </c>
      <c r="L1229" s="197">
        <f>IF(L1195="",K1229,K1229/L1195*L1196)</f>
        <v>4837.5</v>
      </c>
      <c r="M1229" s="1138" t="s">
        <v>139</v>
      </c>
      <c r="N1229" s="1138"/>
      <c r="O1229" s="1139"/>
      <c r="P1229" s="27">
        <f>ROUND(IF(F1229="",0,G1226*F1229/1000),2)</f>
        <v>0</v>
      </c>
    </row>
    <row r="1230" spans="1:16" s="1" customFormat="1" ht="15.75" customHeight="1" x14ac:dyDescent="0.2">
      <c r="A1230" s="1142" t="s">
        <v>141</v>
      </c>
      <c r="B1230" s="1143"/>
      <c r="C1230" s="1143"/>
      <c r="D1230" s="1144" t="s">
        <v>143</v>
      </c>
      <c r="E1230" s="1144"/>
      <c r="F1230" s="1145" t="str">
        <f>IF(IF(G1226=0,"",'päd.Personal - Leitung'!$F$42)=0,"",IF(G1226=0,"",'päd.Personal - Leitung'!$F$42))</f>
        <v/>
      </c>
      <c r="G1230" s="1145"/>
      <c r="H1230" s="72"/>
      <c r="I1230" s="18"/>
      <c r="J1230" s="195" t="s">
        <v>159</v>
      </c>
      <c r="K1230" s="197">
        <f>$K$42</f>
        <v>6700</v>
      </c>
      <c r="L1230" s="197">
        <f>IF(L1195="",K1230,K1230/L1195*L1196)</f>
        <v>6700</v>
      </c>
      <c r="M1230" s="1138" t="s">
        <v>141</v>
      </c>
      <c r="N1230" s="1138"/>
      <c r="O1230" s="1139"/>
      <c r="P1230" s="23">
        <f>ROUND(IF(F1230="",0,IF(G1226=0,0,F1230/L1195*L1196)),2)</f>
        <v>0</v>
      </c>
    </row>
    <row r="1231" spans="1:16" s="1" customFormat="1" ht="14.25" customHeight="1" x14ac:dyDescent="0.2">
      <c r="A1231" s="18"/>
      <c r="B1231" s="18"/>
      <c r="C1231" s="18"/>
      <c r="D1231" s="18"/>
      <c r="E1231" s="18"/>
      <c r="F1231" s="18"/>
      <c r="G1231" s="18"/>
      <c r="H1231" s="18"/>
      <c r="I1231" s="18"/>
      <c r="J1231" s="18"/>
      <c r="K1231" s="74"/>
      <c r="L1231" s="82"/>
      <c r="M1231" s="1127" t="s">
        <v>146</v>
      </c>
      <c r="N1231" s="1127"/>
      <c r="O1231" s="1128"/>
      <c r="P1231" s="23">
        <f>ROUND(IF(G1226=0,0,$P$87),2)</f>
        <v>0</v>
      </c>
    </row>
    <row r="1232" spans="1:16" s="1" customFormat="1" ht="14.25" customHeight="1" x14ac:dyDescent="0.2">
      <c r="A1232" s="1129" t="s">
        <v>142</v>
      </c>
      <c r="B1232" s="1130"/>
      <c r="C1232" s="126" t="s">
        <v>136</v>
      </c>
      <c r="D1232" s="179" t="s">
        <v>137</v>
      </c>
      <c r="E1232" s="1131" t="str">
        <f>IF(IF(G1226=0,"",'päd.Personal - Leitung'!$E$44)=0,"",IF(G1226=0,"",'päd.Personal - Leitung'!$E$44))</f>
        <v/>
      </c>
      <c r="F1232" s="1131"/>
      <c r="G1232" s="83" t="s">
        <v>138</v>
      </c>
      <c r="H1232" s="97" t="str">
        <f>IF(IF(G1226=0,"",'päd.Personal - Leitung'!$H$44)=0,"",IF(G1226=0,"",'päd.Personal - Leitung'!$H$44))</f>
        <v/>
      </c>
      <c r="I1232" s="1132" t="s">
        <v>144</v>
      </c>
      <c r="J1232" s="1132"/>
      <c r="K1232" s="98" t="str">
        <f>IF(IF(G1226=0,"",'päd.Personal - Leitung'!$K$44)=0,"",IF(G1226=0,"",'päd.Personal - Leitung'!$K$44))</f>
        <v/>
      </c>
      <c r="L1232" s="29"/>
      <c r="M1232" s="29"/>
      <c r="N1232" s="29"/>
      <c r="O1232" s="28" t="s">
        <v>0</v>
      </c>
      <c r="P1232" s="27">
        <f>P1226+SUM(P1228:P1231)</f>
        <v>0</v>
      </c>
    </row>
    <row r="1233" spans="1:16" s="12" customFormat="1" ht="13.5" customHeight="1" x14ac:dyDescent="0.2">
      <c r="A1233" s="1178" t="s">
        <v>18</v>
      </c>
      <c r="B1233" s="1178"/>
      <c r="C1233" s="1178"/>
      <c r="D1233" s="1179" t="str">
        <f>IF($D$1="","",$D$1)</f>
        <v/>
      </c>
      <c r="E1233" s="1179"/>
      <c r="F1233" s="1179"/>
      <c r="G1233" s="1179"/>
      <c r="H1233" s="1179"/>
      <c r="I1233" s="1179"/>
      <c r="J1233" s="1179"/>
      <c r="K1233" s="1179"/>
      <c r="L1233" s="1179"/>
      <c r="M1233" s="1179"/>
      <c r="N1233" s="1179"/>
    </row>
    <row r="1234" spans="1:16" s="12" customFormat="1" ht="15" customHeight="1" x14ac:dyDescent="0.2">
      <c r="A1234" s="1178" t="s">
        <v>17</v>
      </c>
      <c r="B1234" s="1178"/>
      <c r="C1234" s="1178" t="s">
        <v>15</v>
      </c>
      <c r="D1234" s="1179" t="str">
        <f>IF($D$2="","",$D$2)</f>
        <v/>
      </c>
      <c r="E1234" s="1179"/>
      <c r="F1234" s="1179"/>
      <c r="G1234" s="1179"/>
      <c r="H1234" s="1179"/>
      <c r="I1234" s="1179"/>
      <c r="J1234" s="1179"/>
      <c r="K1234" s="1179"/>
      <c r="L1234" s="1179"/>
      <c r="M1234" s="1179"/>
      <c r="N1234" s="1179"/>
    </row>
    <row r="1235" spans="1:16" s="12" customFormat="1" ht="15" customHeight="1" x14ac:dyDescent="0.2">
      <c r="A1235" s="1178" t="s">
        <v>16</v>
      </c>
      <c r="B1235" s="1178"/>
      <c r="C1235" s="1178" t="s">
        <v>15</v>
      </c>
      <c r="D1235" s="1179" t="str">
        <f>IF($D$3="","",$D$3)</f>
        <v/>
      </c>
      <c r="E1235" s="1179"/>
      <c r="F1235" s="1179"/>
      <c r="G1235" s="1179"/>
      <c r="H1235" s="1179"/>
      <c r="I1235" s="1179"/>
      <c r="J1235" s="1179"/>
      <c r="K1235" s="1178" t="s">
        <v>103</v>
      </c>
      <c r="L1235" s="1178"/>
      <c r="M1235" s="1178"/>
      <c r="N1235" s="41" t="str">
        <f>IF($N$3="","",$N$3)</f>
        <v/>
      </c>
    </row>
    <row r="1236" spans="1:16" s="13" customFormat="1" ht="11.25" x14ac:dyDescent="0.2">
      <c r="A1236" s="1182"/>
      <c r="B1236" s="1182"/>
      <c r="C1236" s="1182"/>
      <c r="D1236" s="1183"/>
      <c r="E1236" s="1183"/>
      <c r="F1236" s="1183"/>
      <c r="G1236" s="1183"/>
      <c r="H1236" s="1183"/>
      <c r="I1236" s="1183"/>
      <c r="J1236" s="1183"/>
      <c r="K1236" s="11"/>
      <c r="L1236" s="11"/>
      <c r="M1236" s="11"/>
      <c r="N1236" s="11"/>
      <c r="O1236" s="11"/>
      <c r="P1236" s="11"/>
    </row>
    <row r="1237" spans="1:16" s="15" customFormat="1" ht="13.5" customHeight="1" x14ac:dyDescent="0.2">
      <c r="A1237" s="1177" t="s">
        <v>166</v>
      </c>
      <c r="B1237" s="1177"/>
      <c r="C1237" s="1177"/>
      <c r="D1237" s="1177"/>
      <c r="E1237" s="1177"/>
      <c r="F1237" s="1177"/>
      <c r="G1237" s="1177"/>
      <c r="H1237" s="1177"/>
      <c r="I1237" s="1177"/>
      <c r="J1237" s="1177"/>
      <c r="K1237" s="9"/>
      <c r="L1237" s="9"/>
      <c r="M1237" s="9"/>
      <c r="N1237" s="59" t="s">
        <v>154</v>
      </c>
      <c r="O1237" s="191">
        <f>$O$5</f>
        <v>2022</v>
      </c>
      <c r="P1237" s="59" t="s">
        <v>154</v>
      </c>
    </row>
    <row r="1238" spans="1:16" s="10" customFormat="1" ht="13.5" customHeight="1" x14ac:dyDescent="0.25">
      <c r="B1238" s="32"/>
      <c r="C1238" s="32"/>
      <c r="D1238" s="5" t="s">
        <v>62</v>
      </c>
      <c r="E1238" s="31"/>
      <c r="F1238" s="31"/>
      <c r="G1238" s="31"/>
      <c r="H1238" s="31"/>
      <c r="I1238" s="26"/>
      <c r="J1238" s="1174" t="s">
        <v>14</v>
      </c>
      <c r="K1238" s="1174"/>
      <c r="L1238" s="180"/>
      <c r="N1238" s="84">
        <f>IF(L1240="","",L1240)</f>
        <v>0</v>
      </c>
      <c r="O1238" s="58" t="str">
        <f>$O$6</f>
        <v>Jan                Jul</v>
      </c>
      <c r="P1238" s="85">
        <f>IF(N1243="","",N1243)</f>
        <v>0</v>
      </c>
    </row>
    <row r="1239" spans="1:16" s="7" customFormat="1" ht="13.5" customHeight="1" x14ac:dyDescent="0.25">
      <c r="A1239" s="1180" t="s">
        <v>71</v>
      </c>
      <c r="B1239" s="1180"/>
      <c r="C1239" s="1180"/>
      <c r="D1239" s="1184"/>
      <c r="E1239" s="1184"/>
      <c r="F1239" s="1184"/>
      <c r="G1239" s="1184"/>
      <c r="H1239" s="1184"/>
      <c r="I1239" s="1184"/>
      <c r="J1239" s="1174" t="s">
        <v>104</v>
      </c>
      <c r="K1239" s="1174"/>
      <c r="L1239" s="145"/>
      <c r="N1239" s="85">
        <f>IF(N1238="","",N1238)</f>
        <v>0</v>
      </c>
      <c r="O1239" s="58" t="str">
        <f>$O$7</f>
        <v>Feb              Aug</v>
      </c>
      <c r="P1239" s="85">
        <f>IF(P1238="","",P1238)</f>
        <v>0</v>
      </c>
    </row>
    <row r="1240" spans="1:16" s="1" customFormat="1" ht="13.5" customHeight="1" x14ac:dyDescent="0.2">
      <c r="A1240" s="1180" t="s">
        <v>13</v>
      </c>
      <c r="B1240" s="1180"/>
      <c r="C1240" s="1180"/>
      <c r="D1240" s="1181"/>
      <c r="E1240" s="1181"/>
      <c r="F1240" s="1181"/>
      <c r="G1240" s="1181"/>
      <c r="H1240" s="1181"/>
      <c r="I1240" s="1181"/>
      <c r="J1240" s="1174" t="s">
        <v>164</v>
      </c>
      <c r="K1240" s="1174"/>
      <c r="L1240" s="145">
        <f>IF((L1241+L1242)&gt;L1239,0,L1239-L1241-L1242)</f>
        <v>0</v>
      </c>
      <c r="N1240" s="85">
        <f>IF(N1239="","",N1239)</f>
        <v>0</v>
      </c>
      <c r="O1240" s="58" t="str">
        <f>$O$8</f>
        <v>Mrz              Sep</v>
      </c>
      <c r="P1240" s="85">
        <f>IF(P1239="","",P1239)</f>
        <v>0</v>
      </c>
    </row>
    <row r="1241" spans="1:16" s="1" customFormat="1" ht="13.5" customHeight="1" x14ac:dyDescent="0.2">
      <c r="A1241" s="1180" t="s">
        <v>12</v>
      </c>
      <c r="B1241" s="1180"/>
      <c r="C1241" s="1180"/>
      <c r="D1241" s="1181"/>
      <c r="E1241" s="1181"/>
      <c r="F1241" s="1181"/>
      <c r="G1241" s="1181"/>
      <c r="H1241" s="1181"/>
      <c r="I1241" s="1181"/>
      <c r="J1241" s="1174" t="s">
        <v>165</v>
      </c>
      <c r="K1241" s="1174"/>
      <c r="L1241" s="145"/>
      <c r="N1241" s="85">
        <f>IF(N1240="","",N1240)</f>
        <v>0</v>
      </c>
      <c r="O1241" s="58" t="str">
        <f>$O$9</f>
        <v>Apr               Okt</v>
      </c>
      <c r="P1241" s="85">
        <f t="shared" ref="P1241:P1243" si="140">IF(P1240="","",P1240)</f>
        <v>0</v>
      </c>
    </row>
    <row r="1242" spans="1:16" s="1" customFormat="1" ht="13.5" customHeight="1" x14ac:dyDescent="0.2">
      <c r="A1242" s="1180" t="s">
        <v>19</v>
      </c>
      <c r="B1242" s="1180"/>
      <c r="C1242" s="1180"/>
      <c r="D1242" s="1181"/>
      <c r="E1242" s="1181"/>
      <c r="F1242" s="1181"/>
      <c r="G1242" s="1181"/>
      <c r="H1242" s="1181"/>
      <c r="I1242" s="1181"/>
      <c r="J1242" s="1174" t="s">
        <v>252</v>
      </c>
      <c r="K1242" s="1174"/>
      <c r="L1242" s="145"/>
      <c r="M1242" s="92"/>
      <c r="N1242" s="85">
        <f>IF(N1241="","",N1241)</f>
        <v>0</v>
      </c>
      <c r="O1242" s="58" t="str">
        <f>$O$10</f>
        <v>Mai               Nov</v>
      </c>
      <c r="P1242" s="85">
        <f t="shared" si="140"/>
        <v>0</v>
      </c>
    </row>
    <row r="1243" spans="1:16" s="1" customFormat="1" ht="13.5" customHeight="1" x14ac:dyDescent="0.2">
      <c r="B1243" s="8"/>
      <c r="C1243" s="121" t="s">
        <v>162</v>
      </c>
      <c r="D1243" s="1175"/>
      <c r="E1243" s="1175"/>
      <c r="F1243" s="1176" t="s">
        <v>106</v>
      </c>
      <c r="G1243" s="1176"/>
      <c r="H1243" s="1186"/>
      <c r="I1243" s="1186"/>
      <c r="J1243" s="1174" t="s">
        <v>97</v>
      </c>
      <c r="K1243" s="1174"/>
      <c r="L1243" s="17" t="str">
        <f>IF(IF((COUNTIF(B1258:B1269,"&gt;0"))=0,0,(COUNTIF(B1258:B1269,"&gt;0")))&gt;Grundlagen!$C$24,Grundlagen!$C$24,IF((COUNTIF(B1258:B1269,"&gt;0"))=0,"",(COUNTIF(B1258:B1269,"&gt;0"))))</f>
        <v/>
      </c>
      <c r="N1243" s="85">
        <f>IF(N1242="","",N1242)</f>
        <v>0</v>
      </c>
      <c r="O1243" s="58" t="str">
        <f>'päd.Personal - Leitung'!$O$11</f>
        <v>Jun               Dez</v>
      </c>
      <c r="P1243" s="85">
        <f t="shared" si="140"/>
        <v>0</v>
      </c>
    </row>
    <row r="1244" spans="1:16" s="1" customFormat="1" ht="13.5" customHeight="1" x14ac:dyDescent="0.2">
      <c r="I1244" s="6"/>
      <c r="L1244" s="147" t="str">
        <f>IF((SUM(F1246:F1249))=0,"",IF(P1244&gt;L1240,L1240,IF(L1240="","",IF(L1243="","",P1244))))</f>
        <v/>
      </c>
      <c r="O1244" s="174" t="s">
        <v>251</v>
      </c>
      <c r="P1244" s="175">
        <f>IF(L1243="",0,((IF(SUMIF(B1258,"&gt;0"),N1238,0))+(IF(SUMIF(B1259,"&gt;0"),N1239,0))+(IF(SUMIF(B1260,"&gt;0"),N1240,0))+(IF(SUMIF(B1261,"&gt;0"),N1241,0))+(IF(SUMIF(B1262,"&gt;0"),N1242,0))+(IF(SUMIF(B1263,"&gt;0"),N1243,0))+(IF(SUMIF(B1264,"&gt;0"),P1238,0))+(IF(SUMIF(B1265,"&gt;0"),P1239,0))+(IF(SUMIF(B1266,"&gt;0"),P1240,0))+(IF(SUMIF(B1267,"&gt;0"),P1241,0))+(IF(SUMIF(B1268,"&gt;0"),P1242,0))+(IF(SUMIF(B1269,"&gt;0"),P1243,0)))/Grundlagen!$C$24)</f>
        <v>0</v>
      </c>
    </row>
    <row r="1245" spans="1:16" s="52" customFormat="1" ht="13.5" customHeight="1" x14ac:dyDescent="0.2">
      <c r="A1245" s="61" t="s">
        <v>148</v>
      </c>
      <c r="B1245" s="1168" t="s">
        <v>149</v>
      </c>
      <c r="C1245" s="1168"/>
      <c r="D1245" s="62" t="s">
        <v>150</v>
      </c>
      <c r="E1245" s="63" t="s">
        <v>151</v>
      </c>
      <c r="F1245" s="64" t="str">
        <f>CONCATENATE("Entg. ",N1235," h/Wo")</f>
        <v>Entg.  h/Wo</v>
      </c>
      <c r="G1245" s="65" t="s">
        <v>152</v>
      </c>
      <c r="H1245" s="65" t="s">
        <v>153</v>
      </c>
      <c r="K1245" s="1169" t="str">
        <f>CONCATENATE("Zuschläge / Zulagen für ",N1235,"h/Wo")</f>
        <v>Zuschläge / Zulagen für h/Wo</v>
      </c>
      <c r="L1245" s="1169"/>
      <c r="M1245" s="66" t="str">
        <f>IF(A1246="","",A1246)</f>
        <v>Jan 2022</v>
      </c>
      <c r="N1245" s="66" t="str">
        <f>IF(A1247="","",A1247)</f>
        <v/>
      </c>
      <c r="O1245" s="66" t="str">
        <f>IF(A1248="","",A1248)</f>
        <v/>
      </c>
      <c r="P1245" s="66" t="str">
        <f>IF(A1249="","",A1249)</f>
        <v/>
      </c>
    </row>
    <row r="1246" spans="1:16" s="52" customFormat="1" ht="13.5" customHeight="1" x14ac:dyDescent="0.25">
      <c r="A1246" s="54" t="str">
        <f>A1258</f>
        <v>Jan 2022</v>
      </c>
      <c r="B1246" s="1170" t="str">
        <f>IF($D$3="","",$D$3)</f>
        <v/>
      </c>
      <c r="C1246" s="1171"/>
      <c r="D1246" s="181"/>
      <c r="E1246" s="181"/>
      <c r="F1246" s="87"/>
      <c r="G1246" s="56">
        <f>IF(N1235="",0,F1246/N1235/4.348)</f>
        <v>0</v>
      </c>
      <c r="H1246" s="53">
        <f>IF(G1246=0,0,M1251)</f>
        <v>0</v>
      </c>
      <c r="K1246" s="1146"/>
      <c r="L1246" s="1146"/>
      <c r="M1246" s="172"/>
      <c r="N1246" s="172"/>
      <c r="O1246" s="172"/>
      <c r="P1246" s="172"/>
    </row>
    <row r="1247" spans="1:16" s="52" customFormat="1" ht="13.5" customHeight="1" x14ac:dyDescent="0.25">
      <c r="A1247" s="55"/>
      <c r="B1247" s="1172" t="str">
        <f>IF(A1247="","",B1246)</f>
        <v/>
      </c>
      <c r="C1247" s="1173"/>
      <c r="D1247" s="181"/>
      <c r="E1247" s="181"/>
      <c r="F1247" s="87"/>
      <c r="G1247" s="56">
        <f>IF(N1235="",0,F1247/N1235/4.348)</f>
        <v>0</v>
      </c>
      <c r="H1247" s="53">
        <f>IF(G1247=0,0,N1251)</f>
        <v>0</v>
      </c>
      <c r="K1247" s="1146"/>
      <c r="L1247" s="1146"/>
      <c r="M1247" s="172"/>
      <c r="N1247" s="172"/>
      <c r="O1247" s="172"/>
      <c r="P1247" s="172"/>
    </row>
    <row r="1248" spans="1:16" s="52" customFormat="1" ht="13.5" customHeight="1" x14ac:dyDescent="0.25">
      <c r="A1248" s="55"/>
      <c r="B1248" s="1172" t="str">
        <f>IF(A1248="","",B1247)</f>
        <v/>
      </c>
      <c r="C1248" s="1173"/>
      <c r="D1248" s="181"/>
      <c r="E1248" s="181"/>
      <c r="F1248" s="87"/>
      <c r="G1248" s="56">
        <f>IF(N1235="",0,F1248/N1235/4.348)</f>
        <v>0</v>
      </c>
      <c r="H1248" s="53">
        <f>IF(G1248=0,0,O1251)</f>
        <v>0</v>
      </c>
      <c r="K1248" s="1146"/>
      <c r="L1248" s="1146"/>
      <c r="M1248" s="172"/>
      <c r="N1248" s="172"/>
      <c r="O1248" s="172"/>
      <c r="P1248" s="172"/>
    </row>
    <row r="1249" spans="1:16" s="52" customFormat="1" ht="13.5" customHeight="1" x14ac:dyDescent="0.25">
      <c r="A1249" s="55"/>
      <c r="B1249" s="1172" t="str">
        <f>IF(A1249="","",B1248)</f>
        <v/>
      </c>
      <c r="C1249" s="1173"/>
      <c r="D1249" s="181"/>
      <c r="E1249" s="181"/>
      <c r="F1249" s="87"/>
      <c r="G1249" s="56">
        <f>IF(N1235="",0,F1249/N1235/4.348)</f>
        <v>0</v>
      </c>
      <c r="H1249" s="53">
        <f>IF(G1249=0,0,P1251)</f>
        <v>0</v>
      </c>
      <c r="K1249" s="1146"/>
      <c r="L1249" s="1146"/>
      <c r="M1249" s="172"/>
      <c r="N1249" s="172"/>
      <c r="O1249" s="172"/>
      <c r="P1249" s="172"/>
    </row>
    <row r="1250" spans="1:16" s="52" customFormat="1" ht="13.5" customHeight="1" x14ac:dyDescent="0.25">
      <c r="B1250" s="1167" t="s">
        <v>157</v>
      </c>
      <c r="C1250" s="1167"/>
      <c r="E1250" s="1167" t="s">
        <v>156</v>
      </c>
      <c r="F1250" s="1167"/>
      <c r="J1250" s="69"/>
      <c r="K1250" s="1146"/>
      <c r="L1250" s="1146"/>
      <c r="M1250" s="172"/>
      <c r="N1250" s="172"/>
      <c r="O1250" s="172"/>
      <c r="P1250" s="172"/>
    </row>
    <row r="1251" spans="1:16" s="52" customFormat="1" ht="13.5" customHeight="1" x14ac:dyDescent="0.25">
      <c r="A1251" s="70" t="s">
        <v>167</v>
      </c>
      <c r="B1251" s="67"/>
      <c r="C1251" s="99" t="str">
        <f>IF(C1207="","",C1207)</f>
        <v/>
      </c>
      <c r="D1251" s="70" t="s">
        <v>167</v>
      </c>
      <c r="E1251" s="67"/>
      <c r="F1251" s="99" t="str">
        <f>IF(F1207="","",F1207)</f>
        <v/>
      </c>
      <c r="J1251" s="68"/>
      <c r="M1251" s="173">
        <f>SUM(M1246:M1250)</f>
        <v>0</v>
      </c>
      <c r="N1251" s="173">
        <f t="shared" ref="N1251:P1251" si="141">SUM(N1246:N1250)</f>
        <v>0</v>
      </c>
      <c r="O1251" s="173">
        <f t="shared" si="141"/>
        <v>0</v>
      </c>
      <c r="P1251" s="173">
        <f t="shared" si="141"/>
        <v>0</v>
      </c>
    </row>
    <row r="1252" spans="1:16" s="52" customFormat="1" ht="13.5" customHeight="1" x14ac:dyDescent="0.2">
      <c r="A1252" s="60" t="s">
        <v>155</v>
      </c>
    </row>
    <row r="1253" spans="1:16" s="1" customFormat="1" ht="14.25" customHeight="1" x14ac:dyDescent="0.2">
      <c r="A1253" s="1147"/>
      <c r="B1253" s="1149" t="s">
        <v>9</v>
      </c>
      <c r="C1253" s="1150"/>
      <c r="D1253" s="1150"/>
      <c r="E1253" s="1150"/>
      <c r="F1253" s="1150"/>
      <c r="G1253" s="1151"/>
      <c r="H1253" s="1152" t="s">
        <v>119</v>
      </c>
      <c r="I1253" s="1153"/>
      <c r="J1253" s="1153"/>
      <c r="K1253" s="1153"/>
      <c r="L1253" s="1153"/>
      <c r="M1253" s="1153"/>
      <c r="N1253" s="1153"/>
      <c r="O1253" s="33"/>
      <c r="P1253" s="1154" t="s">
        <v>0</v>
      </c>
    </row>
    <row r="1254" spans="1:16" s="1" customFormat="1" ht="14.25" customHeight="1" x14ac:dyDescent="0.2">
      <c r="A1254" s="1148"/>
      <c r="B1254" s="1157" t="s">
        <v>117</v>
      </c>
      <c r="C1254" s="124" t="s">
        <v>115</v>
      </c>
      <c r="D1254" s="1159" t="s">
        <v>277</v>
      </c>
      <c r="E1254" s="1161" t="s">
        <v>147</v>
      </c>
      <c r="F1254" s="127" t="s">
        <v>7</v>
      </c>
      <c r="G1254" s="1162" t="s">
        <v>6</v>
      </c>
      <c r="H1254" s="1161" t="s">
        <v>129</v>
      </c>
      <c r="I1254" s="1161" t="s">
        <v>5</v>
      </c>
      <c r="J1254" s="1161" t="s">
        <v>4</v>
      </c>
      <c r="K1254" s="1161" t="s">
        <v>3</v>
      </c>
      <c r="L1254" s="1161" t="s">
        <v>121</v>
      </c>
      <c r="M1254" s="1161" t="s">
        <v>122</v>
      </c>
      <c r="N1254" s="1161" t="s">
        <v>123</v>
      </c>
      <c r="O1254" s="1160" t="s">
        <v>114</v>
      </c>
      <c r="P1254" s="1155"/>
    </row>
    <row r="1255" spans="1:16" s="1" customFormat="1" ht="14.25" customHeight="1" x14ac:dyDescent="0.2">
      <c r="A1255" s="1148"/>
      <c r="B1255" s="1157"/>
      <c r="C1255" s="21" t="str">
        <f>IF(C1251="","",C1251)</f>
        <v/>
      </c>
      <c r="D1255" s="1160"/>
      <c r="E1255" s="1161"/>
      <c r="F1255" s="1165" t="str">
        <f>IF(H1246=0,"","siehe Zuschläge / Zulagen")</f>
        <v/>
      </c>
      <c r="G1255" s="1162"/>
      <c r="H1255" s="1164" t="s">
        <v>127</v>
      </c>
      <c r="I1255" s="1164"/>
      <c r="J1255" s="1164"/>
      <c r="K1255" s="1164"/>
      <c r="L1255" s="1164"/>
      <c r="M1255" s="1164"/>
      <c r="N1255" s="1164"/>
      <c r="O1255" s="1160"/>
      <c r="P1255" s="1155"/>
    </row>
    <row r="1256" spans="1:16" s="1" customFormat="1" x14ac:dyDescent="0.2">
      <c r="A1256" s="1148"/>
      <c r="B1256" s="1157"/>
      <c r="C1256" s="122" t="s">
        <v>70</v>
      </c>
      <c r="D1256" s="1160"/>
      <c r="E1256" s="1161"/>
      <c r="F1256" s="1165"/>
      <c r="G1256" s="1162"/>
      <c r="H1256" s="43" t="s">
        <v>128</v>
      </c>
      <c r="I1256" s="43" t="s">
        <v>255</v>
      </c>
      <c r="J1256" s="43" t="s">
        <v>256</v>
      </c>
      <c r="K1256" s="43" t="s">
        <v>257</v>
      </c>
      <c r="L1256" s="43"/>
      <c r="M1256" s="43"/>
      <c r="N1256" s="43" t="s">
        <v>254</v>
      </c>
      <c r="O1256" s="1160"/>
      <c r="P1256" s="1155"/>
    </row>
    <row r="1257" spans="1:16" s="1" customFormat="1" x14ac:dyDescent="0.2">
      <c r="A1257" s="1148"/>
      <c r="B1257" s="1158"/>
      <c r="C1257" s="21" t="str">
        <f>IF(F1251="","",F1251)</f>
        <v/>
      </c>
      <c r="D1257" s="51"/>
      <c r="E1257" s="51"/>
      <c r="F1257" s="1166"/>
      <c r="G1257" s="1163"/>
      <c r="H1257" s="93"/>
      <c r="I1257" s="139">
        <f>$I$69</f>
        <v>0</v>
      </c>
      <c r="J1257" s="139">
        <f>$J$69</f>
        <v>0</v>
      </c>
      <c r="K1257" s="44">
        <f>$K$69</f>
        <v>0</v>
      </c>
      <c r="L1257" s="21"/>
      <c r="M1257" s="21"/>
      <c r="N1257" s="139">
        <f>$N$69</f>
        <v>0</v>
      </c>
      <c r="O1257" s="21">
        <f>O1213</f>
        <v>0</v>
      </c>
      <c r="P1257" s="1156"/>
    </row>
    <row r="1258" spans="1:16" s="1" customFormat="1" x14ac:dyDescent="0.2">
      <c r="A1258" s="100" t="str">
        <f>$A$26</f>
        <v>Jan 2022</v>
      </c>
      <c r="B1258" s="24">
        <f>ROUND(IF(N1238=0,0,(LOOKUP(2,1/(A1246:A1249=A1258),G1246:G1249))*N1238*4.348),2)</f>
        <v>0</v>
      </c>
      <c r="C1258" s="23">
        <f>ROUND(IFERROR(((LOOKUP(2,1/(B1251=A1258),((SUM(B1264:B1266)+SUM(F1264:F1266))/3)*C1251))),0)+IFERROR(((LOOKUP(2,1/(E1251=A1258),(B1270+F1270)*F1251))),0),2)</f>
        <v>0</v>
      </c>
      <c r="D1258" s="23">
        <f>ROUND(IF(B1258=0,0,D1257/L1239*N1238),2)</f>
        <v>0</v>
      </c>
      <c r="E1258" s="23">
        <f>ROUND(IF(B1258=0,0,E1257/N1235*N1238),2)</f>
        <v>0</v>
      </c>
      <c r="F1258" s="24">
        <f>ROUND(IF(N1238=0,0,(LOOKUP(2,1/(A1246:A1249=A1258),H1246:H1249))/N1235*N1238),2)</f>
        <v>0</v>
      </c>
      <c r="G1258" s="27">
        <f>SUM(B1258+C1258+E1258+F1258)</f>
        <v>0</v>
      </c>
      <c r="H1258" s="76">
        <f>ROUND(IF((SUM(B1258:F1258))&gt;L1273,L1273*H1257,SUM(B1258:F1258)*H1257),2)</f>
        <v>0</v>
      </c>
      <c r="I1258" s="76">
        <f>ROUND(IF((SUM(B1258:F1258))&gt;L1274,L1274*I1257,SUM(B1258:F1258)*I1257),2)</f>
        <v>0</v>
      </c>
      <c r="J1258" s="76">
        <f>ROUND(IF((SUM(B1258:F1258))&gt;L1274,L1274*J1257,SUM(B1258:F1258)*J1257),2)</f>
        <v>0</v>
      </c>
      <c r="K1258" s="76">
        <f>ROUND(IF((SUM(B1258:F1258))&gt;L1273,L1273*K1257,SUM(B1258:F1258)*K1257),2)</f>
        <v>0</v>
      </c>
      <c r="L1258" s="76">
        <f>ROUND(IF((SUM(B1258:F1258))&gt;L1274,L1274*L1257,(SUM(B1258:F1258)-C1258)*L1257),2)</f>
        <v>0</v>
      </c>
      <c r="M1258" s="76">
        <f>ROUND(IF((SUM(B1258:F1258))&gt;L1274,L1274*M1257,(SUM(B1258:F1258)-C1258)*M1257),2)</f>
        <v>0</v>
      </c>
      <c r="N1258" s="76">
        <f>ROUND(IF((SUM(B1258:F1258))&gt;L1274,L1274*N1257,SUM(B1258:F1258)*N1257),2)</f>
        <v>0</v>
      </c>
      <c r="O1258" s="23">
        <f>ROUND(SUM(B1258+C1258+F1258)*O1257,2)</f>
        <v>0</v>
      </c>
      <c r="P1258" s="27">
        <f>SUM(G1258:O1258)</f>
        <v>0</v>
      </c>
    </row>
    <row r="1259" spans="1:16" s="1" customFormat="1" x14ac:dyDescent="0.2">
      <c r="A1259" s="100" t="str">
        <f>$A$27</f>
        <v>Feb 2022</v>
      </c>
      <c r="B1259" s="24">
        <f>ROUND(IF(N1239=0,0,IFERROR(((LOOKUP(2,1/(A1246:A1249=A1259),G1246:G1249))*N1239*4.348),B1258/N1239*N1239)),2)</f>
        <v>0</v>
      </c>
      <c r="C1259" s="23">
        <f>ROUND(IFERROR(((LOOKUP(2,1/(B1251=A1259),((SUM(B1264:B1266)+SUM(F1264:F1266))/3)*C1251))),0)+IFERROR(((LOOKUP(2,1/(E1251=A1259),(B1270+F1270)*F1251))),0),2)</f>
        <v>0</v>
      </c>
      <c r="D1259" s="23">
        <f>ROUND(IF(B1259=0,0,D1257/L1239*N1239),2)</f>
        <v>0</v>
      </c>
      <c r="E1259" s="23">
        <f>ROUND(IF(B1259=0,0,E1257/N1235*N1239),2)</f>
        <v>0</v>
      </c>
      <c r="F1259" s="24">
        <f>ROUND(IF(N1239=0,0,IFERROR(((LOOKUP(2,1/(A1246:A1249=A1259),H1246:H1249))/N1235*N1239),F1258/N1239*N1239)),2)</f>
        <v>0</v>
      </c>
      <c r="G1259" s="27">
        <f t="shared" ref="G1259:G1269" si="142">SUM(B1259+C1259+E1259+F1259)</f>
        <v>0</v>
      </c>
      <c r="H1259" s="76">
        <f>ROUND(IF(SUM(B1258:F1258)&lt;(L1273*1),IF((SUM(B1258:F1259))&gt;(L1273*2),(((L1273*2)-(SUM(B1258:F1259)-C1258))*H1257)+((SUM(B1259:F1259)-C1258)*H1257),SUM(B1259:F1259)*H1257),IF(SUM(B1258:F1259)&gt;(L1273*2),L1273*H1257,SUM(B1259:F1259)*H1257)),2)</f>
        <v>0</v>
      </c>
      <c r="I1259" s="76">
        <f>ROUND(IF(SUM(B1258:F1258)&lt;(L1274*1),IF((SUM(B1258:F1259))&gt;(L1274*2),(((L1274*2)-(SUM(B1258:F1259)-C1258))*I1257)+((SUM(B1259:F1259)-C1258)*I1257),SUM(B1259:F1259)*I1257),IF(SUM(B1258:F1259)&gt;(L1274*2),L1274*I1257,SUM(B1259:F1259)*I1257)),2)</f>
        <v>0</v>
      </c>
      <c r="J1259" s="76">
        <f>ROUND(IF(SUM(B1258:F1258)&lt;(L1274*1),IF((SUM(B1258:F1259))&gt;(L1274*2),(((L1274*2)-(SUM(B1258:F1259)-C1258))*J1257)+((SUM(B1259:F1259)-C1258)*J1257),SUM(B1259:F1259)*J1257),IF(SUM(B1258:F1259)&gt;(L1274*2),L1274*J1257,SUM(B1259:F1259)*J1257)),2)</f>
        <v>0</v>
      </c>
      <c r="K1259" s="76">
        <f>ROUND(IF(SUM(B1258:F1258)&lt;(L1273*1),IF((SUM(B1258:F1259))&gt;(L1273*2),(((L1273*2)-(SUM(B1258:F1259)-C1258))*K1257)+((SUM(B1259:F1259)-C1258)*K1257),SUM(B1259:F1259)*K1257),IF(SUM(B1258:F1259)&gt;(L1273*2),L1273*K1257,SUM(B1259:F1259)*K1257)),2)</f>
        <v>0</v>
      </c>
      <c r="L1259" s="76">
        <f>ROUND(IF(SUM(B1258:F1258)&lt;(L1274*1),IF((SUM(B1258:F1259))&gt;(L1274*2),(((L1274*2)-(SUM(B1258:F1259)-C1259))*L1257)+((SUM(B1259:F1259)-C1259)*L1257),(SUM(B1259:F1259)-C1259)*L1257),IF(SUM(B1258:F1259)&gt;(L1274*2),L1274*L1257,SUM(B1259:F1259)*L1257)),2)</f>
        <v>0</v>
      </c>
      <c r="M1259" s="76">
        <f>ROUND(IF(SUM(B1258:F1258)&lt;(L1274*1),IF((SUM(B1258:F1259))&gt;(L1274*2),(((L1274*2)-(SUM(B1258:F1259)-C1259))*M1257)+((SUM(B1259:F1259)-C1259)*M1257),(SUM(B1259:F1259)-C1259)*M1257),IF(SUM(B1258:F1259)&gt;(L1274*2),L1274*M1257,SUM(B1259:F1259)*M1257)),2)</f>
        <v>0</v>
      </c>
      <c r="N1259" s="76">
        <f>ROUND(IF(SUM(B1258:F1258)&lt;(L1274*1),IF((SUM(B1258:F1259))&gt;(L1274*2),(((L1274*2)-(SUM(B1258:F1259)-C1258))*N1257)+((SUM(B1259:F1259)-C1258)*N1257),SUM(B1259:F1259)*N1257),IF(SUM(B1258:F1259)&gt;(L1274*2),L1274*N1257,SUM(B1259:F1259)*N1257)),2)</f>
        <v>0</v>
      </c>
      <c r="O1259" s="23">
        <f>ROUND(SUM(B1259+C1259+F1259)*O1257,2)</f>
        <v>0</v>
      </c>
      <c r="P1259" s="27">
        <f>SUM(G1259:O1259)</f>
        <v>0</v>
      </c>
    </row>
    <row r="1260" spans="1:16" s="1" customFormat="1" x14ac:dyDescent="0.2">
      <c r="A1260" s="100" t="str">
        <f>$A$28</f>
        <v>Mrz 2022</v>
      </c>
      <c r="B1260" s="24">
        <f>ROUND(IF(N1240=0,0,IFERROR(((LOOKUP(2,1/(A1246:A1249=A1260),G1246:G1249))*N1240*4.348),B1259/N1240*N1240)),2)</f>
        <v>0</v>
      </c>
      <c r="C1260" s="23">
        <f>ROUND(IFERROR(((LOOKUP(2,1/(B1251=A1260),((SUM(B1264:B1266)+SUM(F1264:F1266))/3)*C1251))),0)+IFERROR(((LOOKUP(2,1/(E1251=A1260),(B1270+F1270)*F1251))),0),2)</f>
        <v>0</v>
      </c>
      <c r="D1260" s="23">
        <f>ROUND(IF(B1260=0,0,D1257/L1239*N1240),2)</f>
        <v>0</v>
      </c>
      <c r="E1260" s="23">
        <f>ROUND(IF(B1260=0,0,E1257/N1235*N1240),2)</f>
        <v>0</v>
      </c>
      <c r="F1260" s="24">
        <f>ROUND(IF(N1240=0,0,IFERROR(((LOOKUP(2,1/(A1246:A1249=A1260),H1246:H1249))/N1235*N1240),F1259/N1240*N1240)),2)</f>
        <v>0</v>
      </c>
      <c r="G1260" s="27">
        <f t="shared" si="142"/>
        <v>0</v>
      </c>
      <c r="H1260" s="76">
        <f>ROUND(IF(SUM(B1258:F1259)&lt;(L1273*2),IF((SUM(B1258:F1260))&gt;(L1273*3),(((L1273*3)-(SUM(B1258:F1260)-C1259))*H1257)+((SUM(B1260:F1260)-C1259)*H1257),SUM(B1260:F1260)*H1257),IF(SUM(B1258:F1260)&gt;(L1273*3),L1273*H1257,SUM(B1260:F1260)*H1257)),2)</f>
        <v>0</v>
      </c>
      <c r="I1260" s="76">
        <f>ROUND(IF(SUM(B1258:F1259)&lt;(L1274*2),IF((SUM(B1258:F1260))&gt;(L1274*3),(((L1274*3)-(SUM(B1258:F1260)-C1259))*I1257)+((SUM(B1260:F1260)-C1259)*I1257),SUM(B1260:F1260)*I1257),IF(SUM(B1258:F1260)&gt;(L1274*3),L1274*I1257,SUM(B1260:F1260)*I1257)),2)</f>
        <v>0</v>
      </c>
      <c r="J1260" s="76">
        <f>ROUND(IF(SUM(B1258:F1259)&lt;(L1274*2),IF((SUM(B1258:F1260))&gt;(L1274*3),(((L1274*3)-(SUM(B1258:F1260)-C1259))*J1257)+((SUM(B1260:F1260)-C1259)*J1257),SUM(B1260:F1260)*J1257),IF(SUM(B1258:F1260)&gt;(L1274*3),L1274*J1257,SUM(B1260:F1260)*J1257)),2)</f>
        <v>0</v>
      </c>
      <c r="K1260" s="76">
        <f>ROUND(IF(SUM(B1258:F1259)&lt;(L1273*2),IF((SUM(B1258:F1260))&gt;(L1273*3),(((L1273*3)-(SUM(B1258:F1260)-C1259))*K1257)+((SUM(B1260:F1260)-C1259)*K1257),SUM(B1260:F1260)*K1257),IF(SUM(B1258:F1260)&gt;(L1273*3),L1273*K1257,SUM(B1260:F1260)*K1257)),2)</f>
        <v>0</v>
      </c>
      <c r="L1260" s="76">
        <f>ROUND(IF(SUM(B1258:F1259)&lt;(L1274*2),IF((SUM(B1258:F1260))&gt;(L1274*3),(((L1274*3)-(SUM(B1258:F1260)-C1260))*L1257)+((SUM(B1260:F1260)-C1260)*L1257),(SUM(B1260:F1260)-C1260)*L1257),IF(SUM(B1258:F1260)&gt;(L1274*3),L1274*L1257,SUM(B1260:F1260)*L1257)),2)</f>
        <v>0</v>
      </c>
      <c r="M1260" s="76">
        <f>ROUND(IF(SUM(B1258:F1259)&lt;(L1274*2),IF((SUM(B1258:F1260))&gt;(L1274*3),(((L1274*3)-(SUM(B1258:F1260)-C1260))*M1257)+((SUM(B1260:F1260)-C1260)*M1257),(SUM(B1260:F1260)-C1260)*M1257),IF(SUM(B1258:F1260)&gt;(L1274*3),L1274*M1257,SUM(B1260:F1260)*M1257)),2)</f>
        <v>0</v>
      </c>
      <c r="N1260" s="76">
        <f>ROUND(IF(SUM(B1258:F1259)&lt;(L1274*2),IF((SUM(B1258:F1260))&gt;(L1274*3),(((L1274*3)-(SUM(B1258:F1260)-C1259))*N1257)+((SUM(B1260:F1260)-C1259)*N1257),SUM(B1260:F1260)*N1257),IF(SUM(B1258:F1260)&gt;(L1274*3),L1274*N1257,SUM(B1260:F1260)*N1257)),2)</f>
        <v>0</v>
      </c>
      <c r="O1260" s="23">
        <f>ROUND(SUM(B1260+C1260+F1260)*O1257,2)</f>
        <v>0</v>
      </c>
      <c r="P1260" s="27">
        <f t="shared" ref="P1260:P1269" si="143">SUM(G1260:O1260)</f>
        <v>0</v>
      </c>
    </row>
    <row r="1261" spans="1:16" s="1" customFormat="1" x14ac:dyDescent="0.2">
      <c r="A1261" s="100" t="str">
        <f>$A$29</f>
        <v>Apr 2022</v>
      </c>
      <c r="B1261" s="24">
        <f>ROUND(IF(N1241=0,0,IFERROR(((LOOKUP(2,1/(A1246:A1249=A1261),G1246:G1249))*N1241*4.348),B1260/N1241*N1241)),2)</f>
        <v>0</v>
      </c>
      <c r="C1261" s="23">
        <f>ROUND(IFERROR(((LOOKUP(2,1/(B1251=A1261),((SUM(B1264:B1266)+SUM(F1264:F1266))/3)*C1251))),0)+IFERROR(((LOOKUP(2,1/(E1251=A1261),(B1270+F1270)*F1251))),0),2)</f>
        <v>0</v>
      </c>
      <c r="D1261" s="23">
        <f>ROUND(IF(B1261=0,0,D1257/L1239*N1241),2)</f>
        <v>0</v>
      </c>
      <c r="E1261" s="23">
        <f>ROUND(IF(B1261=0,0,E1257/N1235*N1241),2)</f>
        <v>0</v>
      </c>
      <c r="F1261" s="24">
        <f>ROUND(IF(N1241=0,0,IFERROR(((LOOKUP(2,1/(A1246:A1249=A1261),H1246:H1249))/N1235*N1241),F1260/N1241*N1241)),2)</f>
        <v>0</v>
      </c>
      <c r="G1261" s="27">
        <f t="shared" si="142"/>
        <v>0</v>
      </c>
      <c r="H1261" s="76">
        <f>ROUND(IF(SUM(B1258:F1260)&lt;(L1273*3),IF((SUM(B1258:F1261))&gt;(L1273*4),(((L1273*4)-(SUM(B1258:F1261)-C1260))*H1257)+((SUM(B1261:F1261)-C1260)*H1257),SUM(B1261:F1261)*H1257),IF(SUM(B1258:F1261)&gt;(L1273*4),L1273*H1257,SUM(B1261:F1261)*H1257)),2)</f>
        <v>0</v>
      </c>
      <c r="I1261" s="76">
        <f>ROUND(IF(SUM(B1258:F1260)&lt;(L1274*3),IF((SUM(B1258:F1261))&gt;(L1274*4),(((L1274*4)-(SUM(B1258:F1261)-C1260))*I1257)+((SUM(B1261:F1261)-C1260)*I1257),SUM(B1261:F1261)*I1257),IF(SUM(B1258:F1261)&gt;(L1274*4),L1274*I1257,SUM(B1261:F1261)*I1257)),2)</f>
        <v>0</v>
      </c>
      <c r="J1261" s="76">
        <f>ROUND(IF(SUM(B1258:F1260)&lt;(L1274*3),IF((SUM(B1258:F1261))&gt;(L1274*4),(((L1274*4)-(SUM(B1258:F1261)-C1260))*J1257)+((SUM(B1261:F1261)-C1260)*J1257),SUM(B1261:F1261)*J1257),IF(SUM(B1258:F1261)&gt;(L1274*4),L1274*J1257,SUM(B1261:F1261)*J1257)),2)</f>
        <v>0</v>
      </c>
      <c r="K1261" s="76">
        <f>ROUND(IF(SUM(B1258:F1260)&lt;(L1273*3),IF((SUM(B1258:F1261))&gt;(L1273*4),(((L1273*4)-(SUM(B1258:F1261)-C1260))*K1257)+((SUM(B1261:F1261)-C1260)*K1257),SUM(B1261:F1261)*K1257),IF(SUM(B1258:F1261)&gt;(L1273*4),L1273*K1257,SUM(B1261:F1261)*K1257)),2)</f>
        <v>0</v>
      </c>
      <c r="L1261" s="76">
        <f>ROUND(IF(SUM(B1258:F1260)&lt;(L1274*3),IF((SUM(B1258:F1261))&gt;(L1274*4),(((L1274*4)-(SUM(B1258:F1261)-C1261))*L1257)+((SUM(B1261:F1261)-C1261)*L1257),(SUM(B1261:F1261)-C1261)*L1257),IF(SUM(B1258:F1261)&gt;(L1274*4),L1274*L1257,SUM(B1261:F1261)*L1257)),2)</f>
        <v>0</v>
      </c>
      <c r="M1261" s="76">
        <f>ROUND(IF(SUM(B1258:F1260)&lt;(L1274*3),IF((SUM(B1258:F1261))&gt;(L1274*4),(((L1274*4)-(SUM(B1258:F1261)-C1261))*M1257)+((SUM(B1261:F1261)-C1261)*M1257),(SUM(B1261:F1261)-C1261)*M1257),IF(SUM(B1258:F1261)&gt;(L1274*4),L1274*M1257,SUM(B1261:F1261)*M1257)),2)</f>
        <v>0</v>
      </c>
      <c r="N1261" s="76">
        <f>ROUND(IF(SUM(B1258:F1260)&lt;(L1274*3),IF((SUM(B1258:F1261))&gt;(L1274*4),(((L1274*4)-(SUM(B1258:F1261)-C1260))*N1257)+((SUM(B1261:F1261)-C1260)*N1257),SUM(B1261:F1261)*N1257),IF(SUM(B1258:F1261)&gt;(L1274*4),L1274*N1257,SUM(B1261:F1261)*N1257)),2)</f>
        <v>0</v>
      </c>
      <c r="O1261" s="23">
        <f>ROUND(SUM(B1261+C1261+F1261)*O1257,2)</f>
        <v>0</v>
      </c>
      <c r="P1261" s="27">
        <f t="shared" si="143"/>
        <v>0</v>
      </c>
    </row>
    <row r="1262" spans="1:16" s="1" customFormat="1" x14ac:dyDescent="0.2">
      <c r="A1262" s="100" t="str">
        <f>$A$30</f>
        <v>Mai 2022</v>
      </c>
      <c r="B1262" s="24">
        <f>ROUND(IF(N1242=0,0,IFERROR(((LOOKUP(2,1/(A1246:A1249=A1262),G1246:G1249))*N1242*4.348),B1261/N1242*N1242)),2)</f>
        <v>0</v>
      </c>
      <c r="C1262" s="23">
        <f>ROUND(IFERROR(((LOOKUP(2,1/(B1251=A1262),((SUM(B1264:B1266)+SUM(F1264:F1266))/3)*C1251))),0)+IFERROR(((LOOKUP(2,1/(E1251=A1262),(B1270+F1270)*F1251))),0),2)</f>
        <v>0</v>
      </c>
      <c r="D1262" s="23">
        <f>ROUND(IF(B1262=0,0,D1257/L1239*N1242),2)</f>
        <v>0</v>
      </c>
      <c r="E1262" s="23">
        <f>ROUND(IF(B1262=0,0,E1257/N1235*N1242),2)</f>
        <v>0</v>
      </c>
      <c r="F1262" s="24">
        <f>ROUND(IF(N1242=0,0,IFERROR(((LOOKUP(2,1/(A1246:A1249=A1262),H1246:H1249))/N1235*N1242),F1261/N1242*N1242)),2)</f>
        <v>0</v>
      </c>
      <c r="G1262" s="27">
        <f t="shared" si="142"/>
        <v>0</v>
      </c>
      <c r="H1262" s="76">
        <f>ROUND(IF(SUM(B1258:F1261)&lt;(L1273*4),IF((SUM(B1258:F1262))&gt;(L1273*5),(((L1273*5)-(SUM(B1258:F1262)-C1261))*H1257)+((SUM(B1262:F1262)-C1261)*H1257),SUM(B1262:F1262)*H1257),IF(SUM(B1258:F1262)&gt;(L1273*5),L1273*H1257,SUM(B1262:F1262)*H1257)),2)</f>
        <v>0</v>
      </c>
      <c r="I1262" s="76">
        <f>ROUND(IF(SUM(B1258:F1261)&lt;(L1274*4),IF((SUM(B1258:F1262))&gt;(L1274*5),(((L1274*5)-(SUM(B1258:F1262)-C1261))*I1257)+((SUM(B1262:F1262)-C1261)*I1257),SUM(B1262:F1262)*I1257),IF(SUM(B1258:F1262)&gt;(L1274*5),L1274*I1257,SUM(B1262:F1262)*I1257)),2)</f>
        <v>0</v>
      </c>
      <c r="J1262" s="76">
        <f>ROUND(IF(SUM(B1258:F1261)&lt;(L1274*4),IF((SUM(B1258:F1262))&gt;(L1274*5),(((L1274*5)-(SUM(B1258:F1262)-C1261))*J1257)+((SUM(B1262:F1262)-C1261)*J1257),SUM(B1262:F1262)*J1257),IF(SUM(B1258:F1262)&gt;(L1274*5),L1274*J1257,SUM(B1262:F1262)*J1257)),2)</f>
        <v>0</v>
      </c>
      <c r="K1262" s="76">
        <f>ROUND(IF(SUM(B1258:F1261)&lt;(L1273*4),IF((SUM(B1258:F1262))&gt;(L1273*5),(((L1273*5)-(SUM(B1258:F1262)-C1261))*K1257)+((SUM(B1262:F1262)-C1261)*K1257),SUM(B1262:F1262)*K1257),IF(SUM(B1258:F1262)&gt;(L1273*5),L1273*K1257,SUM(B1262:F1262)*K1257)),2)</f>
        <v>0</v>
      </c>
      <c r="L1262" s="76">
        <f>ROUND(IF(SUM(B1258:F1261)&lt;(L1274*4),IF((SUM(B1258:F1262))&gt;(L1274*5),(((L1274*5)-(SUM(B1258:F1262)-C1262))*L1257)+((SUM(B1262:F1262)-C1262)*L1257),(SUM(B1262:F1262)-C1262)*L1257),IF(SUM(B1258:F1262)&gt;(L1274*5),L1274*L1257,SUM(B1262:F1262)*L1257)),2)</f>
        <v>0</v>
      </c>
      <c r="M1262" s="76">
        <f>ROUND(IF(SUM(B1258:F1261)&lt;(L1274*4),IF((SUM(B1258:F1262))&gt;(L1274*5),(((L1274*5)-(SUM(B1258:F1262)-C1262))*M1257)+((SUM(B1262:F1262)-C1262)*M1257),(SUM(B1262:F1262)-C1262)*M1257),IF(SUM(B1258:F1262)&gt;(L1274*5),L1274*M1257,SUM(B1262:F1262)*M1257)),2)</f>
        <v>0</v>
      </c>
      <c r="N1262" s="76">
        <f>ROUND(IF(SUM(B1258:F1261)&lt;(L1274*4),IF((SUM(B1258:F1262))&gt;(L1274*5),(((L1274*5)-(SUM(B1258:F1262)-C1261))*N1257)+((SUM(B1262:F1262)-C1261)*N1257),SUM(B1262:F1262)*N1257),IF(SUM(B1258:F1262)&gt;(L1274*5),L1274*N1257,SUM(B1262:F1262)*N1257)),2)</f>
        <v>0</v>
      </c>
      <c r="O1262" s="23">
        <f>ROUND(SUM(B1262+C1262+F1262)*O1257,2)</f>
        <v>0</v>
      </c>
      <c r="P1262" s="27">
        <f t="shared" si="143"/>
        <v>0</v>
      </c>
    </row>
    <row r="1263" spans="1:16" s="1" customFormat="1" x14ac:dyDescent="0.2">
      <c r="A1263" s="100" t="str">
        <f>$A$31</f>
        <v>Jun 2022</v>
      </c>
      <c r="B1263" s="24">
        <f>ROUND(IF(N1243=0,0,IFERROR(((LOOKUP(2,1/(A1246:A1249=A1263),G1246:G1249))*N1243*4.348),B1262/N1243*N1243)),2)</f>
        <v>0</v>
      </c>
      <c r="C1263" s="23">
        <f>ROUND(IFERROR(((LOOKUP(2,1/(B1251=A1263),((SUM(B1264:B1266)+SUM(F1264:F1266))/3)*C1251))),0)+IFERROR(((LOOKUP(2,1/(E1251=A1263),(B1270+F1270)*F1251))),0),2)</f>
        <v>0</v>
      </c>
      <c r="D1263" s="23">
        <f>ROUND(IF(B1263=0,0,D1257/L1239*N1243),2)</f>
        <v>0</v>
      </c>
      <c r="E1263" s="23">
        <f>ROUND(IF(B1263=0,0,E1257/N1235*N1243),2)</f>
        <v>0</v>
      </c>
      <c r="F1263" s="24">
        <f>ROUND(IF(N1243=0,0,IFERROR(((LOOKUP(2,1/(A1246:A1249=A1263),H1246:H1249))/N1235*N1243),F1262/N1243*N1243)),2)</f>
        <v>0</v>
      </c>
      <c r="G1263" s="27">
        <f t="shared" si="142"/>
        <v>0</v>
      </c>
      <c r="H1263" s="76">
        <f>ROUND(IF(SUM(B1258:F1262)&lt;(L1273*5),IF((SUM(B1258:F1263))&gt;(L1273*6),(((L1273*6)-(SUM(B1258:F1263)-C1262))*H1257)+((SUM(B1263:F1263)-C1262)*H1257),SUM(B1263:F1263)*H1257),IF(SUM(B1258:F1263)&gt;(L1273*6),L1273*H1257,SUM(B1263:F1263)*H1257)),2)</f>
        <v>0</v>
      </c>
      <c r="I1263" s="76">
        <f>ROUND(IF(SUM(B1258:F1262)&lt;(L1274*5),IF((SUM(B1258:F1263))&gt;(L1274*6),(((L1274*6)-(SUM(B1258:F1263)-C1262))*I1257)+((SUM(B1263:F1263)-C1262)*I1257),SUM(B1263:F1263)*I1257),IF(SUM(B1258:F1263)&gt;(L1274*6),L1274*I1257,SUM(B1263:F1263)*I1257)),2)</f>
        <v>0</v>
      </c>
      <c r="J1263" s="76">
        <f>ROUND(IF(SUM(B1258:F1262)&lt;(L1274*5),IF((SUM(B1258:F1263))&gt;(L1274*6),(((L1274*6)-(SUM(B1258:F1263)-C1262))*J1257)+((SUM(B1263:F1263)-C1262)*J1257),SUM(B1263:F1263)*J1257),IF(SUM(B1258:F1263)&gt;(L1274*6),L1274*J1257,SUM(B1263:F1263)*J1257)),2)</f>
        <v>0</v>
      </c>
      <c r="K1263" s="76">
        <f>ROUND(IF(SUM(B1258:F1262)&lt;(L1273*5),IF((SUM(B1258:F1263))&gt;(L1273*6),(((L1273*6)-(SUM(B1258:F1263)-C1262))*K1257)+((SUM(B1263:F1263)-C1262)*K1257),SUM(B1263:F1263)*K1257),IF(SUM(B1258:F1263)&gt;(L1273*6),L1273*K1257,SUM(B1263:F1263)*K1257)),2)</f>
        <v>0</v>
      </c>
      <c r="L1263" s="76">
        <f>ROUND(IF(SUM(B1258:F1262)&lt;(L1274*5),IF((SUM(B1258:F1263))&gt;(L1274*6),(((L1274*6)-(SUM(B1258:F1263)-C1263))*L1257)+((SUM(B1263:F1263)-C1263)*L1257),(SUM(B1263:F1263)-C1263)*L1257),IF(SUM(B1258:F1263)&gt;(L1274*6),L1274*L1257,SUM(B1263:F1263)*L1257)),2)</f>
        <v>0</v>
      </c>
      <c r="M1263" s="76">
        <f>ROUND(IF(SUM(B1258:F1262)&lt;(L1274*5),IF((SUM(B1258:F1263))&gt;(L1274*6),(((L1274*6)-(SUM(B1258:F1263)-C1263))*M1257)+((SUM(B1263:F1263)-C1263)*M1257),(SUM(B1263:F1263)-C1263)*M1257),IF(SUM(B1258:F1263)&gt;(L1274*6),L1274*M1257,SUM(B1263:F1263)*M1257)),2)</f>
        <v>0</v>
      </c>
      <c r="N1263" s="76">
        <f>ROUND(IF(SUM(B1258:F1262)&lt;(L1274*5),IF((SUM(B1258:F1263))&gt;(L1274*6),(((L1274*6)-(SUM(B1258:F1263)-C1262))*N1257)+((SUM(B1263:F1263)-C1262)*N1257),SUM(B1263:F1263)*N1257),IF(SUM(B1258:F1263)&gt;(L1274*6),L1274*N1257,SUM(B1263:F1263)*N1257)),2)</f>
        <v>0</v>
      </c>
      <c r="O1263" s="23">
        <f>ROUND(SUM(B1263+C1263+F1263)*O1257,2)</f>
        <v>0</v>
      </c>
      <c r="P1263" s="27">
        <f t="shared" si="143"/>
        <v>0</v>
      </c>
    </row>
    <row r="1264" spans="1:16" s="1" customFormat="1" x14ac:dyDescent="0.2">
      <c r="A1264" s="100" t="str">
        <f>$A$32</f>
        <v>Jul 2022</v>
      </c>
      <c r="B1264" s="24">
        <f>ROUND(IF(P1238=0,0,IFERROR(((LOOKUP(2,1/(A1246:A1249=A1264),G1246:G1249))*P1238*4.348),B1263/P1238*P1238)),2)</f>
        <v>0</v>
      </c>
      <c r="C1264" s="23">
        <f>ROUND(IFERROR(((LOOKUP(2,1/(B1251=A1264),((SUM(B1264:B1266)+SUM(F1264:F1266))/3)*C1251))),0)+IFERROR(((LOOKUP(2,1/(E1251=A1264),(B1270+F1270)*F1251))),0),2)</f>
        <v>0</v>
      </c>
      <c r="D1264" s="23">
        <f>ROUND(IF(B1264=0,0,D1257/L1239*P1238),2)</f>
        <v>0</v>
      </c>
      <c r="E1264" s="23">
        <f>ROUND(IF(B1264=0,0,E1257/N1235*P1238),2)</f>
        <v>0</v>
      </c>
      <c r="F1264" s="24">
        <f>ROUND(IF(P1238=0,0,IFERROR(((LOOKUP(2,1/(A1246:A1249=A1264),H1246:H1249))/N1235*P1238),F1263/P1238*P1238)),2)</f>
        <v>0</v>
      </c>
      <c r="G1264" s="27">
        <f t="shared" si="142"/>
        <v>0</v>
      </c>
      <c r="H1264" s="76">
        <f>ROUND(IF(SUM(B1258:F1263)&lt;(L1273*6),IF((SUM(B1258:F1264))&gt;(L1273*7),(((L1273*7)-(SUM(B1258:F1264)-C1263))*H1257)+((SUM(B1264:F1264)-C1263)*H1257),SUM(B1264:F1264)*H1257),IF(SUM(B1258:F1264)&gt;(L1273*7),L1273*H1257,SUM(B1264:F1264)*H1257)),2)</f>
        <v>0</v>
      </c>
      <c r="I1264" s="76">
        <f>ROUND(IF(SUM(B1258:F1263)&lt;(L1274*6),IF((SUM(B1258:F1264))&gt;(L1274*7),(((L1274*7)-(SUM(B1258:F1264)-C1263))*I1257)+((SUM(B1264:F1264)-C1263)*I1257),SUM(B1264:F1264)*I1257),IF(SUM(B1258:F1264)&gt;(L1274*7),L1274*I1257,SUM(B1264:F1264)*I1257)),2)</f>
        <v>0</v>
      </c>
      <c r="J1264" s="76">
        <f>ROUND(IF(SUM(B1258:F1263)&lt;(L1274*6),IF((SUM(B1258:F1264))&gt;(L1274*7),(((L1274*7)-(SUM(B1258:F1264)-C1263))*J1257)+((SUM(B1264:F1264)-C1263)*J1257),SUM(B1264:F1264)*J1257),IF(SUM(B1258:F1264)&gt;(L1274*7),L1274*J1257,SUM(B1264:F1264)*J1257)),2)</f>
        <v>0</v>
      </c>
      <c r="K1264" s="76">
        <f>ROUND(IF(SUM(B1258:F1263)&lt;(L1273*6),IF((SUM(B1258:F1264))&gt;(L1273*7),(((L1273*7)-(SUM(B1258:F1264)-C1263))*K1257)+((SUM(B1264:F1264)-C1263)*K1257),SUM(B1264:F1264)*K1257),IF(SUM(B1258:F1264)&gt;(L1273*7),L1273*K1257,SUM(B1264:F1264)*K1257)),2)</f>
        <v>0</v>
      </c>
      <c r="L1264" s="76">
        <f>ROUND(IF(SUM(B1258:F1263)&lt;(L1274*6),IF((SUM(B1258:F1264))&gt;(L1274*7),(((L1274*7)-(SUM(B1258:F1264)-C1264))*L1257)+((SUM(B1264:F1264)-C1264)*L1257),(SUM(B1264:F1264)-C1264)*L1257),IF(SUM(B1258:F1264)&gt;(L1274*7),L1274*L1257,SUM(B1264:F1264)*L1257)),2)</f>
        <v>0</v>
      </c>
      <c r="M1264" s="76">
        <f>ROUND(IF(SUM(B1258:F1263)&lt;(L1274*6),IF((SUM(B1258:F1264))&gt;(L1274*7),(((L1274*7)-(SUM(B1258:F1264)-C1264))*M1257)+((SUM(B1264:F1264)-C1264)*M1257),(SUM(B1264:F1264)-C1264)*M1257),IF(SUM(B1258:F1264)&gt;(L1274*7),L1274*M1257,SUM(B1264:F1264)*M1257)),2)</f>
        <v>0</v>
      </c>
      <c r="N1264" s="76">
        <f>ROUND(IF(SUM(B1258:F1263)&lt;(L1274*6),IF((SUM(B1258:F1264))&gt;(L1274*7),(((L1274*7)-(SUM(B1258:F1264)-C1263))*N1257)+((SUM(B1264:F1264)-C1263)*N1257),SUM(B1264:F1264)*N1257),IF(SUM(B1258:F1264)&gt;(L1274*7),L1274*N1257,SUM(B1264:F1264)*N1257)),2)</f>
        <v>0</v>
      </c>
      <c r="O1264" s="23">
        <f>ROUND(SUM(B1264+C1264+F1264)*O1257,2)</f>
        <v>0</v>
      </c>
      <c r="P1264" s="27">
        <f t="shared" si="143"/>
        <v>0</v>
      </c>
    </row>
    <row r="1265" spans="1:16" s="1" customFormat="1" x14ac:dyDescent="0.2">
      <c r="A1265" s="100" t="str">
        <f>$A$33</f>
        <v>Aug 2022</v>
      </c>
      <c r="B1265" s="24">
        <f>ROUND(IF(P1239=0,0,IFERROR(((LOOKUP(2,1/(A1246:A1249=A1265),G1246:G1249))*P1239*4.348),B1264/P1239*P1239)),2)</f>
        <v>0</v>
      </c>
      <c r="C1265" s="23">
        <f>ROUND(IFERROR(((LOOKUP(2,1/(B1251=A1265),((SUM(B1264:B1266)+SUM(F1264:F1266))/3)*C1251))),0)+IFERROR(((LOOKUP(2,1/(E1251=A1265),(B1270+F1270)*F1251))),0),2)</f>
        <v>0</v>
      </c>
      <c r="D1265" s="23">
        <f>ROUND(IF(B1265=0,0,D1257/L1239*P1239),2)</f>
        <v>0</v>
      </c>
      <c r="E1265" s="23">
        <f>ROUND(IF(B1265=0,0,E1257/N1235*P1239),2)</f>
        <v>0</v>
      </c>
      <c r="F1265" s="24">
        <f>ROUND(IF(P1239=0,0,IFERROR(((LOOKUP(2,1/(A1246:A1249=A1265),H1246:H1249))/N1235*P1239),F1264/P1239*P1239)),2)</f>
        <v>0</v>
      </c>
      <c r="G1265" s="27">
        <f t="shared" si="142"/>
        <v>0</v>
      </c>
      <c r="H1265" s="76">
        <f>ROUND(IF(SUM(B1258:F1264)&lt;(L1273*7),IF((SUM(B1258:F1265))&gt;(L1273*8),(((L1273*8)-(SUM(B1258:F1265)-C1264))*H1257)+((SUM(B1265:F1265)-C1264)*H1257),SUM(B1265:F1265)*H1257),IF(SUM(B1258:F1265)&gt;(L1273*8),L1273*H1257,SUM(B1265:F1265)*H1257)),2)</f>
        <v>0</v>
      </c>
      <c r="I1265" s="76">
        <f>ROUND(IF(SUM(B1258:F1264)&lt;(L1274*7),IF((SUM(B1258:F1265))&gt;(L1274*8),(((L1274*8)-(SUM(B1258:F1265)-C1264))*I1257)+((SUM(B1265:F1265)-C1264)*I1257),SUM(B1265:F1265)*I1257),IF(SUM(B1258:F1265)&gt;(L1274*8),L1274*I1257,SUM(B1265:F1265)*I1257)),2)</f>
        <v>0</v>
      </c>
      <c r="J1265" s="76">
        <f>ROUND(IF(SUM(B1258:F1264)&lt;(L1274*7),IF((SUM(B1258:F1265))&gt;(L1274*8),(((L1274*8)-(SUM(B1258:F1265)-C1264))*J1257)+((SUM(B1265:F1265)-C1264)*J1257),SUM(B1265:F1265)*J1257),IF(SUM(B1258:F1265)&gt;(L1274*8),L1274*J1257,SUM(B1265:F1265)*J1257)),2)</f>
        <v>0</v>
      </c>
      <c r="K1265" s="76">
        <f>ROUND(IF(SUM(B1258:F1264)&lt;(L1273*7),IF((SUM(B1258:F1265))&gt;(L1273*8),(((L1273*8)-(SUM(B1258:F1265)-C1264))*K1257)+((SUM(B1265:F1265)-C1264)*K1257),SUM(B1265:F1265)*K1257),IF(SUM(B1258:F1265)&gt;(L1273*8),L1273*K1257,SUM(B1265:F1265)*K1257)),2)</f>
        <v>0</v>
      </c>
      <c r="L1265" s="76">
        <f>ROUND(IF(SUM(B1258:F1264)&lt;(L1274*7),IF((SUM(B1258:F1265))&gt;(L1274*8),(((L1274*8)-(SUM(B1258:F1265)-C1265))*L1257)+((SUM(B1265:F1265)-C1265)*L1257),(SUM(B1265:F1265)-C1265)*L1257),IF(SUM(B1258:F1265)&gt;(L1274*8),L1274*L1257,SUM(B1265:F1265)*L1257)),2)</f>
        <v>0</v>
      </c>
      <c r="M1265" s="76">
        <f>ROUND(IF(SUM(B1258:F1264)&lt;(L1274*7),IF((SUM(B1258:F1265))&gt;(L1274*8),(((L1274*8)-(SUM(B1258:F1265)-C1265))*M1257)+((SUM(B1265:F1265)-C1265)*M1257),(SUM(B1265:F1265)-C1265)*M1257),IF(SUM(B1258:F1265)&gt;(L1274*8),L1274*M1257,SUM(B1265:F1265)*M1257)),2)</f>
        <v>0</v>
      </c>
      <c r="N1265" s="76">
        <f>ROUND(IF(SUM(B1258:F1264)&lt;(L1274*7),IF((SUM(B1258:F1265))&gt;(L1274*8),(((L1274*8)-(SUM(B1258:F1265)-C1264))*N1257)+((SUM(B1265:F1265)-C1264)*N1257),SUM(B1265:F1265)*N1257),IF(SUM(B1258:F1265)&gt;(L1274*8),L1274*N1257,SUM(B1265:F1265)*N1257)),2)</f>
        <v>0</v>
      </c>
      <c r="O1265" s="23">
        <f>ROUND(SUM(B1265+C1265+F1265)*O1257,2)</f>
        <v>0</v>
      </c>
      <c r="P1265" s="27">
        <f t="shared" si="143"/>
        <v>0</v>
      </c>
    </row>
    <row r="1266" spans="1:16" s="1" customFormat="1" x14ac:dyDescent="0.2">
      <c r="A1266" s="100" t="str">
        <f>$A$34</f>
        <v>Sep 2022</v>
      </c>
      <c r="B1266" s="24">
        <f>ROUND(IF(P1240=0,0,IFERROR(((LOOKUP(2,1/(A1246:A1249=A1266),G1246:G1249))*P1240*4.348),B1265/P1240*P1240)),2)</f>
        <v>0</v>
      </c>
      <c r="C1266" s="23">
        <f>ROUND(IFERROR(((LOOKUP(2,1/(B1251=A1266),((SUM(B1264:B1266)+SUM(F1264:F1266))/3)*C1251))),0)+IFERROR(((LOOKUP(2,1/(E1251=A1266),(B1270+F1270)*F1251))),0),2)</f>
        <v>0</v>
      </c>
      <c r="D1266" s="23">
        <f>ROUND(IF(B1266=0,0,D1257/L1239*P1240),2)</f>
        <v>0</v>
      </c>
      <c r="E1266" s="23">
        <f>ROUND(IF(B1266=0,0,E1257/N1235*P1240),2)</f>
        <v>0</v>
      </c>
      <c r="F1266" s="24">
        <f>ROUND(IF(P1240=0,0,IFERROR(((LOOKUP(2,1/(A1246:A1249=A1266),H1246:H1249))/N1235*P1240),F1265/P1240*P1240)),2)</f>
        <v>0</v>
      </c>
      <c r="G1266" s="27">
        <f t="shared" si="142"/>
        <v>0</v>
      </c>
      <c r="H1266" s="76">
        <f>ROUND(IF(SUM(B1258:F1265)&lt;(L1273*8),IF((SUM(B1258:F1266))&gt;(L1273*9),(((L1273*9)-(SUM(B1258:F1266)-C1265))*H1257)+((SUM(B1266:F1266)-C1265)*H1257),SUM(B1266:F1266)*H1257),IF(SUM(B1258:F1266)&gt;(L1273*9),L1273*H1257,SUM(B1266:F1266)*H1257)),2)</f>
        <v>0</v>
      </c>
      <c r="I1266" s="76">
        <f>ROUND(IF(SUM(B1258:F1265)&lt;(L1274*8),IF((SUM(B1258:F1266))&gt;(L1274*9),(((L1274*9)-(SUM(B1258:F1266)-C1265))*I1257)+((SUM(B1266:F1266)-C1265)*I1257),SUM(B1266:F1266)*I1257),IF(SUM(B1258:F1266)&gt;(L1274*9),L1274*I1257,SUM(B1266:F1266)*I1257)),2)</f>
        <v>0</v>
      </c>
      <c r="J1266" s="76">
        <f>ROUND(IF(SUM(B1258:F1265)&lt;(L1274*8),IF((SUM(B1258:F1266))&gt;(L1274*9),(((L1274*9)-(SUM(B1258:F1266)-C1265))*J1257)+((SUM(B1266:F1266)-C1265)*J1257),SUM(B1266:F1266)*J1257),IF(SUM(B1258:F1266)&gt;(L1274*9),L1274*J1257,SUM(B1266:F1266)*J1257)),2)</f>
        <v>0</v>
      </c>
      <c r="K1266" s="76">
        <f>ROUND(IF(SUM(B1258:F1265)&lt;(L1273*8),IF((SUM(B1258:F1266))&gt;(L1273*9),(((L1273*9)-(SUM(B1258:F1266)-C1265))*K1257)+((SUM(B1266:F1266)-C1265)*K1257),SUM(B1266:F1266)*K1257),IF(SUM(B1258:F1266)&gt;(L1273*9),L1273*K1257,SUM(B1266:F1266)*K1257)),2)</f>
        <v>0</v>
      </c>
      <c r="L1266" s="76">
        <f>ROUND(IF(SUM(B1258:F1265)&lt;(L1274*8),IF((SUM(B1258:F1266))&gt;(L1274*9),(((L1274*9)-(SUM(B1258:F1266)-C1266))*L1257)+((SUM(B1266:F1266)-C1266)*L1257),(SUM(B1266:F1266)-C1266)*L1257),IF(SUM(B1258:F1266)&gt;(L1274*9),L1274*L1257,SUM(B1266:F1266)*L1257)),2)</f>
        <v>0</v>
      </c>
      <c r="M1266" s="76">
        <f>ROUND(IF(SUM(B1258:F1265)&lt;(L1274*8),IF((SUM(B1258:F1266))&gt;(L1274*9),(((L1274*9)-(SUM(B1258:F1266)-C1266))*M1257)+((SUM(B1266:F1266)-C1266)*M1257),(SUM(B1266:F1266)-C1266)*M1257),IF(SUM(B1258:F1266)&gt;(L1274*9),L1274*M1257,SUM(B1266:F1266)*M1257)),2)</f>
        <v>0</v>
      </c>
      <c r="N1266" s="76">
        <f>ROUND(IF(SUM(B1258:F1265)&lt;(L1274*8),IF((SUM(B1258:F1266))&gt;(L1274*9),(((L1274*9)-(SUM(B1258:F1266)-C1265))*N1257)+((SUM(B1266:F1266)-C1265)*N1257),SUM(B1266:F1266)*N1257),IF(SUM(B1258:F1266)&gt;(L1274*9),L1274*N1257,SUM(B1266:F1266)*N1257)),2)</f>
        <v>0</v>
      </c>
      <c r="O1266" s="23">
        <f>ROUND(SUM(B1266+C1266+F1266)*O1257,2)</f>
        <v>0</v>
      </c>
      <c r="P1266" s="27">
        <f t="shared" si="143"/>
        <v>0</v>
      </c>
    </row>
    <row r="1267" spans="1:16" s="1" customFormat="1" x14ac:dyDescent="0.2">
      <c r="A1267" s="100" t="str">
        <f>$A$35</f>
        <v>Okt 2022</v>
      </c>
      <c r="B1267" s="24">
        <f>ROUND(IF(P1241=0,0,IFERROR(((LOOKUP(2,1/(A1246:A1249=A1267),G1246:G1249))*P1241*4.348),B1266/P1241*P1241)),2)</f>
        <v>0</v>
      </c>
      <c r="C1267" s="23">
        <f>ROUND(IFERROR(((LOOKUP(2,1/(B1251=A1267),((SUM(B1264:B1266)+SUM(F1264:F1266))/3)*C1251))),0)+IFERROR(((LOOKUP(2,1/(E1251=A1267),(B1270+F1270)*F1251))),0),2)</f>
        <v>0</v>
      </c>
      <c r="D1267" s="23">
        <f>ROUND(IF(B1267=0,0,D1257/L1239*P1241),2)</f>
        <v>0</v>
      </c>
      <c r="E1267" s="23">
        <f>ROUND(IF(B1267=0,0,E1257/N1235*P1241),2)</f>
        <v>0</v>
      </c>
      <c r="F1267" s="24">
        <f>ROUND(IF(P1241=0,0,IFERROR(((LOOKUP(2,1/(A1246:A1249=A1267),H1246:H1249))/N1235*P1241),F1266/P1241*P1241)),2)</f>
        <v>0</v>
      </c>
      <c r="G1267" s="27">
        <f t="shared" si="142"/>
        <v>0</v>
      </c>
      <c r="H1267" s="76">
        <f>ROUND(IF(SUM(B1258:F1266)&lt;(L1273*9),IF((SUM(B1258:F1267))&gt;(L1273*10),(((L1273*10)-(SUM(B1258:F1267)-C1266))*H1257)+((SUM(B1267:F1267)-C1266)*H1257),SUM(B1267:F1267)*H1257),IF(SUM(B1258:F1267)&gt;(L1273*10),L1273*H1257,SUM(B1267:F1267)*H1257)),2)</f>
        <v>0</v>
      </c>
      <c r="I1267" s="76">
        <f>ROUND(IF(SUM(B1258:F1266)&lt;(L1274*9),IF((SUM(B1258:F1267))&gt;(L1274*10),(((L1274*10)-(SUM(B1258:F1267)-C1266))*I1257)+((SUM(B1267:F1267)-C1266)*I1257),SUM(B1267:F1267)*I1257),IF(SUM(B1258:F1267)&gt;(L1274*10),L1274*I1257,SUM(B1267:F1267)*I1257)),2)</f>
        <v>0</v>
      </c>
      <c r="J1267" s="76">
        <f>ROUND(IF(SUM(B1258:F1266)&lt;(L1274*9),IF((SUM(B1258:F1267))&gt;(L1274*10),(((L1274*10)-(SUM(B1258:F1267)-C1266))*J1257)+((SUM(B1267:F1267)-C1266)*J1257),SUM(B1267:F1267)*J1257),IF(SUM(B1258:F1267)&gt;(L1274*10),L1274*J1257,SUM(B1267:F1267)*J1257)),2)</f>
        <v>0</v>
      </c>
      <c r="K1267" s="76">
        <f>ROUND(IF(SUM(B1258:F1266)&lt;(L1273*9),IF((SUM(B1258:F1267))&gt;(L1273*10),(((L1273*10)-(SUM(B1258:F1267)-C1266))*K1257)+((SUM(B1267:F1267)-C1266)*K1257),SUM(B1267:F1267)*K1257),IF(SUM(B1258:F1267)&gt;(L1273*10),L1273*K1257,SUM(B1267:F1267)*K1257)),2)</f>
        <v>0</v>
      </c>
      <c r="L1267" s="76">
        <f>ROUND(IF(SUM(B1258:F1266)&lt;(L1274*9),IF((SUM(B1258:F1267))&gt;(L1274*10),(((L1274*10)-(SUM(B1258:F1267)-C1267))*L1257)+((SUM(B1267:F1267)-C1267)*L1257),(SUM(B1267:F1267)-C1267)*L1257),IF(SUM(B1258:F1267)&gt;(L1274*10),L1274*L1257,SUM(B1267:F1267)*L1257)),2)</f>
        <v>0</v>
      </c>
      <c r="M1267" s="76">
        <f>ROUND(IF(SUM(B1258:F1266)&lt;(L1274*9),IF((SUM(B1258:F1267))&gt;(L1274*10),(((L1274*10)-(SUM(B1258:F1267)-C1267))*M1257)+((SUM(B1267:F1267)-C1267)*M1257),(SUM(B1267:F1267)-C1267)*M1257),IF(SUM(B1258:F1267)&gt;(L1274*10),L1274*M1257,SUM(B1267:F1267)*M1257)),2)</f>
        <v>0</v>
      </c>
      <c r="N1267" s="76">
        <f>ROUND(IF(SUM(B1258:F1266)&lt;(L1274*9),IF((SUM(B1258:F1267))&gt;(L1274*10),(((L1274*10)-(SUM(B1258:F1267)-C1266))*N1257)+((SUM(B1267:F1267)-C1266)*N1257),SUM(B1267:F1267)*N1257),IF(SUM(B1258:F1267)&gt;(L1274*10),L1274*N1257,SUM(B1267:F1267)*N1257)),2)</f>
        <v>0</v>
      </c>
      <c r="O1267" s="23">
        <f>ROUND(SUM(B1267+C1267+F1267)*O1257,2)</f>
        <v>0</v>
      </c>
      <c r="P1267" s="27">
        <f t="shared" si="143"/>
        <v>0</v>
      </c>
    </row>
    <row r="1268" spans="1:16" s="1" customFormat="1" x14ac:dyDescent="0.2">
      <c r="A1268" s="100" t="str">
        <f>$A$36</f>
        <v>Nov 2022</v>
      </c>
      <c r="B1268" s="24">
        <f>ROUND(IF(P1242=0,0,IFERROR(((LOOKUP(2,1/(A1246:A1249=A1268),G1246:G1249))*P1242*4.348),B1267/P1242*P1242)),2)</f>
        <v>0</v>
      </c>
      <c r="C1268" s="23">
        <f>ROUND(IFERROR(((LOOKUP(2,1/(B1251=A1268),((SUM(B1264:B1266)+SUM(F1264:F1266))/3)*C1251))),0)+IFERROR(((LOOKUP(2,1/(E1251=A1268),(B1270+F1270)*F1251))),0),2)</f>
        <v>0</v>
      </c>
      <c r="D1268" s="23">
        <f>ROUND(IF(B1268=0,0,D1257/L1239*P1242),2)</f>
        <v>0</v>
      </c>
      <c r="E1268" s="23">
        <f>ROUND(IF(B1268=0,0,E1257/N1235*P1242),2)</f>
        <v>0</v>
      </c>
      <c r="F1268" s="24">
        <f>ROUND(IF(P1242=0,0,IFERROR(((LOOKUP(2,1/(A1246:A1249=A1268),H1246:H1249))/N1235*P1242),F1267/P1242*P1242)),2)</f>
        <v>0</v>
      </c>
      <c r="G1268" s="27">
        <f t="shared" si="142"/>
        <v>0</v>
      </c>
      <c r="H1268" s="76">
        <f>ROUND(IF(SUM(B1258:F1267)&lt;(L1273*10),IF((SUM(B1258:F1268))&gt;(L1273*11),(((L1273*11)-(SUM(B1258:F1268)-C1267))*H1257)+((SUM(B1268:F1268)-C1267)*H1257),SUM(B1268:F1268)*H1257),IF(SUM(B1258:F1268)&gt;(L1273*11),L1273*H1257,SUM(B1268:F1268)*H1257)),2)</f>
        <v>0</v>
      </c>
      <c r="I1268" s="76">
        <f>ROUND(IF(SUM(B1258:F1267)&lt;(L1274*10),IF((SUM(B1258:F1268))&gt;(L1274*11),(((L1274*11)-(SUM(B1258:F1268)-C1267))*I1257)+((SUM(B1268:F1268)-C1267)*I1257),SUM(B1268:F1268)*I1257),IF(SUM(B1258:F1268)&gt;(L1274*11),L1274*I1257,SUM(B1268:F1268)*I1257)),2)</f>
        <v>0</v>
      </c>
      <c r="J1268" s="76">
        <f>ROUND(IF(SUM(B1258:F1267)&lt;(L1274*10),IF((SUM(B1258:F1268))&gt;(L1274*11),(((L1274*11)-(SUM(B1258:F1268)-C1267))*J1257)+((SUM(B1268:F1268)-C1267)*J1257),SUM(B1268:F1268)*J1257),IF(SUM(B1258:F1268)&gt;(L1274*11),L1274*J1257,SUM(B1268:F1268)*J1257)),2)</f>
        <v>0</v>
      </c>
      <c r="K1268" s="76">
        <f>ROUND(IF(SUM(B1258:F1267)&lt;(L1273*10),IF((SUM(B1258:F1268))&gt;(L1273*11),(((L1273*11)-(SUM(B1258:F1268)-C1267))*K1257)+((SUM(B1268:F1268)-C1267)*K1257),SUM(B1268:F1268)*K1257),IF(SUM(B1258:F1268)&gt;(L1273*11),L1273*K1257,SUM(B1268:F1268)*K1257)),2)</f>
        <v>0</v>
      </c>
      <c r="L1268" s="76">
        <f>ROUND(IF(SUM(B1258:F1267)&lt;(L1274*10),IF((SUM(B1258:F1268))&gt;(L1274*11),(((L1274*11)-(SUM(B1258:F1268)-C1268))*L1257)+((SUM(B1268:F1268)-C1268)*L1257),(SUM(B1268:F1268)-C1268)*L1257),IF(SUM(B1258:F1268)&gt;(L1274*11),L1274*L1257,SUM(B1268:F1268)*L1257)),2)</f>
        <v>0</v>
      </c>
      <c r="M1268" s="76">
        <f>ROUND(IF(SUM(B1258:F1267)&lt;(L1274*10),IF((SUM(B1258:F1268))&gt;(L1274*11),(((L1274*11)-(SUM(B1258:F1268)-C1268))*M1257)+((SUM(B1268:F1268)-C1268)*M1257),(SUM(B1268:F1268)-C1268)*M1257),IF(SUM(B1258:F1268)&gt;(L1274*11),L1274*M1257,SUM(B1268:F1268)*M1257)),2)</f>
        <v>0</v>
      </c>
      <c r="N1268" s="76">
        <f>ROUND(IF(SUM(B1258:F1267)&lt;(L1274*10),IF((SUM(B1258:F1268))&gt;(L1274*11),(((L1274*11)-(SUM(B1258:F1268)-C1267))*N1257)+((SUM(B1268:F1268)-C1267)*N1257),SUM(B1268:F1268)*N1257),IF(SUM(B1258:F1268)&gt;(L1274*11),L1274*N1257,SUM(B1268:F1268)*N1257)),2)</f>
        <v>0</v>
      </c>
      <c r="O1268" s="23">
        <f>ROUND(SUM(B1268+C1268+F1268)*O1257,2)</f>
        <v>0</v>
      </c>
      <c r="P1268" s="27">
        <f t="shared" si="143"/>
        <v>0</v>
      </c>
    </row>
    <row r="1269" spans="1:16" s="1" customFormat="1" x14ac:dyDescent="0.2">
      <c r="A1269" s="100" t="str">
        <f>$A$37</f>
        <v>Dez 2022</v>
      </c>
      <c r="B1269" s="24">
        <f>ROUND(IF(P1243=0,0,IFERROR(((LOOKUP(2,1/(A1246:A1249=A1269),G1246:G1249))*P1243*4.348),B1268/P1243*P1243)),2)</f>
        <v>0</v>
      </c>
      <c r="C1269" s="23">
        <f>ROUND(IFERROR(((LOOKUP(2,1/(B1251=A1269),((SUM(B1264:B1266)+SUM(F1264:F1266))/3)*C1251))),0)+IFERROR(((LOOKUP(2,1/(E1251=A1269),(B1270+F1270)*F1251))),0),2)</f>
        <v>0</v>
      </c>
      <c r="D1269" s="23">
        <f>ROUND(IF(B1269=0,0,D1257/L1239*P1243),2)</f>
        <v>0</v>
      </c>
      <c r="E1269" s="23">
        <f>ROUND(IF(B1269=0,0,E1257/N1235*P1243),2)</f>
        <v>0</v>
      </c>
      <c r="F1269" s="24">
        <f>ROUND(IF(P1243=0,0,IFERROR(((LOOKUP(2,1/(A1246:A1249=A1269),H1246:H1249))/N1235*P1243),F1268/P1243*P1243)),2)</f>
        <v>0</v>
      </c>
      <c r="G1269" s="27">
        <f t="shared" si="142"/>
        <v>0</v>
      </c>
      <c r="H1269" s="76">
        <f>ROUND(IF(SUM(B1258:F1268)&lt;(L1273*11),IF((SUM(B1258:F1269))&gt;(L1273*12),(((L1273*12)-(SUM(B1258:F1269)-C1268))*H1257)+((SUM(B1269:F1269)-C1268)*H1257),SUM(B1269:F1269)*H1257),IF(SUM(B1258:F1269)&gt;(L1273*12),L1273*H1257,SUM(B1269:F1269)*H1257)),2)</f>
        <v>0</v>
      </c>
      <c r="I1269" s="76">
        <f>ROUND(IF(SUM(B1258:F1268)&lt;(L1274*11),IF((SUM(B1258:F1269))&gt;(L1274*12),(((L1274*12)-(SUM(B1258:F1269)-C1268))*I1257)+((SUM(B1269:F1269)-C1268)*I1257),SUM(B1269:F1269)*I1257),IF(SUM(B1258:F1269)&gt;(L1274*12),L1274*I1257,SUM(B1269:F1269)*I1257)),2)</f>
        <v>0</v>
      </c>
      <c r="J1269" s="76">
        <f>ROUND(IF(SUM(B1258:F1268)&lt;(L1274*11),IF((SUM(B1258:F1269))&gt;(L1274*12),(((L1274*12)-(SUM(B1258:F1269)-C1268))*J1257)+((SUM(B1269:F1269)-C1268)*J1257),SUM(B1269:F1269)*J1257),IF(SUM(B1258:F1269)&gt;(L1274*12),L1274*J1257,SUM(B1269:F1269)*J1257)),2)</f>
        <v>0</v>
      </c>
      <c r="K1269" s="76">
        <f>ROUND(IF(SUM(B1258:F1268)&lt;(L1273*11),IF((SUM(B1258:F1269))&gt;(L1273*12),(((L1273*12)-(SUM(B1258:F1269)-C1268))*K1257)+((SUM(B1269:F1269)-C1268)*K1257),SUM(B1269:F1269)*K1257),IF(SUM(B1258:F1269)&gt;(L1273*12),L1273*K1257,SUM(B1269:F1269)*K1257)),2)</f>
        <v>0</v>
      </c>
      <c r="L1269" s="76">
        <f>ROUND(IF(SUM(B1258:F1268)&lt;(L1274*11),IF((SUM(B1258:F1269))&gt;(L1274*12),(((L1274*12)-(SUM(B1258:F1269)-C1269))*L1257)+((SUM(B1269:F1269)-C1269)*L1257),(SUM(B1269:F1269)-C1269)*L1257),IF(SUM(B1258:F1269)&gt;(L1274*12),L1274*L1257,SUM(B1269:F1269)*L1257)),2)</f>
        <v>0</v>
      </c>
      <c r="M1269" s="76">
        <f>ROUND(IF(SUM(B1258:F1268)&lt;(L1274*11),IF((SUM(B1258:F1269))&gt;(L1274*12),(((L1274*12)-(SUM(B1258:F1269)-C1269))*M1257)+((SUM(B1269:F1269)-C1269)*M1257),(SUM(B1269:F1269)-C1269)*M1257),IF(SUM(B1258:F1269)&gt;(L1274*12),L1274*M1257,SUM(B1269:F1269)*M1257)),2)</f>
        <v>0</v>
      </c>
      <c r="N1269" s="76">
        <f>ROUND(IF(SUM(B1258:F1268)&lt;(L1274*11),IF((SUM(B1258:F1269))&gt;(L1274*12),(((L1274*12)-(SUM(B1258:F1269)-C1268))*N1257)+((SUM(B1269:F1269)-C1268)*N1257),SUM(B1269:F1269)*N1257),IF(SUM(B1258:F1269)&gt;(L1274*12),L1274*N1257,SUM(B1269:F1269)*N1257)),2)</f>
        <v>0</v>
      </c>
      <c r="O1269" s="23">
        <f>ROUND(SUM(B1269+C1269+F1269)*O1257,2)</f>
        <v>0</v>
      </c>
      <c r="P1269" s="27">
        <f t="shared" si="143"/>
        <v>0</v>
      </c>
    </row>
    <row r="1270" spans="1:16" s="14" customFormat="1" ht="15" x14ac:dyDescent="0.25">
      <c r="A1270" s="4" t="s">
        <v>2</v>
      </c>
      <c r="B1270" s="27">
        <f>SUM(B1258:B1269)</f>
        <v>0</v>
      </c>
      <c r="C1270" s="27">
        <f t="shared" ref="C1270:D1270" si="144">SUM(C1258:C1269)</f>
        <v>0</v>
      </c>
      <c r="D1270" s="27">
        <f t="shared" si="144"/>
        <v>0</v>
      </c>
      <c r="E1270" s="27">
        <f>SUM(E1258:E1269)</f>
        <v>0</v>
      </c>
      <c r="F1270" s="27">
        <f>SUM(F1258:F1269)</f>
        <v>0</v>
      </c>
      <c r="G1270" s="27">
        <f>SUM(G1258:G1269)</f>
        <v>0</v>
      </c>
      <c r="H1270" s="1133">
        <f>SUM(H1258:N1269)</f>
        <v>0</v>
      </c>
      <c r="I1270" s="1134"/>
      <c r="J1270" s="1134"/>
      <c r="K1270" s="1134"/>
      <c r="L1270" s="1134"/>
      <c r="M1270" s="1134"/>
      <c r="N1270" s="1135"/>
      <c r="O1270" s="27">
        <f>SUM(O1258:O1269)</f>
        <v>0</v>
      </c>
      <c r="P1270" s="27">
        <f>SUM(P1258:P1269)</f>
        <v>0</v>
      </c>
    </row>
    <row r="1271" spans="1:16" s="13" customFormat="1" ht="11.25" x14ac:dyDescent="0.2">
      <c r="A1271" s="3" t="s">
        <v>1</v>
      </c>
      <c r="B1271" s="2"/>
      <c r="C1271" s="2"/>
      <c r="D1271" s="2"/>
      <c r="E1271" s="2"/>
      <c r="F1271" s="2"/>
      <c r="G1271" s="2"/>
      <c r="H1271" s="2"/>
      <c r="I1271" s="2"/>
      <c r="J1271" s="2"/>
      <c r="K1271" s="2"/>
      <c r="L1271" s="2"/>
      <c r="M1271" s="2"/>
      <c r="N1271" s="2"/>
      <c r="O1271" s="2"/>
      <c r="P1271" s="2"/>
    </row>
    <row r="1272" spans="1:16" s="1" customFormat="1" ht="14.25" customHeight="1" x14ac:dyDescent="0.2">
      <c r="A1272" s="1136" t="s">
        <v>133</v>
      </c>
      <c r="B1272" s="1137"/>
      <c r="C1272" s="1137"/>
      <c r="D1272" s="1137" t="s">
        <v>134</v>
      </c>
      <c r="E1272" s="1137"/>
      <c r="F1272" s="94" t="str">
        <f>IF(IF(G1270=0,"",'päd.Personal - Leitung'!$F$40)=0,"",IF(G1270=0,"",'päd.Personal - Leitung'!$F$40))</f>
        <v/>
      </c>
      <c r="G1272" s="77" t="s">
        <v>135</v>
      </c>
      <c r="H1272" s="96" t="str">
        <f>IF(IF(G1270=0,"",'päd.Personal - Leitung'!$H$40)=0,"",IF(G1270=0,"",'päd.Personal - Leitung'!$H$40))</f>
        <v/>
      </c>
      <c r="I1272" s="73"/>
      <c r="J1272" s="194" t="s">
        <v>160</v>
      </c>
      <c r="K1272" s="194" t="str">
        <f>$K$40</f>
        <v>2021</v>
      </c>
      <c r="L1272" s="194" t="str">
        <f>$L$40</f>
        <v>anteilig 2021</v>
      </c>
      <c r="M1272" s="1138" t="s">
        <v>140</v>
      </c>
      <c r="N1272" s="1138"/>
      <c r="O1272" s="1139"/>
      <c r="P1272" s="27">
        <f>ROUND(IF(F1272="",IF(E1276="",0,(E1276*H1276/K1276)/L1239*L1240),G1270*F1272*H1272/1000),2)</f>
        <v>0</v>
      </c>
    </row>
    <row r="1273" spans="1:16" s="1" customFormat="1" ht="15" customHeight="1" x14ac:dyDescent="0.2">
      <c r="A1273" s="1140" t="s">
        <v>145</v>
      </c>
      <c r="B1273" s="1141"/>
      <c r="C1273" s="1141"/>
      <c r="D1273" s="18"/>
      <c r="E1273" s="107" t="s">
        <v>135</v>
      </c>
      <c r="F1273" s="95" t="str">
        <f>IF(IF(G1270=0,"",'päd.Personal - Leitung'!$F$41)=0,"",IF(G1270=0,"",'päd.Personal - Leitung'!$F$41))</f>
        <v/>
      </c>
      <c r="G1273" s="48"/>
      <c r="H1273" s="47"/>
      <c r="I1273" s="48"/>
      <c r="J1273" s="195" t="s">
        <v>158</v>
      </c>
      <c r="K1273" s="198">
        <f>$K$41</f>
        <v>4837.5</v>
      </c>
      <c r="L1273" s="197">
        <f>IF(L1239="",K1273,K1273/L1239*L1240)</f>
        <v>4837.5</v>
      </c>
      <c r="M1273" s="1138" t="s">
        <v>139</v>
      </c>
      <c r="N1273" s="1138"/>
      <c r="O1273" s="1139"/>
      <c r="P1273" s="27">
        <f>ROUND(IF(F1273="",0,G1270*F1273/1000),2)</f>
        <v>0</v>
      </c>
    </row>
    <row r="1274" spans="1:16" s="1" customFormat="1" ht="15.75" customHeight="1" x14ac:dyDescent="0.2">
      <c r="A1274" s="1142" t="s">
        <v>141</v>
      </c>
      <c r="B1274" s="1143"/>
      <c r="C1274" s="1143"/>
      <c r="D1274" s="1144" t="s">
        <v>143</v>
      </c>
      <c r="E1274" s="1144"/>
      <c r="F1274" s="1145" t="str">
        <f>IF(IF(G1270=0,"",'päd.Personal - Leitung'!$F$42)=0,"",IF(G1270=0,"",'päd.Personal - Leitung'!$F$42))</f>
        <v/>
      </c>
      <c r="G1274" s="1145"/>
      <c r="H1274" s="72"/>
      <c r="I1274" s="18"/>
      <c r="J1274" s="195" t="s">
        <v>159</v>
      </c>
      <c r="K1274" s="197">
        <f>$K$42</f>
        <v>6700</v>
      </c>
      <c r="L1274" s="197">
        <f>IF(L1239="",K1274,K1274/L1239*L1240)</f>
        <v>6700</v>
      </c>
      <c r="M1274" s="1138" t="s">
        <v>141</v>
      </c>
      <c r="N1274" s="1138"/>
      <c r="O1274" s="1139"/>
      <c r="P1274" s="23">
        <f>ROUND(IF(F1274="",0,IF(G1270=0,0,F1274/L1239*L1240)),2)</f>
        <v>0</v>
      </c>
    </row>
    <row r="1275" spans="1:16" s="1" customFormat="1" ht="14.25" customHeight="1" x14ac:dyDescent="0.2">
      <c r="A1275" s="18"/>
      <c r="B1275" s="18"/>
      <c r="C1275" s="18"/>
      <c r="D1275" s="18"/>
      <c r="E1275" s="18"/>
      <c r="F1275" s="18"/>
      <c r="G1275" s="18"/>
      <c r="H1275" s="18"/>
      <c r="I1275" s="18"/>
      <c r="J1275" s="18"/>
      <c r="K1275" s="74"/>
      <c r="L1275" s="82"/>
      <c r="M1275" s="1127" t="s">
        <v>146</v>
      </c>
      <c r="N1275" s="1127"/>
      <c r="O1275" s="1128"/>
      <c r="P1275" s="23">
        <f>ROUND(IF(G1270=0,0,$P$87),2)</f>
        <v>0</v>
      </c>
    </row>
    <row r="1276" spans="1:16" s="1" customFormat="1" ht="14.25" customHeight="1" x14ac:dyDescent="0.2">
      <c r="A1276" s="1129" t="s">
        <v>142</v>
      </c>
      <c r="B1276" s="1130"/>
      <c r="C1276" s="126" t="s">
        <v>136</v>
      </c>
      <c r="D1276" s="179" t="s">
        <v>137</v>
      </c>
      <c r="E1276" s="1131" t="str">
        <f>IF(IF(G1270=0,"",'päd.Personal - Leitung'!$E$44)=0,"",IF(G1270=0,"",'päd.Personal - Leitung'!$E$44))</f>
        <v/>
      </c>
      <c r="F1276" s="1131"/>
      <c r="G1276" s="83" t="s">
        <v>138</v>
      </c>
      <c r="H1276" s="97" t="str">
        <f>IF(IF(G1270=0,"",'päd.Personal - Leitung'!$H$44)=0,"",IF(G1270=0,"",'päd.Personal - Leitung'!$H$44))</f>
        <v/>
      </c>
      <c r="I1276" s="1132" t="s">
        <v>144</v>
      </c>
      <c r="J1276" s="1132"/>
      <c r="K1276" s="98" t="str">
        <f>IF(IF(G1270=0,"",'päd.Personal - Leitung'!$K$44)=0,"",IF(G1270=0,"",'päd.Personal - Leitung'!$K$44))</f>
        <v/>
      </c>
      <c r="L1276" s="29"/>
      <c r="M1276" s="29"/>
      <c r="N1276" s="29"/>
      <c r="O1276" s="28" t="s">
        <v>0</v>
      </c>
      <c r="P1276" s="27">
        <f>P1270+SUM(P1272:P1275)</f>
        <v>0</v>
      </c>
    </row>
    <row r="1277" spans="1:16" s="12" customFormat="1" ht="13.5" customHeight="1" x14ac:dyDescent="0.2">
      <c r="A1277" s="1178" t="s">
        <v>18</v>
      </c>
      <c r="B1277" s="1178"/>
      <c r="C1277" s="1178"/>
      <c r="D1277" s="1179" t="str">
        <f>IF($D$1="","",$D$1)</f>
        <v/>
      </c>
      <c r="E1277" s="1179"/>
      <c r="F1277" s="1179"/>
      <c r="G1277" s="1179"/>
      <c r="H1277" s="1179"/>
      <c r="I1277" s="1179"/>
      <c r="J1277" s="1179"/>
      <c r="K1277" s="1179"/>
      <c r="L1277" s="1179"/>
      <c r="M1277" s="1179"/>
      <c r="N1277" s="1179"/>
    </row>
    <row r="1278" spans="1:16" s="12" customFormat="1" ht="15" customHeight="1" x14ac:dyDescent="0.2">
      <c r="A1278" s="1178" t="s">
        <v>17</v>
      </c>
      <c r="B1278" s="1178"/>
      <c r="C1278" s="1178" t="s">
        <v>15</v>
      </c>
      <c r="D1278" s="1179" t="str">
        <f>IF($D$2="","",$D$2)</f>
        <v/>
      </c>
      <c r="E1278" s="1179"/>
      <c r="F1278" s="1179"/>
      <c r="G1278" s="1179"/>
      <c r="H1278" s="1179"/>
      <c r="I1278" s="1179"/>
      <c r="J1278" s="1179"/>
      <c r="K1278" s="1179"/>
      <c r="L1278" s="1179"/>
      <c r="M1278" s="1179"/>
      <c r="N1278" s="1179"/>
    </row>
    <row r="1279" spans="1:16" s="12" customFormat="1" ht="15" customHeight="1" x14ac:dyDescent="0.2">
      <c r="A1279" s="1178" t="s">
        <v>16</v>
      </c>
      <c r="B1279" s="1178"/>
      <c r="C1279" s="1178" t="s">
        <v>15</v>
      </c>
      <c r="D1279" s="1179" t="str">
        <f>IF($D$3="","",$D$3)</f>
        <v/>
      </c>
      <c r="E1279" s="1179"/>
      <c r="F1279" s="1179"/>
      <c r="G1279" s="1179"/>
      <c r="H1279" s="1179"/>
      <c r="I1279" s="1179"/>
      <c r="J1279" s="1179"/>
      <c r="K1279" s="1178" t="s">
        <v>103</v>
      </c>
      <c r="L1279" s="1178"/>
      <c r="M1279" s="1178"/>
      <c r="N1279" s="41" t="str">
        <f>IF($N$3="","",$N$3)</f>
        <v/>
      </c>
    </row>
    <row r="1280" spans="1:16" s="13" customFormat="1" ht="11.25" x14ac:dyDescent="0.2">
      <c r="A1280" s="1182"/>
      <c r="B1280" s="1182"/>
      <c r="C1280" s="1182"/>
      <c r="D1280" s="1183"/>
      <c r="E1280" s="1183"/>
      <c r="F1280" s="1183"/>
      <c r="G1280" s="1183"/>
      <c r="H1280" s="1183"/>
      <c r="I1280" s="1183"/>
      <c r="J1280" s="1183"/>
      <c r="K1280" s="11"/>
      <c r="L1280" s="11"/>
      <c r="M1280" s="11"/>
      <c r="N1280" s="11"/>
      <c r="O1280" s="11"/>
      <c r="P1280" s="11"/>
    </row>
    <row r="1281" spans="1:16" s="15" customFormat="1" ht="13.5" customHeight="1" x14ac:dyDescent="0.2">
      <c r="A1281" s="1177" t="s">
        <v>166</v>
      </c>
      <c r="B1281" s="1177"/>
      <c r="C1281" s="1177"/>
      <c r="D1281" s="1177"/>
      <c r="E1281" s="1177"/>
      <c r="F1281" s="1177"/>
      <c r="G1281" s="1177"/>
      <c r="H1281" s="1177"/>
      <c r="I1281" s="1177"/>
      <c r="J1281" s="1177"/>
      <c r="K1281" s="9"/>
      <c r="L1281" s="9"/>
      <c r="M1281" s="9"/>
      <c r="N1281" s="59" t="s">
        <v>154</v>
      </c>
      <c r="O1281" s="191">
        <f>$O$5</f>
        <v>2022</v>
      </c>
      <c r="P1281" s="59" t="s">
        <v>154</v>
      </c>
    </row>
    <row r="1282" spans="1:16" s="10" customFormat="1" ht="13.5" customHeight="1" x14ac:dyDescent="0.25">
      <c r="B1282" s="32"/>
      <c r="C1282" s="32"/>
      <c r="D1282" s="5" t="s">
        <v>63</v>
      </c>
      <c r="E1282" s="31"/>
      <c r="F1282" s="31"/>
      <c r="G1282" s="31"/>
      <c r="H1282" s="31"/>
      <c r="I1282" s="26"/>
      <c r="J1282" s="1174" t="s">
        <v>14</v>
      </c>
      <c r="K1282" s="1174"/>
      <c r="L1282" s="180"/>
      <c r="N1282" s="84">
        <f>IF(L1284="","",L1284)</f>
        <v>0</v>
      </c>
      <c r="O1282" s="58" t="str">
        <f>$O$6</f>
        <v>Jan                Jul</v>
      </c>
      <c r="P1282" s="85">
        <f>IF(N1287="","",N1287)</f>
        <v>0</v>
      </c>
    </row>
    <row r="1283" spans="1:16" s="7" customFormat="1" ht="13.5" customHeight="1" x14ac:dyDescent="0.25">
      <c r="A1283" s="1180" t="s">
        <v>71</v>
      </c>
      <c r="B1283" s="1180"/>
      <c r="C1283" s="1180"/>
      <c r="D1283" s="1184"/>
      <c r="E1283" s="1184"/>
      <c r="F1283" s="1184"/>
      <c r="G1283" s="1184"/>
      <c r="H1283" s="1184"/>
      <c r="I1283" s="1184"/>
      <c r="J1283" s="1174" t="s">
        <v>104</v>
      </c>
      <c r="K1283" s="1174"/>
      <c r="L1283" s="145"/>
      <c r="N1283" s="85">
        <f>IF(N1282="","",N1282)</f>
        <v>0</v>
      </c>
      <c r="O1283" s="58" t="str">
        <f>$O$7</f>
        <v>Feb              Aug</v>
      </c>
      <c r="P1283" s="85">
        <f>IF(P1282="","",P1282)</f>
        <v>0</v>
      </c>
    </row>
    <row r="1284" spans="1:16" s="1" customFormat="1" ht="13.5" customHeight="1" x14ac:dyDescent="0.2">
      <c r="A1284" s="1180" t="s">
        <v>13</v>
      </c>
      <c r="B1284" s="1180"/>
      <c r="C1284" s="1180"/>
      <c r="D1284" s="1181"/>
      <c r="E1284" s="1181"/>
      <c r="F1284" s="1181"/>
      <c r="G1284" s="1181"/>
      <c r="H1284" s="1181"/>
      <c r="I1284" s="1181"/>
      <c r="J1284" s="1174" t="s">
        <v>164</v>
      </c>
      <c r="K1284" s="1174"/>
      <c r="L1284" s="145">
        <f>IF((L1285+L1286)&gt;L1283,0,L1283-L1285-L1286)</f>
        <v>0</v>
      </c>
      <c r="N1284" s="85">
        <f>IF(N1283="","",N1283)</f>
        <v>0</v>
      </c>
      <c r="O1284" s="58" t="str">
        <f>$O$8</f>
        <v>Mrz              Sep</v>
      </c>
      <c r="P1284" s="85">
        <f>IF(P1283="","",P1283)</f>
        <v>0</v>
      </c>
    </row>
    <row r="1285" spans="1:16" s="1" customFormat="1" ht="13.5" customHeight="1" x14ac:dyDescent="0.2">
      <c r="A1285" s="1180" t="s">
        <v>12</v>
      </c>
      <c r="B1285" s="1180"/>
      <c r="C1285" s="1180"/>
      <c r="D1285" s="1181"/>
      <c r="E1285" s="1181"/>
      <c r="F1285" s="1181"/>
      <c r="G1285" s="1181"/>
      <c r="H1285" s="1181"/>
      <c r="I1285" s="1181"/>
      <c r="J1285" s="1174" t="s">
        <v>165</v>
      </c>
      <c r="K1285" s="1174"/>
      <c r="L1285" s="145"/>
      <c r="N1285" s="85">
        <f>IF(N1284="","",N1284)</f>
        <v>0</v>
      </c>
      <c r="O1285" s="58" t="str">
        <f>$O$9</f>
        <v>Apr               Okt</v>
      </c>
      <c r="P1285" s="85">
        <f t="shared" ref="P1285:P1287" si="145">IF(P1284="","",P1284)</f>
        <v>0</v>
      </c>
    </row>
    <row r="1286" spans="1:16" s="1" customFormat="1" ht="13.5" customHeight="1" x14ac:dyDescent="0.2">
      <c r="A1286" s="1180" t="s">
        <v>19</v>
      </c>
      <c r="B1286" s="1180"/>
      <c r="C1286" s="1180"/>
      <c r="D1286" s="1181"/>
      <c r="E1286" s="1181"/>
      <c r="F1286" s="1181"/>
      <c r="G1286" s="1181"/>
      <c r="H1286" s="1181"/>
      <c r="I1286" s="1181"/>
      <c r="J1286" s="1174" t="s">
        <v>252</v>
      </c>
      <c r="K1286" s="1174"/>
      <c r="L1286" s="145"/>
      <c r="M1286" s="92"/>
      <c r="N1286" s="85">
        <f>IF(N1285="","",N1285)</f>
        <v>0</v>
      </c>
      <c r="O1286" s="58" t="str">
        <f>$O$10</f>
        <v>Mai               Nov</v>
      </c>
      <c r="P1286" s="85">
        <f t="shared" si="145"/>
        <v>0</v>
      </c>
    </row>
    <row r="1287" spans="1:16" s="1" customFormat="1" ht="13.5" customHeight="1" x14ac:dyDescent="0.2">
      <c r="B1287" s="8"/>
      <c r="C1287" s="121" t="s">
        <v>162</v>
      </c>
      <c r="D1287" s="1175"/>
      <c r="E1287" s="1175"/>
      <c r="F1287" s="1176" t="s">
        <v>106</v>
      </c>
      <c r="G1287" s="1176"/>
      <c r="H1287" s="1186"/>
      <c r="I1287" s="1186"/>
      <c r="J1287" s="1174" t="s">
        <v>97</v>
      </c>
      <c r="K1287" s="1174"/>
      <c r="L1287" s="17" t="str">
        <f>IF(IF((COUNTIF(B1302:B1313,"&gt;0"))=0,0,(COUNTIF(B1302:B1313,"&gt;0")))&gt;Grundlagen!$C$24,Grundlagen!$C$24,IF((COUNTIF(B1302:B1313,"&gt;0"))=0,"",(COUNTIF(B1302:B1313,"&gt;0"))))</f>
        <v/>
      </c>
      <c r="N1287" s="85">
        <f>IF(N1286="","",N1286)</f>
        <v>0</v>
      </c>
      <c r="O1287" s="58" t="str">
        <f>'päd.Personal - Leitung'!$O$11</f>
        <v>Jun               Dez</v>
      </c>
      <c r="P1287" s="85">
        <f t="shared" si="145"/>
        <v>0</v>
      </c>
    </row>
    <row r="1288" spans="1:16" s="1" customFormat="1" ht="13.5" customHeight="1" x14ac:dyDescent="0.2">
      <c r="I1288" s="6"/>
      <c r="L1288" s="147" t="str">
        <f>IF((SUM(F1290:F1293))=0,"",IF(P1288&gt;L1284,L1284,IF(L1284="","",IF(L1287="","",P1288))))</f>
        <v/>
      </c>
      <c r="O1288" s="174" t="s">
        <v>251</v>
      </c>
      <c r="P1288" s="175">
        <f>IF(L1287="",0,((IF(SUMIF(B1302,"&gt;0"),N1282,0))+(IF(SUMIF(B1303,"&gt;0"),N1283,0))+(IF(SUMIF(B1304,"&gt;0"),N1284,0))+(IF(SUMIF(B1305,"&gt;0"),N1285,0))+(IF(SUMIF(B1306,"&gt;0"),N1286,0))+(IF(SUMIF(B1307,"&gt;0"),N1287,0))+(IF(SUMIF(B1308,"&gt;0"),P1282,0))+(IF(SUMIF(B1309,"&gt;0"),P1283,0))+(IF(SUMIF(B1310,"&gt;0"),P1284,0))+(IF(SUMIF(B1311,"&gt;0"),P1285,0))+(IF(SUMIF(B1312,"&gt;0"),P1286,0))+(IF(SUMIF(B1313,"&gt;0"),P1287,0)))/Grundlagen!$C$24)</f>
        <v>0</v>
      </c>
    </row>
    <row r="1289" spans="1:16" s="52" customFormat="1" ht="13.5" customHeight="1" x14ac:dyDescent="0.2">
      <c r="A1289" s="61" t="s">
        <v>148</v>
      </c>
      <c r="B1289" s="1168" t="s">
        <v>149</v>
      </c>
      <c r="C1289" s="1168"/>
      <c r="D1289" s="62" t="s">
        <v>150</v>
      </c>
      <c r="E1289" s="63" t="s">
        <v>151</v>
      </c>
      <c r="F1289" s="64" t="str">
        <f>CONCATENATE("Entg. ",N1279," h/Wo")</f>
        <v>Entg.  h/Wo</v>
      </c>
      <c r="G1289" s="65" t="s">
        <v>152</v>
      </c>
      <c r="H1289" s="65" t="s">
        <v>153</v>
      </c>
      <c r="K1289" s="1169" t="str">
        <f>CONCATENATE("Zuschläge / Zulagen für ",N1279,"h/Wo")</f>
        <v>Zuschläge / Zulagen für h/Wo</v>
      </c>
      <c r="L1289" s="1169"/>
      <c r="M1289" s="66" t="str">
        <f>IF(A1290="","",A1290)</f>
        <v>Jan 2022</v>
      </c>
      <c r="N1289" s="66" t="str">
        <f>IF(A1291="","",A1291)</f>
        <v/>
      </c>
      <c r="O1289" s="66" t="str">
        <f>IF(A1292="","",A1292)</f>
        <v/>
      </c>
      <c r="P1289" s="66" t="str">
        <f>IF(A1293="","",A1293)</f>
        <v/>
      </c>
    </row>
    <row r="1290" spans="1:16" s="52" customFormat="1" ht="13.5" customHeight="1" x14ac:dyDescent="0.25">
      <c r="A1290" s="54" t="str">
        <f>A1302</f>
        <v>Jan 2022</v>
      </c>
      <c r="B1290" s="1170" t="str">
        <f>IF($D$3="","",$D$3)</f>
        <v/>
      </c>
      <c r="C1290" s="1171"/>
      <c r="D1290" s="181"/>
      <c r="E1290" s="181"/>
      <c r="F1290" s="87"/>
      <c r="G1290" s="56">
        <f>IF(N1279="",0,F1290/N1279/4.348)</f>
        <v>0</v>
      </c>
      <c r="H1290" s="53">
        <f>IF(G1290=0,0,M1295)</f>
        <v>0</v>
      </c>
      <c r="K1290" s="1146"/>
      <c r="L1290" s="1146"/>
      <c r="M1290" s="172"/>
      <c r="N1290" s="172"/>
      <c r="O1290" s="172"/>
      <c r="P1290" s="172"/>
    </row>
    <row r="1291" spans="1:16" s="52" customFormat="1" ht="13.5" customHeight="1" x14ac:dyDescent="0.25">
      <c r="A1291" s="55"/>
      <c r="B1291" s="1172" t="str">
        <f>IF(A1291="","",B1290)</f>
        <v/>
      </c>
      <c r="C1291" s="1173"/>
      <c r="D1291" s="181"/>
      <c r="E1291" s="181"/>
      <c r="F1291" s="87"/>
      <c r="G1291" s="56">
        <f>IF(N1279="",0,F1291/N1279/4.348)</f>
        <v>0</v>
      </c>
      <c r="H1291" s="53">
        <f>IF(G1291=0,0,N1295)</f>
        <v>0</v>
      </c>
      <c r="K1291" s="1146"/>
      <c r="L1291" s="1146"/>
      <c r="M1291" s="172"/>
      <c r="N1291" s="172"/>
      <c r="O1291" s="172"/>
      <c r="P1291" s="172"/>
    </row>
    <row r="1292" spans="1:16" s="52" customFormat="1" ht="13.5" customHeight="1" x14ac:dyDescent="0.25">
      <c r="A1292" s="55"/>
      <c r="B1292" s="1172" t="str">
        <f>IF(A1292="","",B1291)</f>
        <v/>
      </c>
      <c r="C1292" s="1173"/>
      <c r="D1292" s="181"/>
      <c r="E1292" s="181"/>
      <c r="F1292" s="87"/>
      <c r="G1292" s="56">
        <f>IF(N1279="",0,F1292/N1279/4.348)</f>
        <v>0</v>
      </c>
      <c r="H1292" s="53">
        <f>IF(G1292=0,0,O1295)</f>
        <v>0</v>
      </c>
      <c r="K1292" s="1146"/>
      <c r="L1292" s="1146"/>
      <c r="M1292" s="172"/>
      <c r="N1292" s="172"/>
      <c r="O1292" s="172"/>
      <c r="P1292" s="172"/>
    </row>
    <row r="1293" spans="1:16" s="52" customFormat="1" ht="13.5" customHeight="1" x14ac:dyDescent="0.25">
      <c r="A1293" s="55"/>
      <c r="B1293" s="1172" t="str">
        <f>IF(A1293="","",B1292)</f>
        <v/>
      </c>
      <c r="C1293" s="1173"/>
      <c r="D1293" s="181"/>
      <c r="E1293" s="181"/>
      <c r="F1293" s="87"/>
      <c r="G1293" s="56">
        <f>IF(N1279="",0,F1293/N1279/4.348)</f>
        <v>0</v>
      </c>
      <c r="H1293" s="53">
        <f>IF(G1293=0,0,P1295)</f>
        <v>0</v>
      </c>
      <c r="K1293" s="1146"/>
      <c r="L1293" s="1146"/>
      <c r="M1293" s="172"/>
      <c r="N1293" s="172"/>
      <c r="O1293" s="172"/>
      <c r="P1293" s="172"/>
    </row>
    <row r="1294" spans="1:16" s="52" customFormat="1" ht="13.5" customHeight="1" x14ac:dyDescent="0.25">
      <c r="B1294" s="1167" t="s">
        <v>157</v>
      </c>
      <c r="C1294" s="1167"/>
      <c r="E1294" s="1167" t="s">
        <v>156</v>
      </c>
      <c r="F1294" s="1167"/>
      <c r="J1294" s="69"/>
      <c r="K1294" s="1146"/>
      <c r="L1294" s="1146"/>
      <c r="M1294" s="172"/>
      <c r="N1294" s="172"/>
      <c r="O1294" s="172"/>
      <c r="P1294" s="172"/>
    </row>
    <row r="1295" spans="1:16" s="52" customFormat="1" ht="13.5" customHeight="1" x14ac:dyDescent="0.25">
      <c r="A1295" s="70" t="s">
        <v>167</v>
      </c>
      <c r="B1295" s="67"/>
      <c r="C1295" s="99" t="str">
        <f>IF(C1251="","",C1251)</f>
        <v/>
      </c>
      <c r="D1295" s="70" t="s">
        <v>167</v>
      </c>
      <c r="E1295" s="67"/>
      <c r="F1295" s="99" t="str">
        <f>IF(F1251="","",F1251)</f>
        <v/>
      </c>
      <c r="J1295" s="68"/>
      <c r="M1295" s="173">
        <f>SUM(M1290:M1294)</f>
        <v>0</v>
      </c>
      <c r="N1295" s="173">
        <f t="shared" ref="N1295:P1295" si="146">SUM(N1290:N1294)</f>
        <v>0</v>
      </c>
      <c r="O1295" s="173">
        <f t="shared" si="146"/>
        <v>0</v>
      </c>
      <c r="P1295" s="173">
        <f t="shared" si="146"/>
        <v>0</v>
      </c>
    </row>
    <row r="1296" spans="1:16" s="52" customFormat="1" ht="13.5" customHeight="1" x14ac:dyDescent="0.2">
      <c r="A1296" s="60" t="s">
        <v>155</v>
      </c>
    </row>
    <row r="1297" spans="1:16" s="1" customFormat="1" ht="14.25" customHeight="1" x14ac:dyDescent="0.2">
      <c r="A1297" s="1147"/>
      <c r="B1297" s="1149" t="s">
        <v>9</v>
      </c>
      <c r="C1297" s="1150"/>
      <c r="D1297" s="1150"/>
      <c r="E1297" s="1150"/>
      <c r="F1297" s="1150"/>
      <c r="G1297" s="1151"/>
      <c r="H1297" s="1152" t="s">
        <v>119</v>
      </c>
      <c r="I1297" s="1153"/>
      <c r="J1297" s="1153"/>
      <c r="K1297" s="1153"/>
      <c r="L1297" s="1153"/>
      <c r="M1297" s="1153"/>
      <c r="N1297" s="1153"/>
      <c r="O1297" s="33"/>
      <c r="P1297" s="1154" t="s">
        <v>0</v>
      </c>
    </row>
    <row r="1298" spans="1:16" s="1" customFormat="1" ht="14.25" customHeight="1" x14ac:dyDescent="0.2">
      <c r="A1298" s="1148"/>
      <c r="B1298" s="1157" t="s">
        <v>117</v>
      </c>
      <c r="C1298" s="124" t="s">
        <v>115</v>
      </c>
      <c r="D1298" s="1159" t="s">
        <v>277</v>
      </c>
      <c r="E1298" s="1161" t="s">
        <v>147</v>
      </c>
      <c r="F1298" s="127" t="s">
        <v>7</v>
      </c>
      <c r="G1298" s="1162" t="s">
        <v>6</v>
      </c>
      <c r="H1298" s="1161" t="s">
        <v>129</v>
      </c>
      <c r="I1298" s="1161" t="s">
        <v>5</v>
      </c>
      <c r="J1298" s="1161" t="s">
        <v>4</v>
      </c>
      <c r="K1298" s="1161" t="s">
        <v>3</v>
      </c>
      <c r="L1298" s="1161" t="s">
        <v>121</v>
      </c>
      <c r="M1298" s="1161" t="s">
        <v>122</v>
      </c>
      <c r="N1298" s="1161" t="s">
        <v>123</v>
      </c>
      <c r="O1298" s="1160" t="s">
        <v>114</v>
      </c>
      <c r="P1298" s="1155"/>
    </row>
    <row r="1299" spans="1:16" s="1" customFormat="1" ht="14.25" customHeight="1" x14ac:dyDescent="0.2">
      <c r="A1299" s="1148"/>
      <c r="B1299" s="1157"/>
      <c r="C1299" s="21" t="str">
        <f>IF(C1295="","",C1295)</f>
        <v/>
      </c>
      <c r="D1299" s="1160"/>
      <c r="E1299" s="1161"/>
      <c r="F1299" s="1165" t="str">
        <f>IF(H1290=0,"","siehe Zuschläge / Zulagen")</f>
        <v/>
      </c>
      <c r="G1299" s="1162"/>
      <c r="H1299" s="1164" t="s">
        <v>127</v>
      </c>
      <c r="I1299" s="1164"/>
      <c r="J1299" s="1164"/>
      <c r="K1299" s="1164"/>
      <c r="L1299" s="1164"/>
      <c r="M1299" s="1164"/>
      <c r="N1299" s="1164"/>
      <c r="O1299" s="1160"/>
      <c r="P1299" s="1155"/>
    </row>
    <row r="1300" spans="1:16" s="1" customFormat="1" x14ac:dyDescent="0.2">
      <c r="A1300" s="1148"/>
      <c r="B1300" s="1157"/>
      <c r="C1300" s="122" t="s">
        <v>70</v>
      </c>
      <c r="D1300" s="1160"/>
      <c r="E1300" s="1161"/>
      <c r="F1300" s="1165"/>
      <c r="G1300" s="1162"/>
      <c r="H1300" s="43" t="s">
        <v>128</v>
      </c>
      <c r="I1300" s="43" t="s">
        <v>255</v>
      </c>
      <c r="J1300" s="43" t="s">
        <v>256</v>
      </c>
      <c r="K1300" s="43" t="s">
        <v>257</v>
      </c>
      <c r="L1300" s="43"/>
      <c r="M1300" s="43"/>
      <c r="N1300" s="43" t="s">
        <v>254</v>
      </c>
      <c r="O1300" s="1160"/>
      <c r="P1300" s="1155"/>
    </row>
    <row r="1301" spans="1:16" s="1" customFormat="1" x14ac:dyDescent="0.2">
      <c r="A1301" s="1148"/>
      <c r="B1301" s="1158"/>
      <c r="C1301" s="21" t="str">
        <f>IF(F1295="","",F1295)</f>
        <v/>
      </c>
      <c r="D1301" s="51"/>
      <c r="E1301" s="51"/>
      <c r="F1301" s="1166"/>
      <c r="G1301" s="1163"/>
      <c r="H1301" s="93"/>
      <c r="I1301" s="139">
        <f>$I$69</f>
        <v>0</v>
      </c>
      <c r="J1301" s="139">
        <f>$J$69</f>
        <v>0</v>
      </c>
      <c r="K1301" s="44">
        <f>$K$69</f>
        <v>0</v>
      </c>
      <c r="L1301" s="21"/>
      <c r="M1301" s="21"/>
      <c r="N1301" s="139">
        <f>$N$69</f>
        <v>0</v>
      </c>
      <c r="O1301" s="21">
        <f>O1257</f>
        <v>0</v>
      </c>
      <c r="P1301" s="1156"/>
    </row>
    <row r="1302" spans="1:16" s="1" customFormat="1" x14ac:dyDescent="0.2">
      <c r="A1302" s="100" t="str">
        <f>$A$26</f>
        <v>Jan 2022</v>
      </c>
      <c r="B1302" s="24">
        <f>ROUND(IF(N1282=0,0,(LOOKUP(2,1/(A1290:A1293=A1302),G1290:G1293))*N1282*4.348),2)</f>
        <v>0</v>
      </c>
      <c r="C1302" s="23">
        <f>ROUND(IFERROR(((LOOKUP(2,1/(B1295=A1302),((SUM(B1308:B1310)+SUM(F1308:F1310))/3)*C1295))),0)+IFERROR(((LOOKUP(2,1/(E1295=A1302),(B1314+F1314)*F1295))),0),2)</f>
        <v>0</v>
      </c>
      <c r="D1302" s="23">
        <f>ROUND(IF(B1302=0,0,D1301/L1283*N1282),2)</f>
        <v>0</v>
      </c>
      <c r="E1302" s="23">
        <f>ROUND(IF(B1302=0,0,E1301/N1279*N1282),2)</f>
        <v>0</v>
      </c>
      <c r="F1302" s="24">
        <f>ROUND(IF(N1282=0,0,(LOOKUP(2,1/(A1290:A1293=A1302),H1290:H1293))/N1279*N1282),2)</f>
        <v>0</v>
      </c>
      <c r="G1302" s="27">
        <f>SUM(B1302+C1302+E1302+F1302)</f>
        <v>0</v>
      </c>
      <c r="H1302" s="76">
        <f>ROUND(IF((SUM(B1302:F1302))&gt;L1317,L1317*H1301,SUM(B1302:F1302)*H1301),2)</f>
        <v>0</v>
      </c>
      <c r="I1302" s="76">
        <f>ROUND(IF((SUM(B1302:F1302))&gt;L1318,L1318*I1301,SUM(B1302:F1302)*I1301),2)</f>
        <v>0</v>
      </c>
      <c r="J1302" s="76">
        <f>ROUND(IF((SUM(B1302:F1302))&gt;L1318,L1318*J1301,SUM(B1302:F1302)*J1301),2)</f>
        <v>0</v>
      </c>
      <c r="K1302" s="76">
        <f>ROUND(IF((SUM(B1302:F1302))&gt;L1317,L1317*K1301,SUM(B1302:F1302)*K1301),2)</f>
        <v>0</v>
      </c>
      <c r="L1302" s="76">
        <f>ROUND(IF((SUM(B1302:F1302))&gt;L1318,L1318*L1301,(SUM(B1302:F1302)-C1302)*L1301),2)</f>
        <v>0</v>
      </c>
      <c r="M1302" s="76">
        <f>ROUND(IF((SUM(B1302:F1302))&gt;L1318,L1318*M1301,(SUM(B1302:F1302)-C1302)*M1301),2)</f>
        <v>0</v>
      </c>
      <c r="N1302" s="76">
        <f>ROUND(IF((SUM(B1302:F1302))&gt;L1318,L1318*N1301,SUM(B1302:F1302)*N1301),2)</f>
        <v>0</v>
      </c>
      <c r="O1302" s="23">
        <f>ROUND(SUM(B1302+C1302+F1302)*O1301,2)</f>
        <v>0</v>
      </c>
      <c r="P1302" s="27">
        <f>SUM(G1302:O1302)</f>
        <v>0</v>
      </c>
    </row>
    <row r="1303" spans="1:16" s="1" customFormat="1" x14ac:dyDescent="0.2">
      <c r="A1303" s="100" t="str">
        <f>$A$27</f>
        <v>Feb 2022</v>
      </c>
      <c r="B1303" s="24">
        <f>ROUND(IF(N1283=0,0,IFERROR(((LOOKUP(2,1/(A1290:A1293=A1303),G1290:G1293))*N1283*4.348),B1302/N1283*N1283)),2)</f>
        <v>0</v>
      </c>
      <c r="C1303" s="23">
        <f>ROUND(IFERROR(((LOOKUP(2,1/(B1295=A1303),((SUM(B1308:B1310)+SUM(F1308:F1310))/3)*C1295))),0)+IFERROR(((LOOKUP(2,1/(E1295=A1303),(B1314+F1314)*F1295))),0),2)</f>
        <v>0</v>
      </c>
      <c r="D1303" s="23">
        <f>ROUND(IF(B1303=0,0,D1301/L1283*N1283),2)</f>
        <v>0</v>
      </c>
      <c r="E1303" s="23">
        <f>ROUND(IF(B1303=0,0,E1301/N1279*N1283),2)</f>
        <v>0</v>
      </c>
      <c r="F1303" s="24">
        <f>ROUND(IF(N1283=0,0,IFERROR(((LOOKUP(2,1/(A1290:A1293=A1303),H1290:H1293))/N1279*N1283),F1302/N1283*N1283)),2)</f>
        <v>0</v>
      </c>
      <c r="G1303" s="27">
        <f t="shared" ref="G1303:G1313" si="147">SUM(B1303+C1303+E1303+F1303)</f>
        <v>0</v>
      </c>
      <c r="H1303" s="76">
        <f>ROUND(IF(SUM(B1302:F1302)&lt;(L1317*1),IF((SUM(B1302:F1303))&gt;(L1317*2),(((L1317*2)-(SUM(B1302:F1303)-C1302))*H1301)+((SUM(B1303:F1303)-C1302)*H1301),SUM(B1303:F1303)*H1301),IF(SUM(B1302:F1303)&gt;(L1317*2),L1317*H1301,SUM(B1303:F1303)*H1301)),2)</f>
        <v>0</v>
      </c>
      <c r="I1303" s="76">
        <f>ROUND(IF(SUM(B1302:F1302)&lt;(L1318*1),IF((SUM(B1302:F1303))&gt;(L1318*2),(((L1318*2)-(SUM(B1302:F1303)-C1302))*I1301)+((SUM(B1303:F1303)-C1302)*I1301),SUM(B1303:F1303)*I1301),IF(SUM(B1302:F1303)&gt;(L1318*2),L1318*I1301,SUM(B1303:F1303)*I1301)),2)</f>
        <v>0</v>
      </c>
      <c r="J1303" s="76">
        <f>ROUND(IF(SUM(B1302:F1302)&lt;(L1318*1),IF((SUM(B1302:F1303))&gt;(L1318*2),(((L1318*2)-(SUM(B1302:F1303)-C1302))*J1301)+((SUM(B1303:F1303)-C1302)*J1301),SUM(B1303:F1303)*J1301),IF(SUM(B1302:F1303)&gt;(L1318*2),L1318*J1301,SUM(B1303:F1303)*J1301)),2)</f>
        <v>0</v>
      </c>
      <c r="K1303" s="76">
        <f>ROUND(IF(SUM(B1302:F1302)&lt;(L1317*1),IF((SUM(B1302:F1303))&gt;(L1317*2),(((L1317*2)-(SUM(B1302:F1303)-C1302))*K1301)+((SUM(B1303:F1303)-C1302)*K1301),SUM(B1303:F1303)*K1301),IF(SUM(B1302:F1303)&gt;(L1317*2),L1317*K1301,SUM(B1303:F1303)*K1301)),2)</f>
        <v>0</v>
      </c>
      <c r="L1303" s="76">
        <f>ROUND(IF(SUM(B1302:F1302)&lt;(L1318*1),IF((SUM(B1302:F1303))&gt;(L1318*2),(((L1318*2)-(SUM(B1302:F1303)-C1303))*L1301)+((SUM(B1303:F1303)-C1303)*L1301),(SUM(B1303:F1303)-C1303)*L1301),IF(SUM(B1302:F1303)&gt;(L1318*2),L1318*L1301,SUM(B1303:F1303)*L1301)),2)</f>
        <v>0</v>
      </c>
      <c r="M1303" s="76">
        <f>ROUND(IF(SUM(B1302:F1302)&lt;(L1318*1),IF((SUM(B1302:F1303))&gt;(L1318*2),(((L1318*2)-(SUM(B1302:F1303)-C1303))*M1301)+((SUM(B1303:F1303)-C1303)*M1301),(SUM(B1303:F1303)-C1303)*M1301),IF(SUM(B1302:F1303)&gt;(L1318*2),L1318*M1301,SUM(B1303:F1303)*M1301)),2)</f>
        <v>0</v>
      </c>
      <c r="N1303" s="76">
        <f>ROUND(IF(SUM(B1302:F1302)&lt;(L1318*1),IF((SUM(B1302:F1303))&gt;(L1318*2),(((L1318*2)-(SUM(B1302:F1303)-C1302))*N1301)+((SUM(B1303:F1303)-C1302)*N1301),SUM(B1303:F1303)*N1301),IF(SUM(B1302:F1303)&gt;(L1318*2),L1318*N1301,SUM(B1303:F1303)*N1301)),2)</f>
        <v>0</v>
      </c>
      <c r="O1303" s="23">
        <f>ROUND(SUM(B1303+C1303+F1303)*O1301,2)</f>
        <v>0</v>
      </c>
      <c r="P1303" s="27">
        <f>SUM(G1303:O1303)</f>
        <v>0</v>
      </c>
    </row>
    <row r="1304" spans="1:16" s="1" customFormat="1" x14ac:dyDescent="0.2">
      <c r="A1304" s="100" t="str">
        <f>$A$28</f>
        <v>Mrz 2022</v>
      </c>
      <c r="B1304" s="24">
        <f>ROUND(IF(N1284=0,0,IFERROR(((LOOKUP(2,1/(A1290:A1293=A1304),G1290:G1293))*N1284*4.348),B1303/N1284*N1284)),2)</f>
        <v>0</v>
      </c>
      <c r="C1304" s="23">
        <f>ROUND(IFERROR(((LOOKUP(2,1/(B1295=A1304),((SUM(B1308:B1310)+SUM(F1308:F1310))/3)*C1295))),0)+IFERROR(((LOOKUP(2,1/(E1295=A1304),(B1314+F1314)*F1295))),0),2)</f>
        <v>0</v>
      </c>
      <c r="D1304" s="23">
        <f>ROUND(IF(B1304=0,0,D1301/L1283*N1284),2)</f>
        <v>0</v>
      </c>
      <c r="E1304" s="23">
        <f>ROUND(IF(B1304=0,0,E1301/N1279*N1284),2)</f>
        <v>0</v>
      </c>
      <c r="F1304" s="24">
        <f>ROUND(IF(N1284=0,0,IFERROR(((LOOKUP(2,1/(A1290:A1293=A1304),H1290:H1293))/N1279*N1284),F1303/N1284*N1284)),2)</f>
        <v>0</v>
      </c>
      <c r="G1304" s="27">
        <f t="shared" si="147"/>
        <v>0</v>
      </c>
      <c r="H1304" s="76">
        <f>ROUND(IF(SUM(B1302:F1303)&lt;(L1317*2),IF((SUM(B1302:F1304))&gt;(L1317*3),(((L1317*3)-(SUM(B1302:F1304)-C1303))*H1301)+((SUM(B1304:F1304)-C1303)*H1301),SUM(B1304:F1304)*H1301),IF(SUM(B1302:F1304)&gt;(L1317*3),L1317*H1301,SUM(B1304:F1304)*H1301)),2)</f>
        <v>0</v>
      </c>
      <c r="I1304" s="76">
        <f>ROUND(IF(SUM(B1302:F1303)&lt;(L1318*2),IF((SUM(B1302:F1304))&gt;(L1318*3),(((L1318*3)-(SUM(B1302:F1304)-C1303))*I1301)+((SUM(B1304:F1304)-C1303)*I1301),SUM(B1304:F1304)*I1301),IF(SUM(B1302:F1304)&gt;(L1318*3),L1318*I1301,SUM(B1304:F1304)*I1301)),2)</f>
        <v>0</v>
      </c>
      <c r="J1304" s="76">
        <f>ROUND(IF(SUM(B1302:F1303)&lt;(L1318*2),IF((SUM(B1302:F1304))&gt;(L1318*3),(((L1318*3)-(SUM(B1302:F1304)-C1303))*J1301)+((SUM(B1304:F1304)-C1303)*J1301),SUM(B1304:F1304)*J1301),IF(SUM(B1302:F1304)&gt;(L1318*3),L1318*J1301,SUM(B1304:F1304)*J1301)),2)</f>
        <v>0</v>
      </c>
      <c r="K1304" s="76">
        <f>ROUND(IF(SUM(B1302:F1303)&lt;(L1317*2),IF((SUM(B1302:F1304))&gt;(L1317*3),(((L1317*3)-(SUM(B1302:F1304)-C1303))*K1301)+((SUM(B1304:F1304)-C1303)*K1301),SUM(B1304:F1304)*K1301),IF(SUM(B1302:F1304)&gt;(L1317*3),L1317*K1301,SUM(B1304:F1304)*K1301)),2)</f>
        <v>0</v>
      </c>
      <c r="L1304" s="76">
        <f>ROUND(IF(SUM(B1302:F1303)&lt;(L1318*2),IF((SUM(B1302:F1304))&gt;(L1318*3),(((L1318*3)-(SUM(B1302:F1304)-C1304))*L1301)+((SUM(B1304:F1304)-C1304)*L1301),(SUM(B1304:F1304)-C1304)*L1301),IF(SUM(B1302:F1304)&gt;(L1318*3),L1318*L1301,SUM(B1304:F1304)*L1301)),2)</f>
        <v>0</v>
      </c>
      <c r="M1304" s="76">
        <f>ROUND(IF(SUM(B1302:F1303)&lt;(L1318*2),IF((SUM(B1302:F1304))&gt;(L1318*3),(((L1318*3)-(SUM(B1302:F1304)-C1304))*M1301)+((SUM(B1304:F1304)-C1304)*M1301),(SUM(B1304:F1304)-C1304)*M1301),IF(SUM(B1302:F1304)&gt;(L1318*3),L1318*M1301,SUM(B1304:F1304)*M1301)),2)</f>
        <v>0</v>
      </c>
      <c r="N1304" s="76">
        <f>ROUND(IF(SUM(B1302:F1303)&lt;(L1318*2),IF((SUM(B1302:F1304))&gt;(L1318*3),(((L1318*3)-(SUM(B1302:F1304)-C1303))*N1301)+((SUM(B1304:F1304)-C1303)*N1301),SUM(B1304:F1304)*N1301),IF(SUM(B1302:F1304)&gt;(L1318*3),L1318*N1301,SUM(B1304:F1304)*N1301)),2)</f>
        <v>0</v>
      </c>
      <c r="O1304" s="23">
        <f>ROUND(SUM(B1304+C1304+F1304)*O1301,2)</f>
        <v>0</v>
      </c>
      <c r="P1304" s="27">
        <f t="shared" ref="P1304:P1313" si="148">SUM(G1304:O1304)</f>
        <v>0</v>
      </c>
    </row>
    <row r="1305" spans="1:16" s="1" customFormat="1" x14ac:dyDescent="0.2">
      <c r="A1305" s="100" t="str">
        <f>$A$29</f>
        <v>Apr 2022</v>
      </c>
      <c r="B1305" s="24">
        <f>ROUND(IF(N1285=0,0,IFERROR(((LOOKUP(2,1/(A1290:A1293=A1305),G1290:G1293))*N1285*4.348),B1304/N1285*N1285)),2)</f>
        <v>0</v>
      </c>
      <c r="C1305" s="23">
        <f>ROUND(IFERROR(((LOOKUP(2,1/(B1295=A1305),((SUM(B1308:B1310)+SUM(F1308:F1310))/3)*C1295))),0)+IFERROR(((LOOKUP(2,1/(E1295=A1305),(B1314+F1314)*F1295))),0),2)</f>
        <v>0</v>
      </c>
      <c r="D1305" s="23">
        <f>ROUND(IF(B1305=0,0,D1301/L1283*N1285),2)</f>
        <v>0</v>
      </c>
      <c r="E1305" s="23">
        <f>ROUND(IF(B1305=0,0,E1301/N1279*N1285),2)</f>
        <v>0</v>
      </c>
      <c r="F1305" s="24">
        <f>ROUND(IF(N1285=0,0,IFERROR(((LOOKUP(2,1/(A1290:A1293=A1305),H1290:H1293))/N1279*N1285),F1304/N1285*N1285)),2)</f>
        <v>0</v>
      </c>
      <c r="G1305" s="27">
        <f t="shared" si="147"/>
        <v>0</v>
      </c>
      <c r="H1305" s="76">
        <f>ROUND(IF(SUM(B1302:F1304)&lt;(L1317*3),IF((SUM(B1302:F1305))&gt;(L1317*4),(((L1317*4)-(SUM(B1302:F1305)-C1304))*H1301)+((SUM(B1305:F1305)-C1304)*H1301),SUM(B1305:F1305)*H1301),IF(SUM(B1302:F1305)&gt;(L1317*4),L1317*H1301,SUM(B1305:F1305)*H1301)),2)</f>
        <v>0</v>
      </c>
      <c r="I1305" s="76">
        <f>ROUND(IF(SUM(B1302:F1304)&lt;(L1318*3),IF((SUM(B1302:F1305))&gt;(L1318*4),(((L1318*4)-(SUM(B1302:F1305)-C1304))*I1301)+((SUM(B1305:F1305)-C1304)*I1301),SUM(B1305:F1305)*I1301),IF(SUM(B1302:F1305)&gt;(L1318*4),L1318*I1301,SUM(B1305:F1305)*I1301)),2)</f>
        <v>0</v>
      </c>
      <c r="J1305" s="76">
        <f>ROUND(IF(SUM(B1302:F1304)&lt;(L1318*3),IF((SUM(B1302:F1305))&gt;(L1318*4),(((L1318*4)-(SUM(B1302:F1305)-C1304))*J1301)+((SUM(B1305:F1305)-C1304)*J1301),SUM(B1305:F1305)*J1301),IF(SUM(B1302:F1305)&gt;(L1318*4),L1318*J1301,SUM(B1305:F1305)*J1301)),2)</f>
        <v>0</v>
      </c>
      <c r="K1305" s="76">
        <f>ROUND(IF(SUM(B1302:F1304)&lt;(L1317*3),IF((SUM(B1302:F1305))&gt;(L1317*4),(((L1317*4)-(SUM(B1302:F1305)-C1304))*K1301)+((SUM(B1305:F1305)-C1304)*K1301),SUM(B1305:F1305)*K1301),IF(SUM(B1302:F1305)&gt;(L1317*4),L1317*K1301,SUM(B1305:F1305)*K1301)),2)</f>
        <v>0</v>
      </c>
      <c r="L1305" s="76">
        <f>ROUND(IF(SUM(B1302:F1304)&lt;(L1318*3),IF((SUM(B1302:F1305))&gt;(L1318*4),(((L1318*4)-(SUM(B1302:F1305)-C1305))*L1301)+((SUM(B1305:F1305)-C1305)*L1301),(SUM(B1305:F1305)-C1305)*L1301),IF(SUM(B1302:F1305)&gt;(L1318*4),L1318*L1301,SUM(B1305:F1305)*L1301)),2)</f>
        <v>0</v>
      </c>
      <c r="M1305" s="76">
        <f>ROUND(IF(SUM(B1302:F1304)&lt;(L1318*3),IF((SUM(B1302:F1305))&gt;(L1318*4),(((L1318*4)-(SUM(B1302:F1305)-C1305))*M1301)+((SUM(B1305:F1305)-C1305)*M1301),(SUM(B1305:F1305)-C1305)*M1301),IF(SUM(B1302:F1305)&gt;(L1318*4),L1318*M1301,SUM(B1305:F1305)*M1301)),2)</f>
        <v>0</v>
      </c>
      <c r="N1305" s="76">
        <f>ROUND(IF(SUM(B1302:F1304)&lt;(L1318*3),IF((SUM(B1302:F1305))&gt;(L1318*4),(((L1318*4)-(SUM(B1302:F1305)-C1304))*N1301)+((SUM(B1305:F1305)-C1304)*N1301),SUM(B1305:F1305)*N1301),IF(SUM(B1302:F1305)&gt;(L1318*4),L1318*N1301,SUM(B1305:F1305)*N1301)),2)</f>
        <v>0</v>
      </c>
      <c r="O1305" s="23">
        <f>ROUND(SUM(B1305+C1305+F1305)*O1301,2)</f>
        <v>0</v>
      </c>
      <c r="P1305" s="27">
        <f t="shared" si="148"/>
        <v>0</v>
      </c>
    </row>
    <row r="1306" spans="1:16" s="1" customFormat="1" x14ac:dyDescent="0.2">
      <c r="A1306" s="100" t="str">
        <f>$A$30</f>
        <v>Mai 2022</v>
      </c>
      <c r="B1306" s="24">
        <f>ROUND(IF(N1286=0,0,IFERROR(((LOOKUP(2,1/(A1290:A1293=A1306),G1290:G1293))*N1286*4.348),B1305/N1286*N1286)),2)</f>
        <v>0</v>
      </c>
      <c r="C1306" s="23">
        <f>ROUND(IFERROR(((LOOKUP(2,1/(B1295=A1306),((SUM(B1308:B1310)+SUM(F1308:F1310))/3)*C1295))),0)+IFERROR(((LOOKUP(2,1/(E1295=A1306),(B1314+F1314)*F1295))),0),2)</f>
        <v>0</v>
      </c>
      <c r="D1306" s="23">
        <f>ROUND(IF(B1306=0,0,D1301/L1283*N1286),2)</f>
        <v>0</v>
      </c>
      <c r="E1306" s="23">
        <f>ROUND(IF(B1306=0,0,E1301/N1279*N1286),2)</f>
        <v>0</v>
      </c>
      <c r="F1306" s="24">
        <f>ROUND(IF(N1286=0,0,IFERROR(((LOOKUP(2,1/(A1290:A1293=A1306),H1290:H1293))/N1279*N1286),F1305/N1286*N1286)),2)</f>
        <v>0</v>
      </c>
      <c r="G1306" s="27">
        <f t="shared" si="147"/>
        <v>0</v>
      </c>
      <c r="H1306" s="76">
        <f>ROUND(IF(SUM(B1302:F1305)&lt;(L1317*4),IF((SUM(B1302:F1306))&gt;(L1317*5),(((L1317*5)-(SUM(B1302:F1306)-C1305))*H1301)+((SUM(B1306:F1306)-C1305)*H1301),SUM(B1306:F1306)*H1301),IF(SUM(B1302:F1306)&gt;(L1317*5),L1317*H1301,SUM(B1306:F1306)*H1301)),2)</f>
        <v>0</v>
      </c>
      <c r="I1306" s="76">
        <f>ROUND(IF(SUM(B1302:F1305)&lt;(L1318*4),IF((SUM(B1302:F1306))&gt;(L1318*5),(((L1318*5)-(SUM(B1302:F1306)-C1305))*I1301)+((SUM(B1306:F1306)-C1305)*I1301),SUM(B1306:F1306)*I1301),IF(SUM(B1302:F1306)&gt;(L1318*5),L1318*I1301,SUM(B1306:F1306)*I1301)),2)</f>
        <v>0</v>
      </c>
      <c r="J1306" s="76">
        <f>ROUND(IF(SUM(B1302:F1305)&lt;(L1318*4),IF((SUM(B1302:F1306))&gt;(L1318*5),(((L1318*5)-(SUM(B1302:F1306)-C1305))*J1301)+((SUM(B1306:F1306)-C1305)*J1301),SUM(B1306:F1306)*J1301),IF(SUM(B1302:F1306)&gt;(L1318*5),L1318*J1301,SUM(B1306:F1306)*J1301)),2)</f>
        <v>0</v>
      </c>
      <c r="K1306" s="76">
        <f>ROUND(IF(SUM(B1302:F1305)&lt;(L1317*4),IF((SUM(B1302:F1306))&gt;(L1317*5),(((L1317*5)-(SUM(B1302:F1306)-C1305))*K1301)+((SUM(B1306:F1306)-C1305)*K1301),SUM(B1306:F1306)*K1301),IF(SUM(B1302:F1306)&gt;(L1317*5),L1317*K1301,SUM(B1306:F1306)*K1301)),2)</f>
        <v>0</v>
      </c>
      <c r="L1306" s="76">
        <f>ROUND(IF(SUM(B1302:F1305)&lt;(L1318*4),IF((SUM(B1302:F1306))&gt;(L1318*5),(((L1318*5)-(SUM(B1302:F1306)-C1306))*L1301)+((SUM(B1306:F1306)-C1306)*L1301),(SUM(B1306:F1306)-C1306)*L1301),IF(SUM(B1302:F1306)&gt;(L1318*5),L1318*L1301,SUM(B1306:F1306)*L1301)),2)</f>
        <v>0</v>
      </c>
      <c r="M1306" s="76">
        <f>ROUND(IF(SUM(B1302:F1305)&lt;(L1318*4),IF((SUM(B1302:F1306))&gt;(L1318*5),(((L1318*5)-(SUM(B1302:F1306)-C1306))*M1301)+((SUM(B1306:F1306)-C1306)*M1301),(SUM(B1306:F1306)-C1306)*M1301),IF(SUM(B1302:F1306)&gt;(L1318*5),L1318*M1301,SUM(B1306:F1306)*M1301)),2)</f>
        <v>0</v>
      </c>
      <c r="N1306" s="76">
        <f>ROUND(IF(SUM(B1302:F1305)&lt;(L1318*4),IF((SUM(B1302:F1306))&gt;(L1318*5),(((L1318*5)-(SUM(B1302:F1306)-C1305))*N1301)+((SUM(B1306:F1306)-C1305)*N1301),SUM(B1306:F1306)*N1301),IF(SUM(B1302:F1306)&gt;(L1318*5),L1318*N1301,SUM(B1306:F1306)*N1301)),2)</f>
        <v>0</v>
      </c>
      <c r="O1306" s="23">
        <f>ROUND(SUM(B1306+C1306+F1306)*O1301,2)</f>
        <v>0</v>
      </c>
      <c r="P1306" s="27">
        <f t="shared" si="148"/>
        <v>0</v>
      </c>
    </row>
    <row r="1307" spans="1:16" s="1" customFormat="1" x14ac:dyDescent="0.2">
      <c r="A1307" s="100" t="str">
        <f>$A$31</f>
        <v>Jun 2022</v>
      </c>
      <c r="B1307" s="24">
        <f>ROUND(IF(N1287=0,0,IFERROR(((LOOKUP(2,1/(A1290:A1293=A1307),G1290:G1293))*N1287*4.348),B1306/N1287*N1287)),2)</f>
        <v>0</v>
      </c>
      <c r="C1307" s="23">
        <f>ROUND(IFERROR(((LOOKUP(2,1/(B1295=A1307),((SUM(B1308:B1310)+SUM(F1308:F1310))/3)*C1295))),0)+IFERROR(((LOOKUP(2,1/(E1295=A1307),(B1314+F1314)*F1295))),0),2)</f>
        <v>0</v>
      </c>
      <c r="D1307" s="23">
        <f>ROUND(IF(B1307=0,0,D1301/L1283*N1287),2)</f>
        <v>0</v>
      </c>
      <c r="E1307" s="23">
        <f>ROUND(IF(B1307=0,0,E1301/N1279*N1287),2)</f>
        <v>0</v>
      </c>
      <c r="F1307" s="24">
        <f>ROUND(IF(N1287=0,0,IFERROR(((LOOKUP(2,1/(A1290:A1293=A1307),H1290:H1293))/N1279*N1287),F1306/N1287*N1287)),2)</f>
        <v>0</v>
      </c>
      <c r="G1307" s="27">
        <f t="shared" si="147"/>
        <v>0</v>
      </c>
      <c r="H1307" s="76">
        <f>ROUND(IF(SUM(B1302:F1306)&lt;(L1317*5),IF((SUM(B1302:F1307))&gt;(L1317*6),(((L1317*6)-(SUM(B1302:F1307)-C1306))*H1301)+((SUM(B1307:F1307)-C1306)*H1301),SUM(B1307:F1307)*H1301),IF(SUM(B1302:F1307)&gt;(L1317*6),L1317*H1301,SUM(B1307:F1307)*H1301)),2)</f>
        <v>0</v>
      </c>
      <c r="I1307" s="76">
        <f>ROUND(IF(SUM(B1302:F1306)&lt;(L1318*5),IF((SUM(B1302:F1307))&gt;(L1318*6),(((L1318*6)-(SUM(B1302:F1307)-C1306))*I1301)+((SUM(B1307:F1307)-C1306)*I1301),SUM(B1307:F1307)*I1301),IF(SUM(B1302:F1307)&gt;(L1318*6),L1318*I1301,SUM(B1307:F1307)*I1301)),2)</f>
        <v>0</v>
      </c>
      <c r="J1307" s="76">
        <f>ROUND(IF(SUM(B1302:F1306)&lt;(L1318*5),IF((SUM(B1302:F1307))&gt;(L1318*6),(((L1318*6)-(SUM(B1302:F1307)-C1306))*J1301)+((SUM(B1307:F1307)-C1306)*J1301),SUM(B1307:F1307)*J1301),IF(SUM(B1302:F1307)&gt;(L1318*6),L1318*J1301,SUM(B1307:F1307)*J1301)),2)</f>
        <v>0</v>
      </c>
      <c r="K1307" s="76">
        <f>ROUND(IF(SUM(B1302:F1306)&lt;(L1317*5),IF((SUM(B1302:F1307))&gt;(L1317*6),(((L1317*6)-(SUM(B1302:F1307)-C1306))*K1301)+((SUM(B1307:F1307)-C1306)*K1301),SUM(B1307:F1307)*K1301),IF(SUM(B1302:F1307)&gt;(L1317*6),L1317*K1301,SUM(B1307:F1307)*K1301)),2)</f>
        <v>0</v>
      </c>
      <c r="L1307" s="76">
        <f>ROUND(IF(SUM(B1302:F1306)&lt;(L1318*5),IF((SUM(B1302:F1307))&gt;(L1318*6),(((L1318*6)-(SUM(B1302:F1307)-C1307))*L1301)+((SUM(B1307:F1307)-C1307)*L1301),(SUM(B1307:F1307)-C1307)*L1301),IF(SUM(B1302:F1307)&gt;(L1318*6),L1318*L1301,SUM(B1307:F1307)*L1301)),2)</f>
        <v>0</v>
      </c>
      <c r="M1307" s="76">
        <f>ROUND(IF(SUM(B1302:F1306)&lt;(L1318*5),IF((SUM(B1302:F1307))&gt;(L1318*6),(((L1318*6)-(SUM(B1302:F1307)-C1307))*M1301)+((SUM(B1307:F1307)-C1307)*M1301),(SUM(B1307:F1307)-C1307)*M1301),IF(SUM(B1302:F1307)&gt;(L1318*6),L1318*M1301,SUM(B1307:F1307)*M1301)),2)</f>
        <v>0</v>
      </c>
      <c r="N1307" s="76">
        <f>ROUND(IF(SUM(B1302:F1306)&lt;(L1318*5),IF((SUM(B1302:F1307))&gt;(L1318*6),(((L1318*6)-(SUM(B1302:F1307)-C1306))*N1301)+((SUM(B1307:F1307)-C1306)*N1301),SUM(B1307:F1307)*N1301),IF(SUM(B1302:F1307)&gt;(L1318*6),L1318*N1301,SUM(B1307:F1307)*N1301)),2)</f>
        <v>0</v>
      </c>
      <c r="O1307" s="23">
        <f>ROUND(SUM(B1307+C1307+F1307)*O1301,2)</f>
        <v>0</v>
      </c>
      <c r="P1307" s="27">
        <f t="shared" si="148"/>
        <v>0</v>
      </c>
    </row>
    <row r="1308" spans="1:16" s="1" customFormat="1" x14ac:dyDescent="0.2">
      <c r="A1308" s="100" t="str">
        <f>$A$32</f>
        <v>Jul 2022</v>
      </c>
      <c r="B1308" s="24">
        <f>ROUND(IF(P1282=0,0,IFERROR(((LOOKUP(2,1/(A1290:A1293=A1308),G1290:G1293))*P1282*4.348),B1307/P1282*P1282)),2)</f>
        <v>0</v>
      </c>
      <c r="C1308" s="23">
        <f>ROUND(IFERROR(((LOOKUP(2,1/(B1295=A1308),((SUM(B1308:B1310)+SUM(F1308:F1310))/3)*C1295))),0)+IFERROR(((LOOKUP(2,1/(E1295=A1308),(B1314+F1314)*F1295))),0),2)</f>
        <v>0</v>
      </c>
      <c r="D1308" s="23">
        <f>ROUND(IF(B1308=0,0,D1301/L1283*P1282),2)</f>
        <v>0</v>
      </c>
      <c r="E1308" s="23">
        <f>ROUND(IF(B1308=0,0,E1301/N1279*P1282),2)</f>
        <v>0</v>
      </c>
      <c r="F1308" s="24">
        <f>ROUND(IF(P1282=0,0,IFERROR(((LOOKUP(2,1/(A1290:A1293=A1308),H1290:H1293))/N1279*P1282),F1307/P1282*P1282)),2)</f>
        <v>0</v>
      </c>
      <c r="G1308" s="27">
        <f t="shared" si="147"/>
        <v>0</v>
      </c>
      <c r="H1308" s="76">
        <f>ROUND(IF(SUM(B1302:F1307)&lt;(L1317*6),IF((SUM(B1302:F1308))&gt;(L1317*7),(((L1317*7)-(SUM(B1302:F1308)-C1307))*H1301)+((SUM(B1308:F1308)-C1307)*H1301),SUM(B1308:F1308)*H1301),IF(SUM(B1302:F1308)&gt;(L1317*7),L1317*H1301,SUM(B1308:F1308)*H1301)),2)</f>
        <v>0</v>
      </c>
      <c r="I1308" s="76">
        <f>ROUND(IF(SUM(B1302:F1307)&lt;(L1318*6),IF((SUM(B1302:F1308))&gt;(L1318*7),(((L1318*7)-(SUM(B1302:F1308)-C1307))*I1301)+((SUM(B1308:F1308)-C1307)*I1301),SUM(B1308:F1308)*I1301),IF(SUM(B1302:F1308)&gt;(L1318*7),L1318*I1301,SUM(B1308:F1308)*I1301)),2)</f>
        <v>0</v>
      </c>
      <c r="J1308" s="76">
        <f>ROUND(IF(SUM(B1302:F1307)&lt;(L1318*6),IF((SUM(B1302:F1308))&gt;(L1318*7),(((L1318*7)-(SUM(B1302:F1308)-C1307))*J1301)+((SUM(B1308:F1308)-C1307)*J1301),SUM(B1308:F1308)*J1301),IF(SUM(B1302:F1308)&gt;(L1318*7),L1318*J1301,SUM(B1308:F1308)*J1301)),2)</f>
        <v>0</v>
      </c>
      <c r="K1308" s="76">
        <f>ROUND(IF(SUM(B1302:F1307)&lt;(L1317*6),IF((SUM(B1302:F1308))&gt;(L1317*7),(((L1317*7)-(SUM(B1302:F1308)-C1307))*K1301)+((SUM(B1308:F1308)-C1307)*K1301),SUM(B1308:F1308)*K1301),IF(SUM(B1302:F1308)&gt;(L1317*7),L1317*K1301,SUM(B1308:F1308)*K1301)),2)</f>
        <v>0</v>
      </c>
      <c r="L1308" s="76">
        <f>ROUND(IF(SUM(B1302:F1307)&lt;(L1318*6),IF((SUM(B1302:F1308))&gt;(L1318*7),(((L1318*7)-(SUM(B1302:F1308)-C1308))*L1301)+((SUM(B1308:F1308)-C1308)*L1301),(SUM(B1308:F1308)-C1308)*L1301),IF(SUM(B1302:F1308)&gt;(L1318*7),L1318*L1301,SUM(B1308:F1308)*L1301)),2)</f>
        <v>0</v>
      </c>
      <c r="M1308" s="76">
        <f>ROUND(IF(SUM(B1302:F1307)&lt;(L1318*6),IF((SUM(B1302:F1308))&gt;(L1318*7),(((L1318*7)-(SUM(B1302:F1308)-C1308))*M1301)+((SUM(B1308:F1308)-C1308)*M1301),(SUM(B1308:F1308)-C1308)*M1301),IF(SUM(B1302:F1308)&gt;(L1318*7),L1318*M1301,SUM(B1308:F1308)*M1301)),2)</f>
        <v>0</v>
      </c>
      <c r="N1308" s="76">
        <f>ROUND(IF(SUM(B1302:F1307)&lt;(L1318*6),IF((SUM(B1302:F1308))&gt;(L1318*7),(((L1318*7)-(SUM(B1302:F1308)-C1307))*N1301)+((SUM(B1308:F1308)-C1307)*N1301),SUM(B1308:F1308)*N1301),IF(SUM(B1302:F1308)&gt;(L1318*7),L1318*N1301,SUM(B1308:F1308)*N1301)),2)</f>
        <v>0</v>
      </c>
      <c r="O1308" s="23">
        <f>ROUND(SUM(B1308+C1308+F1308)*O1301,2)</f>
        <v>0</v>
      </c>
      <c r="P1308" s="27">
        <f t="shared" si="148"/>
        <v>0</v>
      </c>
    </row>
    <row r="1309" spans="1:16" s="1" customFormat="1" x14ac:dyDescent="0.2">
      <c r="A1309" s="100" t="str">
        <f>$A$33</f>
        <v>Aug 2022</v>
      </c>
      <c r="B1309" s="24">
        <f>ROUND(IF(P1283=0,0,IFERROR(((LOOKUP(2,1/(A1290:A1293=A1309),G1290:G1293))*P1283*4.348),B1308/P1283*P1283)),2)</f>
        <v>0</v>
      </c>
      <c r="C1309" s="23">
        <f>ROUND(IFERROR(((LOOKUP(2,1/(B1295=A1309),((SUM(B1308:B1310)+SUM(F1308:F1310))/3)*C1295))),0)+IFERROR(((LOOKUP(2,1/(E1295=A1309),(B1314+F1314)*F1295))),0),2)</f>
        <v>0</v>
      </c>
      <c r="D1309" s="23">
        <f>ROUND(IF(B1309=0,0,D1301/L1283*P1283),2)</f>
        <v>0</v>
      </c>
      <c r="E1309" s="23">
        <f>ROUND(IF(B1309=0,0,E1301/N1279*P1283),2)</f>
        <v>0</v>
      </c>
      <c r="F1309" s="24">
        <f>ROUND(IF(P1283=0,0,IFERROR(((LOOKUP(2,1/(A1290:A1293=A1309),H1290:H1293))/N1279*P1283),F1308/P1283*P1283)),2)</f>
        <v>0</v>
      </c>
      <c r="G1309" s="27">
        <f t="shared" si="147"/>
        <v>0</v>
      </c>
      <c r="H1309" s="76">
        <f>ROUND(IF(SUM(B1302:F1308)&lt;(L1317*7),IF((SUM(B1302:F1309))&gt;(L1317*8),(((L1317*8)-(SUM(B1302:F1309)-C1308))*H1301)+((SUM(B1309:F1309)-C1308)*H1301),SUM(B1309:F1309)*H1301),IF(SUM(B1302:F1309)&gt;(L1317*8),L1317*H1301,SUM(B1309:F1309)*H1301)),2)</f>
        <v>0</v>
      </c>
      <c r="I1309" s="76">
        <f>ROUND(IF(SUM(B1302:F1308)&lt;(L1318*7),IF((SUM(B1302:F1309))&gt;(L1318*8),(((L1318*8)-(SUM(B1302:F1309)-C1308))*I1301)+((SUM(B1309:F1309)-C1308)*I1301),SUM(B1309:F1309)*I1301),IF(SUM(B1302:F1309)&gt;(L1318*8),L1318*I1301,SUM(B1309:F1309)*I1301)),2)</f>
        <v>0</v>
      </c>
      <c r="J1309" s="76">
        <f>ROUND(IF(SUM(B1302:F1308)&lt;(L1318*7),IF((SUM(B1302:F1309))&gt;(L1318*8),(((L1318*8)-(SUM(B1302:F1309)-C1308))*J1301)+((SUM(B1309:F1309)-C1308)*J1301),SUM(B1309:F1309)*J1301),IF(SUM(B1302:F1309)&gt;(L1318*8),L1318*J1301,SUM(B1309:F1309)*J1301)),2)</f>
        <v>0</v>
      </c>
      <c r="K1309" s="76">
        <f>ROUND(IF(SUM(B1302:F1308)&lt;(L1317*7),IF((SUM(B1302:F1309))&gt;(L1317*8),(((L1317*8)-(SUM(B1302:F1309)-C1308))*K1301)+((SUM(B1309:F1309)-C1308)*K1301),SUM(B1309:F1309)*K1301),IF(SUM(B1302:F1309)&gt;(L1317*8),L1317*K1301,SUM(B1309:F1309)*K1301)),2)</f>
        <v>0</v>
      </c>
      <c r="L1309" s="76">
        <f>ROUND(IF(SUM(B1302:F1308)&lt;(L1318*7),IF((SUM(B1302:F1309))&gt;(L1318*8),(((L1318*8)-(SUM(B1302:F1309)-C1309))*L1301)+((SUM(B1309:F1309)-C1309)*L1301),(SUM(B1309:F1309)-C1309)*L1301),IF(SUM(B1302:F1309)&gt;(L1318*8),L1318*L1301,SUM(B1309:F1309)*L1301)),2)</f>
        <v>0</v>
      </c>
      <c r="M1309" s="76">
        <f>ROUND(IF(SUM(B1302:F1308)&lt;(L1318*7),IF((SUM(B1302:F1309))&gt;(L1318*8),(((L1318*8)-(SUM(B1302:F1309)-C1309))*M1301)+((SUM(B1309:F1309)-C1309)*M1301),(SUM(B1309:F1309)-C1309)*M1301),IF(SUM(B1302:F1309)&gt;(L1318*8),L1318*M1301,SUM(B1309:F1309)*M1301)),2)</f>
        <v>0</v>
      </c>
      <c r="N1309" s="76">
        <f>ROUND(IF(SUM(B1302:F1308)&lt;(L1318*7),IF((SUM(B1302:F1309))&gt;(L1318*8),(((L1318*8)-(SUM(B1302:F1309)-C1308))*N1301)+((SUM(B1309:F1309)-C1308)*N1301),SUM(B1309:F1309)*N1301),IF(SUM(B1302:F1309)&gt;(L1318*8),L1318*N1301,SUM(B1309:F1309)*N1301)),2)</f>
        <v>0</v>
      </c>
      <c r="O1309" s="23">
        <f>ROUND(SUM(B1309+C1309+F1309)*O1301,2)</f>
        <v>0</v>
      </c>
      <c r="P1309" s="27">
        <f t="shared" si="148"/>
        <v>0</v>
      </c>
    </row>
    <row r="1310" spans="1:16" s="1" customFormat="1" x14ac:dyDescent="0.2">
      <c r="A1310" s="100" t="str">
        <f>$A$34</f>
        <v>Sep 2022</v>
      </c>
      <c r="B1310" s="24">
        <f>ROUND(IF(P1284=0,0,IFERROR(((LOOKUP(2,1/(A1290:A1293=A1310),G1290:G1293))*P1284*4.348),B1309/P1284*P1284)),2)</f>
        <v>0</v>
      </c>
      <c r="C1310" s="23">
        <f>ROUND(IFERROR(((LOOKUP(2,1/(B1295=A1310),((SUM(B1308:B1310)+SUM(F1308:F1310))/3)*C1295))),0)+IFERROR(((LOOKUP(2,1/(E1295=A1310),(B1314+F1314)*F1295))),0),2)</f>
        <v>0</v>
      </c>
      <c r="D1310" s="23">
        <f>ROUND(IF(B1310=0,0,D1301/L1283*P1284),2)</f>
        <v>0</v>
      </c>
      <c r="E1310" s="23">
        <f>ROUND(IF(B1310=0,0,E1301/N1279*P1284),2)</f>
        <v>0</v>
      </c>
      <c r="F1310" s="24">
        <f>ROUND(IF(P1284=0,0,IFERROR(((LOOKUP(2,1/(A1290:A1293=A1310),H1290:H1293))/N1279*P1284),F1309/P1284*P1284)),2)</f>
        <v>0</v>
      </c>
      <c r="G1310" s="27">
        <f t="shared" si="147"/>
        <v>0</v>
      </c>
      <c r="H1310" s="76">
        <f>ROUND(IF(SUM(B1302:F1309)&lt;(L1317*8),IF((SUM(B1302:F1310))&gt;(L1317*9),(((L1317*9)-(SUM(B1302:F1310)-C1309))*H1301)+((SUM(B1310:F1310)-C1309)*H1301),SUM(B1310:F1310)*H1301),IF(SUM(B1302:F1310)&gt;(L1317*9),L1317*H1301,SUM(B1310:F1310)*H1301)),2)</f>
        <v>0</v>
      </c>
      <c r="I1310" s="76">
        <f>ROUND(IF(SUM(B1302:F1309)&lt;(L1318*8),IF((SUM(B1302:F1310))&gt;(L1318*9),(((L1318*9)-(SUM(B1302:F1310)-C1309))*I1301)+((SUM(B1310:F1310)-C1309)*I1301),SUM(B1310:F1310)*I1301),IF(SUM(B1302:F1310)&gt;(L1318*9),L1318*I1301,SUM(B1310:F1310)*I1301)),2)</f>
        <v>0</v>
      </c>
      <c r="J1310" s="76">
        <f>ROUND(IF(SUM(B1302:F1309)&lt;(L1318*8),IF((SUM(B1302:F1310))&gt;(L1318*9),(((L1318*9)-(SUM(B1302:F1310)-C1309))*J1301)+((SUM(B1310:F1310)-C1309)*J1301),SUM(B1310:F1310)*J1301),IF(SUM(B1302:F1310)&gt;(L1318*9),L1318*J1301,SUM(B1310:F1310)*J1301)),2)</f>
        <v>0</v>
      </c>
      <c r="K1310" s="76">
        <f>ROUND(IF(SUM(B1302:F1309)&lt;(L1317*8),IF((SUM(B1302:F1310))&gt;(L1317*9),(((L1317*9)-(SUM(B1302:F1310)-C1309))*K1301)+((SUM(B1310:F1310)-C1309)*K1301),SUM(B1310:F1310)*K1301),IF(SUM(B1302:F1310)&gt;(L1317*9),L1317*K1301,SUM(B1310:F1310)*K1301)),2)</f>
        <v>0</v>
      </c>
      <c r="L1310" s="76">
        <f>ROUND(IF(SUM(B1302:F1309)&lt;(L1318*8),IF((SUM(B1302:F1310))&gt;(L1318*9),(((L1318*9)-(SUM(B1302:F1310)-C1310))*L1301)+((SUM(B1310:F1310)-C1310)*L1301),(SUM(B1310:F1310)-C1310)*L1301),IF(SUM(B1302:F1310)&gt;(L1318*9),L1318*L1301,SUM(B1310:F1310)*L1301)),2)</f>
        <v>0</v>
      </c>
      <c r="M1310" s="76">
        <f>ROUND(IF(SUM(B1302:F1309)&lt;(L1318*8),IF((SUM(B1302:F1310))&gt;(L1318*9),(((L1318*9)-(SUM(B1302:F1310)-C1310))*M1301)+((SUM(B1310:F1310)-C1310)*M1301),(SUM(B1310:F1310)-C1310)*M1301),IF(SUM(B1302:F1310)&gt;(L1318*9),L1318*M1301,SUM(B1310:F1310)*M1301)),2)</f>
        <v>0</v>
      </c>
      <c r="N1310" s="76">
        <f>ROUND(IF(SUM(B1302:F1309)&lt;(L1318*8),IF((SUM(B1302:F1310))&gt;(L1318*9),(((L1318*9)-(SUM(B1302:F1310)-C1309))*N1301)+((SUM(B1310:F1310)-C1309)*N1301),SUM(B1310:F1310)*N1301),IF(SUM(B1302:F1310)&gt;(L1318*9),L1318*N1301,SUM(B1310:F1310)*N1301)),2)</f>
        <v>0</v>
      </c>
      <c r="O1310" s="23">
        <f>ROUND(SUM(B1310+C1310+F1310)*O1301,2)</f>
        <v>0</v>
      </c>
      <c r="P1310" s="27">
        <f t="shared" si="148"/>
        <v>0</v>
      </c>
    </row>
    <row r="1311" spans="1:16" s="1" customFormat="1" x14ac:dyDescent="0.2">
      <c r="A1311" s="100" t="str">
        <f>$A$35</f>
        <v>Okt 2022</v>
      </c>
      <c r="B1311" s="24">
        <f>ROUND(IF(P1285=0,0,IFERROR(((LOOKUP(2,1/(A1290:A1293=A1311),G1290:G1293))*P1285*4.348),B1310/P1285*P1285)),2)</f>
        <v>0</v>
      </c>
      <c r="C1311" s="23">
        <f>ROUND(IFERROR(((LOOKUP(2,1/(B1295=A1311),((SUM(B1308:B1310)+SUM(F1308:F1310))/3)*C1295))),0)+IFERROR(((LOOKUP(2,1/(E1295=A1311),(B1314+F1314)*F1295))),0),2)</f>
        <v>0</v>
      </c>
      <c r="D1311" s="23">
        <f>ROUND(IF(B1311=0,0,D1301/L1283*P1285),2)</f>
        <v>0</v>
      </c>
      <c r="E1311" s="23">
        <f>ROUND(IF(B1311=0,0,E1301/N1279*P1285),2)</f>
        <v>0</v>
      </c>
      <c r="F1311" s="24">
        <f>ROUND(IF(P1285=0,0,IFERROR(((LOOKUP(2,1/(A1290:A1293=A1311),H1290:H1293))/N1279*P1285),F1310/P1285*P1285)),2)</f>
        <v>0</v>
      </c>
      <c r="G1311" s="27">
        <f t="shared" si="147"/>
        <v>0</v>
      </c>
      <c r="H1311" s="76">
        <f>ROUND(IF(SUM(B1302:F1310)&lt;(L1317*9),IF((SUM(B1302:F1311))&gt;(L1317*10),(((L1317*10)-(SUM(B1302:F1311)-C1310))*H1301)+((SUM(B1311:F1311)-C1310)*H1301),SUM(B1311:F1311)*H1301),IF(SUM(B1302:F1311)&gt;(L1317*10),L1317*H1301,SUM(B1311:F1311)*H1301)),2)</f>
        <v>0</v>
      </c>
      <c r="I1311" s="76">
        <f>ROUND(IF(SUM(B1302:F1310)&lt;(L1318*9),IF((SUM(B1302:F1311))&gt;(L1318*10),(((L1318*10)-(SUM(B1302:F1311)-C1310))*I1301)+((SUM(B1311:F1311)-C1310)*I1301),SUM(B1311:F1311)*I1301),IF(SUM(B1302:F1311)&gt;(L1318*10),L1318*I1301,SUM(B1311:F1311)*I1301)),2)</f>
        <v>0</v>
      </c>
      <c r="J1311" s="76">
        <f>ROUND(IF(SUM(B1302:F1310)&lt;(L1318*9),IF((SUM(B1302:F1311))&gt;(L1318*10),(((L1318*10)-(SUM(B1302:F1311)-C1310))*J1301)+((SUM(B1311:F1311)-C1310)*J1301),SUM(B1311:F1311)*J1301),IF(SUM(B1302:F1311)&gt;(L1318*10),L1318*J1301,SUM(B1311:F1311)*J1301)),2)</f>
        <v>0</v>
      </c>
      <c r="K1311" s="76">
        <f>ROUND(IF(SUM(B1302:F1310)&lt;(L1317*9),IF((SUM(B1302:F1311))&gt;(L1317*10),(((L1317*10)-(SUM(B1302:F1311)-C1310))*K1301)+((SUM(B1311:F1311)-C1310)*K1301),SUM(B1311:F1311)*K1301),IF(SUM(B1302:F1311)&gt;(L1317*10),L1317*K1301,SUM(B1311:F1311)*K1301)),2)</f>
        <v>0</v>
      </c>
      <c r="L1311" s="76">
        <f>ROUND(IF(SUM(B1302:F1310)&lt;(L1318*9),IF((SUM(B1302:F1311))&gt;(L1318*10),(((L1318*10)-(SUM(B1302:F1311)-C1311))*L1301)+((SUM(B1311:F1311)-C1311)*L1301),(SUM(B1311:F1311)-C1311)*L1301),IF(SUM(B1302:F1311)&gt;(L1318*10),L1318*L1301,SUM(B1311:F1311)*L1301)),2)</f>
        <v>0</v>
      </c>
      <c r="M1311" s="76">
        <f>ROUND(IF(SUM(B1302:F1310)&lt;(L1318*9),IF((SUM(B1302:F1311))&gt;(L1318*10),(((L1318*10)-(SUM(B1302:F1311)-C1311))*M1301)+((SUM(B1311:F1311)-C1311)*M1301),(SUM(B1311:F1311)-C1311)*M1301),IF(SUM(B1302:F1311)&gt;(L1318*10),L1318*M1301,SUM(B1311:F1311)*M1301)),2)</f>
        <v>0</v>
      </c>
      <c r="N1311" s="76">
        <f>ROUND(IF(SUM(B1302:F1310)&lt;(L1318*9),IF((SUM(B1302:F1311))&gt;(L1318*10),(((L1318*10)-(SUM(B1302:F1311)-C1310))*N1301)+((SUM(B1311:F1311)-C1310)*N1301),SUM(B1311:F1311)*N1301),IF(SUM(B1302:F1311)&gt;(L1318*10),L1318*N1301,SUM(B1311:F1311)*N1301)),2)</f>
        <v>0</v>
      </c>
      <c r="O1311" s="23">
        <f>ROUND(SUM(B1311+C1311+F1311)*O1301,2)</f>
        <v>0</v>
      </c>
      <c r="P1311" s="27">
        <f t="shared" si="148"/>
        <v>0</v>
      </c>
    </row>
    <row r="1312" spans="1:16" s="1" customFormat="1" x14ac:dyDescent="0.2">
      <c r="A1312" s="100" t="str">
        <f>$A$36</f>
        <v>Nov 2022</v>
      </c>
      <c r="B1312" s="24">
        <f>ROUND(IF(P1286=0,0,IFERROR(((LOOKUP(2,1/(A1290:A1293=A1312),G1290:G1293))*P1286*4.348),B1311/P1286*P1286)),2)</f>
        <v>0</v>
      </c>
      <c r="C1312" s="23">
        <f>ROUND(IFERROR(((LOOKUP(2,1/(B1295=A1312),((SUM(B1308:B1310)+SUM(F1308:F1310))/3)*C1295))),0)+IFERROR(((LOOKUP(2,1/(E1295=A1312),(B1314+F1314)*F1295))),0),2)</f>
        <v>0</v>
      </c>
      <c r="D1312" s="23">
        <f>ROUND(IF(B1312=0,0,D1301/L1283*P1286),2)</f>
        <v>0</v>
      </c>
      <c r="E1312" s="23">
        <f>ROUND(IF(B1312=0,0,E1301/N1279*P1286),2)</f>
        <v>0</v>
      </c>
      <c r="F1312" s="24">
        <f>ROUND(IF(P1286=0,0,IFERROR(((LOOKUP(2,1/(A1290:A1293=A1312),H1290:H1293))/N1279*P1286),F1311/P1286*P1286)),2)</f>
        <v>0</v>
      </c>
      <c r="G1312" s="27">
        <f t="shared" si="147"/>
        <v>0</v>
      </c>
      <c r="H1312" s="76">
        <f>ROUND(IF(SUM(B1302:F1311)&lt;(L1317*10),IF((SUM(B1302:F1312))&gt;(L1317*11),(((L1317*11)-(SUM(B1302:F1312)-C1311))*H1301)+((SUM(B1312:F1312)-C1311)*H1301),SUM(B1312:F1312)*H1301),IF(SUM(B1302:F1312)&gt;(L1317*11),L1317*H1301,SUM(B1312:F1312)*H1301)),2)</f>
        <v>0</v>
      </c>
      <c r="I1312" s="76">
        <f>ROUND(IF(SUM(B1302:F1311)&lt;(L1318*10),IF((SUM(B1302:F1312))&gt;(L1318*11),(((L1318*11)-(SUM(B1302:F1312)-C1311))*I1301)+((SUM(B1312:F1312)-C1311)*I1301),SUM(B1312:F1312)*I1301),IF(SUM(B1302:F1312)&gt;(L1318*11),L1318*I1301,SUM(B1312:F1312)*I1301)),2)</f>
        <v>0</v>
      </c>
      <c r="J1312" s="76">
        <f>ROUND(IF(SUM(B1302:F1311)&lt;(L1318*10),IF((SUM(B1302:F1312))&gt;(L1318*11),(((L1318*11)-(SUM(B1302:F1312)-C1311))*J1301)+((SUM(B1312:F1312)-C1311)*J1301),SUM(B1312:F1312)*J1301),IF(SUM(B1302:F1312)&gt;(L1318*11),L1318*J1301,SUM(B1312:F1312)*J1301)),2)</f>
        <v>0</v>
      </c>
      <c r="K1312" s="76">
        <f>ROUND(IF(SUM(B1302:F1311)&lt;(L1317*10),IF((SUM(B1302:F1312))&gt;(L1317*11),(((L1317*11)-(SUM(B1302:F1312)-C1311))*K1301)+((SUM(B1312:F1312)-C1311)*K1301),SUM(B1312:F1312)*K1301),IF(SUM(B1302:F1312)&gt;(L1317*11),L1317*K1301,SUM(B1312:F1312)*K1301)),2)</f>
        <v>0</v>
      </c>
      <c r="L1312" s="76">
        <f>ROUND(IF(SUM(B1302:F1311)&lt;(L1318*10),IF((SUM(B1302:F1312))&gt;(L1318*11),(((L1318*11)-(SUM(B1302:F1312)-C1312))*L1301)+((SUM(B1312:F1312)-C1312)*L1301),(SUM(B1312:F1312)-C1312)*L1301),IF(SUM(B1302:F1312)&gt;(L1318*11),L1318*L1301,SUM(B1312:F1312)*L1301)),2)</f>
        <v>0</v>
      </c>
      <c r="M1312" s="76">
        <f>ROUND(IF(SUM(B1302:F1311)&lt;(L1318*10),IF((SUM(B1302:F1312))&gt;(L1318*11),(((L1318*11)-(SUM(B1302:F1312)-C1312))*M1301)+((SUM(B1312:F1312)-C1312)*M1301),(SUM(B1312:F1312)-C1312)*M1301),IF(SUM(B1302:F1312)&gt;(L1318*11),L1318*M1301,SUM(B1312:F1312)*M1301)),2)</f>
        <v>0</v>
      </c>
      <c r="N1312" s="76">
        <f>ROUND(IF(SUM(B1302:F1311)&lt;(L1318*10),IF((SUM(B1302:F1312))&gt;(L1318*11),(((L1318*11)-(SUM(B1302:F1312)-C1311))*N1301)+((SUM(B1312:F1312)-C1311)*N1301),SUM(B1312:F1312)*N1301),IF(SUM(B1302:F1312)&gt;(L1318*11),L1318*N1301,SUM(B1312:F1312)*N1301)),2)</f>
        <v>0</v>
      </c>
      <c r="O1312" s="23">
        <f>ROUND(SUM(B1312+C1312+F1312)*O1301,2)</f>
        <v>0</v>
      </c>
      <c r="P1312" s="27">
        <f t="shared" si="148"/>
        <v>0</v>
      </c>
    </row>
    <row r="1313" spans="1:16" s="1" customFormat="1" x14ac:dyDescent="0.2">
      <c r="A1313" s="100" t="str">
        <f>$A$37</f>
        <v>Dez 2022</v>
      </c>
      <c r="B1313" s="24">
        <f>ROUND(IF(P1287=0,0,IFERROR(((LOOKUP(2,1/(A1290:A1293=A1313),G1290:G1293))*P1287*4.348),B1312/P1287*P1287)),2)</f>
        <v>0</v>
      </c>
      <c r="C1313" s="23">
        <f>ROUND(IFERROR(((LOOKUP(2,1/(B1295=A1313),((SUM(B1308:B1310)+SUM(F1308:F1310))/3)*C1295))),0)+IFERROR(((LOOKUP(2,1/(E1295=A1313),(B1314+F1314)*F1295))),0),2)</f>
        <v>0</v>
      </c>
      <c r="D1313" s="23">
        <f>ROUND(IF(B1313=0,0,D1301/L1283*P1287),2)</f>
        <v>0</v>
      </c>
      <c r="E1313" s="23">
        <f>ROUND(IF(B1313=0,0,E1301/N1279*P1287),2)</f>
        <v>0</v>
      </c>
      <c r="F1313" s="24">
        <f>ROUND(IF(P1287=0,0,IFERROR(((LOOKUP(2,1/(A1290:A1293=A1313),H1290:H1293))/N1279*P1287),F1312/P1287*P1287)),2)</f>
        <v>0</v>
      </c>
      <c r="G1313" s="27">
        <f t="shared" si="147"/>
        <v>0</v>
      </c>
      <c r="H1313" s="76">
        <f>ROUND(IF(SUM(B1302:F1312)&lt;(L1317*11),IF((SUM(B1302:F1313))&gt;(L1317*12),(((L1317*12)-(SUM(B1302:F1313)-C1312))*H1301)+((SUM(B1313:F1313)-C1312)*H1301),SUM(B1313:F1313)*H1301),IF(SUM(B1302:F1313)&gt;(L1317*12),L1317*H1301,SUM(B1313:F1313)*H1301)),2)</f>
        <v>0</v>
      </c>
      <c r="I1313" s="76">
        <f>ROUND(IF(SUM(B1302:F1312)&lt;(L1318*11),IF((SUM(B1302:F1313))&gt;(L1318*12),(((L1318*12)-(SUM(B1302:F1313)-C1312))*I1301)+((SUM(B1313:F1313)-C1312)*I1301),SUM(B1313:F1313)*I1301),IF(SUM(B1302:F1313)&gt;(L1318*12),L1318*I1301,SUM(B1313:F1313)*I1301)),2)</f>
        <v>0</v>
      </c>
      <c r="J1313" s="76">
        <f>ROUND(IF(SUM(B1302:F1312)&lt;(L1318*11),IF((SUM(B1302:F1313))&gt;(L1318*12),(((L1318*12)-(SUM(B1302:F1313)-C1312))*J1301)+((SUM(B1313:F1313)-C1312)*J1301),SUM(B1313:F1313)*J1301),IF(SUM(B1302:F1313)&gt;(L1318*12),L1318*J1301,SUM(B1313:F1313)*J1301)),2)</f>
        <v>0</v>
      </c>
      <c r="K1313" s="76">
        <f>ROUND(IF(SUM(B1302:F1312)&lt;(L1317*11),IF((SUM(B1302:F1313))&gt;(L1317*12),(((L1317*12)-(SUM(B1302:F1313)-C1312))*K1301)+((SUM(B1313:F1313)-C1312)*K1301),SUM(B1313:F1313)*K1301),IF(SUM(B1302:F1313)&gt;(L1317*12),L1317*K1301,SUM(B1313:F1313)*K1301)),2)</f>
        <v>0</v>
      </c>
      <c r="L1313" s="76">
        <f>ROUND(IF(SUM(B1302:F1312)&lt;(L1318*11),IF((SUM(B1302:F1313))&gt;(L1318*12),(((L1318*12)-(SUM(B1302:F1313)-C1313))*L1301)+((SUM(B1313:F1313)-C1313)*L1301),(SUM(B1313:F1313)-C1313)*L1301),IF(SUM(B1302:F1313)&gt;(L1318*12),L1318*L1301,SUM(B1313:F1313)*L1301)),2)</f>
        <v>0</v>
      </c>
      <c r="M1313" s="76">
        <f>ROUND(IF(SUM(B1302:F1312)&lt;(L1318*11),IF((SUM(B1302:F1313))&gt;(L1318*12),(((L1318*12)-(SUM(B1302:F1313)-C1313))*M1301)+((SUM(B1313:F1313)-C1313)*M1301),(SUM(B1313:F1313)-C1313)*M1301),IF(SUM(B1302:F1313)&gt;(L1318*12),L1318*M1301,SUM(B1313:F1313)*M1301)),2)</f>
        <v>0</v>
      </c>
      <c r="N1313" s="76">
        <f>ROUND(IF(SUM(B1302:F1312)&lt;(L1318*11),IF((SUM(B1302:F1313))&gt;(L1318*12),(((L1318*12)-(SUM(B1302:F1313)-C1312))*N1301)+((SUM(B1313:F1313)-C1312)*N1301),SUM(B1313:F1313)*N1301),IF(SUM(B1302:F1313)&gt;(L1318*12),L1318*N1301,SUM(B1313:F1313)*N1301)),2)</f>
        <v>0</v>
      </c>
      <c r="O1313" s="23">
        <f>ROUND(SUM(B1313+C1313+F1313)*O1301,2)</f>
        <v>0</v>
      </c>
      <c r="P1313" s="27">
        <f t="shared" si="148"/>
        <v>0</v>
      </c>
    </row>
    <row r="1314" spans="1:16" s="14" customFormat="1" ht="15" x14ac:dyDescent="0.25">
      <c r="A1314" s="4" t="s">
        <v>2</v>
      </c>
      <c r="B1314" s="27">
        <f>SUM(B1302:B1313)</f>
        <v>0</v>
      </c>
      <c r="C1314" s="27">
        <f t="shared" ref="C1314:D1314" si="149">SUM(C1302:C1313)</f>
        <v>0</v>
      </c>
      <c r="D1314" s="27">
        <f t="shared" si="149"/>
        <v>0</v>
      </c>
      <c r="E1314" s="27">
        <f>SUM(E1302:E1313)</f>
        <v>0</v>
      </c>
      <c r="F1314" s="27">
        <f>SUM(F1302:F1313)</f>
        <v>0</v>
      </c>
      <c r="G1314" s="27">
        <f>SUM(G1302:G1313)</f>
        <v>0</v>
      </c>
      <c r="H1314" s="1133">
        <f>SUM(H1302:N1313)</f>
        <v>0</v>
      </c>
      <c r="I1314" s="1134"/>
      <c r="J1314" s="1134"/>
      <c r="K1314" s="1134"/>
      <c r="L1314" s="1134"/>
      <c r="M1314" s="1134"/>
      <c r="N1314" s="1135"/>
      <c r="O1314" s="27">
        <f>SUM(O1302:O1313)</f>
        <v>0</v>
      </c>
      <c r="P1314" s="27">
        <f>SUM(P1302:P1313)</f>
        <v>0</v>
      </c>
    </row>
    <row r="1315" spans="1:16" s="13" customFormat="1" ht="11.25" x14ac:dyDescent="0.2">
      <c r="A1315" s="3" t="s">
        <v>1</v>
      </c>
      <c r="B1315" s="2"/>
      <c r="C1315" s="2"/>
      <c r="D1315" s="2"/>
      <c r="E1315" s="2"/>
      <c r="F1315" s="2"/>
      <c r="G1315" s="2"/>
      <c r="H1315" s="2"/>
      <c r="I1315" s="2"/>
      <c r="J1315" s="2"/>
      <c r="K1315" s="2"/>
      <c r="L1315" s="2"/>
      <c r="M1315" s="2"/>
      <c r="N1315" s="2"/>
      <c r="O1315" s="2"/>
      <c r="P1315" s="2"/>
    </row>
    <row r="1316" spans="1:16" s="1" customFormat="1" ht="14.25" customHeight="1" x14ac:dyDescent="0.2">
      <c r="A1316" s="1136" t="s">
        <v>133</v>
      </c>
      <c r="B1316" s="1137"/>
      <c r="C1316" s="1137"/>
      <c r="D1316" s="1137" t="s">
        <v>134</v>
      </c>
      <c r="E1316" s="1137"/>
      <c r="F1316" s="94" t="str">
        <f>IF(IF(G1314=0,"",'päd.Personal - Leitung'!$F$40)=0,"",IF(G1314=0,"",'päd.Personal - Leitung'!$F$40))</f>
        <v/>
      </c>
      <c r="G1316" s="77" t="s">
        <v>135</v>
      </c>
      <c r="H1316" s="96" t="str">
        <f>IF(IF(G1314=0,"",'päd.Personal - Leitung'!$H$40)=0,"",IF(G1314=0,"",'päd.Personal - Leitung'!$H$40))</f>
        <v/>
      </c>
      <c r="I1316" s="73"/>
      <c r="J1316" s="194" t="s">
        <v>160</v>
      </c>
      <c r="K1316" s="194" t="str">
        <f>$K$40</f>
        <v>2021</v>
      </c>
      <c r="L1316" s="194" t="str">
        <f>$L$40</f>
        <v>anteilig 2021</v>
      </c>
      <c r="M1316" s="1138" t="s">
        <v>140</v>
      </c>
      <c r="N1316" s="1138"/>
      <c r="O1316" s="1139"/>
      <c r="P1316" s="27">
        <f>ROUND(IF(F1316="",IF(E1320="",0,(E1320*H1320/K1320)/L1283*L1284),G1314*F1316*H1316/1000),2)</f>
        <v>0</v>
      </c>
    </row>
    <row r="1317" spans="1:16" s="1" customFormat="1" ht="15" customHeight="1" x14ac:dyDescent="0.2">
      <c r="A1317" s="1140" t="s">
        <v>145</v>
      </c>
      <c r="B1317" s="1141"/>
      <c r="C1317" s="1141"/>
      <c r="D1317" s="18"/>
      <c r="E1317" s="107" t="s">
        <v>135</v>
      </c>
      <c r="F1317" s="95" t="str">
        <f>IF(IF(G1314=0,"",'päd.Personal - Leitung'!$F$41)=0,"",IF(G1314=0,"",'päd.Personal - Leitung'!$F$41))</f>
        <v/>
      </c>
      <c r="G1317" s="48"/>
      <c r="H1317" s="47"/>
      <c r="I1317" s="48"/>
      <c r="J1317" s="195" t="s">
        <v>158</v>
      </c>
      <c r="K1317" s="198">
        <f>$K$41</f>
        <v>4837.5</v>
      </c>
      <c r="L1317" s="197">
        <f>IF(L1283="",K1317,K1317/L1283*L1284)</f>
        <v>4837.5</v>
      </c>
      <c r="M1317" s="1138" t="s">
        <v>139</v>
      </c>
      <c r="N1317" s="1138"/>
      <c r="O1317" s="1139"/>
      <c r="P1317" s="27">
        <f>ROUND(IF(F1317="",0,G1314*F1317/1000),2)</f>
        <v>0</v>
      </c>
    </row>
    <row r="1318" spans="1:16" s="1" customFormat="1" ht="15.75" customHeight="1" x14ac:dyDescent="0.2">
      <c r="A1318" s="1142" t="s">
        <v>141</v>
      </c>
      <c r="B1318" s="1143"/>
      <c r="C1318" s="1143"/>
      <c r="D1318" s="1144" t="s">
        <v>143</v>
      </c>
      <c r="E1318" s="1144"/>
      <c r="F1318" s="1145" t="str">
        <f>IF(IF(G1314=0,"",'päd.Personal - Leitung'!$F$42)=0,"",IF(G1314=0,"",'päd.Personal - Leitung'!$F$42))</f>
        <v/>
      </c>
      <c r="G1318" s="1145"/>
      <c r="H1318" s="72"/>
      <c r="I1318" s="18"/>
      <c r="J1318" s="195" t="s">
        <v>159</v>
      </c>
      <c r="K1318" s="197">
        <f>$K$42</f>
        <v>6700</v>
      </c>
      <c r="L1318" s="197">
        <f>IF(L1283="",K1318,K1318/L1283*L1284)</f>
        <v>6700</v>
      </c>
      <c r="M1318" s="1138" t="s">
        <v>141</v>
      </c>
      <c r="N1318" s="1138"/>
      <c r="O1318" s="1139"/>
      <c r="P1318" s="23">
        <f>ROUND(IF(F1318="",0,IF(G1314=0,0,F1318/L1283*L1284)),2)</f>
        <v>0</v>
      </c>
    </row>
    <row r="1319" spans="1:16" s="1" customFormat="1" ht="14.25" customHeight="1" x14ac:dyDescent="0.2">
      <c r="A1319" s="18"/>
      <c r="B1319" s="18"/>
      <c r="C1319" s="18"/>
      <c r="D1319" s="18"/>
      <c r="E1319" s="18"/>
      <c r="F1319" s="18"/>
      <c r="G1319" s="18"/>
      <c r="H1319" s="18"/>
      <c r="I1319" s="18"/>
      <c r="J1319" s="18"/>
      <c r="K1319" s="74"/>
      <c r="L1319" s="82"/>
      <c r="M1319" s="1127" t="s">
        <v>146</v>
      </c>
      <c r="N1319" s="1127"/>
      <c r="O1319" s="1128"/>
      <c r="P1319" s="23">
        <f>ROUND(IF(G1314=0,0,$P$87),2)</f>
        <v>0</v>
      </c>
    </row>
    <row r="1320" spans="1:16" s="1" customFormat="1" ht="14.25" customHeight="1" x14ac:dyDescent="0.2">
      <c r="A1320" s="1129" t="s">
        <v>142</v>
      </c>
      <c r="B1320" s="1130"/>
      <c r="C1320" s="126" t="s">
        <v>136</v>
      </c>
      <c r="D1320" s="179" t="s">
        <v>137</v>
      </c>
      <c r="E1320" s="1131" t="str">
        <f>IF(IF(G1314=0,"",'päd.Personal - Leitung'!$E$44)=0,"",IF(G1314=0,"",'päd.Personal - Leitung'!$E$44))</f>
        <v/>
      </c>
      <c r="F1320" s="1131"/>
      <c r="G1320" s="83" t="s">
        <v>138</v>
      </c>
      <c r="H1320" s="97" t="str">
        <f>IF(IF(G1314=0,"",'päd.Personal - Leitung'!$H$44)=0,"",IF(G1314=0,"",'päd.Personal - Leitung'!$H$44))</f>
        <v/>
      </c>
      <c r="I1320" s="1132" t="s">
        <v>144</v>
      </c>
      <c r="J1320" s="1132"/>
      <c r="K1320" s="98" t="str">
        <f>IF(IF(G1314=0,"",'päd.Personal - Leitung'!$K$44)=0,"",IF(G1314=0,"",'päd.Personal - Leitung'!$K$44))</f>
        <v/>
      </c>
      <c r="L1320" s="29"/>
      <c r="M1320" s="29"/>
      <c r="N1320" s="29"/>
      <c r="O1320" s="28" t="s">
        <v>0</v>
      </c>
      <c r="P1320" s="27">
        <f>P1314+SUM(P1316:P1319)</f>
        <v>0</v>
      </c>
    </row>
    <row r="1321" spans="1:16" s="12" customFormat="1" ht="13.5" customHeight="1" x14ac:dyDescent="0.2">
      <c r="A1321" s="1178" t="s">
        <v>18</v>
      </c>
      <c r="B1321" s="1178"/>
      <c r="C1321" s="1178"/>
      <c r="D1321" s="1179" t="str">
        <f>IF($D$1="","",$D$1)</f>
        <v/>
      </c>
      <c r="E1321" s="1179"/>
      <c r="F1321" s="1179"/>
      <c r="G1321" s="1179"/>
      <c r="H1321" s="1179"/>
      <c r="I1321" s="1179"/>
      <c r="J1321" s="1179"/>
      <c r="K1321" s="1179"/>
      <c r="L1321" s="1179"/>
      <c r="M1321" s="1179"/>
      <c r="N1321" s="1179"/>
    </row>
    <row r="1322" spans="1:16" s="12" customFormat="1" ht="15" customHeight="1" x14ac:dyDescent="0.2">
      <c r="A1322" s="1178" t="s">
        <v>17</v>
      </c>
      <c r="B1322" s="1178"/>
      <c r="C1322" s="1178" t="s">
        <v>15</v>
      </c>
      <c r="D1322" s="1179" t="str">
        <f>IF($D$2="","",$D$2)</f>
        <v/>
      </c>
      <c r="E1322" s="1179"/>
      <c r="F1322" s="1179"/>
      <c r="G1322" s="1179"/>
      <c r="H1322" s="1179"/>
      <c r="I1322" s="1179"/>
      <c r="J1322" s="1179"/>
      <c r="K1322" s="1179"/>
      <c r="L1322" s="1179"/>
      <c r="M1322" s="1179"/>
      <c r="N1322" s="1179"/>
    </row>
    <row r="1323" spans="1:16" s="12" customFormat="1" ht="15" customHeight="1" x14ac:dyDescent="0.2">
      <c r="A1323" s="1178" t="s">
        <v>16</v>
      </c>
      <c r="B1323" s="1178"/>
      <c r="C1323" s="1178" t="s">
        <v>15</v>
      </c>
      <c r="D1323" s="1179" t="str">
        <f>IF($D$3="","",$D$3)</f>
        <v/>
      </c>
      <c r="E1323" s="1179"/>
      <c r="F1323" s="1179"/>
      <c r="G1323" s="1179"/>
      <c r="H1323" s="1179"/>
      <c r="I1323" s="1179"/>
      <c r="J1323" s="1179"/>
      <c r="K1323" s="1178" t="s">
        <v>103</v>
      </c>
      <c r="L1323" s="1178"/>
      <c r="M1323" s="1178"/>
      <c r="N1323" s="41" t="str">
        <f>IF($N$3="","",$N$3)</f>
        <v/>
      </c>
    </row>
    <row r="1324" spans="1:16" s="13" customFormat="1" ht="11.25" x14ac:dyDescent="0.2">
      <c r="A1324" s="1182"/>
      <c r="B1324" s="1182"/>
      <c r="C1324" s="1182"/>
      <c r="D1324" s="1183"/>
      <c r="E1324" s="1183"/>
      <c r="F1324" s="1183"/>
      <c r="G1324" s="1183"/>
      <c r="H1324" s="1183"/>
      <c r="I1324" s="1183"/>
      <c r="J1324" s="1183"/>
      <c r="K1324" s="11"/>
      <c r="L1324" s="11"/>
      <c r="M1324" s="11"/>
      <c r="N1324" s="11"/>
      <c r="O1324" s="11"/>
      <c r="P1324" s="11"/>
    </row>
    <row r="1325" spans="1:16" s="15" customFormat="1" ht="13.5" customHeight="1" x14ac:dyDescent="0.2">
      <c r="A1325" s="1177" t="s">
        <v>166</v>
      </c>
      <c r="B1325" s="1177"/>
      <c r="C1325" s="1177"/>
      <c r="D1325" s="1177"/>
      <c r="E1325" s="1177"/>
      <c r="F1325" s="1177"/>
      <c r="G1325" s="1177"/>
      <c r="H1325" s="1177"/>
      <c r="I1325" s="1177"/>
      <c r="J1325" s="1177"/>
      <c r="K1325" s="9"/>
      <c r="L1325" s="9"/>
      <c r="M1325" s="9"/>
      <c r="N1325" s="59" t="s">
        <v>154</v>
      </c>
      <c r="O1325" s="191">
        <f>$O$5</f>
        <v>2022</v>
      </c>
      <c r="P1325" s="59" t="s">
        <v>154</v>
      </c>
    </row>
    <row r="1326" spans="1:16" s="10" customFormat="1" ht="13.5" customHeight="1" x14ac:dyDescent="0.25">
      <c r="B1326" s="32"/>
      <c r="C1326" s="32"/>
      <c r="D1326" s="5" t="s">
        <v>64</v>
      </c>
      <c r="E1326" s="31"/>
      <c r="F1326" s="31"/>
      <c r="G1326" s="31"/>
      <c r="H1326" s="31"/>
      <c r="I1326" s="26"/>
      <c r="J1326" s="1174" t="s">
        <v>14</v>
      </c>
      <c r="K1326" s="1174"/>
      <c r="L1326" s="180"/>
      <c r="N1326" s="84">
        <f>IF(L1328="","",L1328)</f>
        <v>0</v>
      </c>
      <c r="O1326" s="58" t="str">
        <f>$O$6</f>
        <v>Jan                Jul</v>
      </c>
      <c r="P1326" s="85">
        <f>IF(N1331="","",N1331)</f>
        <v>0</v>
      </c>
    </row>
    <row r="1327" spans="1:16" s="7" customFormat="1" ht="13.5" customHeight="1" x14ac:dyDescent="0.25">
      <c r="A1327" s="1180" t="s">
        <v>71</v>
      </c>
      <c r="B1327" s="1180"/>
      <c r="C1327" s="1180"/>
      <c r="D1327" s="1184"/>
      <c r="E1327" s="1184"/>
      <c r="F1327" s="1184"/>
      <c r="G1327" s="1184"/>
      <c r="H1327" s="1184"/>
      <c r="I1327" s="1184"/>
      <c r="J1327" s="1174" t="s">
        <v>104</v>
      </c>
      <c r="K1327" s="1174"/>
      <c r="L1327" s="145"/>
      <c r="N1327" s="85">
        <f>IF(N1326="","",N1326)</f>
        <v>0</v>
      </c>
      <c r="O1327" s="58" t="str">
        <f>$O$7</f>
        <v>Feb              Aug</v>
      </c>
      <c r="P1327" s="85">
        <f>IF(P1326="","",P1326)</f>
        <v>0</v>
      </c>
    </row>
    <row r="1328" spans="1:16" s="1" customFormat="1" ht="13.5" customHeight="1" x14ac:dyDescent="0.2">
      <c r="A1328" s="1180" t="s">
        <v>13</v>
      </c>
      <c r="B1328" s="1180"/>
      <c r="C1328" s="1180"/>
      <c r="D1328" s="1181"/>
      <c r="E1328" s="1181"/>
      <c r="F1328" s="1181"/>
      <c r="G1328" s="1181"/>
      <c r="H1328" s="1181"/>
      <c r="I1328" s="1181"/>
      <c r="J1328" s="1174" t="s">
        <v>164</v>
      </c>
      <c r="K1328" s="1174"/>
      <c r="L1328" s="145">
        <f>IF((L1329+L1330)&gt;L1327,0,L1327-L1329-L1330)</f>
        <v>0</v>
      </c>
      <c r="N1328" s="85">
        <f>IF(N1327="","",N1327)</f>
        <v>0</v>
      </c>
      <c r="O1328" s="58" t="str">
        <f>$O$8</f>
        <v>Mrz              Sep</v>
      </c>
      <c r="P1328" s="85">
        <f>IF(P1327="","",P1327)</f>
        <v>0</v>
      </c>
    </row>
    <row r="1329" spans="1:16" s="1" customFormat="1" ht="13.5" customHeight="1" x14ac:dyDescent="0.2">
      <c r="A1329" s="1180" t="s">
        <v>12</v>
      </c>
      <c r="B1329" s="1180"/>
      <c r="C1329" s="1180"/>
      <c r="D1329" s="1181"/>
      <c r="E1329" s="1181"/>
      <c r="F1329" s="1181"/>
      <c r="G1329" s="1181"/>
      <c r="H1329" s="1181"/>
      <c r="I1329" s="1181"/>
      <c r="J1329" s="1174" t="s">
        <v>165</v>
      </c>
      <c r="K1329" s="1174"/>
      <c r="L1329" s="145"/>
      <c r="N1329" s="85">
        <f>IF(N1328="","",N1328)</f>
        <v>0</v>
      </c>
      <c r="O1329" s="58" t="str">
        <f>$O$9</f>
        <v>Apr               Okt</v>
      </c>
      <c r="P1329" s="85">
        <f t="shared" ref="P1329:P1331" si="150">IF(P1328="","",P1328)</f>
        <v>0</v>
      </c>
    </row>
    <row r="1330" spans="1:16" s="1" customFormat="1" ht="13.5" customHeight="1" x14ac:dyDescent="0.2">
      <c r="A1330" s="1180" t="s">
        <v>19</v>
      </c>
      <c r="B1330" s="1180"/>
      <c r="C1330" s="1180"/>
      <c r="D1330" s="1181"/>
      <c r="E1330" s="1181"/>
      <c r="F1330" s="1181"/>
      <c r="G1330" s="1181"/>
      <c r="H1330" s="1181"/>
      <c r="I1330" s="1181"/>
      <c r="J1330" s="1174" t="s">
        <v>252</v>
      </c>
      <c r="K1330" s="1174"/>
      <c r="L1330" s="145"/>
      <c r="M1330" s="92"/>
      <c r="N1330" s="85">
        <f>IF(N1329="","",N1329)</f>
        <v>0</v>
      </c>
      <c r="O1330" s="58" t="str">
        <f>$O$10</f>
        <v>Mai               Nov</v>
      </c>
      <c r="P1330" s="85">
        <f t="shared" si="150"/>
        <v>0</v>
      </c>
    </row>
    <row r="1331" spans="1:16" s="1" customFormat="1" ht="13.5" customHeight="1" x14ac:dyDescent="0.2">
      <c r="B1331" s="8"/>
      <c r="C1331" s="121" t="s">
        <v>162</v>
      </c>
      <c r="D1331" s="1175"/>
      <c r="E1331" s="1175"/>
      <c r="F1331" s="1176" t="s">
        <v>106</v>
      </c>
      <c r="G1331" s="1176"/>
      <c r="H1331" s="1186"/>
      <c r="I1331" s="1186"/>
      <c r="J1331" s="1174" t="s">
        <v>97</v>
      </c>
      <c r="K1331" s="1174"/>
      <c r="L1331" s="17" t="str">
        <f>IF(IF((COUNTIF(B1346:B1357,"&gt;0"))=0,0,(COUNTIF(B1346:B1357,"&gt;0")))&gt;Grundlagen!$C$24,Grundlagen!$C$24,IF((COUNTIF(B1346:B1357,"&gt;0"))=0,"",(COUNTIF(B1346:B1357,"&gt;0"))))</f>
        <v/>
      </c>
      <c r="N1331" s="85">
        <f>IF(N1330="","",N1330)</f>
        <v>0</v>
      </c>
      <c r="O1331" s="58" t="str">
        <f>'päd.Personal - Leitung'!$O$11</f>
        <v>Jun               Dez</v>
      </c>
      <c r="P1331" s="85">
        <f t="shared" si="150"/>
        <v>0</v>
      </c>
    </row>
    <row r="1332" spans="1:16" s="1" customFormat="1" ht="13.5" customHeight="1" x14ac:dyDescent="0.2">
      <c r="I1332" s="6"/>
      <c r="L1332" s="147" t="str">
        <f>IF((SUM(F1334:F1337))=0,"",IF(P1332&gt;L1328,L1328,IF(L1328="","",IF(L1331="","",P1332))))</f>
        <v/>
      </c>
      <c r="O1332" s="174" t="s">
        <v>251</v>
      </c>
      <c r="P1332" s="175">
        <f>IF(L1331="",0,((IF(SUMIF(B1346,"&gt;0"),N1326,0))+(IF(SUMIF(B1347,"&gt;0"),N1327,0))+(IF(SUMIF(B1348,"&gt;0"),N1328,0))+(IF(SUMIF(B1349,"&gt;0"),N1329,0))+(IF(SUMIF(B1350,"&gt;0"),N1330,0))+(IF(SUMIF(B1351,"&gt;0"),N1331,0))+(IF(SUMIF(B1352,"&gt;0"),P1326,0))+(IF(SUMIF(B1353,"&gt;0"),P1327,0))+(IF(SUMIF(B1354,"&gt;0"),P1328,0))+(IF(SUMIF(B1355,"&gt;0"),P1329,0))+(IF(SUMIF(B1356,"&gt;0"),P1330,0))+(IF(SUMIF(B1357,"&gt;0"),P1331,0)))/Grundlagen!$C$24)</f>
        <v>0</v>
      </c>
    </row>
    <row r="1333" spans="1:16" s="52" customFormat="1" ht="13.5" customHeight="1" x14ac:dyDescent="0.2">
      <c r="A1333" s="61" t="s">
        <v>148</v>
      </c>
      <c r="B1333" s="1168" t="s">
        <v>149</v>
      </c>
      <c r="C1333" s="1168"/>
      <c r="D1333" s="62" t="s">
        <v>150</v>
      </c>
      <c r="E1333" s="63" t="s">
        <v>151</v>
      </c>
      <c r="F1333" s="64" t="str">
        <f>CONCATENATE("Entg. ",N1323," h/Wo")</f>
        <v>Entg.  h/Wo</v>
      </c>
      <c r="G1333" s="65" t="s">
        <v>152</v>
      </c>
      <c r="H1333" s="65" t="s">
        <v>153</v>
      </c>
      <c r="K1333" s="1169" t="str">
        <f>CONCATENATE("Zuschläge / Zulagen für ",N1323,"h/Wo")</f>
        <v>Zuschläge / Zulagen für h/Wo</v>
      </c>
      <c r="L1333" s="1169"/>
      <c r="M1333" s="66" t="str">
        <f>IF(A1334="","",A1334)</f>
        <v>Jan 2022</v>
      </c>
      <c r="N1333" s="66" t="str">
        <f>IF(A1335="","",A1335)</f>
        <v/>
      </c>
      <c r="O1333" s="66" t="str">
        <f>IF(A1336="","",A1336)</f>
        <v/>
      </c>
      <c r="P1333" s="66" t="str">
        <f>IF(A1337="","",A1337)</f>
        <v/>
      </c>
    </row>
    <row r="1334" spans="1:16" s="52" customFormat="1" ht="13.5" customHeight="1" x14ac:dyDescent="0.25">
      <c r="A1334" s="54" t="str">
        <f>A1346</f>
        <v>Jan 2022</v>
      </c>
      <c r="B1334" s="1170" t="str">
        <f>IF($D$3="","",$D$3)</f>
        <v/>
      </c>
      <c r="C1334" s="1171"/>
      <c r="D1334" s="181"/>
      <c r="E1334" s="181"/>
      <c r="F1334" s="87"/>
      <c r="G1334" s="56">
        <f>IF(N1323="",0,F1334/N1323/4.348)</f>
        <v>0</v>
      </c>
      <c r="H1334" s="53">
        <f>IF(G1334=0,0,M1339)</f>
        <v>0</v>
      </c>
      <c r="K1334" s="1146"/>
      <c r="L1334" s="1146"/>
      <c r="M1334" s="172"/>
      <c r="N1334" s="172"/>
      <c r="O1334" s="172"/>
      <c r="P1334" s="172"/>
    </row>
    <row r="1335" spans="1:16" s="52" customFormat="1" ht="13.5" customHeight="1" x14ac:dyDescent="0.25">
      <c r="A1335" s="55"/>
      <c r="B1335" s="1172" t="str">
        <f>IF(A1335="","",B1334)</f>
        <v/>
      </c>
      <c r="C1335" s="1173"/>
      <c r="D1335" s="181"/>
      <c r="E1335" s="181"/>
      <c r="F1335" s="87"/>
      <c r="G1335" s="56">
        <f>IF(N1323="",0,F1335/N1323/4.348)</f>
        <v>0</v>
      </c>
      <c r="H1335" s="53">
        <f>IF(G1335=0,0,N1339)</f>
        <v>0</v>
      </c>
      <c r="K1335" s="1146"/>
      <c r="L1335" s="1146"/>
      <c r="M1335" s="172"/>
      <c r="N1335" s="172"/>
      <c r="O1335" s="172"/>
      <c r="P1335" s="172"/>
    </row>
    <row r="1336" spans="1:16" s="52" customFormat="1" ht="13.5" customHeight="1" x14ac:dyDescent="0.25">
      <c r="A1336" s="55"/>
      <c r="B1336" s="1172" t="str">
        <f>IF(A1336="","",B1335)</f>
        <v/>
      </c>
      <c r="C1336" s="1173"/>
      <c r="D1336" s="181"/>
      <c r="E1336" s="181"/>
      <c r="F1336" s="87"/>
      <c r="G1336" s="56">
        <f>IF(N1323="",0,F1336/N1323/4.348)</f>
        <v>0</v>
      </c>
      <c r="H1336" s="53">
        <f>IF(G1336=0,0,O1339)</f>
        <v>0</v>
      </c>
      <c r="K1336" s="1146"/>
      <c r="L1336" s="1146"/>
      <c r="M1336" s="172"/>
      <c r="N1336" s="172"/>
      <c r="O1336" s="172"/>
      <c r="P1336" s="172"/>
    </row>
    <row r="1337" spans="1:16" s="52" customFormat="1" ht="13.5" customHeight="1" x14ac:dyDescent="0.25">
      <c r="A1337" s="55"/>
      <c r="B1337" s="1172" t="str">
        <f>IF(A1337="","",B1336)</f>
        <v/>
      </c>
      <c r="C1337" s="1173"/>
      <c r="D1337" s="181"/>
      <c r="E1337" s="181"/>
      <c r="F1337" s="87"/>
      <c r="G1337" s="56">
        <f>IF(N1323="",0,F1337/N1323/4.348)</f>
        <v>0</v>
      </c>
      <c r="H1337" s="53">
        <f>IF(G1337=0,0,P1339)</f>
        <v>0</v>
      </c>
      <c r="K1337" s="1146"/>
      <c r="L1337" s="1146"/>
      <c r="M1337" s="172"/>
      <c r="N1337" s="172"/>
      <c r="O1337" s="172"/>
      <c r="P1337" s="172"/>
    </row>
    <row r="1338" spans="1:16" s="52" customFormat="1" ht="13.5" customHeight="1" x14ac:dyDescent="0.25">
      <c r="B1338" s="1167" t="s">
        <v>157</v>
      </c>
      <c r="C1338" s="1167"/>
      <c r="E1338" s="1167" t="s">
        <v>156</v>
      </c>
      <c r="F1338" s="1167"/>
      <c r="J1338" s="69"/>
      <c r="K1338" s="1146"/>
      <c r="L1338" s="1146"/>
      <c r="M1338" s="172"/>
      <c r="N1338" s="172"/>
      <c r="O1338" s="172"/>
      <c r="P1338" s="172"/>
    </row>
    <row r="1339" spans="1:16" s="52" customFormat="1" ht="13.5" customHeight="1" x14ac:dyDescent="0.25">
      <c r="A1339" s="70" t="s">
        <v>167</v>
      </c>
      <c r="B1339" s="67"/>
      <c r="C1339" s="99" t="str">
        <f>IF(C1295="","",C1295)</f>
        <v/>
      </c>
      <c r="D1339" s="70" t="s">
        <v>167</v>
      </c>
      <c r="E1339" s="67"/>
      <c r="F1339" s="99" t="str">
        <f>IF(F1295="","",F1295)</f>
        <v/>
      </c>
      <c r="J1339" s="68"/>
      <c r="M1339" s="173">
        <f>SUM(M1334:M1338)</f>
        <v>0</v>
      </c>
      <c r="N1339" s="173">
        <f t="shared" ref="N1339:P1339" si="151">SUM(N1334:N1338)</f>
        <v>0</v>
      </c>
      <c r="O1339" s="173">
        <f t="shared" si="151"/>
        <v>0</v>
      </c>
      <c r="P1339" s="173">
        <f t="shared" si="151"/>
        <v>0</v>
      </c>
    </row>
    <row r="1340" spans="1:16" s="52" customFormat="1" ht="13.5" customHeight="1" x14ac:dyDescent="0.2">
      <c r="A1340" s="60" t="s">
        <v>155</v>
      </c>
    </row>
    <row r="1341" spans="1:16" s="1" customFormat="1" ht="14.25" customHeight="1" x14ac:dyDescent="0.2">
      <c r="A1341" s="1147"/>
      <c r="B1341" s="1149" t="s">
        <v>9</v>
      </c>
      <c r="C1341" s="1150"/>
      <c r="D1341" s="1150"/>
      <c r="E1341" s="1150"/>
      <c r="F1341" s="1150"/>
      <c r="G1341" s="1151"/>
      <c r="H1341" s="1152" t="s">
        <v>119</v>
      </c>
      <c r="I1341" s="1153"/>
      <c r="J1341" s="1153"/>
      <c r="K1341" s="1153"/>
      <c r="L1341" s="1153"/>
      <c r="M1341" s="1153"/>
      <c r="N1341" s="1153"/>
      <c r="O1341" s="33"/>
      <c r="P1341" s="1154" t="s">
        <v>0</v>
      </c>
    </row>
    <row r="1342" spans="1:16" s="1" customFormat="1" ht="14.25" customHeight="1" x14ac:dyDescent="0.2">
      <c r="A1342" s="1148"/>
      <c r="B1342" s="1157" t="s">
        <v>117</v>
      </c>
      <c r="C1342" s="124" t="s">
        <v>115</v>
      </c>
      <c r="D1342" s="1159" t="s">
        <v>277</v>
      </c>
      <c r="E1342" s="1161" t="s">
        <v>147</v>
      </c>
      <c r="F1342" s="127" t="s">
        <v>7</v>
      </c>
      <c r="G1342" s="1162" t="s">
        <v>6</v>
      </c>
      <c r="H1342" s="1161" t="s">
        <v>129</v>
      </c>
      <c r="I1342" s="1161" t="s">
        <v>5</v>
      </c>
      <c r="J1342" s="1161" t="s">
        <v>4</v>
      </c>
      <c r="K1342" s="1161" t="s">
        <v>3</v>
      </c>
      <c r="L1342" s="1161" t="s">
        <v>121</v>
      </c>
      <c r="M1342" s="1161" t="s">
        <v>122</v>
      </c>
      <c r="N1342" s="1161" t="s">
        <v>123</v>
      </c>
      <c r="O1342" s="1160" t="s">
        <v>114</v>
      </c>
      <c r="P1342" s="1155"/>
    </row>
    <row r="1343" spans="1:16" s="1" customFormat="1" ht="14.25" customHeight="1" x14ac:dyDescent="0.2">
      <c r="A1343" s="1148"/>
      <c r="B1343" s="1157"/>
      <c r="C1343" s="21" t="str">
        <f>IF(C1339="","",C1339)</f>
        <v/>
      </c>
      <c r="D1343" s="1160"/>
      <c r="E1343" s="1161"/>
      <c r="F1343" s="1165" t="str">
        <f>IF(H1334=0,"","siehe Zuschläge / Zulagen")</f>
        <v/>
      </c>
      <c r="G1343" s="1162"/>
      <c r="H1343" s="1164" t="s">
        <v>127</v>
      </c>
      <c r="I1343" s="1164"/>
      <c r="J1343" s="1164"/>
      <c r="K1343" s="1164"/>
      <c r="L1343" s="1164"/>
      <c r="M1343" s="1164"/>
      <c r="N1343" s="1164"/>
      <c r="O1343" s="1160"/>
      <c r="P1343" s="1155"/>
    </row>
    <row r="1344" spans="1:16" s="1" customFormat="1" x14ac:dyDescent="0.2">
      <c r="A1344" s="1148"/>
      <c r="B1344" s="1157"/>
      <c r="C1344" s="122" t="s">
        <v>70</v>
      </c>
      <c r="D1344" s="1160"/>
      <c r="E1344" s="1161"/>
      <c r="F1344" s="1165"/>
      <c r="G1344" s="1162"/>
      <c r="H1344" s="43" t="s">
        <v>128</v>
      </c>
      <c r="I1344" s="43" t="s">
        <v>255</v>
      </c>
      <c r="J1344" s="43" t="s">
        <v>256</v>
      </c>
      <c r="K1344" s="43" t="s">
        <v>257</v>
      </c>
      <c r="L1344" s="43"/>
      <c r="M1344" s="43"/>
      <c r="N1344" s="43" t="s">
        <v>254</v>
      </c>
      <c r="O1344" s="1160"/>
      <c r="P1344" s="1155"/>
    </row>
    <row r="1345" spans="1:16" s="1" customFormat="1" x14ac:dyDescent="0.2">
      <c r="A1345" s="1148"/>
      <c r="B1345" s="1158"/>
      <c r="C1345" s="21" t="str">
        <f>IF(F1339="","",F1339)</f>
        <v/>
      </c>
      <c r="D1345" s="51"/>
      <c r="E1345" s="51"/>
      <c r="F1345" s="1166"/>
      <c r="G1345" s="1163"/>
      <c r="H1345" s="93"/>
      <c r="I1345" s="139">
        <f>$I$69</f>
        <v>0</v>
      </c>
      <c r="J1345" s="139">
        <f>$J$69</f>
        <v>0</v>
      </c>
      <c r="K1345" s="44">
        <f>$K$69</f>
        <v>0</v>
      </c>
      <c r="L1345" s="21"/>
      <c r="M1345" s="21"/>
      <c r="N1345" s="139">
        <f>$N$69</f>
        <v>0</v>
      </c>
      <c r="O1345" s="21">
        <f>O1301</f>
        <v>0</v>
      </c>
      <c r="P1345" s="1156"/>
    </row>
    <row r="1346" spans="1:16" s="1" customFormat="1" x14ac:dyDescent="0.2">
      <c r="A1346" s="100" t="str">
        <f>$A$26</f>
        <v>Jan 2022</v>
      </c>
      <c r="B1346" s="24">
        <f>ROUND(IF(N1326=0,0,(LOOKUP(2,1/(A1334:A1337=A1346),G1334:G1337))*N1326*4.348),2)</f>
        <v>0</v>
      </c>
      <c r="C1346" s="23">
        <f>ROUND(IFERROR(((LOOKUP(2,1/(B1339=A1346),((SUM(B1352:B1354)+SUM(F1352:F1354))/3)*C1339))),0)+IFERROR(((LOOKUP(2,1/(E1339=A1346),(B1358+F1358)*F1339))),0),2)</f>
        <v>0</v>
      </c>
      <c r="D1346" s="23">
        <f>ROUND(IF(B1346=0,0,D1345/L1327*N1326),2)</f>
        <v>0</v>
      </c>
      <c r="E1346" s="23">
        <f>ROUND(IF(B1346=0,0,E1345/N1323*N1326),2)</f>
        <v>0</v>
      </c>
      <c r="F1346" s="24">
        <f>ROUND(IF(N1326=0,0,(LOOKUP(2,1/(A1334:A1337=A1346),H1334:H1337))/N1323*N1326),2)</f>
        <v>0</v>
      </c>
      <c r="G1346" s="27">
        <f>SUM(B1346+C1346+E1346+F1346)</f>
        <v>0</v>
      </c>
      <c r="H1346" s="76">
        <f>ROUND(IF((SUM(B1346:F1346))&gt;L1361,L1361*H1345,SUM(B1346:F1346)*H1345),2)</f>
        <v>0</v>
      </c>
      <c r="I1346" s="76">
        <f>ROUND(IF((SUM(B1346:F1346))&gt;L1362,L1362*I1345,SUM(B1346:F1346)*I1345),2)</f>
        <v>0</v>
      </c>
      <c r="J1346" s="76">
        <f>ROUND(IF((SUM(B1346:F1346))&gt;L1362,L1362*J1345,SUM(B1346:F1346)*J1345),2)</f>
        <v>0</v>
      </c>
      <c r="K1346" s="76">
        <f>ROUND(IF((SUM(B1346:F1346))&gt;L1361,L1361*K1345,SUM(B1346:F1346)*K1345),2)</f>
        <v>0</v>
      </c>
      <c r="L1346" s="76">
        <f>ROUND(IF((SUM(B1346:F1346))&gt;L1362,L1362*L1345,(SUM(B1346:F1346)-C1346)*L1345),2)</f>
        <v>0</v>
      </c>
      <c r="M1346" s="76">
        <f>ROUND(IF((SUM(B1346:F1346))&gt;L1362,L1362*M1345,(SUM(B1346:F1346)-C1346)*M1345),2)</f>
        <v>0</v>
      </c>
      <c r="N1346" s="76">
        <f>ROUND(IF((SUM(B1346:F1346))&gt;L1362,L1362*N1345,SUM(B1346:F1346)*N1345),2)</f>
        <v>0</v>
      </c>
      <c r="O1346" s="23">
        <f>ROUND(SUM(B1346+C1346+F1346)*O1345,2)</f>
        <v>0</v>
      </c>
      <c r="P1346" s="27">
        <f>SUM(G1346:O1346)</f>
        <v>0</v>
      </c>
    </row>
    <row r="1347" spans="1:16" s="1" customFormat="1" x14ac:dyDescent="0.2">
      <c r="A1347" s="100" t="str">
        <f>$A$27</f>
        <v>Feb 2022</v>
      </c>
      <c r="B1347" s="24">
        <f>ROUND(IF(N1327=0,0,IFERROR(((LOOKUP(2,1/(A1334:A1337=A1347),G1334:G1337))*N1327*4.348),B1346/N1327*N1327)),2)</f>
        <v>0</v>
      </c>
      <c r="C1347" s="23">
        <f>ROUND(IFERROR(((LOOKUP(2,1/(B1339=A1347),((SUM(B1352:B1354)+SUM(F1352:F1354))/3)*C1339))),0)+IFERROR(((LOOKUP(2,1/(E1339=A1347),(B1358+F1358)*F1339))),0),2)</f>
        <v>0</v>
      </c>
      <c r="D1347" s="23">
        <f>ROUND(IF(B1347=0,0,D1345/L1327*N1327),2)</f>
        <v>0</v>
      </c>
      <c r="E1347" s="23">
        <f>ROUND(IF(B1347=0,0,E1345/N1323*N1327),2)</f>
        <v>0</v>
      </c>
      <c r="F1347" s="24">
        <f>ROUND(IF(N1327=0,0,IFERROR(((LOOKUP(2,1/(A1334:A1337=A1347),H1334:H1337))/N1323*N1327),F1346/N1327*N1327)),2)</f>
        <v>0</v>
      </c>
      <c r="G1347" s="27">
        <f t="shared" ref="G1347:G1357" si="152">SUM(B1347+C1347+E1347+F1347)</f>
        <v>0</v>
      </c>
      <c r="H1347" s="76">
        <f>ROUND(IF(SUM(B1346:F1346)&lt;(L1361*1),IF((SUM(B1346:F1347))&gt;(L1361*2),(((L1361*2)-(SUM(B1346:F1347)-C1346))*H1345)+((SUM(B1347:F1347)-C1346)*H1345),SUM(B1347:F1347)*H1345),IF(SUM(B1346:F1347)&gt;(L1361*2),L1361*H1345,SUM(B1347:F1347)*H1345)),2)</f>
        <v>0</v>
      </c>
      <c r="I1347" s="76">
        <f>ROUND(IF(SUM(B1346:F1346)&lt;(L1362*1),IF((SUM(B1346:F1347))&gt;(L1362*2),(((L1362*2)-(SUM(B1346:F1347)-C1346))*I1345)+((SUM(B1347:F1347)-C1346)*I1345),SUM(B1347:F1347)*I1345),IF(SUM(B1346:F1347)&gt;(L1362*2),L1362*I1345,SUM(B1347:F1347)*I1345)),2)</f>
        <v>0</v>
      </c>
      <c r="J1347" s="76">
        <f>ROUND(IF(SUM(B1346:F1346)&lt;(L1362*1),IF((SUM(B1346:F1347))&gt;(L1362*2),(((L1362*2)-(SUM(B1346:F1347)-C1346))*J1345)+((SUM(B1347:F1347)-C1346)*J1345),SUM(B1347:F1347)*J1345),IF(SUM(B1346:F1347)&gt;(L1362*2),L1362*J1345,SUM(B1347:F1347)*J1345)),2)</f>
        <v>0</v>
      </c>
      <c r="K1347" s="76">
        <f>ROUND(IF(SUM(B1346:F1346)&lt;(L1361*1),IF((SUM(B1346:F1347))&gt;(L1361*2),(((L1361*2)-(SUM(B1346:F1347)-C1346))*K1345)+((SUM(B1347:F1347)-C1346)*K1345),SUM(B1347:F1347)*K1345),IF(SUM(B1346:F1347)&gt;(L1361*2),L1361*K1345,SUM(B1347:F1347)*K1345)),2)</f>
        <v>0</v>
      </c>
      <c r="L1347" s="76">
        <f>ROUND(IF(SUM(B1346:F1346)&lt;(L1362*1),IF((SUM(B1346:F1347))&gt;(L1362*2),(((L1362*2)-(SUM(B1346:F1347)-C1347))*L1345)+((SUM(B1347:F1347)-C1347)*L1345),(SUM(B1347:F1347)-C1347)*L1345),IF(SUM(B1346:F1347)&gt;(L1362*2),L1362*L1345,SUM(B1347:F1347)*L1345)),2)</f>
        <v>0</v>
      </c>
      <c r="M1347" s="76">
        <f>ROUND(IF(SUM(B1346:F1346)&lt;(L1362*1),IF((SUM(B1346:F1347))&gt;(L1362*2),(((L1362*2)-(SUM(B1346:F1347)-C1347))*M1345)+((SUM(B1347:F1347)-C1347)*M1345),(SUM(B1347:F1347)-C1347)*M1345),IF(SUM(B1346:F1347)&gt;(L1362*2),L1362*M1345,SUM(B1347:F1347)*M1345)),2)</f>
        <v>0</v>
      </c>
      <c r="N1347" s="76">
        <f>ROUND(IF(SUM(B1346:F1346)&lt;(L1362*1),IF((SUM(B1346:F1347))&gt;(L1362*2),(((L1362*2)-(SUM(B1346:F1347)-C1346))*N1345)+((SUM(B1347:F1347)-C1346)*N1345),SUM(B1347:F1347)*N1345),IF(SUM(B1346:F1347)&gt;(L1362*2),L1362*N1345,SUM(B1347:F1347)*N1345)),2)</f>
        <v>0</v>
      </c>
      <c r="O1347" s="23">
        <f>ROUND(SUM(B1347+C1347+F1347)*O1345,2)</f>
        <v>0</v>
      </c>
      <c r="P1347" s="27">
        <f>SUM(G1347:O1347)</f>
        <v>0</v>
      </c>
    </row>
    <row r="1348" spans="1:16" s="1" customFormat="1" x14ac:dyDescent="0.2">
      <c r="A1348" s="100" t="str">
        <f>$A$28</f>
        <v>Mrz 2022</v>
      </c>
      <c r="B1348" s="24">
        <f>ROUND(IF(N1328=0,0,IFERROR(((LOOKUP(2,1/(A1334:A1337=A1348),G1334:G1337))*N1328*4.348),B1347/N1328*N1328)),2)</f>
        <v>0</v>
      </c>
      <c r="C1348" s="23">
        <f>ROUND(IFERROR(((LOOKUP(2,1/(B1339=A1348),((SUM(B1352:B1354)+SUM(F1352:F1354))/3)*C1339))),0)+IFERROR(((LOOKUP(2,1/(E1339=A1348),(B1358+F1358)*F1339))),0),2)</f>
        <v>0</v>
      </c>
      <c r="D1348" s="23">
        <f>ROUND(IF(B1348=0,0,D1345/L1327*N1328),2)</f>
        <v>0</v>
      </c>
      <c r="E1348" s="23">
        <f>ROUND(IF(B1348=0,0,E1345/N1323*N1328),2)</f>
        <v>0</v>
      </c>
      <c r="F1348" s="24">
        <f>ROUND(IF(N1328=0,0,IFERROR(((LOOKUP(2,1/(A1334:A1337=A1348),H1334:H1337))/N1323*N1328),F1347/N1328*N1328)),2)</f>
        <v>0</v>
      </c>
      <c r="G1348" s="27">
        <f t="shared" si="152"/>
        <v>0</v>
      </c>
      <c r="H1348" s="76">
        <f>ROUND(IF(SUM(B1346:F1347)&lt;(L1361*2),IF((SUM(B1346:F1348))&gt;(L1361*3),(((L1361*3)-(SUM(B1346:F1348)-C1347))*H1345)+((SUM(B1348:F1348)-C1347)*H1345),SUM(B1348:F1348)*H1345),IF(SUM(B1346:F1348)&gt;(L1361*3),L1361*H1345,SUM(B1348:F1348)*H1345)),2)</f>
        <v>0</v>
      </c>
      <c r="I1348" s="76">
        <f>ROUND(IF(SUM(B1346:F1347)&lt;(L1362*2),IF((SUM(B1346:F1348))&gt;(L1362*3),(((L1362*3)-(SUM(B1346:F1348)-C1347))*I1345)+((SUM(B1348:F1348)-C1347)*I1345),SUM(B1348:F1348)*I1345),IF(SUM(B1346:F1348)&gt;(L1362*3),L1362*I1345,SUM(B1348:F1348)*I1345)),2)</f>
        <v>0</v>
      </c>
      <c r="J1348" s="76">
        <f>ROUND(IF(SUM(B1346:F1347)&lt;(L1362*2),IF((SUM(B1346:F1348))&gt;(L1362*3),(((L1362*3)-(SUM(B1346:F1348)-C1347))*J1345)+((SUM(B1348:F1348)-C1347)*J1345),SUM(B1348:F1348)*J1345),IF(SUM(B1346:F1348)&gt;(L1362*3),L1362*J1345,SUM(B1348:F1348)*J1345)),2)</f>
        <v>0</v>
      </c>
      <c r="K1348" s="76">
        <f>ROUND(IF(SUM(B1346:F1347)&lt;(L1361*2),IF((SUM(B1346:F1348))&gt;(L1361*3),(((L1361*3)-(SUM(B1346:F1348)-C1347))*K1345)+((SUM(B1348:F1348)-C1347)*K1345),SUM(B1348:F1348)*K1345),IF(SUM(B1346:F1348)&gt;(L1361*3),L1361*K1345,SUM(B1348:F1348)*K1345)),2)</f>
        <v>0</v>
      </c>
      <c r="L1348" s="76">
        <f>ROUND(IF(SUM(B1346:F1347)&lt;(L1362*2),IF((SUM(B1346:F1348))&gt;(L1362*3),(((L1362*3)-(SUM(B1346:F1348)-C1348))*L1345)+((SUM(B1348:F1348)-C1348)*L1345),(SUM(B1348:F1348)-C1348)*L1345),IF(SUM(B1346:F1348)&gt;(L1362*3),L1362*L1345,SUM(B1348:F1348)*L1345)),2)</f>
        <v>0</v>
      </c>
      <c r="M1348" s="76">
        <f>ROUND(IF(SUM(B1346:F1347)&lt;(L1362*2),IF((SUM(B1346:F1348))&gt;(L1362*3),(((L1362*3)-(SUM(B1346:F1348)-C1348))*M1345)+((SUM(B1348:F1348)-C1348)*M1345),(SUM(B1348:F1348)-C1348)*M1345),IF(SUM(B1346:F1348)&gt;(L1362*3),L1362*M1345,SUM(B1348:F1348)*M1345)),2)</f>
        <v>0</v>
      </c>
      <c r="N1348" s="76">
        <f>ROUND(IF(SUM(B1346:F1347)&lt;(L1362*2),IF((SUM(B1346:F1348))&gt;(L1362*3),(((L1362*3)-(SUM(B1346:F1348)-C1347))*N1345)+((SUM(B1348:F1348)-C1347)*N1345),SUM(B1348:F1348)*N1345),IF(SUM(B1346:F1348)&gt;(L1362*3),L1362*N1345,SUM(B1348:F1348)*N1345)),2)</f>
        <v>0</v>
      </c>
      <c r="O1348" s="23">
        <f>ROUND(SUM(B1348+C1348+F1348)*O1345,2)</f>
        <v>0</v>
      </c>
      <c r="P1348" s="27">
        <f t="shared" ref="P1348:P1357" si="153">SUM(G1348:O1348)</f>
        <v>0</v>
      </c>
    </row>
    <row r="1349" spans="1:16" s="1" customFormat="1" x14ac:dyDescent="0.2">
      <c r="A1349" s="100" t="str">
        <f>$A$29</f>
        <v>Apr 2022</v>
      </c>
      <c r="B1349" s="24">
        <f>ROUND(IF(N1329=0,0,IFERROR(((LOOKUP(2,1/(A1334:A1337=A1349),G1334:G1337))*N1329*4.348),B1348/N1329*N1329)),2)</f>
        <v>0</v>
      </c>
      <c r="C1349" s="23">
        <f>ROUND(IFERROR(((LOOKUP(2,1/(B1339=A1349),((SUM(B1352:B1354)+SUM(F1352:F1354))/3)*C1339))),0)+IFERROR(((LOOKUP(2,1/(E1339=A1349),(B1358+F1358)*F1339))),0),2)</f>
        <v>0</v>
      </c>
      <c r="D1349" s="23">
        <f>ROUND(IF(B1349=0,0,D1345/L1327*N1329),2)</f>
        <v>0</v>
      </c>
      <c r="E1349" s="23">
        <f>ROUND(IF(B1349=0,0,E1345/N1323*N1329),2)</f>
        <v>0</v>
      </c>
      <c r="F1349" s="24">
        <f>ROUND(IF(N1329=0,0,IFERROR(((LOOKUP(2,1/(A1334:A1337=A1349),H1334:H1337))/N1323*N1329),F1348/N1329*N1329)),2)</f>
        <v>0</v>
      </c>
      <c r="G1349" s="27">
        <f t="shared" si="152"/>
        <v>0</v>
      </c>
      <c r="H1349" s="76">
        <f>ROUND(IF(SUM(B1346:F1348)&lt;(L1361*3),IF((SUM(B1346:F1349))&gt;(L1361*4),(((L1361*4)-(SUM(B1346:F1349)-C1348))*H1345)+((SUM(B1349:F1349)-C1348)*H1345),SUM(B1349:F1349)*H1345),IF(SUM(B1346:F1349)&gt;(L1361*4),L1361*H1345,SUM(B1349:F1349)*H1345)),2)</f>
        <v>0</v>
      </c>
      <c r="I1349" s="76">
        <f>ROUND(IF(SUM(B1346:F1348)&lt;(L1362*3),IF((SUM(B1346:F1349))&gt;(L1362*4),(((L1362*4)-(SUM(B1346:F1349)-C1348))*I1345)+((SUM(B1349:F1349)-C1348)*I1345),SUM(B1349:F1349)*I1345),IF(SUM(B1346:F1349)&gt;(L1362*4),L1362*I1345,SUM(B1349:F1349)*I1345)),2)</f>
        <v>0</v>
      </c>
      <c r="J1349" s="76">
        <f>ROUND(IF(SUM(B1346:F1348)&lt;(L1362*3),IF((SUM(B1346:F1349))&gt;(L1362*4),(((L1362*4)-(SUM(B1346:F1349)-C1348))*J1345)+((SUM(B1349:F1349)-C1348)*J1345),SUM(B1349:F1349)*J1345),IF(SUM(B1346:F1349)&gt;(L1362*4),L1362*J1345,SUM(B1349:F1349)*J1345)),2)</f>
        <v>0</v>
      </c>
      <c r="K1349" s="76">
        <f>ROUND(IF(SUM(B1346:F1348)&lt;(L1361*3),IF((SUM(B1346:F1349))&gt;(L1361*4),(((L1361*4)-(SUM(B1346:F1349)-C1348))*K1345)+((SUM(B1349:F1349)-C1348)*K1345),SUM(B1349:F1349)*K1345),IF(SUM(B1346:F1349)&gt;(L1361*4),L1361*K1345,SUM(B1349:F1349)*K1345)),2)</f>
        <v>0</v>
      </c>
      <c r="L1349" s="76">
        <f>ROUND(IF(SUM(B1346:F1348)&lt;(L1362*3),IF((SUM(B1346:F1349))&gt;(L1362*4),(((L1362*4)-(SUM(B1346:F1349)-C1349))*L1345)+((SUM(B1349:F1349)-C1349)*L1345),(SUM(B1349:F1349)-C1349)*L1345),IF(SUM(B1346:F1349)&gt;(L1362*4),L1362*L1345,SUM(B1349:F1349)*L1345)),2)</f>
        <v>0</v>
      </c>
      <c r="M1349" s="76">
        <f>ROUND(IF(SUM(B1346:F1348)&lt;(L1362*3),IF((SUM(B1346:F1349))&gt;(L1362*4),(((L1362*4)-(SUM(B1346:F1349)-C1349))*M1345)+((SUM(B1349:F1349)-C1349)*M1345),(SUM(B1349:F1349)-C1349)*M1345),IF(SUM(B1346:F1349)&gt;(L1362*4),L1362*M1345,SUM(B1349:F1349)*M1345)),2)</f>
        <v>0</v>
      </c>
      <c r="N1349" s="76">
        <f>ROUND(IF(SUM(B1346:F1348)&lt;(L1362*3),IF((SUM(B1346:F1349))&gt;(L1362*4),(((L1362*4)-(SUM(B1346:F1349)-C1348))*N1345)+((SUM(B1349:F1349)-C1348)*N1345),SUM(B1349:F1349)*N1345),IF(SUM(B1346:F1349)&gt;(L1362*4),L1362*N1345,SUM(B1349:F1349)*N1345)),2)</f>
        <v>0</v>
      </c>
      <c r="O1349" s="23">
        <f>ROUND(SUM(B1349+C1349+F1349)*O1345,2)</f>
        <v>0</v>
      </c>
      <c r="P1349" s="27">
        <f t="shared" si="153"/>
        <v>0</v>
      </c>
    </row>
    <row r="1350" spans="1:16" s="1" customFormat="1" x14ac:dyDescent="0.2">
      <c r="A1350" s="100" t="str">
        <f>$A$30</f>
        <v>Mai 2022</v>
      </c>
      <c r="B1350" s="24">
        <f>ROUND(IF(N1330=0,0,IFERROR(((LOOKUP(2,1/(A1334:A1337=A1350),G1334:G1337))*N1330*4.348),B1349/N1330*N1330)),2)</f>
        <v>0</v>
      </c>
      <c r="C1350" s="23">
        <f>ROUND(IFERROR(((LOOKUP(2,1/(B1339=A1350),((SUM(B1352:B1354)+SUM(F1352:F1354))/3)*C1339))),0)+IFERROR(((LOOKUP(2,1/(E1339=A1350),(B1358+F1358)*F1339))),0),2)</f>
        <v>0</v>
      </c>
      <c r="D1350" s="23">
        <f>ROUND(IF(B1350=0,0,D1345/L1327*N1330),2)</f>
        <v>0</v>
      </c>
      <c r="E1350" s="23">
        <f>ROUND(IF(B1350=0,0,E1345/N1323*N1330),2)</f>
        <v>0</v>
      </c>
      <c r="F1350" s="24">
        <f>ROUND(IF(N1330=0,0,IFERROR(((LOOKUP(2,1/(A1334:A1337=A1350),H1334:H1337))/N1323*N1330),F1349/N1330*N1330)),2)</f>
        <v>0</v>
      </c>
      <c r="G1350" s="27">
        <f t="shared" si="152"/>
        <v>0</v>
      </c>
      <c r="H1350" s="76">
        <f>ROUND(IF(SUM(B1346:F1349)&lt;(L1361*4),IF((SUM(B1346:F1350))&gt;(L1361*5),(((L1361*5)-(SUM(B1346:F1350)-C1349))*H1345)+((SUM(B1350:F1350)-C1349)*H1345),SUM(B1350:F1350)*H1345),IF(SUM(B1346:F1350)&gt;(L1361*5),L1361*H1345,SUM(B1350:F1350)*H1345)),2)</f>
        <v>0</v>
      </c>
      <c r="I1350" s="76">
        <f>ROUND(IF(SUM(B1346:F1349)&lt;(L1362*4),IF((SUM(B1346:F1350))&gt;(L1362*5),(((L1362*5)-(SUM(B1346:F1350)-C1349))*I1345)+((SUM(B1350:F1350)-C1349)*I1345),SUM(B1350:F1350)*I1345),IF(SUM(B1346:F1350)&gt;(L1362*5),L1362*I1345,SUM(B1350:F1350)*I1345)),2)</f>
        <v>0</v>
      </c>
      <c r="J1350" s="76">
        <f>ROUND(IF(SUM(B1346:F1349)&lt;(L1362*4),IF((SUM(B1346:F1350))&gt;(L1362*5),(((L1362*5)-(SUM(B1346:F1350)-C1349))*J1345)+((SUM(B1350:F1350)-C1349)*J1345),SUM(B1350:F1350)*J1345),IF(SUM(B1346:F1350)&gt;(L1362*5),L1362*J1345,SUM(B1350:F1350)*J1345)),2)</f>
        <v>0</v>
      </c>
      <c r="K1350" s="76">
        <f>ROUND(IF(SUM(B1346:F1349)&lt;(L1361*4),IF((SUM(B1346:F1350))&gt;(L1361*5),(((L1361*5)-(SUM(B1346:F1350)-C1349))*K1345)+((SUM(B1350:F1350)-C1349)*K1345),SUM(B1350:F1350)*K1345),IF(SUM(B1346:F1350)&gt;(L1361*5),L1361*K1345,SUM(B1350:F1350)*K1345)),2)</f>
        <v>0</v>
      </c>
      <c r="L1350" s="76">
        <f>ROUND(IF(SUM(B1346:F1349)&lt;(L1362*4),IF((SUM(B1346:F1350))&gt;(L1362*5),(((L1362*5)-(SUM(B1346:F1350)-C1350))*L1345)+((SUM(B1350:F1350)-C1350)*L1345),(SUM(B1350:F1350)-C1350)*L1345),IF(SUM(B1346:F1350)&gt;(L1362*5),L1362*L1345,SUM(B1350:F1350)*L1345)),2)</f>
        <v>0</v>
      </c>
      <c r="M1350" s="76">
        <f>ROUND(IF(SUM(B1346:F1349)&lt;(L1362*4),IF((SUM(B1346:F1350))&gt;(L1362*5),(((L1362*5)-(SUM(B1346:F1350)-C1350))*M1345)+((SUM(B1350:F1350)-C1350)*M1345),(SUM(B1350:F1350)-C1350)*M1345),IF(SUM(B1346:F1350)&gt;(L1362*5),L1362*M1345,SUM(B1350:F1350)*M1345)),2)</f>
        <v>0</v>
      </c>
      <c r="N1350" s="76">
        <f>ROUND(IF(SUM(B1346:F1349)&lt;(L1362*4),IF((SUM(B1346:F1350))&gt;(L1362*5),(((L1362*5)-(SUM(B1346:F1350)-C1349))*N1345)+((SUM(B1350:F1350)-C1349)*N1345),SUM(B1350:F1350)*N1345),IF(SUM(B1346:F1350)&gt;(L1362*5),L1362*N1345,SUM(B1350:F1350)*N1345)),2)</f>
        <v>0</v>
      </c>
      <c r="O1350" s="23">
        <f>ROUND(SUM(B1350+C1350+F1350)*O1345,2)</f>
        <v>0</v>
      </c>
      <c r="P1350" s="27">
        <f t="shared" si="153"/>
        <v>0</v>
      </c>
    </row>
    <row r="1351" spans="1:16" s="1" customFormat="1" x14ac:dyDescent="0.2">
      <c r="A1351" s="100" t="str">
        <f>$A$31</f>
        <v>Jun 2022</v>
      </c>
      <c r="B1351" s="24">
        <f>ROUND(IF(N1331=0,0,IFERROR(((LOOKUP(2,1/(A1334:A1337=A1351),G1334:G1337))*N1331*4.348),B1350/N1331*N1331)),2)</f>
        <v>0</v>
      </c>
      <c r="C1351" s="23">
        <f>ROUND(IFERROR(((LOOKUP(2,1/(B1339=A1351),((SUM(B1352:B1354)+SUM(F1352:F1354))/3)*C1339))),0)+IFERROR(((LOOKUP(2,1/(E1339=A1351),(B1358+F1358)*F1339))),0),2)</f>
        <v>0</v>
      </c>
      <c r="D1351" s="23">
        <f>ROUND(IF(B1351=0,0,D1345/L1327*N1331),2)</f>
        <v>0</v>
      </c>
      <c r="E1351" s="23">
        <f>ROUND(IF(B1351=0,0,E1345/N1323*N1331),2)</f>
        <v>0</v>
      </c>
      <c r="F1351" s="24">
        <f>ROUND(IF(N1331=0,0,IFERROR(((LOOKUP(2,1/(A1334:A1337=A1351),H1334:H1337))/N1323*N1331),F1350/N1331*N1331)),2)</f>
        <v>0</v>
      </c>
      <c r="G1351" s="27">
        <f t="shared" si="152"/>
        <v>0</v>
      </c>
      <c r="H1351" s="76">
        <f>ROUND(IF(SUM(B1346:F1350)&lt;(L1361*5),IF((SUM(B1346:F1351))&gt;(L1361*6),(((L1361*6)-(SUM(B1346:F1351)-C1350))*H1345)+((SUM(B1351:F1351)-C1350)*H1345),SUM(B1351:F1351)*H1345),IF(SUM(B1346:F1351)&gt;(L1361*6),L1361*H1345,SUM(B1351:F1351)*H1345)),2)</f>
        <v>0</v>
      </c>
      <c r="I1351" s="76">
        <f>ROUND(IF(SUM(B1346:F1350)&lt;(L1362*5),IF((SUM(B1346:F1351))&gt;(L1362*6),(((L1362*6)-(SUM(B1346:F1351)-C1350))*I1345)+((SUM(B1351:F1351)-C1350)*I1345),SUM(B1351:F1351)*I1345),IF(SUM(B1346:F1351)&gt;(L1362*6),L1362*I1345,SUM(B1351:F1351)*I1345)),2)</f>
        <v>0</v>
      </c>
      <c r="J1351" s="76">
        <f>ROUND(IF(SUM(B1346:F1350)&lt;(L1362*5),IF((SUM(B1346:F1351))&gt;(L1362*6),(((L1362*6)-(SUM(B1346:F1351)-C1350))*J1345)+((SUM(B1351:F1351)-C1350)*J1345),SUM(B1351:F1351)*J1345),IF(SUM(B1346:F1351)&gt;(L1362*6),L1362*J1345,SUM(B1351:F1351)*J1345)),2)</f>
        <v>0</v>
      </c>
      <c r="K1351" s="76">
        <f>ROUND(IF(SUM(B1346:F1350)&lt;(L1361*5),IF((SUM(B1346:F1351))&gt;(L1361*6),(((L1361*6)-(SUM(B1346:F1351)-C1350))*K1345)+((SUM(B1351:F1351)-C1350)*K1345),SUM(B1351:F1351)*K1345),IF(SUM(B1346:F1351)&gt;(L1361*6),L1361*K1345,SUM(B1351:F1351)*K1345)),2)</f>
        <v>0</v>
      </c>
      <c r="L1351" s="76">
        <f>ROUND(IF(SUM(B1346:F1350)&lt;(L1362*5),IF((SUM(B1346:F1351))&gt;(L1362*6),(((L1362*6)-(SUM(B1346:F1351)-C1351))*L1345)+((SUM(B1351:F1351)-C1351)*L1345),(SUM(B1351:F1351)-C1351)*L1345),IF(SUM(B1346:F1351)&gt;(L1362*6),L1362*L1345,SUM(B1351:F1351)*L1345)),2)</f>
        <v>0</v>
      </c>
      <c r="M1351" s="76">
        <f>ROUND(IF(SUM(B1346:F1350)&lt;(L1362*5),IF((SUM(B1346:F1351))&gt;(L1362*6),(((L1362*6)-(SUM(B1346:F1351)-C1351))*M1345)+((SUM(B1351:F1351)-C1351)*M1345),(SUM(B1351:F1351)-C1351)*M1345),IF(SUM(B1346:F1351)&gt;(L1362*6),L1362*M1345,SUM(B1351:F1351)*M1345)),2)</f>
        <v>0</v>
      </c>
      <c r="N1351" s="76">
        <f>ROUND(IF(SUM(B1346:F1350)&lt;(L1362*5),IF((SUM(B1346:F1351))&gt;(L1362*6),(((L1362*6)-(SUM(B1346:F1351)-C1350))*N1345)+((SUM(B1351:F1351)-C1350)*N1345),SUM(B1351:F1351)*N1345),IF(SUM(B1346:F1351)&gt;(L1362*6),L1362*N1345,SUM(B1351:F1351)*N1345)),2)</f>
        <v>0</v>
      </c>
      <c r="O1351" s="23">
        <f>ROUND(SUM(B1351+C1351+F1351)*O1345,2)</f>
        <v>0</v>
      </c>
      <c r="P1351" s="27">
        <f t="shared" si="153"/>
        <v>0</v>
      </c>
    </row>
    <row r="1352" spans="1:16" s="1" customFormat="1" x14ac:dyDescent="0.2">
      <c r="A1352" s="100" t="str">
        <f>$A$32</f>
        <v>Jul 2022</v>
      </c>
      <c r="B1352" s="24">
        <f>ROUND(IF(P1326=0,0,IFERROR(((LOOKUP(2,1/(A1334:A1337=A1352),G1334:G1337))*P1326*4.348),B1351/P1326*P1326)),2)</f>
        <v>0</v>
      </c>
      <c r="C1352" s="23">
        <f>ROUND(IFERROR(((LOOKUP(2,1/(B1339=A1352),((SUM(B1352:B1354)+SUM(F1352:F1354))/3)*C1339))),0)+IFERROR(((LOOKUP(2,1/(E1339=A1352),(B1358+F1358)*F1339))),0),2)</f>
        <v>0</v>
      </c>
      <c r="D1352" s="23">
        <f>ROUND(IF(B1352=0,0,D1345/L1327*P1326),2)</f>
        <v>0</v>
      </c>
      <c r="E1352" s="23">
        <f>ROUND(IF(B1352=0,0,E1345/N1323*P1326),2)</f>
        <v>0</v>
      </c>
      <c r="F1352" s="24">
        <f>ROUND(IF(P1326=0,0,IFERROR(((LOOKUP(2,1/(A1334:A1337=A1352),H1334:H1337))/N1323*P1326),F1351/P1326*P1326)),2)</f>
        <v>0</v>
      </c>
      <c r="G1352" s="27">
        <f t="shared" si="152"/>
        <v>0</v>
      </c>
      <c r="H1352" s="76">
        <f>ROUND(IF(SUM(B1346:F1351)&lt;(L1361*6),IF((SUM(B1346:F1352))&gt;(L1361*7),(((L1361*7)-(SUM(B1346:F1352)-C1351))*H1345)+((SUM(B1352:F1352)-C1351)*H1345),SUM(B1352:F1352)*H1345),IF(SUM(B1346:F1352)&gt;(L1361*7),L1361*H1345,SUM(B1352:F1352)*H1345)),2)</f>
        <v>0</v>
      </c>
      <c r="I1352" s="76">
        <f>ROUND(IF(SUM(B1346:F1351)&lt;(L1362*6),IF((SUM(B1346:F1352))&gt;(L1362*7),(((L1362*7)-(SUM(B1346:F1352)-C1351))*I1345)+((SUM(B1352:F1352)-C1351)*I1345),SUM(B1352:F1352)*I1345),IF(SUM(B1346:F1352)&gt;(L1362*7),L1362*I1345,SUM(B1352:F1352)*I1345)),2)</f>
        <v>0</v>
      </c>
      <c r="J1352" s="76">
        <f>ROUND(IF(SUM(B1346:F1351)&lt;(L1362*6),IF((SUM(B1346:F1352))&gt;(L1362*7),(((L1362*7)-(SUM(B1346:F1352)-C1351))*J1345)+((SUM(B1352:F1352)-C1351)*J1345),SUM(B1352:F1352)*J1345),IF(SUM(B1346:F1352)&gt;(L1362*7),L1362*J1345,SUM(B1352:F1352)*J1345)),2)</f>
        <v>0</v>
      </c>
      <c r="K1352" s="76">
        <f>ROUND(IF(SUM(B1346:F1351)&lt;(L1361*6),IF((SUM(B1346:F1352))&gt;(L1361*7),(((L1361*7)-(SUM(B1346:F1352)-C1351))*K1345)+((SUM(B1352:F1352)-C1351)*K1345),SUM(B1352:F1352)*K1345),IF(SUM(B1346:F1352)&gt;(L1361*7),L1361*K1345,SUM(B1352:F1352)*K1345)),2)</f>
        <v>0</v>
      </c>
      <c r="L1352" s="76">
        <f>ROUND(IF(SUM(B1346:F1351)&lt;(L1362*6),IF((SUM(B1346:F1352))&gt;(L1362*7),(((L1362*7)-(SUM(B1346:F1352)-C1352))*L1345)+((SUM(B1352:F1352)-C1352)*L1345),(SUM(B1352:F1352)-C1352)*L1345),IF(SUM(B1346:F1352)&gt;(L1362*7),L1362*L1345,SUM(B1352:F1352)*L1345)),2)</f>
        <v>0</v>
      </c>
      <c r="M1352" s="76">
        <f>ROUND(IF(SUM(B1346:F1351)&lt;(L1362*6),IF((SUM(B1346:F1352))&gt;(L1362*7),(((L1362*7)-(SUM(B1346:F1352)-C1352))*M1345)+((SUM(B1352:F1352)-C1352)*M1345),(SUM(B1352:F1352)-C1352)*M1345),IF(SUM(B1346:F1352)&gt;(L1362*7),L1362*M1345,SUM(B1352:F1352)*M1345)),2)</f>
        <v>0</v>
      </c>
      <c r="N1352" s="76">
        <f>ROUND(IF(SUM(B1346:F1351)&lt;(L1362*6),IF((SUM(B1346:F1352))&gt;(L1362*7),(((L1362*7)-(SUM(B1346:F1352)-C1351))*N1345)+((SUM(B1352:F1352)-C1351)*N1345),SUM(B1352:F1352)*N1345),IF(SUM(B1346:F1352)&gt;(L1362*7),L1362*N1345,SUM(B1352:F1352)*N1345)),2)</f>
        <v>0</v>
      </c>
      <c r="O1352" s="23">
        <f>ROUND(SUM(B1352+C1352+F1352)*O1345,2)</f>
        <v>0</v>
      </c>
      <c r="P1352" s="27">
        <f t="shared" si="153"/>
        <v>0</v>
      </c>
    </row>
    <row r="1353" spans="1:16" s="1" customFormat="1" x14ac:dyDescent="0.2">
      <c r="A1353" s="100" t="str">
        <f>$A$33</f>
        <v>Aug 2022</v>
      </c>
      <c r="B1353" s="24">
        <f>ROUND(IF(P1327=0,0,IFERROR(((LOOKUP(2,1/(A1334:A1337=A1353),G1334:G1337))*P1327*4.348),B1352/P1327*P1327)),2)</f>
        <v>0</v>
      </c>
      <c r="C1353" s="23">
        <f>ROUND(IFERROR(((LOOKUP(2,1/(B1339=A1353),((SUM(B1352:B1354)+SUM(F1352:F1354))/3)*C1339))),0)+IFERROR(((LOOKUP(2,1/(E1339=A1353),(B1358+F1358)*F1339))),0),2)</f>
        <v>0</v>
      </c>
      <c r="D1353" s="23">
        <f>ROUND(IF(B1353=0,0,D1345/L1327*P1327),2)</f>
        <v>0</v>
      </c>
      <c r="E1353" s="23">
        <f>ROUND(IF(B1353=0,0,E1345/N1323*P1327),2)</f>
        <v>0</v>
      </c>
      <c r="F1353" s="24">
        <f>ROUND(IF(P1327=0,0,IFERROR(((LOOKUP(2,1/(A1334:A1337=A1353),H1334:H1337))/N1323*P1327),F1352/P1327*P1327)),2)</f>
        <v>0</v>
      </c>
      <c r="G1353" s="27">
        <f t="shared" si="152"/>
        <v>0</v>
      </c>
      <c r="H1353" s="76">
        <f>ROUND(IF(SUM(B1346:F1352)&lt;(L1361*7),IF((SUM(B1346:F1353))&gt;(L1361*8),(((L1361*8)-(SUM(B1346:F1353)-C1352))*H1345)+((SUM(B1353:F1353)-C1352)*H1345),SUM(B1353:F1353)*H1345),IF(SUM(B1346:F1353)&gt;(L1361*8),L1361*H1345,SUM(B1353:F1353)*H1345)),2)</f>
        <v>0</v>
      </c>
      <c r="I1353" s="76">
        <f>ROUND(IF(SUM(B1346:F1352)&lt;(L1362*7),IF((SUM(B1346:F1353))&gt;(L1362*8),(((L1362*8)-(SUM(B1346:F1353)-C1352))*I1345)+((SUM(B1353:F1353)-C1352)*I1345),SUM(B1353:F1353)*I1345),IF(SUM(B1346:F1353)&gt;(L1362*8),L1362*I1345,SUM(B1353:F1353)*I1345)),2)</f>
        <v>0</v>
      </c>
      <c r="J1353" s="76">
        <f>ROUND(IF(SUM(B1346:F1352)&lt;(L1362*7),IF((SUM(B1346:F1353))&gt;(L1362*8),(((L1362*8)-(SUM(B1346:F1353)-C1352))*J1345)+((SUM(B1353:F1353)-C1352)*J1345),SUM(B1353:F1353)*J1345),IF(SUM(B1346:F1353)&gt;(L1362*8),L1362*J1345,SUM(B1353:F1353)*J1345)),2)</f>
        <v>0</v>
      </c>
      <c r="K1353" s="76">
        <f>ROUND(IF(SUM(B1346:F1352)&lt;(L1361*7),IF((SUM(B1346:F1353))&gt;(L1361*8),(((L1361*8)-(SUM(B1346:F1353)-C1352))*K1345)+((SUM(B1353:F1353)-C1352)*K1345),SUM(B1353:F1353)*K1345),IF(SUM(B1346:F1353)&gt;(L1361*8),L1361*K1345,SUM(B1353:F1353)*K1345)),2)</f>
        <v>0</v>
      </c>
      <c r="L1353" s="76">
        <f>ROUND(IF(SUM(B1346:F1352)&lt;(L1362*7),IF((SUM(B1346:F1353))&gt;(L1362*8),(((L1362*8)-(SUM(B1346:F1353)-C1353))*L1345)+((SUM(B1353:F1353)-C1353)*L1345),(SUM(B1353:F1353)-C1353)*L1345),IF(SUM(B1346:F1353)&gt;(L1362*8),L1362*L1345,SUM(B1353:F1353)*L1345)),2)</f>
        <v>0</v>
      </c>
      <c r="M1353" s="76">
        <f>ROUND(IF(SUM(B1346:F1352)&lt;(L1362*7),IF((SUM(B1346:F1353))&gt;(L1362*8),(((L1362*8)-(SUM(B1346:F1353)-C1353))*M1345)+((SUM(B1353:F1353)-C1353)*M1345),(SUM(B1353:F1353)-C1353)*M1345),IF(SUM(B1346:F1353)&gt;(L1362*8),L1362*M1345,SUM(B1353:F1353)*M1345)),2)</f>
        <v>0</v>
      </c>
      <c r="N1353" s="76">
        <f>ROUND(IF(SUM(B1346:F1352)&lt;(L1362*7),IF((SUM(B1346:F1353))&gt;(L1362*8),(((L1362*8)-(SUM(B1346:F1353)-C1352))*N1345)+((SUM(B1353:F1353)-C1352)*N1345),SUM(B1353:F1353)*N1345),IF(SUM(B1346:F1353)&gt;(L1362*8),L1362*N1345,SUM(B1353:F1353)*N1345)),2)</f>
        <v>0</v>
      </c>
      <c r="O1353" s="23">
        <f>ROUND(SUM(B1353+C1353+F1353)*O1345,2)</f>
        <v>0</v>
      </c>
      <c r="P1353" s="27">
        <f t="shared" si="153"/>
        <v>0</v>
      </c>
    </row>
    <row r="1354" spans="1:16" s="1" customFormat="1" x14ac:dyDescent="0.2">
      <c r="A1354" s="100" t="str">
        <f>$A$34</f>
        <v>Sep 2022</v>
      </c>
      <c r="B1354" s="24">
        <f>ROUND(IF(P1328=0,0,IFERROR(((LOOKUP(2,1/(A1334:A1337=A1354),G1334:G1337))*P1328*4.348),B1353/P1328*P1328)),2)</f>
        <v>0</v>
      </c>
      <c r="C1354" s="23">
        <f>ROUND(IFERROR(((LOOKUP(2,1/(B1339=A1354),((SUM(B1352:B1354)+SUM(F1352:F1354))/3)*C1339))),0)+IFERROR(((LOOKUP(2,1/(E1339=A1354),(B1358+F1358)*F1339))),0),2)</f>
        <v>0</v>
      </c>
      <c r="D1354" s="23">
        <f>ROUND(IF(B1354=0,0,D1345/L1327*P1328),2)</f>
        <v>0</v>
      </c>
      <c r="E1354" s="23">
        <f>ROUND(IF(B1354=0,0,E1345/N1323*P1328),2)</f>
        <v>0</v>
      </c>
      <c r="F1354" s="24">
        <f>ROUND(IF(P1328=0,0,IFERROR(((LOOKUP(2,1/(A1334:A1337=A1354),H1334:H1337))/N1323*P1328),F1353/P1328*P1328)),2)</f>
        <v>0</v>
      </c>
      <c r="G1354" s="27">
        <f t="shared" si="152"/>
        <v>0</v>
      </c>
      <c r="H1354" s="76">
        <f>ROUND(IF(SUM(B1346:F1353)&lt;(L1361*8),IF((SUM(B1346:F1354))&gt;(L1361*9),(((L1361*9)-(SUM(B1346:F1354)-C1353))*H1345)+((SUM(B1354:F1354)-C1353)*H1345),SUM(B1354:F1354)*H1345),IF(SUM(B1346:F1354)&gt;(L1361*9),L1361*H1345,SUM(B1354:F1354)*H1345)),2)</f>
        <v>0</v>
      </c>
      <c r="I1354" s="76">
        <f>ROUND(IF(SUM(B1346:F1353)&lt;(L1362*8),IF((SUM(B1346:F1354))&gt;(L1362*9),(((L1362*9)-(SUM(B1346:F1354)-C1353))*I1345)+((SUM(B1354:F1354)-C1353)*I1345),SUM(B1354:F1354)*I1345),IF(SUM(B1346:F1354)&gt;(L1362*9),L1362*I1345,SUM(B1354:F1354)*I1345)),2)</f>
        <v>0</v>
      </c>
      <c r="J1354" s="76">
        <f>ROUND(IF(SUM(B1346:F1353)&lt;(L1362*8),IF((SUM(B1346:F1354))&gt;(L1362*9),(((L1362*9)-(SUM(B1346:F1354)-C1353))*J1345)+((SUM(B1354:F1354)-C1353)*J1345),SUM(B1354:F1354)*J1345),IF(SUM(B1346:F1354)&gt;(L1362*9),L1362*J1345,SUM(B1354:F1354)*J1345)),2)</f>
        <v>0</v>
      </c>
      <c r="K1354" s="76">
        <f>ROUND(IF(SUM(B1346:F1353)&lt;(L1361*8),IF((SUM(B1346:F1354))&gt;(L1361*9),(((L1361*9)-(SUM(B1346:F1354)-C1353))*K1345)+((SUM(B1354:F1354)-C1353)*K1345),SUM(B1354:F1354)*K1345),IF(SUM(B1346:F1354)&gt;(L1361*9),L1361*K1345,SUM(B1354:F1354)*K1345)),2)</f>
        <v>0</v>
      </c>
      <c r="L1354" s="76">
        <f>ROUND(IF(SUM(B1346:F1353)&lt;(L1362*8),IF((SUM(B1346:F1354))&gt;(L1362*9),(((L1362*9)-(SUM(B1346:F1354)-C1354))*L1345)+((SUM(B1354:F1354)-C1354)*L1345),(SUM(B1354:F1354)-C1354)*L1345),IF(SUM(B1346:F1354)&gt;(L1362*9),L1362*L1345,SUM(B1354:F1354)*L1345)),2)</f>
        <v>0</v>
      </c>
      <c r="M1354" s="76">
        <f>ROUND(IF(SUM(B1346:F1353)&lt;(L1362*8),IF((SUM(B1346:F1354))&gt;(L1362*9),(((L1362*9)-(SUM(B1346:F1354)-C1354))*M1345)+((SUM(B1354:F1354)-C1354)*M1345),(SUM(B1354:F1354)-C1354)*M1345),IF(SUM(B1346:F1354)&gt;(L1362*9),L1362*M1345,SUM(B1354:F1354)*M1345)),2)</f>
        <v>0</v>
      </c>
      <c r="N1354" s="76">
        <f>ROUND(IF(SUM(B1346:F1353)&lt;(L1362*8),IF((SUM(B1346:F1354))&gt;(L1362*9),(((L1362*9)-(SUM(B1346:F1354)-C1353))*N1345)+((SUM(B1354:F1354)-C1353)*N1345),SUM(B1354:F1354)*N1345),IF(SUM(B1346:F1354)&gt;(L1362*9),L1362*N1345,SUM(B1354:F1354)*N1345)),2)</f>
        <v>0</v>
      </c>
      <c r="O1354" s="23">
        <f>ROUND(SUM(B1354+C1354+F1354)*O1345,2)</f>
        <v>0</v>
      </c>
      <c r="P1354" s="27">
        <f t="shared" si="153"/>
        <v>0</v>
      </c>
    </row>
    <row r="1355" spans="1:16" s="1" customFormat="1" x14ac:dyDescent="0.2">
      <c r="A1355" s="100" t="str">
        <f>$A$35</f>
        <v>Okt 2022</v>
      </c>
      <c r="B1355" s="24">
        <f>ROUND(IF(P1329=0,0,IFERROR(((LOOKUP(2,1/(A1334:A1337=A1355),G1334:G1337))*P1329*4.348),B1354/P1329*P1329)),2)</f>
        <v>0</v>
      </c>
      <c r="C1355" s="23">
        <f>ROUND(IFERROR(((LOOKUP(2,1/(B1339=A1355),((SUM(B1352:B1354)+SUM(F1352:F1354))/3)*C1339))),0)+IFERROR(((LOOKUP(2,1/(E1339=A1355),(B1358+F1358)*F1339))),0),2)</f>
        <v>0</v>
      </c>
      <c r="D1355" s="23">
        <f>ROUND(IF(B1355=0,0,D1345/L1327*P1329),2)</f>
        <v>0</v>
      </c>
      <c r="E1355" s="23">
        <f>ROUND(IF(B1355=0,0,E1345/N1323*P1329),2)</f>
        <v>0</v>
      </c>
      <c r="F1355" s="24">
        <f>ROUND(IF(P1329=0,0,IFERROR(((LOOKUP(2,1/(A1334:A1337=A1355),H1334:H1337))/N1323*P1329),F1354/P1329*P1329)),2)</f>
        <v>0</v>
      </c>
      <c r="G1355" s="27">
        <f t="shared" si="152"/>
        <v>0</v>
      </c>
      <c r="H1355" s="76">
        <f>ROUND(IF(SUM(B1346:F1354)&lt;(L1361*9),IF((SUM(B1346:F1355))&gt;(L1361*10),(((L1361*10)-(SUM(B1346:F1355)-C1354))*H1345)+((SUM(B1355:F1355)-C1354)*H1345),SUM(B1355:F1355)*H1345),IF(SUM(B1346:F1355)&gt;(L1361*10),L1361*H1345,SUM(B1355:F1355)*H1345)),2)</f>
        <v>0</v>
      </c>
      <c r="I1355" s="76">
        <f>ROUND(IF(SUM(B1346:F1354)&lt;(L1362*9),IF((SUM(B1346:F1355))&gt;(L1362*10),(((L1362*10)-(SUM(B1346:F1355)-C1354))*I1345)+((SUM(B1355:F1355)-C1354)*I1345),SUM(B1355:F1355)*I1345),IF(SUM(B1346:F1355)&gt;(L1362*10),L1362*I1345,SUM(B1355:F1355)*I1345)),2)</f>
        <v>0</v>
      </c>
      <c r="J1355" s="76">
        <f>ROUND(IF(SUM(B1346:F1354)&lt;(L1362*9),IF((SUM(B1346:F1355))&gt;(L1362*10),(((L1362*10)-(SUM(B1346:F1355)-C1354))*J1345)+((SUM(B1355:F1355)-C1354)*J1345),SUM(B1355:F1355)*J1345),IF(SUM(B1346:F1355)&gt;(L1362*10),L1362*J1345,SUM(B1355:F1355)*J1345)),2)</f>
        <v>0</v>
      </c>
      <c r="K1355" s="76">
        <f>ROUND(IF(SUM(B1346:F1354)&lt;(L1361*9),IF((SUM(B1346:F1355))&gt;(L1361*10),(((L1361*10)-(SUM(B1346:F1355)-C1354))*K1345)+((SUM(B1355:F1355)-C1354)*K1345),SUM(B1355:F1355)*K1345),IF(SUM(B1346:F1355)&gt;(L1361*10),L1361*K1345,SUM(B1355:F1355)*K1345)),2)</f>
        <v>0</v>
      </c>
      <c r="L1355" s="76">
        <f>ROUND(IF(SUM(B1346:F1354)&lt;(L1362*9),IF((SUM(B1346:F1355))&gt;(L1362*10),(((L1362*10)-(SUM(B1346:F1355)-C1355))*L1345)+((SUM(B1355:F1355)-C1355)*L1345),(SUM(B1355:F1355)-C1355)*L1345),IF(SUM(B1346:F1355)&gt;(L1362*10),L1362*L1345,SUM(B1355:F1355)*L1345)),2)</f>
        <v>0</v>
      </c>
      <c r="M1355" s="76">
        <f>ROUND(IF(SUM(B1346:F1354)&lt;(L1362*9),IF((SUM(B1346:F1355))&gt;(L1362*10),(((L1362*10)-(SUM(B1346:F1355)-C1355))*M1345)+((SUM(B1355:F1355)-C1355)*M1345),(SUM(B1355:F1355)-C1355)*M1345),IF(SUM(B1346:F1355)&gt;(L1362*10),L1362*M1345,SUM(B1355:F1355)*M1345)),2)</f>
        <v>0</v>
      </c>
      <c r="N1355" s="76">
        <f>ROUND(IF(SUM(B1346:F1354)&lt;(L1362*9),IF((SUM(B1346:F1355))&gt;(L1362*10),(((L1362*10)-(SUM(B1346:F1355)-C1354))*N1345)+((SUM(B1355:F1355)-C1354)*N1345),SUM(B1355:F1355)*N1345),IF(SUM(B1346:F1355)&gt;(L1362*10),L1362*N1345,SUM(B1355:F1355)*N1345)),2)</f>
        <v>0</v>
      </c>
      <c r="O1355" s="23">
        <f>ROUND(SUM(B1355+C1355+F1355)*O1345,2)</f>
        <v>0</v>
      </c>
      <c r="P1355" s="27">
        <f t="shared" si="153"/>
        <v>0</v>
      </c>
    </row>
    <row r="1356" spans="1:16" s="1" customFormat="1" x14ac:dyDescent="0.2">
      <c r="A1356" s="100" t="str">
        <f>$A$36</f>
        <v>Nov 2022</v>
      </c>
      <c r="B1356" s="24">
        <f>ROUND(IF(P1330=0,0,IFERROR(((LOOKUP(2,1/(A1334:A1337=A1356),G1334:G1337))*P1330*4.348),B1355/P1330*P1330)),2)</f>
        <v>0</v>
      </c>
      <c r="C1356" s="23">
        <f>ROUND(IFERROR(((LOOKUP(2,1/(B1339=A1356),((SUM(B1352:B1354)+SUM(F1352:F1354))/3)*C1339))),0)+IFERROR(((LOOKUP(2,1/(E1339=A1356),(B1358+F1358)*F1339))),0),2)</f>
        <v>0</v>
      </c>
      <c r="D1356" s="23">
        <f>ROUND(IF(B1356=0,0,D1345/L1327*P1330),2)</f>
        <v>0</v>
      </c>
      <c r="E1356" s="23">
        <f>ROUND(IF(B1356=0,0,E1345/N1323*P1330),2)</f>
        <v>0</v>
      </c>
      <c r="F1356" s="24">
        <f>ROUND(IF(P1330=0,0,IFERROR(((LOOKUP(2,1/(A1334:A1337=A1356),H1334:H1337))/N1323*P1330),F1355/P1330*P1330)),2)</f>
        <v>0</v>
      </c>
      <c r="G1356" s="27">
        <f t="shared" si="152"/>
        <v>0</v>
      </c>
      <c r="H1356" s="76">
        <f>ROUND(IF(SUM(B1346:F1355)&lt;(L1361*10),IF((SUM(B1346:F1356))&gt;(L1361*11),(((L1361*11)-(SUM(B1346:F1356)-C1355))*H1345)+((SUM(B1356:F1356)-C1355)*H1345),SUM(B1356:F1356)*H1345),IF(SUM(B1346:F1356)&gt;(L1361*11),L1361*H1345,SUM(B1356:F1356)*H1345)),2)</f>
        <v>0</v>
      </c>
      <c r="I1356" s="76">
        <f>ROUND(IF(SUM(B1346:F1355)&lt;(L1362*10),IF((SUM(B1346:F1356))&gt;(L1362*11),(((L1362*11)-(SUM(B1346:F1356)-C1355))*I1345)+((SUM(B1356:F1356)-C1355)*I1345),SUM(B1356:F1356)*I1345),IF(SUM(B1346:F1356)&gt;(L1362*11),L1362*I1345,SUM(B1356:F1356)*I1345)),2)</f>
        <v>0</v>
      </c>
      <c r="J1356" s="76">
        <f>ROUND(IF(SUM(B1346:F1355)&lt;(L1362*10),IF((SUM(B1346:F1356))&gt;(L1362*11),(((L1362*11)-(SUM(B1346:F1356)-C1355))*J1345)+((SUM(B1356:F1356)-C1355)*J1345),SUM(B1356:F1356)*J1345),IF(SUM(B1346:F1356)&gt;(L1362*11),L1362*J1345,SUM(B1356:F1356)*J1345)),2)</f>
        <v>0</v>
      </c>
      <c r="K1356" s="76">
        <f>ROUND(IF(SUM(B1346:F1355)&lt;(L1361*10),IF((SUM(B1346:F1356))&gt;(L1361*11),(((L1361*11)-(SUM(B1346:F1356)-C1355))*K1345)+((SUM(B1356:F1356)-C1355)*K1345),SUM(B1356:F1356)*K1345),IF(SUM(B1346:F1356)&gt;(L1361*11),L1361*K1345,SUM(B1356:F1356)*K1345)),2)</f>
        <v>0</v>
      </c>
      <c r="L1356" s="76">
        <f>ROUND(IF(SUM(B1346:F1355)&lt;(L1362*10),IF((SUM(B1346:F1356))&gt;(L1362*11),(((L1362*11)-(SUM(B1346:F1356)-C1356))*L1345)+((SUM(B1356:F1356)-C1356)*L1345),(SUM(B1356:F1356)-C1356)*L1345),IF(SUM(B1346:F1356)&gt;(L1362*11),L1362*L1345,SUM(B1356:F1356)*L1345)),2)</f>
        <v>0</v>
      </c>
      <c r="M1356" s="76">
        <f>ROUND(IF(SUM(B1346:F1355)&lt;(L1362*10),IF((SUM(B1346:F1356))&gt;(L1362*11),(((L1362*11)-(SUM(B1346:F1356)-C1356))*M1345)+((SUM(B1356:F1356)-C1356)*M1345),(SUM(B1356:F1356)-C1356)*M1345),IF(SUM(B1346:F1356)&gt;(L1362*11),L1362*M1345,SUM(B1356:F1356)*M1345)),2)</f>
        <v>0</v>
      </c>
      <c r="N1356" s="76">
        <f>ROUND(IF(SUM(B1346:F1355)&lt;(L1362*10),IF((SUM(B1346:F1356))&gt;(L1362*11),(((L1362*11)-(SUM(B1346:F1356)-C1355))*N1345)+((SUM(B1356:F1356)-C1355)*N1345),SUM(B1356:F1356)*N1345),IF(SUM(B1346:F1356)&gt;(L1362*11),L1362*N1345,SUM(B1356:F1356)*N1345)),2)</f>
        <v>0</v>
      </c>
      <c r="O1356" s="23">
        <f>ROUND(SUM(B1356+C1356+F1356)*O1345,2)</f>
        <v>0</v>
      </c>
      <c r="P1356" s="27">
        <f t="shared" si="153"/>
        <v>0</v>
      </c>
    </row>
    <row r="1357" spans="1:16" s="1" customFormat="1" x14ac:dyDescent="0.2">
      <c r="A1357" s="100" t="str">
        <f>$A$37</f>
        <v>Dez 2022</v>
      </c>
      <c r="B1357" s="24">
        <f>ROUND(IF(P1331=0,0,IFERROR(((LOOKUP(2,1/(A1334:A1337=A1357),G1334:G1337))*P1331*4.348),B1356/P1331*P1331)),2)</f>
        <v>0</v>
      </c>
      <c r="C1357" s="23">
        <f>ROUND(IFERROR(((LOOKUP(2,1/(B1339=A1357),((SUM(B1352:B1354)+SUM(F1352:F1354))/3)*C1339))),0)+IFERROR(((LOOKUP(2,1/(E1339=A1357),(B1358+F1358)*F1339))),0),2)</f>
        <v>0</v>
      </c>
      <c r="D1357" s="23">
        <f>ROUND(IF(B1357=0,0,D1345/L1327*P1331),2)</f>
        <v>0</v>
      </c>
      <c r="E1357" s="23">
        <f>ROUND(IF(B1357=0,0,E1345/N1323*P1331),2)</f>
        <v>0</v>
      </c>
      <c r="F1357" s="24">
        <f>ROUND(IF(P1331=0,0,IFERROR(((LOOKUP(2,1/(A1334:A1337=A1357),H1334:H1337))/N1323*P1331),F1356/P1331*P1331)),2)</f>
        <v>0</v>
      </c>
      <c r="G1357" s="27">
        <f t="shared" si="152"/>
        <v>0</v>
      </c>
      <c r="H1357" s="76">
        <f>ROUND(IF(SUM(B1346:F1356)&lt;(L1361*11),IF((SUM(B1346:F1357))&gt;(L1361*12),(((L1361*12)-(SUM(B1346:F1357)-C1356))*H1345)+((SUM(B1357:F1357)-C1356)*H1345),SUM(B1357:F1357)*H1345),IF(SUM(B1346:F1357)&gt;(L1361*12),L1361*H1345,SUM(B1357:F1357)*H1345)),2)</f>
        <v>0</v>
      </c>
      <c r="I1357" s="76">
        <f>ROUND(IF(SUM(B1346:F1356)&lt;(L1362*11),IF((SUM(B1346:F1357))&gt;(L1362*12),(((L1362*12)-(SUM(B1346:F1357)-C1356))*I1345)+((SUM(B1357:F1357)-C1356)*I1345),SUM(B1357:F1357)*I1345),IF(SUM(B1346:F1357)&gt;(L1362*12),L1362*I1345,SUM(B1357:F1357)*I1345)),2)</f>
        <v>0</v>
      </c>
      <c r="J1357" s="76">
        <f>ROUND(IF(SUM(B1346:F1356)&lt;(L1362*11),IF((SUM(B1346:F1357))&gt;(L1362*12),(((L1362*12)-(SUM(B1346:F1357)-C1356))*J1345)+((SUM(B1357:F1357)-C1356)*J1345),SUM(B1357:F1357)*J1345),IF(SUM(B1346:F1357)&gt;(L1362*12),L1362*J1345,SUM(B1357:F1357)*J1345)),2)</f>
        <v>0</v>
      </c>
      <c r="K1357" s="76">
        <f>ROUND(IF(SUM(B1346:F1356)&lt;(L1361*11),IF((SUM(B1346:F1357))&gt;(L1361*12),(((L1361*12)-(SUM(B1346:F1357)-C1356))*K1345)+((SUM(B1357:F1357)-C1356)*K1345),SUM(B1357:F1357)*K1345),IF(SUM(B1346:F1357)&gt;(L1361*12),L1361*K1345,SUM(B1357:F1357)*K1345)),2)</f>
        <v>0</v>
      </c>
      <c r="L1357" s="76">
        <f>ROUND(IF(SUM(B1346:F1356)&lt;(L1362*11),IF((SUM(B1346:F1357))&gt;(L1362*12),(((L1362*12)-(SUM(B1346:F1357)-C1357))*L1345)+((SUM(B1357:F1357)-C1357)*L1345),(SUM(B1357:F1357)-C1357)*L1345),IF(SUM(B1346:F1357)&gt;(L1362*12),L1362*L1345,SUM(B1357:F1357)*L1345)),2)</f>
        <v>0</v>
      </c>
      <c r="M1357" s="76">
        <f>ROUND(IF(SUM(B1346:F1356)&lt;(L1362*11),IF((SUM(B1346:F1357))&gt;(L1362*12),(((L1362*12)-(SUM(B1346:F1357)-C1357))*M1345)+((SUM(B1357:F1357)-C1357)*M1345),(SUM(B1357:F1357)-C1357)*M1345),IF(SUM(B1346:F1357)&gt;(L1362*12),L1362*M1345,SUM(B1357:F1357)*M1345)),2)</f>
        <v>0</v>
      </c>
      <c r="N1357" s="76">
        <f>ROUND(IF(SUM(B1346:F1356)&lt;(L1362*11),IF((SUM(B1346:F1357))&gt;(L1362*12),(((L1362*12)-(SUM(B1346:F1357)-C1356))*N1345)+((SUM(B1357:F1357)-C1356)*N1345),SUM(B1357:F1357)*N1345),IF(SUM(B1346:F1357)&gt;(L1362*12),L1362*N1345,SUM(B1357:F1357)*N1345)),2)</f>
        <v>0</v>
      </c>
      <c r="O1357" s="23">
        <f>ROUND(SUM(B1357+C1357+F1357)*O1345,2)</f>
        <v>0</v>
      </c>
      <c r="P1357" s="27">
        <f t="shared" si="153"/>
        <v>0</v>
      </c>
    </row>
    <row r="1358" spans="1:16" s="14" customFormat="1" ht="15" x14ac:dyDescent="0.25">
      <c r="A1358" s="4" t="s">
        <v>2</v>
      </c>
      <c r="B1358" s="27">
        <f>SUM(B1346:B1357)</f>
        <v>0</v>
      </c>
      <c r="C1358" s="27">
        <f t="shared" ref="C1358:D1358" si="154">SUM(C1346:C1357)</f>
        <v>0</v>
      </c>
      <c r="D1358" s="27">
        <f t="shared" si="154"/>
        <v>0</v>
      </c>
      <c r="E1358" s="27">
        <f>SUM(E1346:E1357)</f>
        <v>0</v>
      </c>
      <c r="F1358" s="27">
        <f>SUM(F1346:F1357)</f>
        <v>0</v>
      </c>
      <c r="G1358" s="27">
        <f>SUM(G1346:G1357)</f>
        <v>0</v>
      </c>
      <c r="H1358" s="1133">
        <f>SUM(H1346:N1357)</f>
        <v>0</v>
      </c>
      <c r="I1358" s="1134"/>
      <c r="J1358" s="1134"/>
      <c r="K1358" s="1134"/>
      <c r="L1358" s="1134"/>
      <c r="M1358" s="1134"/>
      <c r="N1358" s="1135"/>
      <c r="O1358" s="27">
        <f>SUM(O1346:O1357)</f>
        <v>0</v>
      </c>
      <c r="P1358" s="27">
        <f>SUM(P1346:P1357)</f>
        <v>0</v>
      </c>
    </row>
    <row r="1359" spans="1:16" s="13" customFormat="1" ht="11.25" x14ac:dyDescent="0.2">
      <c r="A1359" s="3" t="s">
        <v>1</v>
      </c>
      <c r="B1359" s="2"/>
      <c r="C1359" s="2"/>
      <c r="D1359" s="2"/>
      <c r="E1359" s="2"/>
      <c r="F1359" s="2"/>
      <c r="G1359" s="2"/>
      <c r="H1359" s="2"/>
      <c r="I1359" s="2"/>
      <c r="J1359" s="2"/>
      <c r="K1359" s="2"/>
      <c r="L1359" s="2"/>
      <c r="M1359" s="2"/>
      <c r="N1359" s="2"/>
      <c r="O1359" s="2"/>
      <c r="P1359" s="2"/>
    </row>
    <row r="1360" spans="1:16" s="1" customFormat="1" ht="14.25" customHeight="1" x14ac:dyDescent="0.2">
      <c r="A1360" s="1136" t="s">
        <v>133</v>
      </c>
      <c r="B1360" s="1137"/>
      <c r="C1360" s="1137"/>
      <c r="D1360" s="1137" t="s">
        <v>134</v>
      </c>
      <c r="E1360" s="1137"/>
      <c r="F1360" s="94" t="str">
        <f>IF(IF(G1358=0,"",'päd.Personal - Leitung'!$F$40)=0,"",IF(G1358=0,"",'päd.Personal - Leitung'!$F$40))</f>
        <v/>
      </c>
      <c r="G1360" s="77" t="s">
        <v>135</v>
      </c>
      <c r="H1360" s="96" t="str">
        <f>IF(IF(G1358=0,"",'päd.Personal - Leitung'!$H$40)=0,"",IF(G1358=0,"",'päd.Personal - Leitung'!$H$40))</f>
        <v/>
      </c>
      <c r="I1360" s="73"/>
      <c r="J1360" s="194" t="s">
        <v>160</v>
      </c>
      <c r="K1360" s="194" t="str">
        <f>$K$40</f>
        <v>2021</v>
      </c>
      <c r="L1360" s="194" t="str">
        <f>$L$40</f>
        <v>anteilig 2021</v>
      </c>
      <c r="M1360" s="1138" t="s">
        <v>140</v>
      </c>
      <c r="N1360" s="1138"/>
      <c r="O1360" s="1139"/>
      <c r="P1360" s="27">
        <f>ROUND(IF(F1360="",IF(E1364="",0,(E1364*H1364/K1364)/L1327*L1328),G1358*F1360*H1360/1000),2)</f>
        <v>0</v>
      </c>
    </row>
    <row r="1361" spans="1:16" s="1" customFormat="1" ht="15" customHeight="1" x14ac:dyDescent="0.2">
      <c r="A1361" s="1140" t="s">
        <v>145</v>
      </c>
      <c r="B1361" s="1141"/>
      <c r="C1361" s="1141"/>
      <c r="D1361" s="18"/>
      <c r="E1361" s="107" t="s">
        <v>135</v>
      </c>
      <c r="F1361" s="95" t="str">
        <f>IF(IF(G1358=0,"",'päd.Personal - Leitung'!$F$41)=0,"",IF(G1358=0,"",'päd.Personal - Leitung'!$F$41))</f>
        <v/>
      </c>
      <c r="G1361" s="48"/>
      <c r="H1361" s="47"/>
      <c r="I1361" s="48"/>
      <c r="J1361" s="195" t="s">
        <v>158</v>
      </c>
      <c r="K1361" s="198">
        <f>$K$41</f>
        <v>4837.5</v>
      </c>
      <c r="L1361" s="197">
        <f>IF(L1327="",K1361,K1361/L1327*L1328)</f>
        <v>4837.5</v>
      </c>
      <c r="M1361" s="1138" t="s">
        <v>139</v>
      </c>
      <c r="N1361" s="1138"/>
      <c r="O1361" s="1139"/>
      <c r="P1361" s="27">
        <f>ROUND(IF(F1361="",0,G1358*F1361/1000),2)</f>
        <v>0</v>
      </c>
    </row>
    <row r="1362" spans="1:16" s="1" customFormat="1" ht="15.75" customHeight="1" x14ac:dyDescent="0.2">
      <c r="A1362" s="1142" t="s">
        <v>141</v>
      </c>
      <c r="B1362" s="1143"/>
      <c r="C1362" s="1143"/>
      <c r="D1362" s="1144" t="s">
        <v>143</v>
      </c>
      <c r="E1362" s="1144"/>
      <c r="F1362" s="1145" t="str">
        <f>IF(IF(G1358=0,"",'päd.Personal - Leitung'!$F$42)=0,"",IF(G1358=0,"",'päd.Personal - Leitung'!$F$42))</f>
        <v/>
      </c>
      <c r="G1362" s="1145"/>
      <c r="H1362" s="72"/>
      <c r="I1362" s="18"/>
      <c r="J1362" s="195" t="s">
        <v>159</v>
      </c>
      <c r="K1362" s="197">
        <f>$K$42</f>
        <v>6700</v>
      </c>
      <c r="L1362" s="197">
        <f>IF(L1327="",K1362,K1362/L1327*L1328)</f>
        <v>6700</v>
      </c>
      <c r="M1362" s="1138" t="s">
        <v>141</v>
      </c>
      <c r="N1362" s="1138"/>
      <c r="O1362" s="1139"/>
      <c r="P1362" s="23">
        <f>ROUND(IF(F1362="",0,IF(G1358=0,0,F1362/L1327*L1328)),2)</f>
        <v>0</v>
      </c>
    </row>
    <row r="1363" spans="1:16" s="1" customFormat="1" ht="14.25" customHeight="1" x14ac:dyDescent="0.2">
      <c r="A1363" s="18"/>
      <c r="B1363" s="18"/>
      <c r="C1363" s="18"/>
      <c r="D1363" s="18"/>
      <c r="E1363" s="18"/>
      <c r="F1363" s="18"/>
      <c r="G1363" s="18"/>
      <c r="H1363" s="18"/>
      <c r="I1363" s="18"/>
      <c r="J1363" s="18"/>
      <c r="K1363" s="74"/>
      <c r="L1363" s="82"/>
      <c r="M1363" s="1127" t="s">
        <v>146</v>
      </c>
      <c r="N1363" s="1127"/>
      <c r="O1363" s="1128"/>
      <c r="P1363" s="23">
        <f>ROUND(IF(G1358=0,0,$P$87),2)</f>
        <v>0</v>
      </c>
    </row>
    <row r="1364" spans="1:16" s="1" customFormat="1" ht="14.25" customHeight="1" x14ac:dyDescent="0.2">
      <c r="A1364" s="1129" t="s">
        <v>142</v>
      </c>
      <c r="B1364" s="1130"/>
      <c r="C1364" s="126" t="s">
        <v>136</v>
      </c>
      <c r="D1364" s="179" t="s">
        <v>137</v>
      </c>
      <c r="E1364" s="1131" t="str">
        <f>IF(IF(G1358=0,"",'päd.Personal - Leitung'!$E$44)=0,"",IF(G1358=0,"",'päd.Personal - Leitung'!$E$44))</f>
        <v/>
      </c>
      <c r="F1364" s="1131"/>
      <c r="G1364" s="83" t="s">
        <v>138</v>
      </c>
      <c r="H1364" s="97" t="str">
        <f>IF(IF(G1358=0,"",'päd.Personal - Leitung'!$H$44)=0,"",IF(G1358=0,"",'päd.Personal - Leitung'!$H$44))</f>
        <v/>
      </c>
      <c r="I1364" s="1132" t="s">
        <v>144</v>
      </c>
      <c r="J1364" s="1132"/>
      <c r="K1364" s="98" t="str">
        <f>IF(IF(G1358=0,"",'päd.Personal - Leitung'!$K$44)=0,"",IF(G1358=0,"",'päd.Personal - Leitung'!$K$44))</f>
        <v/>
      </c>
      <c r="L1364" s="29"/>
      <c r="M1364" s="29"/>
      <c r="N1364" s="29"/>
      <c r="O1364" s="28" t="s">
        <v>0</v>
      </c>
      <c r="P1364" s="27">
        <f>P1358+SUM(P1360:P1363)</f>
        <v>0</v>
      </c>
    </row>
    <row r="1365" spans="1:16" s="12" customFormat="1" ht="13.5" customHeight="1" x14ac:dyDescent="0.2">
      <c r="A1365" s="1178" t="s">
        <v>18</v>
      </c>
      <c r="B1365" s="1178"/>
      <c r="C1365" s="1178"/>
      <c r="D1365" s="1179" t="str">
        <f>IF($D$1="","",$D$1)</f>
        <v/>
      </c>
      <c r="E1365" s="1179"/>
      <c r="F1365" s="1179"/>
      <c r="G1365" s="1179"/>
      <c r="H1365" s="1179"/>
      <c r="I1365" s="1179"/>
      <c r="J1365" s="1179"/>
      <c r="K1365" s="1179"/>
      <c r="L1365" s="1179"/>
      <c r="M1365" s="1179"/>
      <c r="N1365" s="1179"/>
    </row>
    <row r="1366" spans="1:16" s="12" customFormat="1" ht="15" customHeight="1" x14ac:dyDescent="0.2">
      <c r="A1366" s="1178" t="s">
        <v>17</v>
      </c>
      <c r="B1366" s="1178"/>
      <c r="C1366" s="1178" t="s">
        <v>15</v>
      </c>
      <c r="D1366" s="1179" t="str">
        <f>IF($D$2="","",$D$2)</f>
        <v/>
      </c>
      <c r="E1366" s="1179"/>
      <c r="F1366" s="1179"/>
      <c r="G1366" s="1179"/>
      <c r="H1366" s="1179"/>
      <c r="I1366" s="1179"/>
      <c r="J1366" s="1179"/>
      <c r="K1366" s="1179"/>
      <c r="L1366" s="1179"/>
      <c r="M1366" s="1179"/>
      <c r="N1366" s="1179"/>
    </row>
    <row r="1367" spans="1:16" s="12" customFormat="1" ht="15" customHeight="1" x14ac:dyDescent="0.2">
      <c r="A1367" s="1178" t="s">
        <v>16</v>
      </c>
      <c r="B1367" s="1178"/>
      <c r="C1367" s="1178" t="s">
        <v>15</v>
      </c>
      <c r="D1367" s="1179" t="str">
        <f>IF($D$3="","",$D$3)</f>
        <v/>
      </c>
      <c r="E1367" s="1179"/>
      <c r="F1367" s="1179"/>
      <c r="G1367" s="1179"/>
      <c r="H1367" s="1179"/>
      <c r="I1367" s="1179"/>
      <c r="J1367" s="1179"/>
      <c r="K1367" s="1178" t="s">
        <v>103</v>
      </c>
      <c r="L1367" s="1178"/>
      <c r="M1367" s="1178"/>
      <c r="N1367" s="41" t="str">
        <f>IF($N$3="","",$N$3)</f>
        <v/>
      </c>
    </row>
    <row r="1368" spans="1:16" s="13" customFormat="1" ht="11.25" x14ac:dyDescent="0.2">
      <c r="A1368" s="1182"/>
      <c r="B1368" s="1182"/>
      <c r="C1368" s="1182"/>
      <c r="D1368" s="1183"/>
      <c r="E1368" s="1183"/>
      <c r="F1368" s="1183"/>
      <c r="G1368" s="1183"/>
      <c r="H1368" s="1183"/>
      <c r="I1368" s="1183"/>
      <c r="J1368" s="1183"/>
      <c r="K1368" s="11"/>
      <c r="L1368" s="11"/>
      <c r="M1368" s="11"/>
      <c r="N1368" s="11"/>
      <c r="O1368" s="11"/>
      <c r="P1368" s="11"/>
    </row>
    <row r="1369" spans="1:16" s="15" customFormat="1" ht="13.5" customHeight="1" x14ac:dyDescent="0.2">
      <c r="A1369" s="1177" t="s">
        <v>166</v>
      </c>
      <c r="B1369" s="1177"/>
      <c r="C1369" s="1177"/>
      <c r="D1369" s="1177"/>
      <c r="E1369" s="1177"/>
      <c r="F1369" s="1177"/>
      <c r="G1369" s="1177"/>
      <c r="H1369" s="1177"/>
      <c r="I1369" s="1177"/>
      <c r="J1369" s="1177"/>
      <c r="K1369" s="9"/>
      <c r="L1369" s="9"/>
      <c r="M1369" s="9"/>
      <c r="N1369" s="59" t="s">
        <v>154</v>
      </c>
      <c r="O1369" s="191">
        <f>$O$5</f>
        <v>2022</v>
      </c>
      <c r="P1369" s="59" t="s">
        <v>154</v>
      </c>
    </row>
    <row r="1370" spans="1:16" s="10" customFormat="1" ht="13.5" customHeight="1" x14ac:dyDescent="0.25">
      <c r="B1370" s="32"/>
      <c r="C1370" s="32"/>
      <c r="D1370" s="5" t="s">
        <v>214</v>
      </c>
      <c r="E1370" s="31"/>
      <c r="F1370" s="31"/>
      <c r="G1370" s="31"/>
      <c r="H1370" s="31"/>
      <c r="I1370" s="26"/>
      <c r="J1370" s="1174" t="s">
        <v>14</v>
      </c>
      <c r="K1370" s="1174"/>
      <c r="L1370" s="180"/>
      <c r="N1370" s="84">
        <f>IF(L1372="","",L1372)</f>
        <v>0</v>
      </c>
      <c r="O1370" s="58" t="str">
        <f>$O$6</f>
        <v>Jan                Jul</v>
      </c>
      <c r="P1370" s="85">
        <f>IF(N1375="","",N1375)</f>
        <v>0</v>
      </c>
    </row>
    <row r="1371" spans="1:16" s="7" customFormat="1" ht="13.5" customHeight="1" x14ac:dyDescent="0.25">
      <c r="A1371" s="1180" t="s">
        <v>71</v>
      </c>
      <c r="B1371" s="1180"/>
      <c r="C1371" s="1180"/>
      <c r="D1371" s="1184"/>
      <c r="E1371" s="1184"/>
      <c r="F1371" s="1184"/>
      <c r="G1371" s="1184"/>
      <c r="H1371" s="1184"/>
      <c r="I1371" s="1184"/>
      <c r="J1371" s="1174" t="s">
        <v>104</v>
      </c>
      <c r="K1371" s="1174"/>
      <c r="L1371" s="145"/>
      <c r="N1371" s="85">
        <f>IF(N1370="","",N1370)</f>
        <v>0</v>
      </c>
      <c r="O1371" s="58" t="str">
        <f>$O$7</f>
        <v>Feb              Aug</v>
      </c>
      <c r="P1371" s="85">
        <f>IF(P1370="","",P1370)</f>
        <v>0</v>
      </c>
    </row>
    <row r="1372" spans="1:16" s="1" customFormat="1" ht="13.5" customHeight="1" x14ac:dyDescent="0.2">
      <c r="A1372" s="1180" t="s">
        <v>13</v>
      </c>
      <c r="B1372" s="1180"/>
      <c r="C1372" s="1180"/>
      <c r="D1372" s="1181"/>
      <c r="E1372" s="1181"/>
      <c r="F1372" s="1181"/>
      <c r="G1372" s="1181"/>
      <c r="H1372" s="1181"/>
      <c r="I1372" s="1181"/>
      <c r="J1372" s="1174" t="s">
        <v>164</v>
      </c>
      <c r="K1372" s="1174"/>
      <c r="L1372" s="145">
        <f>IF((L1373+L1374)&gt;L1371,0,L1371-L1373-L1374)</f>
        <v>0</v>
      </c>
      <c r="N1372" s="85">
        <f>IF(N1371="","",N1371)</f>
        <v>0</v>
      </c>
      <c r="O1372" s="58" t="str">
        <f>$O$8</f>
        <v>Mrz              Sep</v>
      </c>
      <c r="P1372" s="85">
        <f>IF(P1371="","",P1371)</f>
        <v>0</v>
      </c>
    </row>
    <row r="1373" spans="1:16" s="1" customFormat="1" ht="13.5" customHeight="1" x14ac:dyDescent="0.2">
      <c r="A1373" s="1180" t="s">
        <v>12</v>
      </c>
      <c r="B1373" s="1180"/>
      <c r="C1373" s="1180"/>
      <c r="D1373" s="1181"/>
      <c r="E1373" s="1181"/>
      <c r="F1373" s="1181"/>
      <c r="G1373" s="1181"/>
      <c r="H1373" s="1181"/>
      <c r="I1373" s="1181"/>
      <c r="J1373" s="1174" t="s">
        <v>165</v>
      </c>
      <c r="K1373" s="1174"/>
      <c r="L1373" s="145"/>
      <c r="N1373" s="85">
        <f>IF(N1372="","",N1372)</f>
        <v>0</v>
      </c>
      <c r="O1373" s="58" t="str">
        <f>$O$9</f>
        <v>Apr               Okt</v>
      </c>
      <c r="P1373" s="85">
        <f t="shared" ref="P1373:P1375" si="155">IF(P1372="","",P1372)</f>
        <v>0</v>
      </c>
    </row>
    <row r="1374" spans="1:16" s="1" customFormat="1" ht="13.5" customHeight="1" x14ac:dyDescent="0.2">
      <c r="A1374" s="1180" t="s">
        <v>19</v>
      </c>
      <c r="B1374" s="1180"/>
      <c r="C1374" s="1180"/>
      <c r="D1374" s="1181"/>
      <c r="E1374" s="1181"/>
      <c r="F1374" s="1181"/>
      <c r="G1374" s="1181"/>
      <c r="H1374" s="1181"/>
      <c r="I1374" s="1181"/>
      <c r="J1374" s="1174" t="s">
        <v>252</v>
      </c>
      <c r="K1374" s="1174"/>
      <c r="L1374" s="145"/>
      <c r="M1374" s="92"/>
      <c r="N1374" s="85">
        <f>IF(N1373="","",N1373)</f>
        <v>0</v>
      </c>
      <c r="O1374" s="58" t="str">
        <f>$O$10</f>
        <v>Mai               Nov</v>
      </c>
      <c r="P1374" s="85">
        <f t="shared" si="155"/>
        <v>0</v>
      </c>
    </row>
    <row r="1375" spans="1:16" s="1" customFormat="1" ht="13.5" customHeight="1" x14ac:dyDescent="0.2">
      <c r="B1375" s="8"/>
      <c r="C1375" s="121" t="s">
        <v>162</v>
      </c>
      <c r="D1375" s="1175"/>
      <c r="E1375" s="1175"/>
      <c r="F1375" s="1176" t="s">
        <v>106</v>
      </c>
      <c r="G1375" s="1176"/>
      <c r="H1375" s="1186"/>
      <c r="I1375" s="1186"/>
      <c r="J1375" s="1174" t="s">
        <v>97</v>
      </c>
      <c r="K1375" s="1174"/>
      <c r="L1375" s="17" t="str">
        <f>IF(IF((COUNTIF(B1390:B1401,"&gt;0"))=0,0,(COUNTIF(B1390:B1401,"&gt;0")))&gt;Grundlagen!$C$24,Grundlagen!$C$24,IF((COUNTIF(B1390:B1401,"&gt;0"))=0,"",(COUNTIF(B1390:B1401,"&gt;0"))))</f>
        <v/>
      </c>
      <c r="N1375" s="85">
        <f>IF(N1374="","",N1374)</f>
        <v>0</v>
      </c>
      <c r="O1375" s="58" t="str">
        <f>'päd.Personal - Leitung'!$O$11</f>
        <v>Jun               Dez</v>
      </c>
      <c r="P1375" s="85">
        <f t="shared" si="155"/>
        <v>0</v>
      </c>
    </row>
    <row r="1376" spans="1:16" s="1" customFormat="1" ht="13.5" customHeight="1" x14ac:dyDescent="0.2">
      <c r="I1376" s="6"/>
      <c r="L1376" s="147" t="str">
        <f>IF((SUM(F1378:F1381))=0,"",IF(P1376&gt;L1372,L1372,IF(L1372="","",IF(L1375="","",P1376))))</f>
        <v/>
      </c>
      <c r="O1376" s="174" t="s">
        <v>251</v>
      </c>
      <c r="P1376" s="175">
        <f>IF(L1375="",0,((IF(SUMIF(B1390,"&gt;0"),N1370,0))+(IF(SUMIF(B1391,"&gt;0"),N1371,0))+(IF(SUMIF(B1392,"&gt;0"),N1372,0))+(IF(SUMIF(B1393,"&gt;0"),N1373,0))+(IF(SUMIF(B1394,"&gt;0"),N1374,0))+(IF(SUMIF(B1395,"&gt;0"),N1375,0))+(IF(SUMIF(B1396,"&gt;0"),P1370,0))+(IF(SUMIF(B1397,"&gt;0"),P1371,0))+(IF(SUMIF(B1398,"&gt;0"),P1372,0))+(IF(SUMIF(B1399,"&gt;0"),P1373,0))+(IF(SUMIF(B1400,"&gt;0"),P1374,0))+(IF(SUMIF(B1401,"&gt;0"),P1375,0)))/Grundlagen!$C$24)</f>
        <v>0</v>
      </c>
    </row>
    <row r="1377" spans="1:16" s="52" customFormat="1" ht="13.5" customHeight="1" x14ac:dyDescent="0.2">
      <c r="A1377" s="61" t="s">
        <v>148</v>
      </c>
      <c r="B1377" s="1168" t="s">
        <v>149</v>
      </c>
      <c r="C1377" s="1168"/>
      <c r="D1377" s="62" t="s">
        <v>150</v>
      </c>
      <c r="E1377" s="63" t="s">
        <v>151</v>
      </c>
      <c r="F1377" s="64" t="str">
        <f>CONCATENATE("Entg. ",N1367," h/Wo")</f>
        <v>Entg.  h/Wo</v>
      </c>
      <c r="G1377" s="65" t="s">
        <v>152</v>
      </c>
      <c r="H1377" s="65" t="s">
        <v>153</v>
      </c>
      <c r="K1377" s="1169" t="str">
        <f>CONCATENATE("Zuschläge / Zulagen für ",N1367,"h/Wo")</f>
        <v>Zuschläge / Zulagen für h/Wo</v>
      </c>
      <c r="L1377" s="1169"/>
      <c r="M1377" s="66" t="str">
        <f>IF(A1378="","",A1378)</f>
        <v>Jan 2022</v>
      </c>
      <c r="N1377" s="66" t="str">
        <f>IF(A1379="","",A1379)</f>
        <v/>
      </c>
      <c r="O1377" s="66" t="str">
        <f>IF(A1380="","",A1380)</f>
        <v/>
      </c>
      <c r="P1377" s="66" t="str">
        <f>IF(A1381="","",A1381)</f>
        <v/>
      </c>
    </row>
    <row r="1378" spans="1:16" s="52" customFormat="1" ht="13.5" customHeight="1" x14ac:dyDescent="0.25">
      <c r="A1378" s="54" t="str">
        <f>A1390</f>
        <v>Jan 2022</v>
      </c>
      <c r="B1378" s="1170" t="str">
        <f>IF($D$3="","",$D$3)</f>
        <v/>
      </c>
      <c r="C1378" s="1171"/>
      <c r="D1378" s="181"/>
      <c r="E1378" s="181"/>
      <c r="F1378" s="87"/>
      <c r="G1378" s="56">
        <f>IF(N1367="",0,F1378/N1367/4.348)</f>
        <v>0</v>
      </c>
      <c r="H1378" s="53">
        <f>IF(G1378=0,0,M1383)</f>
        <v>0</v>
      </c>
      <c r="K1378" s="1146"/>
      <c r="L1378" s="1146"/>
      <c r="M1378" s="172"/>
      <c r="N1378" s="172"/>
      <c r="O1378" s="172"/>
      <c r="P1378" s="172"/>
    </row>
    <row r="1379" spans="1:16" s="52" customFormat="1" ht="13.5" customHeight="1" x14ac:dyDescent="0.25">
      <c r="A1379" s="55"/>
      <c r="B1379" s="1172" t="str">
        <f>IF(A1379="","",B1378)</f>
        <v/>
      </c>
      <c r="C1379" s="1173"/>
      <c r="D1379" s="181"/>
      <c r="E1379" s="181"/>
      <c r="F1379" s="87"/>
      <c r="G1379" s="56">
        <f>IF(N1367="",0,F1379/N1367/4.348)</f>
        <v>0</v>
      </c>
      <c r="H1379" s="53">
        <f>IF(G1379=0,0,N1383)</f>
        <v>0</v>
      </c>
      <c r="K1379" s="1146"/>
      <c r="L1379" s="1146"/>
      <c r="M1379" s="172"/>
      <c r="N1379" s="172"/>
      <c r="O1379" s="172"/>
      <c r="P1379" s="172"/>
    </row>
    <row r="1380" spans="1:16" s="52" customFormat="1" ht="13.5" customHeight="1" x14ac:dyDescent="0.25">
      <c r="A1380" s="55"/>
      <c r="B1380" s="1172" t="str">
        <f>IF(A1380="","",B1379)</f>
        <v/>
      </c>
      <c r="C1380" s="1173"/>
      <c r="D1380" s="181"/>
      <c r="E1380" s="181"/>
      <c r="F1380" s="87"/>
      <c r="G1380" s="56">
        <f>IF(N1367="",0,F1380/N1367/4.348)</f>
        <v>0</v>
      </c>
      <c r="H1380" s="53">
        <f>IF(G1380=0,0,O1383)</f>
        <v>0</v>
      </c>
      <c r="K1380" s="1146"/>
      <c r="L1380" s="1146"/>
      <c r="M1380" s="172"/>
      <c r="N1380" s="172"/>
      <c r="O1380" s="172"/>
      <c r="P1380" s="172"/>
    </row>
    <row r="1381" spans="1:16" s="52" customFormat="1" ht="13.5" customHeight="1" x14ac:dyDescent="0.25">
      <c r="A1381" s="55"/>
      <c r="B1381" s="1172" t="str">
        <f>IF(A1381="","",B1380)</f>
        <v/>
      </c>
      <c r="C1381" s="1173"/>
      <c r="D1381" s="181"/>
      <c r="E1381" s="181"/>
      <c r="F1381" s="87"/>
      <c r="G1381" s="56">
        <f>IF(N1367="",0,F1381/N1367/4.348)</f>
        <v>0</v>
      </c>
      <c r="H1381" s="53">
        <f>IF(G1381=0,0,P1383)</f>
        <v>0</v>
      </c>
      <c r="K1381" s="1146"/>
      <c r="L1381" s="1146"/>
      <c r="M1381" s="172"/>
      <c r="N1381" s="172"/>
      <c r="O1381" s="172"/>
      <c r="P1381" s="172"/>
    </row>
    <row r="1382" spans="1:16" s="52" customFormat="1" ht="13.5" customHeight="1" x14ac:dyDescent="0.25">
      <c r="B1382" s="1167" t="s">
        <v>157</v>
      </c>
      <c r="C1382" s="1167"/>
      <c r="E1382" s="1167" t="s">
        <v>156</v>
      </c>
      <c r="F1382" s="1167"/>
      <c r="J1382" s="69"/>
      <c r="K1382" s="1146"/>
      <c r="L1382" s="1146"/>
      <c r="M1382" s="172"/>
      <c r="N1382" s="172"/>
      <c r="O1382" s="172"/>
      <c r="P1382" s="172"/>
    </row>
    <row r="1383" spans="1:16" s="52" customFormat="1" ht="13.5" customHeight="1" x14ac:dyDescent="0.25">
      <c r="A1383" s="70" t="s">
        <v>167</v>
      </c>
      <c r="B1383" s="67"/>
      <c r="C1383" s="99" t="str">
        <f>IF(C1339="","",C1339)</f>
        <v/>
      </c>
      <c r="D1383" s="70" t="s">
        <v>167</v>
      </c>
      <c r="E1383" s="67"/>
      <c r="F1383" s="99" t="str">
        <f>IF(F1339="","",F1339)</f>
        <v/>
      </c>
      <c r="J1383" s="68"/>
      <c r="M1383" s="173">
        <f>SUM(M1378:M1382)</f>
        <v>0</v>
      </c>
      <c r="N1383" s="173">
        <f t="shared" ref="N1383:P1383" si="156">SUM(N1378:N1382)</f>
        <v>0</v>
      </c>
      <c r="O1383" s="173">
        <f t="shared" si="156"/>
        <v>0</v>
      </c>
      <c r="P1383" s="173">
        <f t="shared" si="156"/>
        <v>0</v>
      </c>
    </row>
    <row r="1384" spans="1:16" s="52" customFormat="1" ht="13.5" customHeight="1" x14ac:dyDescent="0.2">
      <c r="A1384" s="60" t="s">
        <v>155</v>
      </c>
    </row>
    <row r="1385" spans="1:16" s="1" customFormat="1" ht="14.25" customHeight="1" x14ac:dyDescent="0.2">
      <c r="A1385" s="1147"/>
      <c r="B1385" s="1149" t="s">
        <v>9</v>
      </c>
      <c r="C1385" s="1150"/>
      <c r="D1385" s="1150"/>
      <c r="E1385" s="1150"/>
      <c r="F1385" s="1150"/>
      <c r="G1385" s="1151"/>
      <c r="H1385" s="1152" t="s">
        <v>119</v>
      </c>
      <c r="I1385" s="1153"/>
      <c r="J1385" s="1153"/>
      <c r="K1385" s="1153"/>
      <c r="L1385" s="1153"/>
      <c r="M1385" s="1153"/>
      <c r="N1385" s="1153"/>
      <c r="O1385" s="33"/>
      <c r="P1385" s="1154" t="s">
        <v>0</v>
      </c>
    </row>
    <row r="1386" spans="1:16" s="1" customFormat="1" ht="14.25" customHeight="1" x14ac:dyDescent="0.2">
      <c r="A1386" s="1148"/>
      <c r="B1386" s="1157" t="s">
        <v>117</v>
      </c>
      <c r="C1386" s="124" t="s">
        <v>115</v>
      </c>
      <c r="D1386" s="1159" t="s">
        <v>277</v>
      </c>
      <c r="E1386" s="1161" t="s">
        <v>147</v>
      </c>
      <c r="F1386" s="127" t="s">
        <v>7</v>
      </c>
      <c r="G1386" s="1162" t="s">
        <v>6</v>
      </c>
      <c r="H1386" s="1161" t="s">
        <v>129</v>
      </c>
      <c r="I1386" s="1161" t="s">
        <v>5</v>
      </c>
      <c r="J1386" s="1161" t="s">
        <v>4</v>
      </c>
      <c r="K1386" s="1161" t="s">
        <v>3</v>
      </c>
      <c r="L1386" s="1161" t="s">
        <v>121</v>
      </c>
      <c r="M1386" s="1161" t="s">
        <v>122</v>
      </c>
      <c r="N1386" s="1161" t="s">
        <v>123</v>
      </c>
      <c r="O1386" s="1160" t="s">
        <v>114</v>
      </c>
      <c r="P1386" s="1155"/>
    </row>
    <row r="1387" spans="1:16" s="1" customFormat="1" ht="14.25" customHeight="1" x14ac:dyDescent="0.2">
      <c r="A1387" s="1148"/>
      <c r="B1387" s="1157"/>
      <c r="C1387" s="21" t="str">
        <f>IF(C1383="","",C1383)</f>
        <v/>
      </c>
      <c r="D1387" s="1160"/>
      <c r="E1387" s="1161"/>
      <c r="F1387" s="1165" t="str">
        <f>IF(H1378=0,"","siehe Zuschläge / Zulagen")</f>
        <v/>
      </c>
      <c r="G1387" s="1162"/>
      <c r="H1387" s="1164" t="s">
        <v>127</v>
      </c>
      <c r="I1387" s="1164"/>
      <c r="J1387" s="1164"/>
      <c r="K1387" s="1164"/>
      <c r="L1387" s="1164"/>
      <c r="M1387" s="1164"/>
      <c r="N1387" s="1164"/>
      <c r="O1387" s="1160"/>
      <c r="P1387" s="1155"/>
    </row>
    <row r="1388" spans="1:16" s="1" customFormat="1" x14ac:dyDescent="0.2">
      <c r="A1388" s="1148"/>
      <c r="B1388" s="1157"/>
      <c r="C1388" s="122" t="s">
        <v>70</v>
      </c>
      <c r="D1388" s="1160"/>
      <c r="E1388" s="1161"/>
      <c r="F1388" s="1165"/>
      <c r="G1388" s="1162"/>
      <c r="H1388" s="43" t="s">
        <v>128</v>
      </c>
      <c r="I1388" s="43" t="s">
        <v>255</v>
      </c>
      <c r="J1388" s="43" t="s">
        <v>256</v>
      </c>
      <c r="K1388" s="43" t="s">
        <v>257</v>
      </c>
      <c r="L1388" s="43"/>
      <c r="M1388" s="43"/>
      <c r="N1388" s="43" t="s">
        <v>254</v>
      </c>
      <c r="O1388" s="1160"/>
      <c r="P1388" s="1155"/>
    </row>
    <row r="1389" spans="1:16" s="1" customFormat="1" x14ac:dyDescent="0.2">
      <c r="A1389" s="1148"/>
      <c r="B1389" s="1158"/>
      <c r="C1389" s="21" t="str">
        <f>IF(F1383="","",F1383)</f>
        <v/>
      </c>
      <c r="D1389" s="51"/>
      <c r="E1389" s="51"/>
      <c r="F1389" s="1166"/>
      <c r="G1389" s="1163"/>
      <c r="H1389" s="93"/>
      <c r="I1389" s="139">
        <f>$I$69</f>
        <v>0</v>
      </c>
      <c r="J1389" s="139">
        <f>$J$69</f>
        <v>0</v>
      </c>
      <c r="K1389" s="44">
        <f>$K$69</f>
        <v>0</v>
      </c>
      <c r="L1389" s="21"/>
      <c r="M1389" s="21"/>
      <c r="N1389" s="139">
        <f>$N$69</f>
        <v>0</v>
      </c>
      <c r="O1389" s="21">
        <f>O1345</f>
        <v>0</v>
      </c>
      <c r="P1389" s="1156"/>
    </row>
    <row r="1390" spans="1:16" s="1" customFormat="1" x14ac:dyDescent="0.2">
      <c r="A1390" s="100" t="str">
        <f>$A$26</f>
        <v>Jan 2022</v>
      </c>
      <c r="B1390" s="24">
        <f>ROUND(IF(N1370=0,0,(LOOKUP(2,1/(A1378:A1381=A1390),G1378:G1381))*N1370*4.348),2)</f>
        <v>0</v>
      </c>
      <c r="C1390" s="23">
        <f>ROUND(IFERROR(((LOOKUP(2,1/(B1383=A1390),((SUM(B1396:B1398)+SUM(F1396:F1398))/3)*C1383))),0)+IFERROR(((LOOKUP(2,1/(E1383=A1390),(B1402+F1402)*F1383))),0),2)</f>
        <v>0</v>
      </c>
      <c r="D1390" s="23">
        <f>ROUND(IF(B1390=0,0,D1389/L1371*N1370),2)</f>
        <v>0</v>
      </c>
      <c r="E1390" s="23">
        <f>ROUND(IF(B1390=0,0,E1389/N1367*N1370),2)</f>
        <v>0</v>
      </c>
      <c r="F1390" s="24">
        <f>ROUND(IF(N1370=0,0,(LOOKUP(2,1/(A1378:A1381=A1390),H1378:H1381))/N1367*N1370),2)</f>
        <v>0</v>
      </c>
      <c r="G1390" s="27">
        <f>SUM(B1390+C1390+E1390+F1390)</f>
        <v>0</v>
      </c>
      <c r="H1390" s="76">
        <f>ROUND(IF((SUM(B1390:F1390))&gt;L1405,L1405*H1389,SUM(B1390:F1390)*H1389),2)</f>
        <v>0</v>
      </c>
      <c r="I1390" s="76">
        <f>ROUND(IF((SUM(B1390:F1390))&gt;L1406,L1406*I1389,SUM(B1390:F1390)*I1389),2)</f>
        <v>0</v>
      </c>
      <c r="J1390" s="76">
        <f>ROUND(IF((SUM(B1390:F1390))&gt;L1406,L1406*J1389,SUM(B1390:F1390)*J1389),2)</f>
        <v>0</v>
      </c>
      <c r="K1390" s="76">
        <f>ROUND(IF((SUM(B1390:F1390))&gt;L1405,L1405*K1389,SUM(B1390:F1390)*K1389),2)</f>
        <v>0</v>
      </c>
      <c r="L1390" s="76">
        <f>ROUND(IF((SUM(B1390:F1390))&gt;L1406,L1406*L1389,(SUM(B1390:F1390)-C1390)*L1389),2)</f>
        <v>0</v>
      </c>
      <c r="M1390" s="76">
        <f>ROUND(IF((SUM(B1390:F1390))&gt;L1406,L1406*M1389,(SUM(B1390:F1390)-C1390)*M1389),2)</f>
        <v>0</v>
      </c>
      <c r="N1390" s="76">
        <f>ROUND(IF((SUM(B1390:F1390))&gt;L1406,L1406*N1389,SUM(B1390:F1390)*N1389),2)</f>
        <v>0</v>
      </c>
      <c r="O1390" s="23">
        <f>ROUND(SUM(B1390+C1390+F1390)*O1389,2)</f>
        <v>0</v>
      </c>
      <c r="P1390" s="27">
        <f>SUM(G1390:O1390)</f>
        <v>0</v>
      </c>
    </row>
    <row r="1391" spans="1:16" s="1" customFormat="1" x14ac:dyDescent="0.2">
      <c r="A1391" s="100" t="str">
        <f>$A$27</f>
        <v>Feb 2022</v>
      </c>
      <c r="B1391" s="24">
        <f>ROUND(IF(N1371=0,0,IFERROR(((LOOKUP(2,1/(A1378:A1381=A1391),G1378:G1381))*N1371*4.348),B1390/N1371*N1371)),2)</f>
        <v>0</v>
      </c>
      <c r="C1391" s="23">
        <f>ROUND(IFERROR(((LOOKUP(2,1/(B1383=A1391),((SUM(B1396:B1398)+SUM(F1396:F1398))/3)*C1383))),0)+IFERROR(((LOOKUP(2,1/(E1383=A1391),(B1402+F1402)*F1383))),0),2)</f>
        <v>0</v>
      </c>
      <c r="D1391" s="23">
        <f>ROUND(IF(B1391=0,0,D1389/L1371*N1371),2)</f>
        <v>0</v>
      </c>
      <c r="E1391" s="23">
        <f>ROUND(IF(B1391=0,0,E1389/N1367*N1371),2)</f>
        <v>0</v>
      </c>
      <c r="F1391" s="24">
        <f>ROUND(IF(N1371=0,0,IFERROR(((LOOKUP(2,1/(A1378:A1381=A1391),H1378:H1381))/N1367*N1371),F1390/N1371*N1371)),2)</f>
        <v>0</v>
      </c>
      <c r="G1391" s="27">
        <f t="shared" ref="G1391:G1401" si="157">SUM(B1391+C1391+E1391+F1391)</f>
        <v>0</v>
      </c>
      <c r="H1391" s="76">
        <f>ROUND(IF(SUM(B1390:F1390)&lt;(L1405*1),IF((SUM(B1390:F1391))&gt;(L1405*2),(((L1405*2)-(SUM(B1390:F1391)-C1390))*H1389)+((SUM(B1391:F1391)-C1390)*H1389),SUM(B1391:F1391)*H1389),IF(SUM(B1390:F1391)&gt;(L1405*2),L1405*H1389,SUM(B1391:F1391)*H1389)),2)</f>
        <v>0</v>
      </c>
      <c r="I1391" s="76">
        <f>ROUND(IF(SUM(B1390:F1390)&lt;(L1406*1),IF((SUM(B1390:F1391))&gt;(L1406*2),(((L1406*2)-(SUM(B1390:F1391)-C1390))*I1389)+((SUM(B1391:F1391)-C1390)*I1389),SUM(B1391:F1391)*I1389),IF(SUM(B1390:F1391)&gt;(L1406*2),L1406*I1389,SUM(B1391:F1391)*I1389)),2)</f>
        <v>0</v>
      </c>
      <c r="J1391" s="76">
        <f>ROUND(IF(SUM(B1390:F1390)&lt;(L1406*1),IF((SUM(B1390:F1391))&gt;(L1406*2),(((L1406*2)-(SUM(B1390:F1391)-C1390))*J1389)+((SUM(B1391:F1391)-C1390)*J1389),SUM(B1391:F1391)*J1389),IF(SUM(B1390:F1391)&gt;(L1406*2),L1406*J1389,SUM(B1391:F1391)*J1389)),2)</f>
        <v>0</v>
      </c>
      <c r="K1391" s="76">
        <f>ROUND(IF(SUM(B1390:F1390)&lt;(L1405*1),IF((SUM(B1390:F1391))&gt;(L1405*2),(((L1405*2)-(SUM(B1390:F1391)-C1390))*K1389)+((SUM(B1391:F1391)-C1390)*K1389),SUM(B1391:F1391)*K1389),IF(SUM(B1390:F1391)&gt;(L1405*2),L1405*K1389,SUM(B1391:F1391)*K1389)),2)</f>
        <v>0</v>
      </c>
      <c r="L1391" s="76">
        <f>ROUND(IF(SUM(B1390:F1390)&lt;(L1406*1),IF((SUM(B1390:F1391))&gt;(L1406*2),(((L1406*2)-(SUM(B1390:F1391)-C1391))*L1389)+((SUM(B1391:F1391)-C1391)*L1389),(SUM(B1391:F1391)-C1391)*L1389),IF(SUM(B1390:F1391)&gt;(L1406*2),L1406*L1389,SUM(B1391:F1391)*L1389)),2)</f>
        <v>0</v>
      </c>
      <c r="M1391" s="76">
        <f>ROUND(IF(SUM(B1390:F1390)&lt;(L1406*1),IF((SUM(B1390:F1391))&gt;(L1406*2),(((L1406*2)-(SUM(B1390:F1391)-C1391))*M1389)+((SUM(B1391:F1391)-C1391)*M1389),(SUM(B1391:F1391)-C1391)*M1389),IF(SUM(B1390:F1391)&gt;(L1406*2),L1406*M1389,SUM(B1391:F1391)*M1389)),2)</f>
        <v>0</v>
      </c>
      <c r="N1391" s="76">
        <f>ROUND(IF(SUM(B1390:F1390)&lt;(L1406*1),IF((SUM(B1390:F1391))&gt;(L1406*2),(((L1406*2)-(SUM(B1390:F1391)-C1390))*N1389)+((SUM(B1391:F1391)-C1390)*N1389),SUM(B1391:F1391)*N1389),IF(SUM(B1390:F1391)&gt;(L1406*2),L1406*N1389,SUM(B1391:F1391)*N1389)),2)</f>
        <v>0</v>
      </c>
      <c r="O1391" s="23">
        <f>ROUND(SUM(B1391+C1391+F1391)*O1389,2)</f>
        <v>0</v>
      </c>
      <c r="P1391" s="27">
        <f>SUM(G1391:O1391)</f>
        <v>0</v>
      </c>
    </row>
    <row r="1392" spans="1:16" s="1" customFormat="1" x14ac:dyDescent="0.2">
      <c r="A1392" s="100" t="str">
        <f>$A$28</f>
        <v>Mrz 2022</v>
      </c>
      <c r="B1392" s="24">
        <f>ROUND(IF(N1372=0,0,IFERROR(((LOOKUP(2,1/(A1378:A1381=A1392),G1378:G1381))*N1372*4.348),B1391/N1372*N1372)),2)</f>
        <v>0</v>
      </c>
      <c r="C1392" s="23">
        <f>ROUND(IFERROR(((LOOKUP(2,1/(B1383=A1392),((SUM(B1396:B1398)+SUM(F1396:F1398))/3)*C1383))),0)+IFERROR(((LOOKUP(2,1/(E1383=A1392),(B1402+F1402)*F1383))),0),2)</f>
        <v>0</v>
      </c>
      <c r="D1392" s="23">
        <f>ROUND(IF(B1392=0,0,D1389/L1371*N1372),2)</f>
        <v>0</v>
      </c>
      <c r="E1392" s="23">
        <f>ROUND(IF(B1392=0,0,E1389/N1367*N1372),2)</f>
        <v>0</v>
      </c>
      <c r="F1392" s="24">
        <f>ROUND(IF(N1372=0,0,IFERROR(((LOOKUP(2,1/(A1378:A1381=A1392),H1378:H1381))/N1367*N1372),F1391/N1372*N1372)),2)</f>
        <v>0</v>
      </c>
      <c r="G1392" s="27">
        <f t="shared" si="157"/>
        <v>0</v>
      </c>
      <c r="H1392" s="76">
        <f>ROUND(IF(SUM(B1390:F1391)&lt;(L1405*2),IF((SUM(B1390:F1392))&gt;(L1405*3),(((L1405*3)-(SUM(B1390:F1392)-C1391))*H1389)+((SUM(B1392:F1392)-C1391)*H1389),SUM(B1392:F1392)*H1389),IF(SUM(B1390:F1392)&gt;(L1405*3),L1405*H1389,SUM(B1392:F1392)*H1389)),2)</f>
        <v>0</v>
      </c>
      <c r="I1392" s="76">
        <f>ROUND(IF(SUM(B1390:F1391)&lt;(L1406*2),IF((SUM(B1390:F1392))&gt;(L1406*3),(((L1406*3)-(SUM(B1390:F1392)-C1391))*I1389)+((SUM(B1392:F1392)-C1391)*I1389),SUM(B1392:F1392)*I1389),IF(SUM(B1390:F1392)&gt;(L1406*3),L1406*I1389,SUM(B1392:F1392)*I1389)),2)</f>
        <v>0</v>
      </c>
      <c r="J1392" s="76">
        <f>ROUND(IF(SUM(B1390:F1391)&lt;(L1406*2),IF((SUM(B1390:F1392))&gt;(L1406*3),(((L1406*3)-(SUM(B1390:F1392)-C1391))*J1389)+((SUM(B1392:F1392)-C1391)*J1389),SUM(B1392:F1392)*J1389),IF(SUM(B1390:F1392)&gt;(L1406*3),L1406*J1389,SUM(B1392:F1392)*J1389)),2)</f>
        <v>0</v>
      </c>
      <c r="K1392" s="76">
        <f>ROUND(IF(SUM(B1390:F1391)&lt;(L1405*2),IF((SUM(B1390:F1392))&gt;(L1405*3),(((L1405*3)-(SUM(B1390:F1392)-C1391))*K1389)+((SUM(B1392:F1392)-C1391)*K1389),SUM(B1392:F1392)*K1389),IF(SUM(B1390:F1392)&gt;(L1405*3),L1405*K1389,SUM(B1392:F1392)*K1389)),2)</f>
        <v>0</v>
      </c>
      <c r="L1392" s="76">
        <f>ROUND(IF(SUM(B1390:F1391)&lt;(L1406*2),IF((SUM(B1390:F1392))&gt;(L1406*3),(((L1406*3)-(SUM(B1390:F1392)-C1392))*L1389)+((SUM(B1392:F1392)-C1392)*L1389),(SUM(B1392:F1392)-C1392)*L1389),IF(SUM(B1390:F1392)&gt;(L1406*3),L1406*L1389,SUM(B1392:F1392)*L1389)),2)</f>
        <v>0</v>
      </c>
      <c r="M1392" s="76">
        <f>ROUND(IF(SUM(B1390:F1391)&lt;(L1406*2),IF((SUM(B1390:F1392))&gt;(L1406*3),(((L1406*3)-(SUM(B1390:F1392)-C1392))*M1389)+((SUM(B1392:F1392)-C1392)*M1389),(SUM(B1392:F1392)-C1392)*M1389),IF(SUM(B1390:F1392)&gt;(L1406*3),L1406*M1389,SUM(B1392:F1392)*M1389)),2)</f>
        <v>0</v>
      </c>
      <c r="N1392" s="76">
        <f>ROUND(IF(SUM(B1390:F1391)&lt;(L1406*2),IF((SUM(B1390:F1392))&gt;(L1406*3),(((L1406*3)-(SUM(B1390:F1392)-C1391))*N1389)+((SUM(B1392:F1392)-C1391)*N1389),SUM(B1392:F1392)*N1389),IF(SUM(B1390:F1392)&gt;(L1406*3),L1406*N1389,SUM(B1392:F1392)*N1389)),2)</f>
        <v>0</v>
      </c>
      <c r="O1392" s="23">
        <f>ROUND(SUM(B1392+C1392+F1392)*O1389,2)</f>
        <v>0</v>
      </c>
      <c r="P1392" s="27">
        <f t="shared" ref="P1392:P1401" si="158">SUM(G1392:O1392)</f>
        <v>0</v>
      </c>
    </row>
    <row r="1393" spans="1:16" s="1" customFormat="1" x14ac:dyDescent="0.2">
      <c r="A1393" s="100" t="str">
        <f>$A$29</f>
        <v>Apr 2022</v>
      </c>
      <c r="B1393" s="24">
        <f>ROUND(IF(N1373=0,0,IFERROR(((LOOKUP(2,1/(A1378:A1381=A1393),G1378:G1381))*N1373*4.348),B1392/N1373*N1373)),2)</f>
        <v>0</v>
      </c>
      <c r="C1393" s="23">
        <f>ROUND(IFERROR(((LOOKUP(2,1/(B1383=A1393),((SUM(B1396:B1398)+SUM(F1396:F1398))/3)*C1383))),0)+IFERROR(((LOOKUP(2,1/(E1383=A1393),(B1402+F1402)*F1383))),0),2)</f>
        <v>0</v>
      </c>
      <c r="D1393" s="23">
        <f>ROUND(IF(B1393=0,0,D1389/L1371*N1373),2)</f>
        <v>0</v>
      </c>
      <c r="E1393" s="23">
        <f>ROUND(IF(B1393=0,0,E1389/N1367*N1373),2)</f>
        <v>0</v>
      </c>
      <c r="F1393" s="24">
        <f>ROUND(IF(N1373=0,0,IFERROR(((LOOKUP(2,1/(A1378:A1381=A1393),H1378:H1381))/N1367*N1373),F1392/N1373*N1373)),2)</f>
        <v>0</v>
      </c>
      <c r="G1393" s="27">
        <f t="shared" si="157"/>
        <v>0</v>
      </c>
      <c r="H1393" s="76">
        <f>ROUND(IF(SUM(B1390:F1392)&lt;(L1405*3),IF((SUM(B1390:F1393))&gt;(L1405*4),(((L1405*4)-(SUM(B1390:F1393)-C1392))*H1389)+((SUM(B1393:F1393)-C1392)*H1389),SUM(B1393:F1393)*H1389),IF(SUM(B1390:F1393)&gt;(L1405*4),L1405*H1389,SUM(B1393:F1393)*H1389)),2)</f>
        <v>0</v>
      </c>
      <c r="I1393" s="76">
        <f>ROUND(IF(SUM(B1390:F1392)&lt;(L1406*3),IF((SUM(B1390:F1393))&gt;(L1406*4),(((L1406*4)-(SUM(B1390:F1393)-C1392))*I1389)+((SUM(B1393:F1393)-C1392)*I1389),SUM(B1393:F1393)*I1389),IF(SUM(B1390:F1393)&gt;(L1406*4),L1406*I1389,SUM(B1393:F1393)*I1389)),2)</f>
        <v>0</v>
      </c>
      <c r="J1393" s="76">
        <f>ROUND(IF(SUM(B1390:F1392)&lt;(L1406*3),IF((SUM(B1390:F1393))&gt;(L1406*4),(((L1406*4)-(SUM(B1390:F1393)-C1392))*J1389)+((SUM(B1393:F1393)-C1392)*J1389),SUM(B1393:F1393)*J1389),IF(SUM(B1390:F1393)&gt;(L1406*4),L1406*J1389,SUM(B1393:F1393)*J1389)),2)</f>
        <v>0</v>
      </c>
      <c r="K1393" s="76">
        <f>ROUND(IF(SUM(B1390:F1392)&lt;(L1405*3),IF((SUM(B1390:F1393))&gt;(L1405*4),(((L1405*4)-(SUM(B1390:F1393)-C1392))*K1389)+((SUM(B1393:F1393)-C1392)*K1389),SUM(B1393:F1393)*K1389),IF(SUM(B1390:F1393)&gt;(L1405*4),L1405*K1389,SUM(B1393:F1393)*K1389)),2)</f>
        <v>0</v>
      </c>
      <c r="L1393" s="76">
        <f>ROUND(IF(SUM(B1390:F1392)&lt;(L1406*3),IF((SUM(B1390:F1393))&gt;(L1406*4),(((L1406*4)-(SUM(B1390:F1393)-C1393))*L1389)+((SUM(B1393:F1393)-C1393)*L1389),(SUM(B1393:F1393)-C1393)*L1389),IF(SUM(B1390:F1393)&gt;(L1406*4),L1406*L1389,SUM(B1393:F1393)*L1389)),2)</f>
        <v>0</v>
      </c>
      <c r="M1393" s="76">
        <f>ROUND(IF(SUM(B1390:F1392)&lt;(L1406*3),IF((SUM(B1390:F1393))&gt;(L1406*4),(((L1406*4)-(SUM(B1390:F1393)-C1393))*M1389)+((SUM(B1393:F1393)-C1393)*M1389),(SUM(B1393:F1393)-C1393)*M1389),IF(SUM(B1390:F1393)&gt;(L1406*4),L1406*M1389,SUM(B1393:F1393)*M1389)),2)</f>
        <v>0</v>
      </c>
      <c r="N1393" s="76">
        <f>ROUND(IF(SUM(B1390:F1392)&lt;(L1406*3),IF((SUM(B1390:F1393))&gt;(L1406*4),(((L1406*4)-(SUM(B1390:F1393)-C1392))*N1389)+((SUM(B1393:F1393)-C1392)*N1389),SUM(B1393:F1393)*N1389),IF(SUM(B1390:F1393)&gt;(L1406*4),L1406*N1389,SUM(B1393:F1393)*N1389)),2)</f>
        <v>0</v>
      </c>
      <c r="O1393" s="23">
        <f>ROUND(SUM(B1393+C1393+F1393)*O1389,2)</f>
        <v>0</v>
      </c>
      <c r="P1393" s="27">
        <f t="shared" si="158"/>
        <v>0</v>
      </c>
    </row>
    <row r="1394" spans="1:16" s="1" customFormat="1" x14ac:dyDescent="0.2">
      <c r="A1394" s="100" t="str">
        <f>$A$30</f>
        <v>Mai 2022</v>
      </c>
      <c r="B1394" s="24">
        <f>ROUND(IF(N1374=0,0,IFERROR(((LOOKUP(2,1/(A1378:A1381=A1394),G1378:G1381))*N1374*4.348),B1393/N1374*N1374)),2)</f>
        <v>0</v>
      </c>
      <c r="C1394" s="23">
        <f>ROUND(IFERROR(((LOOKUP(2,1/(B1383=A1394),((SUM(B1396:B1398)+SUM(F1396:F1398))/3)*C1383))),0)+IFERROR(((LOOKUP(2,1/(E1383=A1394),(B1402+F1402)*F1383))),0),2)</f>
        <v>0</v>
      </c>
      <c r="D1394" s="23">
        <f>ROUND(IF(B1394=0,0,D1389/L1371*N1374),2)</f>
        <v>0</v>
      </c>
      <c r="E1394" s="23">
        <f>ROUND(IF(B1394=0,0,E1389/N1367*N1374),2)</f>
        <v>0</v>
      </c>
      <c r="F1394" s="24">
        <f>ROUND(IF(N1374=0,0,IFERROR(((LOOKUP(2,1/(A1378:A1381=A1394),H1378:H1381))/N1367*N1374),F1393/N1374*N1374)),2)</f>
        <v>0</v>
      </c>
      <c r="G1394" s="27">
        <f t="shared" si="157"/>
        <v>0</v>
      </c>
      <c r="H1394" s="76">
        <f>ROUND(IF(SUM(B1390:F1393)&lt;(L1405*4),IF((SUM(B1390:F1394))&gt;(L1405*5),(((L1405*5)-(SUM(B1390:F1394)-C1393))*H1389)+((SUM(B1394:F1394)-C1393)*H1389),SUM(B1394:F1394)*H1389),IF(SUM(B1390:F1394)&gt;(L1405*5),L1405*H1389,SUM(B1394:F1394)*H1389)),2)</f>
        <v>0</v>
      </c>
      <c r="I1394" s="76">
        <f>ROUND(IF(SUM(B1390:F1393)&lt;(L1406*4),IF((SUM(B1390:F1394))&gt;(L1406*5),(((L1406*5)-(SUM(B1390:F1394)-C1393))*I1389)+((SUM(B1394:F1394)-C1393)*I1389),SUM(B1394:F1394)*I1389),IF(SUM(B1390:F1394)&gt;(L1406*5),L1406*I1389,SUM(B1394:F1394)*I1389)),2)</f>
        <v>0</v>
      </c>
      <c r="J1394" s="76">
        <f>ROUND(IF(SUM(B1390:F1393)&lt;(L1406*4),IF((SUM(B1390:F1394))&gt;(L1406*5),(((L1406*5)-(SUM(B1390:F1394)-C1393))*J1389)+((SUM(B1394:F1394)-C1393)*J1389),SUM(B1394:F1394)*J1389),IF(SUM(B1390:F1394)&gt;(L1406*5),L1406*J1389,SUM(B1394:F1394)*J1389)),2)</f>
        <v>0</v>
      </c>
      <c r="K1394" s="76">
        <f>ROUND(IF(SUM(B1390:F1393)&lt;(L1405*4),IF((SUM(B1390:F1394))&gt;(L1405*5),(((L1405*5)-(SUM(B1390:F1394)-C1393))*K1389)+((SUM(B1394:F1394)-C1393)*K1389),SUM(B1394:F1394)*K1389),IF(SUM(B1390:F1394)&gt;(L1405*5),L1405*K1389,SUM(B1394:F1394)*K1389)),2)</f>
        <v>0</v>
      </c>
      <c r="L1394" s="76">
        <f>ROUND(IF(SUM(B1390:F1393)&lt;(L1406*4),IF((SUM(B1390:F1394))&gt;(L1406*5),(((L1406*5)-(SUM(B1390:F1394)-C1394))*L1389)+((SUM(B1394:F1394)-C1394)*L1389),(SUM(B1394:F1394)-C1394)*L1389),IF(SUM(B1390:F1394)&gt;(L1406*5),L1406*L1389,SUM(B1394:F1394)*L1389)),2)</f>
        <v>0</v>
      </c>
      <c r="M1394" s="76">
        <f>ROUND(IF(SUM(B1390:F1393)&lt;(L1406*4),IF((SUM(B1390:F1394))&gt;(L1406*5),(((L1406*5)-(SUM(B1390:F1394)-C1394))*M1389)+((SUM(B1394:F1394)-C1394)*M1389),(SUM(B1394:F1394)-C1394)*M1389),IF(SUM(B1390:F1394)&gt;(L1406*5),L1406*M1389,SUM(B1394:F1394)*M1389)),2)</f>
        <v>0</v>
      </c>
      <c r="N1394" s="76">
        <f>ROUND(IF(SUM(B1390:F1393)&lt;(L1406*4),IF((SUM(B1390:F1394))&gt;(L1406*5),(((L1406*5)-(SUM(B1390:F1394)-C1393))*N1389)+((SUM(B1394:F1394)-C1393)*N1389),SUM(B1394:F1394)*N1389),IF(SUM(B1390:F1394)&gt;(L1406*5),L1406*N1389,SUM(B1394:F1394)*N1389)),2)</f>
        <v>0</v>
      </c>
      <c r="O1394" s="23">
        <f>ROUND(SUM(B1394+C1394+F1394)*O1389,2)</f>
        <v>0</v>
      </c>
      <c r="P1394" s="27">
        <f t="shared" si="158"/>
        <v>0</v>
      </c>
    </row>
    <row r="1395" spans="1:16" s="1" customFormat="1" x14ac:dyDescent="0.2">
      <c r="A1395" s="100" t="str">
        <f>$A$31</f>
        <v>Jun 2022</v>
      </c>
      <c r="B1395" s="24">
        <f>ROUND(IF(N1375=0,0,IFERROR(((LOOKUP(2,1/(A1378:A1381=A1395),G1378:G1381))*N1375*4.348),B1394/N1375*N1375)),2)</f>
        <v>0</v>
      </c>
      <c r="C1395" s="23">
        <f>ROUND(IFERROR(((LOOKUP(2,1/(B1383=A1395),((SUM(B1396:B1398)+SUM(F1396:F1398))/3)*C1383))),0)+IFERROR(((LOOKUP(2,1/(E1383=A1395),(B1402+F1402)*F1383))),0),2)</f>
        <v>0</v>
      </c>
      <c r="D1395" s="23">
        <f>ROUND(IF(B1395=0,0,D1389/L1371*N1375),2)</f>
        <v>0</v>
      </c>
      <c r="E1395" s="23">
        <f>ROUND(IF(B1395=0,0,E1389/N1367*N1375),2)</f>
        <v>0</v>
      </c>
      <c r="F1395" s="24">
        <f>ROUND(IF(N1375=0,0,IFERROR(((LOOKUP(2,1/(A1378:A1381=A1395),H1378:H1381))/N1367*N1375),F1394/N1375*N1375)),2)</f>
        <v>0</v>
      </c>
      <c r="G1395" s="27">
        <f t="shared" si="157"/>
        <v>0</v>
      </c>
      <c r="H1395" s="76">
        <f>ROUND(IF(SUM(B1390:F1394)&lt;(L1405*5),IF((SUM(B1390:F1395))&gt;(L1405*6),(((L1405*6)-(SUM(B1390:F1395)-C1394))*H1389)+((SUM(B1395:F1395)-C1394)*H1389),SUM(B1395:F1395)*H1389),IF(SUM(B1390:F1395)&gt;(L1405*6),L1405*H1389,SUM(B1395:F1395)*H1389)),2)</f>
        <v>0</v>
      </c>
      <c r="I1395" s="76">
        <f>ROUND(IF(SUM(B1390:F1394)&lt;(L1406*5),IF((SUM(B1390:F1395))&gt;(L1406*6),(((L1406*6)-(SUM(B1390:F1395)-C1394))*I1389)+((SUM(B1395:F1395)-C1394)*I1389),SUM(B1395:F1395)*I1389),IF(SUM(B1390:F1395)&gt;(L1406*6),L1406*I1389,SUM(B1395:F1395)*I1389)),2)</f>
        <v>0</v>
      </c>
      <c r="J1395" s="76">
        <f>ROUND(IF(SUM(B1390:F1394)&lt;(L1406*5),IF((SUM(B1390:F1395))&gt;(L1406*6),(((L1406*6)-(SUM(B1390:F1395)-C1394))*J1389)+((SUM(B1395:F1395)-C1394)*J1389),SUM(B1395:F1395)*J1389),IF(SUM(B1390:F1395)&gt;(L1406*6),L1406*J1389,SUM(B1395:F1395)*J1389)),2)</f>
        <v>0</v>
      </c>
      <c r="K1395" s="76">
        <f>ROUND(IF(SUM(B1390:F1394)&lt;(L1405*5),IF((SUM(B1390:F1395))&gt;(L1405*6),(((L1405*6)-(SUM(B1390:F1395)-C1394))*K1389)+((SUM(B1395:F1395)-C1394)*K1389),SUM(B1395:F1395)*K1389),IF(SUM(B1390:F1395)&gt;(L1405*6),L1405*K1389,SUM(B1395:F1395)*K1389)),2)</f>
        <v>0</v>
      </c>
      <c r="L1395" s="76">
        <f>ROUND(IF(SUM(B1390:F1394)&lt;(L1406*5),IF((SUM(B1390:F1395))&gt;(L1406*6),(((L1406*6)-(SUM(B1390:F1395)-C1395))*L1389)+((SUM(B1395:F1395)-C1395)*L1389),(SUM(B1395:F1395)-C1395)*L1389),IF(SUM(B1390:F1395)&gt;(L1406*6),L1406*L1389,SUM(B1395:F1395)*L1389)),2)</f>
        <v>0</v>
      </c>
      <c r="M1395" s="76">
        <f>ROUND(IF(SUM(B1390:F1394)&lt;(L1406*5),IF((SUM(B1390:F1395))&gt;(L1406*6),(((L1406*6)-(SUM(B1390:F1395)-C1395))*M1389)+((SUM(B1395:F1395)-C1395)*M1389),(SUM(B1395:F1395)-C1395)*M1389),IF(SUM(B1390:F1395)&gt;(L1406*6),L1406*M1389,SUM(B1395:F1395)*M1389)),2)</f>
        <v>0</v>
      </c>
      <c r="N1395" s="76">
        <f>ROUND(IF(SUM(B1390:F1394)&lt;(L1406*5),IF((SUM(B1390:F1395))&gt;(L1406*6),(((L1406*6)-(SUM(B1390:F1395)-C1394))*N1389)+((SUM(B1395:F1395)-C1394)*N1389),SUM(B1395:F1395)*N1389),IF(SUM(B1390:F1395)&gt;(L1406*6),L1406*N1389,SUM(B1395:F1395)*N1389)),2)</f>
        <v>0</v>
      </c>
      <c r="O1395" s="23">
        <f>ROUND(SUM(B1395+C1395+F1395)*O1389,2)</f>
        <v>0</v>
      </c>
      <c r="P1395" s="27">
        <f t="shared" si="158"/>
        <v>0</v>
      </c>
    </row>
    <row r="1396" spans="1:16" s="1" customFormat="1" x14ac:dyDescent="0.2">
      <c r="A1396" s="100" t="str">
        <f>$A$32</f>
        <v>Jul 2022</v>
      </c>
      <c r="B1396" s="24">
        <f>ROUND(IF(P1370=0,0,IFERROR(((LOOKUP(2,1/(A1378:A1381=A1396),G1378:G1381))*P1370*4.348),B1395/P1370*P1370)),2)</f>
        <v>0</v>
      </c>
      <c r="C1396" s="23">
        <f>ROUND(IFERROR(((LOOKUP(2,1/(B1383=A1396),((SUM(B1396:B1398)+SUM(F1396:F1398))/3)*C1383))),0)+IFERROR(((LOOKUP(2,1/(E1383=A1396),(B1402+F1402)*F1383))),0),2)</f>
        <v>0</v>
      </c>
      <c r="D1396" s="23">
        <f>ROUND(IF(B1396=0,0,D1389/L1371*P1370),2)</f>
        <v>0</v>
      </c>
      <c r="E1396" s="23">
        <f>ROUND(IF(B1396=0,0,E1389/N1367*P1370),2)</f>
        <v>0</v>
      </c>
      <c r="F1396" s="24">
        <f>ROUND(IF(P1370=0,0,IFERROR(((LOOKUP(2,1/(A1378:A1381=A1396),H1378:H1381))/N1367*P1370),F1395/P1370*P1370)),2)</f>
        <v>0</v>
      </c>
      <c r="G1396" s="27">
        <f t="shared" si="157"/>
        <v>0</v>
      </c>
      <c r="H1396" s="76">
        <f>ROUND(IF(SUM(B1390:F1395)&lt;(L1405*6),IF((SUM(B1390:F1396))&gt;(L1405*7),(((L1405*7)-(SUM(B1390:F1396)-C1395))*H1389)+((SUM(B1396:F1396)-C1395)*H1389),SUM(B1396:F1396)*H1389),IF(SUM(B1390:F1396)&gt;(L1405*7),L1405*H1389,SUM(B1396:F1396)*H1389)),2)</f>
        <v>0</v>
      </c>
      <c r="I1396" s="76">
        <f>ROUND(IF(SUM(B1390:F1395)&lt;(L1406*6),IF((SUM(B1390:F1396))&gt;(L1406*7),(((L1406*7)-(SUM(B1390:F1396)-C1395))*I1389)+((SUM(B1396:F1396)-C1395)*I1389),SUM(B1396:F1396)*I1389),IF(SUM(B1390:F1396)&gt;(L1406*7),L1406*I1389,SUM(B1396:F1396)*I1389)),2)</f>
        <v>0</v>
      </c>
      <c r="J1396" s="76">
        <f>ROUND(IF(SUM(B1390:F1395)&lt;(L1406*6),IF((SUM(B1390:F1396))&gt;(L1406*7),(((L1406*7)-(SUM(B1390:F1396)-C1395))*J1389)+((SUM(B1396:F1396)-C1395)*J1389),SUM(B1396:F1396)*J1389),IF(SUM(B1390:F1396)&gt;(L1406*7),L1406*J1389,SUM(B1396:F1396)*J1389)),2)</f>
        <v>0</v>
      </c>
      <c r="K1396" s="76">
        <f>ROUND(IF(SUM(B1390:F1395)&lt;(L1405*6),IF((SUM(B1390:F1396))&gt;(L1405*7),(((L1405*7)-(SUM(B1390:F1396)-C1395))*K1389)+((SUM(B1396:F1396)-C1395)*K1389),SUM(B1396:F1396)*K1389),IF(SUM(B1390:F1396)&gt;(L1405*7),L1405*K1389,SUM(B1396:F1396)*K1389)),2)</f>
        <v>0</v>
      </c>
      <c r="L1396" s="76">
        <f>ROUND(IF(SUM(B1390:F1395)&lt;(L1406*6),IF((SUM(B1390:F1396))&gt;(L1406*7),(((L1406*7)-(SUM(B1390:F1396)-C1396))*L1389)+((SUM(B1396:F1396)-C1396)*L1389),(SUM(B1396:F1396)-C1396)*L1389),IF(SUM(B1390:F1396)&gt;(L1406*7),L1406*L1389,SUM(B1396:F1396)*L1389)),2)</f>
        <v>0</v>
      </c>
      <c r="M1396" s="76">
        <f>ROUND(IF(SUM(B1390:F1395)&lt;(L1406*6),IF((SUM(B1390:F1396))&gt;(L1406*7),(((L1406*7)-(SUM(B1390:F1396)-C1396))*M1389)+((SUM(B1396:F1396)-C1396)*M1389),(SUM(B1396:F1396)-C1396)*M1389),IF(SUM(B1390:F1396)&gt;(L1406*7),L1406*M1389,SUM(B1396:F1396)*M1389)),2)</f>
        <v>0</v>
      </c>
      <c r="N1396" s="76">
        <f>ROUND(IF(SUM(B1390:F1395)&lt;(L1406*6),IF((SUM(B1390:F1396))&gt;(L1406*7),(((L1406*7)-(SUM(B1390:F1396)-C1395))*N1389)+((SUM(B1396:F1396)-C1395)*N1389),SUM(B1396:F1396)*N1389),IF(SUM(B1390:F1396)&gt;(L1406*7),L1406*N1389,SUM(B1396:F1396)*N1389)),2)</f>
        <v>0</v>
      </c>
      <c r="O1396" s="23">
        <f>ROUND(SUM(B1396+C1396+F1396)*O1389,2)</f>
        <v>0</v>
      </c>
      <c r="P1396" s="27">
        <f t="shared" si="158"/>
        <v>0</v>
      </c>
    </row>
    <row r="1397" spans="1:16" s="1" customFormat="1" x14ac:dyDescent="0.2">
      <c r="A1397" s="100" t="str">
        <f>$A$33</f>
        <v>Aug 2022</v>
      </c>
      <c r="B1397" s="24">
        <f>ROUND(IF(P1371=0,0,IFERROR(((LOOKUP(2,1/(A1378:A1381=A1397),G1378:G1381))*P1371*4.348),B1396/P1371*P1371)),2)</f>
        <v>0</v>
      </c>
      <c r="C1397" s="23">
        <f>ROUND(IFERROR(((LOOKUP(2,1/(B1383=A1397),((SUM(B1396:B1398)+SUM(F1396:F1398))/3)*C1383))),0)+IFERROR(((LOOKUP(2,1/(E1383=A1397),(B1402+F1402)*F1383))),0),2)</f>
        <v>0</v>
      </c>
      <c r="D1397" s="23">
        <f>ROUND(IF(B1397=0,0,D1389/L1371*P1371),2)</f>
        <v>0</v>
      </c>
      <c r="E1397" s="23">
        <f>ROUND(IF(B1397=0,0,E1389/N1367*P1371),2)</f>
        <v>0</v>
      </c>
      <c r="F1397" s="24">
        <f>ROUND(IF(P1371=0,0,IFERROR(((LOOKUP(2,1/(A1378:A1381=A1397),H1378:H1381))/N1367*P1371),F1396/P1371*P1371)),2)</f>
        <v>0</v>
      </c>
      <c r="G1397" s="27">
        <f t="shared" si="157"/>
        <v>0</v>
      </c>
      <c r="H1397" s="76">
        <f>ROUND(IF(SUM(B1390:F1396)&lt;(L1405*7),IF((SUM(B1390:F1397))&gt;(L1405*8),(((L1405*8)-(SUM(B1390:F1397)-C1396))*H1389)+((SUM(B1397:F1397)-C1396)*H1389),SUM(B1397:F1397)*H1389),IF(SUM(B1390:F1397)&gt;(L1405*8),L1405*H1389,SUM(B1397:F1397)*H1389)),2)</f>
        <v>0</v>
      </c>
      <c r="I1397" s="76">
        <f>ROUND(IF(SUM(B1390:F1396)&lt;(L1406*7),IF((SUM(B1390:F1397))&gt;(L1406*8),(((L1406*8)-(SUM(B1390:F1397)-C1396))*I1389)+((SUM(B1397:F1397)-C1396)*I1389),SUM(B1397:F1397)*I1389),IF(SUM(B1390:F1397)&gt;(L1406*8),L1406*I1389,SUM(B1397:F1397)*I1389)),2)</f>
        <v>0</v>
      </c>
      <c r="J1397" s="76">
        <f>ROUND(IF(SUM(B1390:F1396)&lt;(L1406*7),IF((SUM(B1390:F1397))&gt;(L1406*8),(((L1406*8)-(SUM(B1390:F1397)-C1396))*J1389)+((SUM(B1397:F1397)-C1396)*J1389),SUM(B1397:F1397)*J1389),IF(SUM(B1390:F1397)&gt;(L1406*8),L1406*J1389,SUM(B1397:F1397)*J1389)),2)</f>
        <v>0</v>
      </c>
      <c r="K1397" s="76">
        <f>ROUND(IF(SUM(B1390:F1396)&lt;(L1405*7),IF((SUM(B1390:F1397))&gt;(L1405*8),(((L1405*8)-(SUM(B1390:F1397)-C1396))*K1389)+((SUM(B1397:F1397)-C1396)*K1389),SUM(B1397:F1397)*K1389),IF(SUM(B1390:F1397)&gt;(L1405*8),L1405*K1389,SUM(B1397:F1397)*K1389)),2)</f>
        <v>0</v>
      </c>
      <c r="L1397" s="76">
        <f>ROUND(IF(SUM(B1390:F1396)&lt;(L1406*7),IF((SUM(B1390:F1397))&gt;(L1406*8),(((L1406*8)-(SUM(B1390:F1397)-C1397))*L1389)+((SUM(B1397:F1397)-C1397)*L1389),(SUM(B1397:F1397)-C1397)*L1389),IF(SUM(B1390:F1397)&gt;(L1406*8),L1406*L1389,SUM(B1397:F1397)*L1389)),2)</f>
        <v>0</v>
      </c>
      <c r="M1397" s="76">
        <f>ROUND(IF(SUM(B1390:F1396)&lt;(L1406*7),IF((SUM(B1390:F1397))&gt;(L1406*8),(((L1406*8)-(SUM(B1390:F1397)-C1397))*M1389)+((SUM(B1397:F1397)-C1397)*M1389),(SUM(B1397:F1397)-C1397)*M1389),IF(SUM(B1390:F1397)&gt;(L1406*8),L1406*M1389,SUM(B1397:F1397)*M1389)),2)</f>
        <v>0</v>
      </c>
      <c r="N1397" s="76">
        <f>ROUND(IF(SUM(B1390:F1396)&lt;(L1406*7),IF((SUM(B1390:F1397))&gt;(L1406*8),(((L1406*8)-(SUM(B1390:F1397)-C1396))*N1389)+((SUM(B1397:F1397)-C1396)*N1389),SUM(B1397:F1397)*N1389),IF(SUM(B1390:F1397)&gt;(L1406*8),L1406*N1389,SUM(B1397:F1397)*N1389)),2)</f>
        <v>0</v>
      </c>
      <c r="O1397" s="23">
        <f>ROUND(SUM(B1397+C1397+F1397)*O1389,2)</f>
        <v>0</v>
      </c>
      <c r="P1397" s="27">
        <f t="shared" si="158"/>
        <v>0</v>
      </c>
    </row>
    <row r="1398" spans="1:16" s="1" customFormat="1" x14ac:dyDescent="0.2">
      <c r="A1398" s="100" t="str">
        <f>$A$34</f>
        <v>Sep 2022</v>
      </c>
      <c r="B1398" s="24">
        <f>ROUND(IF(P1372=0,0,IFERROR(((LOOKUP(2,1/(A1378:A1381=A1398),G1378:G1381))*P1372*4.348),B1397/P1372*P1372)),2)</f>
        <v>0</v>
      </c>
      <c r="C1398" s="23">
        <f>ROUND(IFERROR(((LOOKUP(2,1/(B1383=A1398),((SUM(B1396:B1398)+SUM(F1396:F1398))/3)*C1383))),0)+IFERROR(((LOOKUP(2,1/(E1383=A1398),(B1402+F1402)*F1383))),0),2)</f>
        <v>0</v>
      </c>
      <c r="D1398" s="23">
        <f>ROUND(IF(B1398=0,0,D1389/L1371*P1372),2)</f>
        <v>0</v>
      </c>
      <c r="E1398" s="23">
        <f>ROUND(IF(B1398=0,0,E1389/N1367*P1372),2)</f>
        <v>0</v>
      </c>
      <c r="F1398" s="24">
        <f>ROUND(IF(P1372=0,0,IFERROR(((LOOKUP(2,1/(A1378:A1381=A1398),H1378:H1381))/N1367*P1372),F1397/P1372*P1372)),2)</f>
        <v>0</v>
      </c>
      <c r="G1398" s="27">
        <f t="shared" si="157"/>
        <v>0</v>
      </c>
      <c r="H1398" s="76">
        <f>ROUND(IF(SUM(B1390:F1397)&lt;(L1405*8),IF((SUM(B1390:F1398))&gt;(L1405*9),(((L1405*9)-(SUM(B1390:F1398)-C1397))*H1389)+((SUM(B1398:F1398)-C1397)*H1389),SUM(B1398:F1398)*H1389),IF(SUM(B1390:F1398)&gt;(L1405*9),L1405*H1389,SUM(B1398:F1398)*H1389)),2)</f>
        <v>0</v>
      </c>
      <c r="I1398" s="76">
        <f>ROUND(IF(SUM(B1390:F1397)&lt;(L1406*8),IF((SUM(B1390:F1398))&gt;(L1406*9),(((L1406*9)-(SUM(B1390:F1398)-C1397))*I1389)+((SUM(B1398:F1398)-C1397)*I1389),SUM(B1398:F1398)*I1389),IF(SUM(B1390:F1398)&gt;(L1406*9),L1406*I1389,SUM(B1398:F1398)*I1389)),2)</f>
        <v>0</v>
      </c>
      <c r="J1398" s="76">
        <f>ROUND(IF(SUM(B1390:F1397)&lt;(L1406*8),IF((SUM(B1390:F1398))&gt;(L1406*9),(((L1406*9)-(SUM(B1390:F1398)-C1397))*J1389)+((SUM(B1398:F1398)-C1397)*J1389),SUM(B1398:F1398)*J1389),IF(SUM(B1390:F1398)&gt;(L1406*9),L1406*J1389,SUM(B1398:F1398)*J1389)),2)</f>
        <v>0</v>
      </c>
      <c r="K1398" s="76">
        <f>ROUND(IF(SUM(B1390:F1397)&lt;(L1405*8),IF((SUM(B1390:F1398))&gt;(L1405*9),(((L1405*9)-(SUM(B1390:F1398)-C1397))*K1389)+((SUM(B1398:F1398)-C1397)*K1389),SUM(B1398:F1398)*K1389),IF(SUM(B1390:F1398)&gt;(L1405*9),L1405*K1389,SUM(B1398:F1398)*K1389)),2)</f>
        <v>0</v>
      </c>
      <c r="L1398" s="76">
        <f>ROUND(IF(SUM(B1390:F1397)&lt;(L1406*8),IF((SUM(B1390:F1398))&gt;(L1406*9),(((L1406*9)-(SUM(B1390:F1398)-C1398))*L1389)+((SUM(B1398:F1398)-C1398)*L1389),(SUM(B1398:F1398)-C1398)*L1389),IF(SUM(B1390:F1398)&gt;(L1406*9),L1406*L1389,SUM(B1398:F1398)*L1389)),2)</f>
        <v>0</v>
      </c>
      <c r="M1398" s="76">
        <f>ROUND(IF(SUM(B1390:F1397)&lt;(L1406*8),IF((SUM(B1390:F1398))&gt;(L1406*9),(((L1406*9)-(SUM(B1390:F1398)-C1398))*M1389)+((SUM(B1398:F1398)-C1398)*M1389),(SUM(B1398:F1398)-C1398)*M1389),IF(SUM(B1390:F1398)&gt;(L1406*9),L1406*M1389,SUM(B1398:F1398)*M1389)),2)</f>
        <v>0</v>
      </c>
      <c r="N1398" s="76">
        <f>ROUND(IF(SUM(B1390:F1397)&lt;(L1406*8),IF((SUM(B1390:F1398))&gt;(L1406*9),(((L1406*9)-(SUM(B1390:F1398)-C1397))*N1389)+((SUM(B1398:F1398)-C1397)*N1389),SUM(B1398:F1398)*N1389),IF(SUM(B1390:F1398)&gt;(L1406*9),L1406*N1389,SUM(B1398:F1398)*N1389)),2)</f>
        <v>0</v>
      </c>
      <c r="O1398" s="23">
        <f>ROUND(SUM(B1398+C1398+F1398)*O1389,2)</f>
        <v>0</v>
      </c>
      <c r="P1398" s="27">
        <f t="shared" si="158"/>
        <v>0</v>
      </c>
    </row>
    <row r="1399" spans="1:16" s="1" customFormat="1" x14ac:dyDescent="0.2">
      <c r="A1399" s="100" t="str">
        <f>$A$35</f>
        <v>Okt 2022</v>
      </c>
      <c r="B1399" s="24">
        <f>ROUND(IF(P1373=0,0,IFERROR(((LOOKUP(2,1/(A1378:A1381=A1399),G1378:G1381))*P1373*4.348),B1398/P1373*P1373)),2)</f>
        <v>0</v>
      </c>
      <c r="C1399" s="23">
        <f>ROUND(IFERROR(((LOOKUP(2,1/(B1383=A1399),((SUM(B1396:B1398)+SUM(F1396:F1398))/3)*C1383))),0)+IFERROR(((LOOKUP(2,1/(E1383=A1399),(B1402+F1402)*F1383))),0),2)</f>
        <v>0</v>
      </c>
      <c r="D1399" s="23">
        <f>ROUND(IF(B1399=0,0,D1389/L1371*P1373),2)</f>
        <v>0</v>
      </c>
      <c r="E1399" s="23">
        <f>ROUND(IF(B1399=0,0,E1389/N1367*P1373),2)</f>
        <v>0</v>
      </c>
      <c r="F1399" s="24">
        <f>ROUND(IF(P1373=0,0,IFERROR(((LOOKUP(2,1/(A1378:A1381=A1399),H1378:H1381))/N1367*P1373),F1398/P1373*P1373)),2)</f>
        <v>0</v>
      </c>
      <c r="G1399" s="27">
        <f t="shared" si="157"/>
        <v>0</v>
      </c>
      <c r="H1399" s="76">
        <f>ROUND(IF(SUM(B1390:F1398)&lt;(L1405*9),IF((SUM(B1390:F1399))&gt;(L1405*10),(((L1405*10)-(SUM(B1390:F1399)-C1398))*H1389)+((SUM(B1399:F1399)-C1398)*H1389),SUM(B1399:F1399)*H1389),IF(SUM(B1390:F1399)&gt;(L1405*10),L1405*H1389,SUM(B1399:F1399)*H1389)),2)</f>
        <v>0</v>
      </c>
      <c r="I1399" s="76">
        <f>ROUND(IF(SUM(B1390:F1398)&lt;(L1406*9),IF((SUM(B1390:F1399))&gt;(L1406*10),(((L1406*10)-(SUM(B1390:F1399)-C1398))*I1389)+((SUM(B1399:F1399)-C1398)*I1389),SUM(B1399:F1399)*I1389),IF(SUM(B1390:F1399)&gt;(L1406*10),L1406*I1389,SUM(B1399:F1399)*I1389)),2)</f>
        <v>0</v>
      </c>
      <c r="J1399" s="76">
        <f>ROUND(IF(SUM(B1390:F1398)&lt;(L1406*9),IF((SUM(B1390:F1399))&gt;(L1406*10),(((L1406*10)-(SUM(B1390:F1399)-C1398))*J1389)+((SUM(B1399:F1399)-C1398)*J1389),SUM(B1399:F1399)*J1389),IF(SUM(B1390:F1399)&gt;(L1406*10),L1406*J1389,SUM(B1399:F1399)*J1389)),2)</f>
        <v>0</v>
      </c>
      <c r="K1399" s="76">
        <f>ROUND(IF(SUM(B1390:F1398)&lt;(L1405*9),IF((SUM(B1390:F1399))&gt;(L1405*10),(((L1405*10)-(SUM(B1390:F1399)-C1398))*K1389)+((SUM(B1399:F1399)-C1398)*K1389),SUM(B1399:F1399)*K1389),IF(SUM(B1390:F1399)&gt;(L1405*10),L1405*K1389,SUM(B1399:F1399)*K1389)),2)</f>
        <v>0</v>
      </c>
      <c r="L1399" s="76">
        <f>ROUND(IF(SUM(B1390:F1398)&lt;(L1406*9),IF((SUM(B1390:F1399))&gt;(L1406*10),(((L1406*10)-(SUM(B1390:F1399)-C1399))*L1389)+((SUM(B1399:F1399)-C1399)*L1389),(SUM(B1399:F1399)-C1399)*L1389),IF(SUM(B1390:F1399)&gt;(L1406*10),L1406*L1389,SUM(B1399:F1399)*L1389)),2)</f>
        <v>0</v>
      </c>
      <c r="M1399" s="76">
        <f>ROUND(IF(SUM(B1390:F1398)&lt;(L1406*9),IF((SUM(B1390:F1399))&gt;(L1406*10),(((L1406*10)-(SUM(B1390:F1399)-C1399))*M1389)+((SUM(B1399:F1399)-C1399)*M1389),(SUM(B1399:F1399)-C1399)*M1389),IF(SUM(B1390:F1399)&gt;(L1406*10),L1406*M1389,SUM(B1399:F1399)*M1389)),2)</f>
        <v>0</v>
      </c>
      <c r="N1399" s="76">
        <f>ROUND(IF(SUM(B1390:F1398)&lt;(L1406*9),IF((SUM(B1390:F1399))&gt;(L1406*10),(((L1406*10)-(SUM(B1390:F1399)-C1398))*N1389)+((SUM(B1399:F1399)-C1398)*N1389),SUM(B1399:F1399)*N1389),IF(SUM(B1390:F1399)&gt;(L1406*10),L1406*N1389,SUM(B1399:F1399)*N1389)),2)</f>
        <v>0</v>
      </c>
      <c r="O1399" s="23">
        <f>ROUND(SUM(B1399+C1399+F1399)*O1389,2)</f>
        <v>0</v>
      </c>
      <c r="P1399" s="27">
        <f t="shared" si="158"/>
        <v>0</v>
      </c>
    </row>
    <row r="1400" spans="1:16" s="1" customFormat="1" x14ac:dyDescent="0.2">
      <c r="A1400" s="100" t="str">
        <f>$A$36</f>
        <v>Nov 2022</v>
      </c>
      <c r="B1400" s="24">
        <f>ROUND(IF(P1374=0,0,IFERROR(((LOOKUP(2,1/(A1378:A1381=A1400),G1378:G1381))*P1374*4.348),B1399/P1374*P1374)),2)</f>
        <v>0</v>
      </c>
      <c r="C1400" s="23">
        <f>ROUND(IFERROR(((LOOKUP(2,1/(B1383=A1400),((SUM(B1396:B1398)+SUM(F1396:F1398))/3)*C1383))),0)+IFERROR(((LOOKUP(2,1/(E1383=A1400),(B1402+F1402)*F1383))),0),2)</f>
        <v>0</v>
      </c>
      <c r="D1400" s="23">
        <f>ROUND(IF(B1400=0,0,D1389/L1371*P1374),2)</f>
        <v>0</v>
      </c>
      <c r="E1400" s="23">
        <f>ROUND(IF(B1400=0,0,E1389/N1367*P1374),2)</f>
        <v>0</v>
      </c>
      <c r="F1400" s="24">
        <f>ROUND(IF(P1374=0,0,IFERROR(((LOOKUP(2,1/(A1378:A1381=A1400),H1378:H1381))/N1367*P1374),F1399/P1374*P1374)),2)</f>
        <v>0</v>
      </c>
      <c r="G1400" s="27">
        <f t="shared" si="157"/>
        <v>0</v>
      </c>
      <c r="H1400" s="76">
        <f>ROUND(IF(SUM(B1390:F1399)&lt;(L1405*10),IF((SUM(B1390:F1400))&gt;(L1405*11),(((L1405*11)-(SUM(B1390:F1400)-C1399))*H1389)+((SUM(B1400:F1400)-C1399)*H1389),SUM(B1400:F1400)*H1389),IF(SUM(B1390:F1400)&gt;(L1405*11),L1405*H1389,SUM(B1400:F1400)*H1389)),2)</f>
        <v>0</v>
      </c>
      <c r="I1400" s="76">
        <f>ROUND(IF(SUM(B1390:F1399)&lt;(L1406*10),IF((SUM(B1390:F1400))&gt;(L1406*11),(((L1406*11)-(SUM(B1390:F1400)-C1399))*I1389)+((SUM(B1400:F1400)-C1399)*I1389),SUM(B1400:F1400)*I1389),IF(SUM(B1390:F1400)&gt;(L1406*11),L1406*I1389,SUM(B1400:F1400)*I1389)),2)</f>
        <v>0</v>
      </c>
      <c r="J1400" s="76">
        <f>ROUND(IF(SUM(B1390:F1399)&lt;(L1406*10),IF((SUM(B1390:F1400))&gt;(L1406*11),(((L1406*11)-(SUM(B1390:F1400)-C1399))*J1389)+((SUM(B1400:F1400)-C1399)*J1389),SUM(B1400:F1400)*J1389),IF(SUM(B1390:F1400)&gt;(L1406*11),L1406*J1389,SUM(B1400:F1400)*J1389)),2)</f>
        <v>0</v>
      </c>
      <c r="K1400" s="76">
        <f>ROUND(IF(SUM(B1390:F1399)&lt;(L1405*10),IF((SUM(B1390:F1400))&gt;(L1405*11),(((L1405*11)-(SUM(B1390:F1400)-C1399))*K1389)+((SUM(B1400:F1400)-C1399)*K1389),SUM(B1400:F1400)*K1389),IF(SUM(B1390:F1400)&gt;(L1405*11),L1405*K1389,SUM(B1400:F1400)*K1389)),2)</f>
        <v>0</v>
      </c>
      <c r="L1400" s="76">
        <f>ROUND(IF(SUM(B1390:F1399)&lt;(L1406*10),IF((SUM(B1390:F1400))&gt;(L1406*11),(((L1406*11)-(SUM(B1390:F1400)-C1400))*L1389)+((SUM(B1400:F1400)-C1400)*L1389),(SUM(B1400:F1400)-C1400)*L1389),IF(SUM(B1390:F1400)&gt;(L1406*11),L1406*L1389,SUM(B1400:F1400)*L1389)),2)</f>
        <v>0</v>
      </c>
      <c r="M1400" s="76">
        <f>ROUND(IF(SUM(B1390:F1399)&lt;(L1406*10),IF((SUM(B1390:F1400))&gt;(L1406*11),(((L1406*11)-(SUM(B1390:F1400)-C1400))*M1389)+((SUM(B1400:F1400)-C1400)*M1389),(SUM(B1400:F1400)-C1400)*M1389),IF(SUM(B1390:F1400)&gt;(L1406*11),L1406*M1389,SUM(B1400:F1400)*M1389)),2)</f>
        <v>0</v>
      </c>
      <c r="N1400" s="76">
        <f>ROUND(IF(SUM(B1390:F1399)&lt;(L1406*10),IF((SUM(B1390:F1400))&gt;(L1406*11),(((L1406*11)-(SUM(B1390:F1400)-C1399))*N1389)+((SUM(B1400:F1400)-C1399)*N1389),SUM(B1400:F1400)*N1389),IF(SUM(B1390:F1400)&gt;(L1406*11),L1406*N1389,SUM(B1400:F1400)*N1389)),2)</f>
        <v>0</v>
      </c>
      <c r="O1400" s="23">
        <f>ROUND(SUM(B1400+C1400+F1400)*O1389,2)</f>
        <v>0</v>
      </c>
      <c r="P1400" s="27">
        <f t="shared" si="158"/>
        <v>0</v>
      </c>
    </row>
    <row r="1401" spans="1:16" s="1" customFormat="1" x14ac:dyDescent="0.2">
      <c r="A1401" s="100" t="str">
        <f>$A$37</f>
        <v>Dez 2022</v>
      </c>
      <c r="B1401" s="24">
        <f>ROUND(IF(P1375=0,0,IFERROR(((LOOKUP(2,1/(A1378:A1381=A1401),G1378:G1381))*P1375*4.348),B1400/P1375*P1375)),2)</f>
        <v>0</v>
      </c>
      <c r="C1401" s="23">
        <f>ROUND(IFERROR(((LOOKUP(2,1/(B1383=A1401),((SUM(B1396:B1398)+SUM(F1396:F1398))/3)*C1383))),0)+IFERROR(((LOOKUP(2,1/(E1383=A1401),(B1402+F1402)*F1383))),0),2)</f>
        <v>0</v>
      </c>
      <c r="D1401" s="23">
        <f>ROUND(IF(B1401=0,0,D1389/L1371*P1375),2)</f>
        <v>0</v>
      </c>
      <c r="E1401" s="23">
        <f>ROUND(IF(B1401=0,0,E1389/N1367*P1375),2)</f>
        <v>0</v>
      </c>
      <c r="F1401" s="24">
        <f>ROUND(IF(P1375=0,0,IFERROR(((LOOKUP(2,1/(A1378:A1381=A1401),H1378:H1381))/N1367*P1375),F1400/P1375*P1375)),2)</f>
        <v>0</v>
      </c>
      <c r="G1401" s="27">
        <f t="shared" si="157"/>
        <v>0</v>
      </c>
      <c r="H1401" s="76">
        <f>ROUND(IF(SUM(B1390:F1400)&lt;(L1405*11),IF((SUM(B1390:F1401))&gt;(L1405*12),(((L1405*12)-(SUM(B1390:F1401)-C1400))*H1389)+((SUM(B1401:F1401)-C1400)*H1389),SUM(B1401:F1401)*H1389),IF(SUM(B1390:F1401)&gt;(L1405*12),L1405*H1389,SUM(B1401:F1401)*H1389)),2)</f>
        <v>0</v>
      </c>
      <c r="I1401" s="76">
        <f>ROUND(IF(SUM(B1390:F1400)&lt;(L1406*11),IF((SUM(B1390:F1401))&gt;(L1406*12),(((L1406*12)-(SUM(B1390:F1401)-C1400))*I1389)+((SUM(B1401:F1401)-C1400)*I1389),SUM(B1401:F1401)*I1389),IF(SUM(B1390:F1401)&gt;(L1406*12),L1406*I1389,SUM(B1401:F1401)*I1389)),2)</f>
        <v>0</v>
      </c>
      <c r="J1401" s="76">
        <f>ROUND(IF(SUM(B1390:F1400)&lt;(L1406*11),IF((SUM(B1390:F1401))&gt;(L1406*12),(((L1406*12)-(SUM(B1390:F1401)-C1400))*J1389)+((SUM(B1401:F1401)-C1400)*J1389),SUM(B1401:F1401)*J1389),IF(SUM(B1390:F1401)&gt;(L1406*12),L1406*J1389,SUM(B1401:F1401)*J1389)),2)</f>
        <v>0</v>
      </c>
      <c r="K1401" s="76">
        <f>ROUND(IF(SUM(B1390:F1400)&lt;(L1405*11),IF((SUM(B1390:F1401))&gt;(L1405*12),(((L1405*12)-(SUM(B1390:F1401)-C1400))*K1389)+((SUM(B1401:F1401)-C1400)*K1389),SUM(B1401:F1401)*K1389),IF(SUM(B1390:F1401)&gt;(L1405*12),L1405*K1389,SUM(B1401:F1401)*K1389)),2)</f>
        <v>0</v>
      </c>
      <c r="L1401" s="76">
        <f>ROUND(IF(SUM(B1390:F1400)&lt;(L1406*11),IF((SUM(B1390:F1401))&gt;(L1406*12),(((L1406*12)-(SUM(B1390:F1401)-C1401))*L1389)+((SUM(B1401:F1401)-C1401)*L1389),(SUM(B1401:F1401)-C1401)*L1389),IF(SUM(B1390:F1401)&gt;(L1406*12),L1406*L1389,SUM(B1401:F1401)*L1389)),2)</f>
        <v>0</v>
      </c>
      <c r="M1401" s="76">
        <f>ROUND(IF(SUM(B1390:F1400)&lt;(L1406*11),IF((SUM(B1390:F1401))&gt;(L1406*12),(((L1406*12)-(SUM(B1390:F1401)-C1401))*M1389)+((SUM(B1401:F1401)-C1401)*M1389),(SUM(B1401:F1401)-C1401)*M1389),IF(SUM(B1390:F1401)&gt;(L1406*12),L1406*M1389,SUM(B1401:F1401)*M1389)),2)</f>
        <v>0</v>
      </c>
      <c r="N1401" s="76">
        <f>ROUND(IF(SUM(B1390:F1400)&lt;(L1406*11),IF((SUM(B1390:F1401))&gt;(L1406*12),(((L1406*12)-(SUM(B1390:F1401)-C1400))*N1389)+((SUM(B1401:F1401)-C1400)*N1389),SUM(B1401:F1401)*N1389),IF(SUM(B1390:F1401)&gt;(L1406*12),L1406*N1389,SUM(B1401:F1401)*N1389)),2)</f>
        <v>0</v>
      </c>
      <c r="O1401" s="23">
        <f>ROUND(SUM(B1401+C1401+F1401)*O1389,2)</f>
        <v>0</v>
      </c>
      <c r="P1401" s="27">
        <f t="shared" si="158"/>
        <v>0</v>
      </c>
    </row>
    <row r="1402" spans="1:16" s="14" customFormat="1" ht="15" x14ac:dyDescent="0.25">
      <c r="A1402" s="4" t="s">
        <v>2</v>
      </c>
      <c r="B1402" s="27">
        <f>SUM(B1390:B1401)</f>
        <v>0</v>
      </c>
      <c r="C1402" s="27">
        <f t="shared" ref="C1402:D1402" si="159">SUM(C1390:C1401)</f>
        <v>0</v>
      </c>
      <c r="D1402" s="27">
        <f t="shared" si="159"/>
        <v>0</v>
      </c>
      <c r="E1402" s="27">
        <f>SUM(E1390:E1401)</f>
        <v>0</v>
      </c>
      <c r="F1402" s="27">
        <f>SUM(F1390:F1401)</f>
        <v>0</v>
      </c>
      <c r="G1402" s="27">
        <f>SUM(G1390:G1401)</f>
        <v>0</v>
      </c>
      <c r="H1402" s="1133">
        <f>SUM(H1390:N1401)</f>
        <v>0</v>
      </c>
      <c r="I1402" s="1134"/>
      <c r="J1402" s="1134"/>
      <c r="K1402" s="1134"/>
      <c r="L1402" s="1134"/>
      <c r="M1402" s="1134"/>
      <c r="N1402" s="1135"/>
      <c r="O1402" s="27">
        <f>SUM(O1390:O1401)</f>
        <v>0</v>
      </c>
      <c r="P1402" s="27">
        <f>SUM(P1390:P1401)</f>
        <v>0</v>
      </c>
    </row>
    <row r="1403" spans="1:16" s="13" customFormat="1" ht="11.25" x14ac:dyDescent="0.2">
      <c r="A1403" s="3" t="s">
        <v>1</v>
      </c>
      <c r="B1403" s="2"/>
      <c r="C1403" s="2"/>
      <c r="D1403" s="2"/>
      <c r="E1403" s="2"/>
      <c r="F1403" s="2"/>
      <c r="G1403" s="2"/>
      <c r="H1403" s="2"/>
      <c r="I1403" s="2"/>
      <c r="J1403" s="2"/>
      <c r="K1403" s="2"/>
      <c r="L1403" s="2"/>
      <c r="M1403" s="2"/>
      <c r="N1403" s="2"/>
      <c r="O1403" s="2"/>
      <c r="P1403" s="2"/>
    </row>
    <row r="1404" spans="1:16" s="1" customFormat="1" ht="14.25" customHeight="1" x14ac:dyDescent="0.2">
      <c r="A1404" s="1136" t="s">
        <v>133</v>
      </c>
      <c r="B1404" s="1137"/>
      <c r="C1404" s="1137"/>
      <c r="D1404" s="1137" t="s">
        <v>134</v>
      </c>
      <c r="E1404" s="1137"/>
      <c r="F1404" s="94" t="str">
        <f>IF(IF(G1402=0,"",'päd.Personal - Leitung'!$F$40)=0,"",IF(G1402=0,"",'päd.Personal - Leitung'!$F$40))</f>
        <v/>
      </c>
      <c r="G1404" s="77" t="s">
        <v>135</v>
      </c>
      <c r="H1404" s="96" t="str">
        <f>IF(IF(G1402=0,"",'päd.Personal - Leitung'!$H$40)=0,"",IF(G1402=0,"",'päd.Personal - Leitung'!$H$40))</f>
        <v/>
      </c>
      <c r="I1404" s="73"/>
      <c r="J1404" s="194" t="s">
        <v>160</v>
      </c>
      <c r="K1404" s="194" t="str">
        <f>$K$40</f>
        <v>2021</v>
      </c>
      <c r="L1404" s="194" t="str">
        <f>$L$40</f>
        <v>anteilig 2021</v>
      </c>
      <c r="M1404" s="1138" t="s">
        <v>140</v>
      </c>
      <c r="N1404" s="1138"/>
      <c r="O1404" s="1139"/>
      <c r="P1404" s="27">
        <f>ROUND(IF(F1404="",IF(E1408="",0,(E1408*H1408/K1408)/L1371*L1372),G1402*F1404*H1404/1000),2)</f>
        <v>0</v>
      </c>
    </row>
    <row r="1405" spans="1:16" s="1" customFormat="1" ht="15" customHeight="1" x14ac:dyDescent="0.2">
      <c r="A1405" s="1140" t="s">
        <v>145</v>
      </c>
      <c r="B1405" s="1141"/>
      <c r="C1405" s="1141"/>
      <c r="D1405" s="18"/>
      <c r="E1405" s="107" t="s">
        <v>135</v>
      </c>
      <c r="F1405" s="95" t="str">
        <f>IF(IF(G1402=0,"",'päd.Personal - Leitung'!$F$41)=0,"",IF(G1402=0,"",'päd.Personal - Leitung'!$F$41))</f>
        <v/>
      </c>
      <c r="G1405" s="48"/>
      <c r="H1405" s="47"/>
      <c r="I1405" s="48"/>
      <c r="J1405" s="195" t="s">
        <v>158</v>
      </c>
      <c r="K1405" s="198">
        <f>$K$41</f>
        <v>4837.5</v>
      </c>
      <c r="L1405" s="197">
        <f>IF(L1371="",K1405,K1405/L1371*L1372)</f>
        <v>4837.5</v>
      </c>
      <c r="M1405" s="1138" t="s">
        <v>139</v>
      </c>
      <c r="N1405" s="1138"/>
      <c r="O1405" s="1139"/>
      <c r="P1405" s="27">
        <f>ROUND(IF(F1405="",0,G1402*F1405/1000),2)</f>
        <v>0</v>
      </c>
    </row>
    <row r="1406" spans="1:16" s="1" customFormat="1" ht="15.75" customHeight="1" x14ac:dyDescent="0.2">
      <c r="A1406" s="1142" t="s">
        <v>141</v>
      </c>
      <c r="B1406" s="1143"/>
      <c r="C1406" s="1143"/>
      <c r="D1406" s="1144" t="s">
        <v>143</v>
      </c>
      <c r="E1406" s="1144"/>
      <c r="F1406" s="1145" t="str">
        <f>IF(IF(G1402=0,"",'päd.Personal - Leitung'!$F$42)=0,"",IF(G1402=0,"",'päd.Personal - Leitung'!$F$42))</f>
        <v/>
      </c>
      <c r="G1406" s="1145"/>
      <c r="H1406" s="72"/>
      <c r="I1406" s="18"/>
      <c r="J1406" s="195" t="s">
        <v>159</v>
      </c>
      <c r="K1406" s="197">
        <f>$K$42</f>
        <v>6700</v>
      </c>
      <c r="L1406" s="197">
        <f>IF(L1371="",K1406,K1406/L1371*L1372)</f>
        <v>6700</v>
      </c>
      <c r="M1406" s="1138" t="s">
        <v>141</v>
      </c>
      <c r="N1406" s="1138"/>
      <c r="O1406" s="1139"/>
      <c r="P1406" s="23">
        <f>ROUND(IF(F1406="",0,IF(G1402=0,0,F1406/L1371*L1372)),2)</f>
        <v>0</v>
      </c>
    </row>
    <row r="1407" spans="1:16" s="1" customFormat="1" ht="14.25" customHeight="1" x14ac:dyDescent="0.2">
      <c r="A1407" s="18"/>
      <c r="B1407" s="18"/>
      <c r="C1407" s="18"/>
      <c r="D1407" s="18"/>
      <c r="E1407" s="18"/>
      <c r="F1407" s="18"/>
      <c r="G1407" s="18"/>
      <c r="H1407" s="18"/>
      <c r="I1407" s="18"/>
      <c r="J1407" s="18"/>
      <c r="K1407" s="74"/>
      <c r="L1407" s="82"/>
      <c r="M1407" s="1127" t="s">
        <v>146</v>
      </c>
      <c r="N1407" s="1127"/>
      <c r="O1407" s="1128"/>
      <c r="P1407" s="23">
        <f>ROUND(IF(G1402=0,0,$P$87),2)</f>
        <v>0</v>
      </c>
    </row>
    <row r="1408" spans="1:16" s="1" customFormat="1" ht="14.25" customHeight="1" x14ac:dyDescent="0.2">
      <c r="A1408" s="1129" t="s">
        <v>142</v>
      </c>
      <c r="B1408" s="1130"/>
      <c r="C1408" s="126" t="s">
        <v>136</v>
      </c>
      <c r="D1408" s="179" t="s">
        <v>137</v>
      </c>
      <c r="E1408" s="1131" t="str">
        <f>IF(IF(G1402=0,"",'päd.Personal - Leitung'!$E$44)=0,"",IF(G1402=0,"",'päd.Personal - Leitung'!$E$44))</f>
        <v/>
      </c>
      <c r="F1408" s="1131"/>
      <c r="G1408" s="83" t="s">
        <v>138</v>
      </c>
      <c r="H1408" s="97" t="str">
        <f>IF(IF(G1402=0,"",'päd.Personal - Leitung'!$H$44)=0,"",IF(G1402=0,"",'päd.Personal - Leitung'!$H$44))</f>
        <v/>
      </c>
      <c r="I1408" s="1132" t="s">
        <v>144</v>
      </c>
      <c r="J1408" s="1132"/>
      <c r="K1408" s="98" t="str">
        <f>IF(IF(G1402=0,"",'päd.Personal - Leitung'!$K$44)=0,"",IF(G1402=0,"",'päd.Personal - Leitung'!$K$44))</f>
        <v/>
      </c>
      <c r="L1408" s="29"/>
      <c r="M1408" s="29"/>
      <c r="N1408" s="29"/>
      <c r="O1408" s="28" t="s">
        <v>0</v>
      </c>
      <c r="P1408" s="27">
        <f>P1402+SUM(P1404:P1407)</f>
        <v>0</v>
      </c>
    </row>
    <row r="1409" spans="1:16" s="12" customFormat="1" ht="13.5" customHeight="1" x14ac:dyDescent="0.2">
      <c r="A1409" s="1178" t="s">
        <v>18</v>
      </c>
      <c r="B1409" s="1178"/>
      <c r="C1409" s="1178"/>
      <c r="D1409" s="1179" t="str">
        <f>IF($D$1="","",$D$1)</f>
        <v/>
      </c>
      <c r="E1409" s="1179"/>
      <c r="F1409" s="1179"/>
      <c r="G1409" s="1179"/>
      <c r="H1409" s="1179"/>
      <c r="I1409" s="1179"/>
      <c r="J1409" s="1179"/>
      <c r="K1409" s="1179"/>
      <c r="L1409" s="1179"/>
      <c r="M1409" s="1179"/>
      <c r="N1409" s="1179"/>
    </row>
    <row r="1410" spans="1:16" s="12" customFormat="1" ht="15" customHeight="1" x14ac:dyDescent="0.2">
      <c r="A1410" s="1178" t="s">
        <v>17</v>
      </c>
      <c r="B1410" s="1178"/>
      <c r="C1410" s="1178" t="s">
        <v>15</v>
      </c>
      <c r="D1410" s="1179" t="str">
        <f>IF($D$2="","",$D$2)</f>
        <v/>
      </c>
      <c r="E1410" s="1179"/>
      <c r="F1410" s="1179"/>
      <c r="G1410" s="1179"/>
      <c r="H1410" s="1179"/>
      <c r="I1410" s="1179"/>
      <c r="J1410" s="1179"/>
      <c r="K1410" s="1179"/>
      <c r="L1410" s="1179"/>
      <c r="M1410" s="1179"/>
      <c r="N1410" s="1179"/>
    </row>
    <row r="1411" spans="1:16" s="12" customFormat="1" ht="15" customHeight="1" x14ac:dyDescent="0.2">
      <c r="A1411" s="1178" t="s">
        <v>16</v>
      </c>
      <c r="B1411" s="1178"/>
      <c r="C1411" s="1178" t="s">
        <v>15</v>
      </c>
      <c r="D1411" s="1179" t="str">
        <f>IF($D$3="","",$D$3)</f>
        <v/>
      </c>
      <c r="E1411" s="1179"/>
      <c r="F1411" s="1179"/>
      <c r="G1411" s="1179"/>
      <c r="H1411" s="1179"/>
      <c r="I1411" s="1179"/>
      <c r="J1411" s="1179"/>
      <c r="K1411" s="1178" t="s">
        <v>103</v>
      </c>
      <c r="L1411" s="1178"/>
      <c r="M1411" s="1178"/>
      <c r="N1411" s="41" t="str">
        <f>IF($N$3="","",$N$3)</f>
        <v/>
      </c>
    </row>
    <row r="1412" spans="1:16" s="13" customFormat="1" ht="11.25" x14ac:dyDescent="0.2">
      <c r="A1412" s="1182"/>
      <c r="B1412" s="1182"/>
      <c r="C1412" s="1182"/>
      <c r="D1412" s="1183"/>
      <c r="E1412" s="1183"/>
      <c r="F1412" s="1183"/>
      <c r="G1412" s="1183"/>
      <c r="H1412" s="1183"/>
      <c r="I1412" s="1183"/>
      <c r="J1412" s="1183"/>
      <c r="K1412" s="11"/>
      <c r="L1412" s="11"/>
      <c r="M1412" s="11"/>
      <c r="N1412" s="11"/>
      <c r="O1412" s="11"/>
      <c r="P1412" s="11"/>
    </row>
    <row r="1413" spans="1:16" s="15" customFormat="1" ht="13.5" customHeight="1" x14ac:dyDescent="0.2">
      <c r="A1413" s="1177" t="s">
        <v>166</v>
      </c>
      <c r="B1413" s="1177"/>
      <c r="C1413" s="1177"/>
      <c r="D1413" s="1177"/>
      <c r="E1413" s="1177"/>
      <c r="F1413" s="1177"/>
      <c r="G1413" s="1177"/>
      <c r="H1413" s="1177"/>
      <c r="I1413" s="1177"/>
      <c r="J1413" s="1177"/>
      <c r="K1413" s="9"/>
      <c r="L1413" s="9"/>
      <c r="M1413" s="9"/>
      <c r="N1413" s="59" t="s">
        <v>154</v>
      </c>
      <c r="O1413" s="191">
        <f>$O$5</f>
        <v>2022</v>
      </c>
      <c r="P1413" s="59" t="s">
        <v>154</v>
      </c>
    </row>
    <row r="1414" spans="1:16" s="10" customFormat="1" ht="13.5" customHeight="1" x14ac:dyDescent="0.25">
      <c r="B1414" s="32"/>
      <c r="C1414" s="32"/>
      <c r="D1414" s="5" t="s">
        <v>215</v>
      </c>
      <c r="E1414" s="31"/>
      <c r="F1414" s="31"/>
      <c r="G1414" s="31"/>
      <c r="H1414" s="31"/>
      <c r="I1414" s="26"/>
      <c r="J1414" s="1174" t="s">
        <v>14</v>
      </c>
      <c r="K1414" s="1174"/>
      <c r="L1414" s="180"/>
      <c r="N1414" s="84">
        <f>IF(L1416="","",L1416)</f>
        <v>0</v>
      </c>
      <c r="O1414" s="58" t="str">
        <f>$O$6</f>
        <v>Jan                Jul</v>
      </c>
      <c r="P1414" s="85">
        <f>IF(N1419="","",N1419)</f>
        <v>0</v>
      </c>
    </row>
    <row r="1415" spans="1:16" s="7" customFormat="1" ht="13.5" customHeight="1" x14ac:dyDescent="0.25">
      <c r="A1415" s="1180" t="s">
        <v>71</v>
      </c>
      <c r="B1415" s="1180"/>
      <c r="C1415" s="1180"/>
      <c r="D1415" s="1184"/>
      <c r="E1415" s="1184"/>
      <c r="F1415" s="1184"/>
      <c r="G1415" s="1184"/>
      <c r="H1415" s="1184"/>
      <c r="I1415" s="1184"/>
      <c r="J1415" s="1174" t="s">
        <v>104</v>
      </c>
      <c r="K1415" s="1174"/>
      <c r="L1415" s="145"/>
      <c r="N1415" s="85">
        <f>IF(N1414="","",N1414)</f>
        <v>0</v>
      </c>
      <c r="O1415" s="58" t="str">
        <f>$O$7</f>
        <v>Feb              Aug</v>
      </c>
      <c r="P1415" s="85">
        <f>IF(P1414="","",P1414)</f>
        <v>0</v>
      </c>
    </row>
    <row r="1416" spans="1:16" s="1" customFormat="1" ht="13.5" customHeight="1" x14ac:dyDescent="0.2">
      <c r="A1416" s="1180" t="s">
        <v>13</v>
      </c>
      <c r="B1416" s="1180"/>
      <c r="C1416" s="1180"/>
      <c r="D1416" s="1181"/>
      <c r="E1416" s="1181"/>
      <c r="F1416" s="1181"/>
      <c r="G1416" s="1181"/>
      <c r="H1416" s="1181"/>
      <c r="I1416" s="1181"/>
      <c r="J1416" s="1174" t="s">
        <v>164</v>
      </c>
      <c r="K1416" s="1174"/>
      <c r="L1416" s="145">
        <f>IF((L1417+L1418)&gt;L1415,0,L1415-L1417-L1418)</f>
        <v>0</v>
      </c>
      <c r="N1416" s="85">
        <f>IF(N1415="","",N1415)</f>
        <v>0</v>
      </c>
      <c r="O1416" s="58" t="str">
        <f>$O$8</f>
        <v>Mrz              Sep</v>
      </c>
      <c r="P1416" s="85">
        <f>IF(P1415="","",P1415)</f>
        <v>0</v>
      </c>
    </row>
    <row r="1417" spans="1:16" s="1" customFormat="1" ht="13.5" customHeight="1" x14ac:dyDescent="0.2">
      <c r="A1417" s="1180" t="s">
        <v>12</v>
      </c>
      <c r="B1417" s="1180"/>
      <c r="C1417" s="1180"/>
      <c r="D1417" s="1181"/>
      <c r="E1417" s="1181"/>
      <c r="F1417" s="1181"/>
      <c r="G1417" s="1181"/>
      <c r="H1417" s="1181"/>
      <c r="I1417" s="1181"/>
      <c r="J1417" s="1174" t="s">
        <v>165</v>
      </c>
      <c r="K1417" s="1174"/>
      <c r="L1417" s="145"/>
      <c r="N1417" s="85">
        <f>IF(N1416="","",N1416)</f>
        <v>0</v>
      </c>
      <c r="O1417" s="58" t="str">
        <f>$O$9</f>
        <v>Apr               Okt</v>
      </c>
      <c r="P1417" s="85">
        <f t="shared" ref="P1417:P1419" si="160">IF(P1416="","",P1416)</f>
        <v>0</v>
      </c>
    </row>
    <row r="1418" spans="1:16" s="1" customFormat="1" ht="13.5" customHeight="1" x14ac:dyDescent="0.2">
      <c r="A1418" s="1180" t="s">
        <v>19</v>
      </c>
      <c r="B1418" s="1180"/>
      <c r="C1418" s="1180"/>
      <c r="D1418" s="1181"/>
      <c r="E1418" s="1181"/>
      <c r="F1418" s="1181"/>
      <c r="G1418" s="1181"/>
      <c r="H1418" s="1181"/>
      <c r="I1418" s="1181"/>
      <c r="J1418" s="1174" t="s">
        <v>252</v>
      </c>
      <c r="K1418" s="1174"/>
      <c r="L1418" s="145"/>
      <c r="M1418" s="92"/>
      <c r="N1418" s="85">
        <f>IF(N1417="","",N1417)</f>
        <v>0</v>
      </c>
      <c r="O1418" s="58" t="str">
        <f>$O$10</f>
        <v>Mai               Nov</v>
      </c>
      <c r="P1418" s="85">
        <f t="shared" si="160"/>
        <v>0</v>
      </c>
    </row>
    <row r="1419" spans="1:16" s="1" customFormat="1" ht="13.5" customHeight="1" x14ac:dyDescent="0.2">
      <c r="B1419" s="8"/>
      <c r="C1419" s="121" t="s">
        <v>162</v>
      </c>
      <c r="D1419" s="1175"/>
      <c r="E1419" s="1175"/>
      <c r="F1419" s="1176" t="s">
        <v>106</v>
      </c>
      <c r="G1419" s="1176"/>
      <c r="H1419" s="1186"/>
      <c r="I1419" s="1186"/>
      <c r="J1419" s="1174" t="s">
        <v>97</v>
      </c>
      <c r="K1419" s="1174"/>
      <c r="L1419" s="17" t="str">
        <f>IF(IF((COUNTIF(B1434:B1445,"&gt;0"))=0,0,(COUNTIF(B1434:B1445,"&gt;0")))&gt;Grundlagen!$C$24,Grundlagen!$C$24,IF((COUNTIF(B1434:B1445,"&gt;0"))=0,"",(COUNTIF(B1434:B1445,"&gt;0"))))</f>
        <v/>
      </c>
      <c r="N1419" s="85">
        <f>IF(N1418="","",N1418)</f>
        <v>0</v>
      </c>
      <c r="O1419" s="58" t="str">
        <f>'päd.Personal - Leitung'!$O$11</f>
        <v>Jun               Dez</v>
      </c>
      <c r="P1419" s="85">
        <f t="shared" si="160"/>
        <v>0</v>
      </c>
    </row>
    <row r="1420" spans="1:16" s="1" customFormat="1" ht="13.5" customHeight="1" x14ac:dyDescent="0.2">
      <c r="I1420" s="6"/>
      <c r="L1420" s="147" t="str">
        <f>IF((SUM(F1422:F1425))=0,"",IF(P1420&gt;L1416,L1416,IF(L1416="","",IF(L1419="","",P1420))))</f>
        <v/>
      </c>
      <c r="O1420" s="174" t="s">
        <v>251</v>
      </c>
      <c r="P1420" s="175">
        <f>IF(L1419="",0,((IF(SUMIF(B1434,"&gt;0"),N1414,0))+(IF(SUMIF(B1435,"&gt;0"),N1415,0))+(IF(SUMIF(B1436,"&gt;0"),N1416,0))+(IF(SUMIF(B1437,"&gt;0"),N1417,0))+(IF(SUMIF(B1438,"&gt;0"),N1418,0))+(IF(SUMIF(B1439,"&gt;0"),N1419,0))+(IF(SUMIF(B1440,"&gt;0"),P1414,0))+(IF(SUMIF(B1441,"&gt;0"),P1415,0))+(IF(SUMIF(B1442,"&gt;0"),P1416,0))+(IF(SUMIF(B1443,"&gt;0"),P1417,0))+(IF(SUMIF(B1444,"&gt;0"),P1418,0))+(IF(SUMIF(B1445,"&gt;0"),P1419,0)))/Grundlagen!$C$24)</f>
        <v>0</v>
      </c>
    </row>
    <row r="1421" spans="1:16" s="52" customFormat="1" ht="13.5" customHeight="1" x14ac:dyDescent="0.2">
      <c r="A1421" s="61" t="s">
        <v>148</v>
      </c>
      <c r="B1421" s="1168" t="s">
        <v>149</v>
      </c>
      <c r="C1421" s="1168"/>
      <c r="D1421" s="62" t="s">
        <v>150</v>
      </c>
      <c r="E1421" s="63" t="s">
        <v>151</v>
      </c>
      <c r="F1421" s="64" t="str">
        <f>CONCATENATE("Entg. ",N1411," h/Wo")</f>
        <v>Entg.  h/Wo</v>
      </c>
      <c r="G1421" s="65" t="s">
        <v>152</v>
      </c>
      <c r="H1421" s="65" t="s">
        <v>153</v>
      </c>
      <c r="K1421" s="1169" t="str">
        <f>CONCATENATE("Zuschläge / Zulagen für ",N1411,"h/Wo")</f>
        <v>Zuschläge / Zulagen für h/Wo</v>
      </c>
      <c r="L1421" s="1169"/>
      <c r="M1421" s="66" t="str">
        <f>IF(A1422="","",A1422)</f>
        <v>Jan 2022</v>
      </c>
      <c r="N1421" s="66" t="str">
        <f>IF(A1423="","",A1423)</f>
        <v/>
      </c>
      <c r="O1421" s="66" t="str">
        <f>IF(A1424="","",A1424)</f>
        <v/>
      </c>
      <c r="P1421" s="66" t="str">
        <f>IF(A1425="","",A1425)</f>
        <v/>
      </c>
    </row>
    <row r="1422" spans="1:16" s="52" customFormat="1" ht="13.5" customHeight="1" x14ac:dyDescent="0.25">
      <c r="A1422" s="54" t="str">
        <f>A1434</f>
        <v>Jan 2022</v>
      </c>
      <c r="B1422" s="1170" t="str">
        <f>IF($D$3="","",$D$3)</f>
        <v/>
      </c>
      <c r="C1422" s="1171"/>
      <c r="D1422" s="181"/>
      <c r="E1422" s="181"/>
      <c r="F1422" s="87"/>
      <c r="G1422" s="56">
        <f>IF(N1411="",0,F1422/N1411/4.348)</f>
        <v>0</v>
      </c>
      <c r="H1422" s="53">
        <f>IF(G1422=0,0,M1427)</f>
        <v>0</v>
      </c>
      <c r="K1422" s="1146"/>
      <c r="L1422" s="1146"/>
      <c r="M1422" s="172"/>
      <c r="N1422" s="172"/>
      <c r="O1422" s="172"/>
      <c r="P1422" s="172"/>
    </row>
    <row r="1423" spans="1:16" s="52" customFormat="1" ht="13.5" customHeight="1" x14ac:dyDescent="0.25">
      <c r="A1423" s="55"/>
      <c r="B1423" s="1172" t="str">
        <f>IF(A1423="","",B1422)</f>
        <v/>
      </c>
      <c r="C1423" s="1173"/>
      <c r="D1423" s="181"/>
      <c r="E1423" s="181"/>
      <c r="F1423" s="87"/>
      <c r="G1423" s="56">
        <f>IF(N1411="",0,F1423/N1411/4.348)</f>
        <v>0</v>
      </c>
      <c r="H1423" s="53">
        <f>IF(G1423=0,0,N1427)</f>
        <v>0</v>
      </c>
      <c r="K1423" s="1146"/>
      <c r="L1423" s="1146"/>
      <c r="M1423" s="172"/>
      <c r="N1423" s="172"/>
      <c r="O1423" s="172"/>
      <c r="P1423" s="172"/>
    </row>
    <row r="1424" spans="1:16" s="52" customFormat="1" ht="13.5" customHeight="1" x14ac:dyDescent="0.25">
      <c r="A1424" s="55"/>
      <c r="B1424" s="1172" t="str">
        <f>IF(A1424="","",B1423)</f>
        <v/>
      </c>
      <c r="C1424" s="1173"/>
      <c r="D1424" s="181"/>
      <c r="E1424" s="181"/>
      <c r="F1424" s="87"/>
      <c r="G1424" s="56">
        <f>IF(N1411="",0,F1424/N1411/4.348)</f>
        <v>0</v>
      </c>
      <c r="H1424" s="53">
        <f>IF(G1424=0,0,O1427)</f>
        <v>0</v>
      </c>
      <c r="K1424" s="1146"/>
      <c r="L1424" s="1146"/>
      <c r="M1424" s="172"/>
      <c r="N1424" s="172"/>
      <c r="O1424" s="172"/>
      <c r="P1424" s="172"/>
    </row>
    <row r="1425" spans="1:16" s="52" customFormat="1" ht="13.5" customHeight="1" x14ac:dyDescent="0.25">
      <c r="A1425" s="55"/>
      <c r="B1425" s="1172" t="str">
        <f>IF(A1425="","",B1424)</f>
        <v/>
      </c>
      <c r="C1425" s="1173"/>
      <c r="D1425" s="181"/>
      <c r="E1425" s="181"/>
      <c r="F1425" s="87"/>
      <c r="G1425" s="56">
        <f>IF(N1411="",0,F1425/N1411/4.348)</f>
        <v>0</v>
      </c>
      <c r="H1425" s="53">
        <f>IF(G1425=0,0,P1427)</f>
        <v>0</v>
      </c>
      <c r="K1425" s="1146"/>
      <c r="L1425" s="1146"/>
      <c r="M1425" s="172"/>
      <c r="N1425" s="172"/>
      <c r="O1425" s="172"/>
      <c r="P1425" s="172"/>
    </row>
    <row r="1426" spans="1:16" s="52" customFormat="1" ht="13.5" customHeight="1" x14ac:dyDescent="0.25">
      <c r="B1426" s="1167" t="s">
        <v>157</v>
      </c>
      <c r="C1426" s="1167"/>
      <c r="E1426" s="1167" t="s">
        <v>156</v>
      </c>
      <c r="F1426" s="1167"/>
      <c r="J1426" s="69"/>
      <c r="K1426" s="1146"/>
      <c r="L1426" s="1146"/>
      <c r="M1426" s="172"/>
      <c r="N1426" s="172"/>
      <c r="O1426" s="172"/>
      <c r="P1426" s="172"/>
    </row>
    <row r="1427" spans="1:16" s="52" customFormat="1" ht="13.5" customHeight="1" x14ac:dyDescent="0.25">
      <c r="A1427" s="70" t="s">
        <v>167</v>
      </c>
      <c r="B1427" s="67"/>
      <c r="C1427" s="99" t="str">
        <f>IF(C1383="","",C1383)</f>
        <v/>
      </c>
      <c r="D1427" s="70" t="s">
        <v>167</v>
      </c>
      <c r="E1427" s="67"/>
      <c r="F1427" s="99" t="str">
        <f>IF(F1383="","",F1383)</f>
        <v/>
      </c>
      <c r="J1427" s="68"/>
      <c r="M1427" s="173">
        <f>SUM(M1422:M1426)</f>
        <v>0</v>
      </c>
      <c r="N1427" s="173">
        <f t="shared" ref="N1427:P1427" si="161">SUM(N1422:N1426)</f>
        <v>0</v>
      </c>
      <c r="O1427" s="173">
        <f t="shared" si="161"/>
        <v>0</v>
      </c>
      <c r="P1427" s="173">
        <f t="shared" si="161"/>
        <v>0</v>
      </c>
    </row>
    <row r="1428" spans="1:16" s="52" customFormat="1" ht="13.5" customHeight="1" x14ac:dyDescent="0.2">
      <c r="A1428" s="60" t="s">
        <v>155</v>
      </c>
    </row>
    <row r="1429" spans="1:16" s="1" customFormat="1" ht="14.25" customHeight="1" x14ac:dyDescent="0.2">
      <c r="A1429" s="1147"/>
      <c r="B1429" s="1149" t="s">
        <v>9</v>
      </c>
      <c r="C1429" s="1150"/>
      <c r="D1429" s="1150"/>
      <c r="E1429" s="1150"/>
      <c r="F1429" s="1150"/>
      <c r="G1429" s="1151"/>
      <c r="H1429" s="1152" t="s">
        <v>119</v>
      </c>
      <c r="I1429" s="1153"/>
      <c r="J1429" s="1153"/>
      <c r="K1429" s="1153"/>
      <c r="L1429" s="1153"/>
      <c r="M1429" s="1153"/>
      <c r="N1429" s="1153"/>
      <c r="O1429" s="33"/>
      <c r="P1429" s="1154" t="s">
        <v>0</v>
      </c>
    </row>
    <row r="1430" spans="1:16" s="1" customFormat="1" ht="14.25" customHeight="1" x14ac:dyDescent="0.2">
      <c r="A1430" s="1148"/>
      <c r="B1430" s="1157" t="s">
        <v>117</v>
      </c>
      <c r="C1430" s="124" t="s">
        <v>115</v>
      </c>
      <c r="D1430" s="1159" t="s">
        <v>277</v>
      </c>
      <c r="E1430" s="1161" t="s">
        <v>147</v>
      </c>
      <c r="F1430" s="127" t="s">
        <v>7</v>
      </c>
      <c r="G1430" s="1162" t="s">
        <v>6</v>
      </c>
      <c r="H1430" s="1161" t="s">
        <v>129</v>
      </c>
      <c r="I1430" s="1161" t="s">
        <v>5</v>
      </c>
      <c r="J1430" s="1161" t="s">
        <v>4</v>
      </c>
      <c r="K1430" s="1161" t="s">
        <v>3</v>
      </c>
      <c r="L1430" s="1161" t="s">
        <v>121</v>
      </c>
      <c r="M1430" s="1161" t="s">
        <v>122</v>
      </c>
      <c r="N1430" s="1161" t="s">
        <v>123</v>
      </c>
      <c r="O1430" s="1160" t="s">
        <v>114</v>
      </c>
      <c r="P1430" s="1155"/>
    </row>
    <row r="1431" spans="1:16" s="1" customFormat="1" ht="14.25" customHeight="1" x14ac:dyDescent="0.2">
      <c r="A1431" s="1148"/>
      <c r="B1431" s="1157"/>
      <c r="C1431" s="21" t="str">
        <f>IF(C1427="","",C1427)</f>
        <v/>
      </c>
      <c r="D1431" s="1160"/>
      <c r="E1431" s="1161"/>
      <c r="F1431" s="1165" t="str">
        <f>IF(H1422=0,"","siehe Zuschläge / Zulagen")</f>
        <v/>
      </c>
      <c r="G1431" s="1162"/>
      <c r="H1431" s="1164" t="s">
        <v>127</v>
      </c>
      <c r="I1431" s="1164"/>
      <c r="J1431" s="1164"/>
      <c r="K1431" s="1164"/>
      <c r="L1431" s="1164"/>
      <c r="M1431" s="1164"/>
      <c r="N1431" s="1164"/>
      <c r="O1431" s="1160"/>
      <c r="P1431" s="1155"/>
    </row>
    <row r="1432" spans="1:16" s="1" customFormat="1" x14ac:dyDescent="0.2">
      <c r="A1432" s="1148"/>
      <c r="B1432" s="1157"/>
      <c r="C1432" s="122" t="s">
        <v>70</v>
      </c>
      <c r="D1432" s="1160"/>
      <c r="E1432" s="1161"/>
      <c r="F1432" s="1165"/>
      <c r="G1432" s="1162"/>
      <c r="H1432" s="43" t="s">
        <v>128</v>
      </c>
      <c r="I1432" s="43" t="s">
        <v>255</v>
      </c>
      <c r="J1432" s="43" t="s">
        <v>256</v>
      </c>
      <c r="K1432" s="43" t="s">
        <v>257</v>
      </c>
      <c r="L1432" s="43"/>
      <c r="M1432" s="43"/>
      <c r="N1432" s="43" t="s">
        <v>254</v>
      </c>
      <c r="O1432" s="1160"/>
      <c r="P1432" s="1155"/>
    </row>
    <row r="1433" spans="1:16" s="1" customFormat="1" x14ac:dyDescent="0.2">
      <c r="A1433" s="1148"/>
      <c r="B1433" s="1158"/>
      <c r="C1433" s="21" t="str">
        <f>IF(F1427="","",F1427)</f>
        <v/>
      </c>
      <c r="D1433" s="51"/>
      <c r="E1433" s="51"/>
      <c r="F1433" s="1166"/>
      <c r="G1433" s="1163"/>
      <c r="H1433" s="93"/>
      <c r="I1433" s="139">
        <f>$I$69</f>
        <v>0</v>
      </c>
      <c r="J1433" s="139">
        <f>$J$69</f>
        <v>0</v>
      </c>
      <c r="K1433" s="44">
        <f>$K$69</f>
        <v>0</v>
      </c>
      <c r="L1433" s="21"/>
      <c r="M1433" s="21"/>
      <c r="N1433" s="139">
        <f>$N$69</f>
        <v>0</v>
      </c>
      <c r="O1433" s="21">
        <f>O1389</f>
        <v>0</v>
      </c>
      <c r="P1433" s="1156"/>
    </row>
    <row r="1434" spans="1:16" s="1" customFormat="1" x14ac:dyDescent="0.2">
      <c r="A1434" s="100" t="str">
        <f>$A$26</f>
        <v>Jan 2022</v>
      </c>
      <c r="B1434" s="24">
        <f>ROUND(IF(N1414=0,0,(LOOKUP(2,1/(A1422:A1425=A1434),G1422:G1425))*N1414*4.348),2)</f>
        <v>0</v>
      </c>
      <c r="C1434" s="23">
        <f>ROUND(IFERROR(((LOOKUP(2,1/(B1427=A1434),((SUM(B1440:B1442)+SUM(F1440:F1442))/3)*C1427))),0)+IFERROR(((LOOKUP(2,1/(E1427=A1434),(B1446+F1446)*F1427))),0),2)</f>
        <v>0</v>
      </c>
      <c r="D1434" s="23">
        <f>ROUND(IF(B1434=0,0,D1433/L1415*N1414),2)</f>
        <v>0</v>
      </c>
      <c r="E1434" s="23">
        <f>ROUND(IF(B1434=0,0,E1433/N1411*N1414),2)</f>
        <v>0</v>
      </c>
      <c r="F1434" s="24">
        <f>ROUND(IF(N1414=0,0,(LOOKUP(2,1/(A1422:A1425=A1434),H1422:H1425))/N1411*N1414),2)</f>
        <v>0</v>
      </c>
      <c r="G1434" s="27">
        <f>SUM(B1434+C1434+E1434+F1434)</f>
        <v>0</v>
      </c>
      <c r="H1434" s="76">
        <f>ROUND(IF((SUM(B1434:F1434))&gt;L1449,L1449*H1433,SUM(B1434:F1434)*H1433),2)</f>
        <v>0</v>
      </c>
      <c r="I1434" s="76">
        <f>ROUND(IF((SUM(B1434:F1434))&gt;L1450,L1450*I1433,SUM(B1434:F1434)*I1433),2)</f>
        <v>0</v>
      </c>
      <c r="J1434" s="76">
        <f>ROUND(IF((SUM(B1434:F1434))&gt;L1450,L1450*J1433,SUM(B1434:F1434)*J1433),2)</f>
        <v>0</v>
      </c>
      <c r="K1434" s="76">
        <f>ROUND(IF((SUM(B1434:F1434))&gt;L1449,L1449*K1433,SUM(B1434:F1434)*K1433),2)</f>
        <v>0</v>
      </c>
      <c r="L1434" s="76">
        <f>ROUND(IF((SUM(B1434:F1434))&gt;L1450,L1450*L1433,(SUM(B1434:F1434)-C1434)*L1433),2)</f>
        <v>0</v>
      </c>
      <c r="M1434" s="76">
        <f>ROUND(IF((SUM(B1434:F1434))&gt;L1450,L1450*M1433,(SUM(B1434:F1434)-C1434)*M1433),2)</f>
        <v>0</v>
      </c>
      <c r="N1434" s="76">
        <f>ROUND(IF((SUM(B1434:F1434))&gt;L1450,L1450*N1433,SUM(B1434:F1434)*N1433),2)</f>
        <v>0</v>
      </c>
      <c r="O1434" s="23">
        <f>ROUND(SUM(B1434+C1434+F1434)*O1433,2)</f>
        <v>0</v>
      </c>
      <c r="P1434" s="27">
        <f>SUM(G1434:O1434)</f>
        <v>0</v>
      </c>
    </row>
    <row r="1435" spans="1:16" s="1" customFormat="1" x14ac:dyDescent="0.2">
      <c r="A1435" s="100" t="str">
        <f>$A$27</f>
        <v>Feb 2022</v>
      </c>
      <c r="B1435" s="24">
        <f>ROUND(IF(N1415=0,0,IFERROR(((LOOKUP(2,1/(A1422:A1425=A1435),G1422:G1425))*N1415*4.348),B1434/N1415*N1415)),2)</f>
        <v>0</v>
      </c>
      <c r="C1435" s="23">
        <f>ROUND(IFERROR(((LOOKUP(2,1/(B1427=A1435),((SUM(B1440:B1442)+SUM(F1440:F1442))/3)*C1427))),0)+IFERROR(((LOOKUP(2,1/(E1427=A1435),(B1446+F1446)*F1427))),0),2)</f>
        <v>0</v>
      </c>
      <c r="D1435" s="23">
        <f>ROUND(IF(B1435=0,0,D1433/L1415*N1415),2)</f>
        <v>0</v>
      </c>
      <c r="E1435" s="23">
        <f>ROUND(IF(B1435=0,0,E1433/N1411*N1415),2)</f>
        <v>0</v>
      </c>
      <c r="F1435" s="24">
        <f>ROUND(IF(N1415=0,0,IFERROR(((LOOKUP(2,1/(A1422:A1425=A1435),H1422:H1425))/N1411*N1415),F1434/N1415*N1415)),2)</f>
        <v>0</v>
      </c>
      <c r="G1435" s="27">
        <f t="shared" ref="G1435:G1445" si="162">SUM(B1435+C1435+E1435+F1435)</f>
        <v>0</v>
      </c>
      <c r="H1435" s="76">
        <f>ROUND(IF(SUM(B1434:F1434)&lt;(L1449*1),IF((SUM(B1434:F1435))&gt;(L1449*2),(((L1449*2)-(SUM(B1434:F1435)-C1434))*H1433)+((SUM(B1435:F1435)-C1434)*H1433),SUM(B1435:F1435)*H1433),IF(SUM(B1434:F1435)&gt;(L1449*2),L1449*H1433,SUM(B1435:F1435)*H1433)),2)</f>
        <v>0</v>
      </c>
      <c r="I1435" s="76">
        <f>ROUND(IF(SUM(B1434:F1434)&lt;(L1450*1),IF((SUM(B1434:F1435))&gt;(L1450*2),(((L1450*2)-(SUM(B1434:F1435)-C1434))*I1433)+((SUM(B1435:F1435)-C1434)*I1433),SUM(B1435:F1435)*I1433),IF(SUM(B1434:F1435)&gt;(L1450*2),L1450*I1433,SUM(B1435:F1435)*I1433)),2)</f>
        <v>0</v>
      </c>
      <c r="J1435" s="76">
        <f>ROUND(IF(SUM(B1434:F1434)&lt;(L1450*1),IF((SUM(B1434:F1435))&gt;(L1450*2),(((L1450*2)-(SUM(B1434:F1435)-C1434))*J1433)+((SUM(B1435:F1435)-C1434)*J1433),SUM(B1435:F1435)*J1433),IF(SUM(B1434:F1435)&gt;(L1450*2),L1450*J1433,SUM(B1435:F1435)*J1433)),2)</f>
        <v>0</v>
      </c>
      <c r="K1435" s="76">
        <f>ROUND(IF(SUM(B1434:F1434)&lt;(L1449*1),IF((SUM(B1434:F1435))&gt;(L1449*2),(((L1449*2)-(SUM(B1434:F1435)-C1434))*K1433)+((SUM(B1435:F1435)-C1434)*K1433),SUM(B1435:F1435)*K1433),IF(SUM(B1434:F1435)&gt;(L1449*2),L1449*K1433,SUM(B1435:F1435)*K1433)),2)</f>
        <v>0</v>
      </c>
      <c r="L1435" s="76">
        <f>ROUND(IF(SUM(B1434:F1434)&lt;(L1450*1),IF((SUM(B1434:F1435))&gt;(L1450*2),(((L1450*2)-(SUM(B1434:F1435)-C1435))*L1433)+((SUM(B1435:F1435)-C1435)*L1433),(SUM(B1435:F1435)-C1435)*L1433),IF(SUM(B1434:F1435)&gt;(L1450*2),L1450*L1433,SUM(B1435:F1435)*L1433)),2)</f>
        <v>0</v>
      </c>
      <c r="M1435" s="76">
        <f>ROUND(IF(SUM(B1434:F1434)&lt;(L1450*1),IF((SUM(B1434:F1435))&gt;(L1450*2),(((L1450*2)-(SUM(B1434:F1435)-C1435))*M1433)+((SUM(B1435:F1435)-C1435)*M1433),(SUM(B1435:F1435)-C1435)*M1433),IF(SUM(B1434:F1435)&gt;(L1450*2),L1450*M1433,SUM(B1435:F1435)*M1433)),2)</f>
        <v>0</v>
      </c>
      <c r="N1435" s="76">
        <f>ROUND(IF(SUM(B1434:F1434)&lt;(L1450*1),IF((SUM(B1434:F1435))&gt;(L1450*2),(((L1450*2)-(SUM(B1434:F1435)-C1434))*N1433)+((SUM(B1435:F1435)-C1434)*N1433),SUM(B1435:F1435)*N1433),IF(SUM(B1434:F1435)&gt;(L1450*2),L1450*N1433,SUM(B1435:F1435)*N1433)),2)</f>
        <v>0</v>
      </c>
      <c r="O1435" s="23">
        <f>ROUND(SUM(B1435+C1435+F1435)*O1433,2)</f>
        <v>0</v>
      </c>
      <c r="P1435" s="27">
        <f>SUM(G1435:O1435)</f>
        <v>0</v>
      </c>
    </row>
    <row r="1436" spans="1:16" s="1" customFormat="1" x14ac:dyDescent="0.2">
      <c r="A1436" s="100" t="str">
        <f>$A$28</f>
        <v>Mrz 2022</v>
      </c>
      <c r="B1436" s="24">
        <f>ROUND(IF(N1416=0,0,IFERROR(((LOOKUP(2,1/(A1422:A1425=A1436),G1422:G1425))*N1416*4.348),B1435/N1416*N1416)),2)</f>
        <v>0</v>
      </c>
      <c r="C1436" s="23">
        <f>ROUND(IFERROR(((LOOKUP(2,1/(B1427=A1436),((SUM(B1440:B1442)+SUM(F1440:F1442))/3)*C1427))),0)+IFERROR(((LOOKUP(2,1/(E1427=A1436),(B1446+F1446)*F1427))),0),2)</f>
        <v>0</v>
      </c>
      <c r="D1436" s="23">
        <f>ROUND(IF(B1436=0,0,D1433/L1415*N1416),2)</f>
        <v>0</v>
      </c>
      <c r="E1436" s="23">
        <f>ROUND(IF(B1436=0,0,E1433/N1411*N1416),2)</f>
        <v>0</v>
      </c>
      <c r="F1436" s="24">
        <f>ROUND(IF(N1416=0,0,IFERROR(((LOOKUP(2,1/(A1422:A1425=A1436),H1422:H1425))/N1411*N1416),F1435/N1416*N1416)),2)</f>
        <v>0</v>
      </c>
      <c r="G1436" s="27">
        <f t="shared" si="162"/>
        <v>0</v>
      </c>
      <c r="H1436" s="76">
        <f>ROUND(IF(SUM(B1434:F1435)&lt;(L1449*2),IF((SUM(B1434:F1436))&gt;(L1449*3),(((L1449*3)-(SUM(B1434:F1436)-C1435))*H1433)+((SUM(B1436:F1436)-C1435)*H1433),SUM(B1436:F1436)*H1433),IF(SUM(B1434:F1436)&gt;(L1449*3),L1449*H1433,SUM(B1436:F1436)*H1433)),2)</f>
        <v>0</v>
      </c>
      <c r="I1436" s="76">
        <f>ROUND(IF(SUM(B1434:F1435)&lt;(L1450*2),IF((SUM(B1434:F1436))&gt;(L1450*3),(((L1450*3)-(SUM(B1434:F1436)-C1435))*I1433)+((SUM(B1436:F1436)-C1435)*I1433),SUM(B1436:F1436)*I1433),IF(SUM(B1434:F1436)&gt;(L1450*3),L1450*I1433,SUM(B1436:F1436)*I1433)),2)</f>
        <v>0</v>
      </c>
      <c r="J1436" s="76">
        <f>ROUND(IF(SUM(B1434:F1435)&lt;(L1450*2),IF((SUM(B1434:F1436))&gt;(L1450*3),(((L1450*3)-(SUM(B1434:F1436)-C1435))*J1433)+((SUM(B1436:F1436)-C1435)*J1433),SUM(B1436:F1436)*J1433),IF(SUM(B1434:F1436)&gt;(L1450*3),L1450*J1433,SUM(B1436:F1436)*J1433)),2)</f>
        <v>0</v>
      </c>
      <c r="K1436" s="76">
        <f>ROUND(IF(SUM(B1434:F1435)&lt;(L1449*2),IF((SUM(B1434:F1436))&gt;(L1449*3),(((L1449*3)-(SUM(B1434:F1436)-C1435))*K1433)+((SUM(B1436:F1436)-C1435)*K1433),SUM(B1436:F1436)*K1433),IF(SUM(B1434:F1436)&gt;(L1449*3),L1449*K1433,SUM(B1436:F1436)*K1433)),2)</f>
        <v>0</v>
      </c>
      <c r="L1436" s="76">
        <f>ROUND(IF(SUM(B1434:F1435)&lt;(L1450*2),IF((SUM(B1434:F1436))&gt;(L1450*3),(((L1450*3)-(SUM(B1434:F1436)-C1436))*L1433)+((SUM(B1436:F1436)-C1436)*L1433),(SUM(B1436:F1436)-C1436)*L1433),IF(SUM(B1434:F1436)&gt;(L1450*3),L1450*L1433,SUM(B1436:F1436)*L1433)),2)</f>
        <v>0</v>
      </c>
      <c r="M1436" s="76">
        <f>ROUND(IF(SUM(B1434:F1435)&lt;(L1450*2),IF((SUM(B1434:F1436))&gt;(L1450*3),(((L1450*3)-(SUM(B1434:F1436)-C1436))*M1433)+((SUM(B1436:F1436)-C1436)*M1433),(SUM(B1436:F1436)-C1436)*M1433),IF(SUM(B1434:F1436)&gt;(L1450*3),L1450*M1433,SUM(B1436:F1436)*M1433)),2)</f>
        <v>0</v>
      </c>
      <c r="N1436" s="76">
        <f>ROUND(IF(SUM(B1434:F1435)&lt;(L1450*2),IF((SUM(B1434:F1436))&gt;(L1450*3),(((L1450*3)-(SUM(B1434:F1436)-C1435))*N1433)+((SUM(B1436:F1436)-C1435)*N1433),SUM(B1436:F1436)*N1433),IF(SUM(B1434:F1436)&gt;(L1450*3),L1450*N1433,SUM(B1436:F1436)*N1433)),2)</f>
        <v>0</v>
      </c>
      <c r="O1436" s="23">
        <f>ROUND(SUM(B1436+C1436+F1436)*O1433,2)</f>
        <v>0</v>
      </c>
      <c r="P1436" s="27">
        <f t="shared" ref="P1436:P1445" si="163">SUM(G1436:O1436)</f>
        <v>0</v>
      </c>
    </row>
    <row r="1437" spans="1:16" s="1" customFormat="1" x14ac:dyDescent="0.2">
      <c r="A1437" s="100" t="str">
        <f>$A$29</f>
        <v>Apr 2022</v>
      </c>
      <c r="B1437" s="24">
        <f>ROUND(IF(N1417=0,0,IFERROR(((LOOKUP(2,1/(A1422:A1425=A1437),G1422:G1425))*N1417*4.348),B1436/N1417*N1417)),2)</f>
        <v>0</v>
      </c>
      <c r="C1437" s="23">
        <f>ROUND(IFERROR(((LOOKUP(2,1/(B1427=A1437),((SUM(B1440:B1442)+SUM(F1440:F1442))/3)*C1427))),0)+IFERROR(((LOOKUP(2,1/(E1427=A1437),(B1446+F1446)*F1427))),0),2)</f>
        <v>0</v>
      </c>
      <c r="D1437" s="23">
        <f>ROUND(IF(B1437=0,0,D1433/L1415*N1417),2)</f>
        <v>0</v>
      </c>
      <c r="E1437" s="23">
        <f>ROUND(IF(B1437=0,0,E1433/N1411*N1417),2)</f>
        <v>0</v>
      </c>
      <c r="F1437" s="24">
        <f>ROUND(IF(N1417=0,0,IFERROR(((LOOKUP(2,1/(A1422:A1425=A1437),H1422:H1425))/N1411*N1417),F1436/N1417*N1417)),2)</f>
        <v>0</v>
      </c>
      <c r="G1437" s="27">
        <f t="shared" si="162"/>
        <v>0</v>
      </c>
      <c r="H1437" s="76">
        <f>ROUND(IF(SUM(B1434:F1436)&lt;(L1449*3),IF((SUM(B1434:F1437))&gt;(L1449*4),(((L1449*4)-(SUM(B1434:F1437)-C1436))*H1433)+((SUM(B1437:F1437)-C1436)*H1433),SUM(B1437:F1437)*H1433),IF(SUM(B1434:F1437)&gt;(L1449*4),L1449*H1433,SUM(B1437:F1437)*H1433)),2)</f>
        <v>0</v>
      </c>
      <c r="I1437" s="76">
        <f>ROUND(IF(SUM(B1434:F1436)&lt;(L1450*3),IF((SUM(B1434:F1437))&gt;(L1450*4),(((L1450*4)-(SUM(B1434:F1437)-C1436))*I1433)+((SUM(B1437:F1437)-C1436)*I1433),SUM(B1437:F1437)*I1433),IF(SUM(B1434:F1437)&gt;(L1450*4),L1450*I1433,SUM(B1437:F1437)*I1433)),2)</f>
        <v>0</v>
      </c>
      <c r="J1437" s="76">
        <f>ROUND(IF(SUM(B1434:F1436)&lt;(L1450*3),IF((SUM(B1434:F1437))&gt;(L1450*4),(((L1450*4)-(SUM(B1434:F1437)-C1436))*J1433)+((SUM(B1437:F1437)-C1436)*J1433),SUM(B1437:F1437)*J1433),IF(SUM(B1434:F1437)&gt;(L1450*4),L1450*J1433,SUM(B1437:F1437)*J1433)),2)</f>
        <v>0</v>
      </c>
      <c r="K1437" s="76">
        <f>ROUND(IF(SUM(B1434:F1436)&lt;(L1449*3),IF((SUM(B1434:F1437))&gt;(L1449*4),(((L1449*4)-(SUM(B1434:F1437)-C1436))*K1433)+((SUM(B1437:F1437)-C1436)*K1433),SUM(B1437:F1437)*K1433),IF(SUM(B1434:F1437)&gt;(L1449*4),L1449*K1433,SUM(B1437:F1437)*K1433)),2)</f>
        <v>0</v>
      </c>
      <c r="L1437" s="76">
        <f>ROUND(IF(SUM(B1434:F1436)&lt;(L1450*3),IF((SUM(B1434:F1437))&gt;(L1450*4),(((L1450*4)-(SUM(B1434:F1437)-C1437))*L1433)+((SUM(B1437:F1437)-C1437)*L1433),(SUM(B1437:F1437)-C1437)*L1433),IF(SUM(B1434:F1437)&gt;(L1450*4),L1450*L1433,SUM(B1437:F1437)*L1433)),2)</f>
        <v>0</v>
      </c>
      <c r="M1437" s="76">
        <f>ROUND(IF(SUM(B1434:F1436)&lt;(L1450*3),IF((SUM(B1434:F1437))&gt;(L1450*4),(((L1450*4)-(SUM(B1434:F1437)-C1437))*M1433)+((SUM(B1437:F1437)-C1437)*M1433),(SUM(B1437:F1437)-C1437)*M1433),IF(SUM(B1434:F1437)&gt;(L1450*4),L1450*M1433,SUM(B1437:F1437)*M1433)),2)</f>
        <v>0</v>
      </c>
      <c r="N1437" s="76">
        <f>ROUND(IF(SUM(B1434:F1436)&lt;(L1450*3),IF((SUM(B1434:F1437))&gt;(L1450*4),(((L1450*4)-(SUM(B1434:F1437)-C1436))*N1433)+((SUM(B1437:F1437)-C1436)*N1433),SUM(B1437:F1437)*N1433),IF(SUM(B1434:F1437)&gt;(L1450*4),L1450*N1433,SUM(B1437:F1437)*N1433)),2)</f>
        <v>0</v>
      </c>
      <c r="O1437" s="23">
        <f>ROUND(SUM(B1437+C1437+F1437)*O1433,2)</f>
        <v>0</v>
      </c>
      <c r="P1437" s="27">
        <f t="shared" si="163"/>
        <v>0</v>
      </c>
    </row>
    <row r="1438" spans="1:16" s="1" customFormat="1" x14ac:dyDescent="0.2">
      <c r="A1438" s="100" t="str">
        <f>$A$30</f>
        <v>Mai 2022</v>
      </c>
      <c r="B1438" s="24">
        <f>ROUND(IF(N1418=0,0,IFERROR(((LOOKUP(2,1/(A1422:A1425=A1438),G1422:G1425))*N1418*4.348),B1437/N1418*N1418)),2)</f>
        <v>0</v>
      </c>
      <c r="C1438" s="23">
        <f>ROUND(IFERROR(((LOOKUP(2,1/(B1427=A1438),((SUM(B1440:B1442)+SUM(F1440:F1442))/3)*C1427))),0)+IFERROR(((LOOKUP(2,1/(E1427=A1438),(B1446+F1446)*F1427))),0),2)</f>
        <v>0</v>
      </c>
      <c r="D1438" s="23">
        <f>ROUND(IF(B1438=0,0,D1433/L1415*N1418),2)</f>
        <v>0</v>
      </c>
      <c r="E1438" s="23">
        <f>ROUND(IF(B1438=0,0,E1433/N1411*N1418),2)</f>
        <v>0</v>
      </c>
      <c r="F1438" s="24">
        <f>ROUND(IF(N1418=0,0,IFERROR(((LOOKUP(2,1/(A1422:A1425=A1438),H1422:H1425))/N1411*N1418),F1437/N1418*N1418)),2)</f>
        <v>0</v>
      </c>
      <c r="G1438" s="27">
        <f t="shared" si="162"/>
        <v>0</v>
      </c>
      <c r="H1438" s="76">
        <f>ROUND(IF(SUM(B1434:F1437)&lt;(L1449*4),IF((SUM(B1434:F1438))&gt;(L1449*5),(((L1449*5)-(SUM(B1434:F1438)-C1437))*H1433)+((SUM(B1438:F1438)-C1437)*H1433),SUM(B1438:F1438)*H1433),IF(SUM(B1434:F1438)&gt;(L1449*5),L1449*H1433,SUM(B1438:F1438)*H1433)),2)</f>
        <v>0</v>
      </c>
      <c r="I1438" s="76">
        <f>ROUND(IF(SUM(B1434:F1437)&lt;(L1450*4),IF((SUM(B1434:F1438))&gt;(L1450*5),(((L1450*5)-(SUM(B1434:F1438)-C1437))*I1433)+((SUM(B1438:F1438)-C1437)*I1433),SUM(B1438:F1438)*I1433),IF(SUM(B1434:F1438)&gt;(L1450*5),L1450*I1433,SUM(B1438:F1438)*I1433)),2)</f>
        <v>0</v>
      </c>
      <c r="J1438" s="76">
        <f>ROUND(IF(SUM(B1434:F1437)&lt;(L1450*4),IF((SUM(B1434:F1438))&gt;(L1450*5),(((L1450*5)-(SUM(B1434:F1438)-C1437))*J1433)+((SUM(B1438:F1438)-C1437)*J1433),SUM(B1438:F1438)*J1433),IF(SUM(B1434:F1438)&gt;(L1450*5),L1450*J1433,SUM(B1438:F1438)*J1433)),2)</f>
        <v>0</v>
      </c>
      <c r="K1438" s="76">
        <f>ROUND(IF(SUM(B1434:F1437)&lt;(L1449*4),IF((SUM(B1434:F1438))&gt;(L1449*5),(((L1449*5)-(SUM(B1434:F1438)-C1437))*K1433)+((SUM(B1438:F1438)-C1437)*K1433),SUM(B1438:F1438)*K1433),IF(SUM(B1434:F1438)&gt;(L1449*5),L1449*K1433,SUM(B1438:F1438)*K1433)),2)</f>
        <v>0</v>
      </c>
      <c r="L1438" s="76">
        <f>ROUND(IF(SUM(B1434:F1437)&lt;(L1450*4),IF((SUM(B1434:F1438))&gt;(L1450*5),(((L1450*5)-(SUM(B1434:F1438)-C1438))*L1433)+((SUM(B1438:F1438)-C1438)*L1433),(SUM(B1438:F1438)-C1438)*L1433),IF(SUM(B1434:F1438)&gt;(L1450*5),L1450*L1433,SUM(B1438:F1438)*L1433)),2)</f>
        <v>0</v>
      </c>
      <c r="M1438" s="76">
        <f>ROUND(IF(SUM(B1434:F1437)&lt;(L1450*4),IF((SUM(B1434:F1438))&gt;(L1450*5),(((L1450*5)-(SUM(B1434:F1438)-C1438))*M1433)+((SUM(B1438:F1438)-C1438)*M1433),(SUM(B1438:F1438)-C1438)*M1433),IF(SUM(B1434:F1438)&gt;(L1450*5),L1450*M1433,SUM(B1438:F1438)*M1433)),2)</f>
        <v>0</v>
      </c>
      <c r="N1438" s="76">
        <f>ROUND(IF(SUM(B1434:F1437)&lt;(L1450*4),IF((SUM(B1434:F1438))&gt;(L1450*5),(((L1450*5)-(SUM(B1434:F1438)-C1437))*N1433)+((SUM(B1438:F1438)-C1437)*N1433),SUM(B1438:F1438)*N1433),IF(SUM(B1434:F1438)&gt;(L1450*5),L1450*N1433,SUM(B1438:F1438)*N1433)),2)</f>
        <v>0</v>
      </c>
      <c r="O1438" s="23">
        <f>ROUND(SUM(B1438+C1438+F1438)*O1433,2)</f>
        <v>0</v>
      </c>
      <c r="P1438" s="27">
        <f t="shared" si="163"/>
        <v>0</v>
      </c>
    </row>
    <row r="1439" spans="1:16" s="1" customFormat="1" x14ac:dyDescent="0.2">
      <c r="A1439" s="100" t="str">
        <f>$A$31</f>
        <v>Jun 2022</v>
      </c>
      <c r="B1439" s="24">
        <f>ROUND(IF(N1419=0,0,IFERROR(((LOOKUP(2,1/(A1422:A1425=A1439),G1422:G1425))*N1419*4.348),B1438/N1419*N1419)),2)</f>
        <v>0</v>
      </c>
      <c r="C1439" s="23">
        <f>ROUND(IFERROR(((LOOKUP(2,1/(B1427=A1439),((SUM(B1440:B1442)+SUM(F1440:F1442))/3)*C1427))),0)+IFERROR(((LOOKUP(2,1/(E1427=A1439),(B1446+F1446)*F1427))),0),2)</f>
        <v>0</v>
      </c>
      <c r="D1439" s="23">
        <f>ROUND(IF(B1439=0,0,D1433/L1415*N1419),2)</f>
        <v>0</v>
      </c>
      <c r="E1439" s="23">
        <f>ROUND(IF(B1439=0,0,E1433/N1411*N1419),2)</f>
        <v>0</v>
      </c>
      <c r="F1439" s="24">
        <f>ROUND(IF(N1419=0,0,IFERROR(((LOOKUP(2,1/(A1422:A1425=A1439),H1422:H1425))/N1411*N1419),F1438/N1419*N1419)),2)</f>
        <v>0</v>
      </c>
      <c r="G1439" s="27">
        <f t="shared" si="162"/>
        <v>0</v>
      </c>
      <c r="H1439" s="76">
        <f>ROUND(IF(SUM(B1434:F1438)&lt;(L1449*5),IF((SUM(B1434:F1439))&gt;(L1449*6),(((L1449*6)-(SUM(B1434:F1439)-C1438))*H1433)+((SUM(B1439:F1439)-C1438)*H1433),SUM(B1439:F1439)*H1433),IF(SUM(B1434:F1439)&gt;(L1449*6),L1449*H1433,SUM(B1439:F1439)*H1433)),2)</f>
        <v>0</v>
      </c>
      <c r="I1439" s="76">
        <f>ROUND(IF(SUM(B1434:F1438)&lt;(L1450*5),IF((SUM(B1434:F1439))&gt;(L1450*6),(((L1450*6)-(SUM(B1434:F1439)-C1438))*I1433)+((SUM(B1439:F1439)-C1438)*I1433),SUM(B1439:F1439)*I1433),IF(SUM(B1434:F1439)&gt;(L1450*6),L1450*I1433,SUM(B1439:F1439)*I1433)),2)</f>
        <v>0</v>
      </c>
      <c r="J1439" s="76">
        <f>ROUND(IF(SUM(B1434:F1438)&lt;(L1450*5),IF((SUM(B1434:F1439))&gt;(L1450*6),(((L1450*6)-(SUM(B1434:F1439)-C1438))*J1433)+((SUM(B1439:F1439)-C1438)*J1433),SUM(B1439:F1439)*J1433),IF(SUM(B1434:F1439)&gt;(L1450*6),L1450*J1433,SUM(B1439:F1439)*J1433)),2)</f>
        <v>0</v>
      </c>
      <c r="K1439" s="76">
        <f>ROUND(IF(SUM(B1434:F1438)&lt;(L1449*5),IF((SUM(B1434:F1439))&gt;(L1449*6),(((L1449*6)-(SUM(B1434:F1439)-C1438))*K1433)+((SUM(B1439:F1439)-C1438)*K1433),SUM(B1439:F1439)*K1433),IF(SUM(B1434:F1439)&gt;(L1449*6),L1449*K1433,SUM(B1439:F1439)*K1433)),2)</f>
        <v>0</v>
      </c>
      <c r="L1439" s="76">
        <f>ROUND(IF(SUM(B1434:F1438)&lt;(L1450*5),IF((SUM(B1434:F1439))&gt;(L1450*6),(((L1450*6)-(SUM(B1434:F1439)-C1439))*L1433)+((SUM(B1439:F1439)-C1439)*L1433),(SUM(B1439:F1439)-C1439)*L1433),IF(SUM(B1434:F1439)&gt;(L1450*6),L1450*L1433,SUM(B1439:F1439)*L1433)),2)</f>
        <v>0</v>
      </c>
      <c r="M1439" s="76">
        <f>ROUND(IF(SUM(B1434:F1438)&lt;(L1450*5),IF((SUM(B1434:F1439))&gt;(L1450*6),(((L1450*6)-(SUM(B1434:F1439)-C1439))*M1433)+((SUM(B1439:F1439)-C1439)*M1433),(SUM(B1439:F1439)-C1439)*M1433),IF(SUM(B1434:F1439)&gt;(L1450*6),L1450*M1433,SUM(B1439:F1439)*M1433)),2)</f>
        <v>0</v>
      </c>
      <c r="N1439" s="76">
        <f>ROUND(IF(SUM(B1434:F1438)&lt;(L1450*5),IF((SUM(B1434:F1439))&gt;(L1450*6),(((L1450*6)-(SUM(B1434:F1439)-C1438))*N1433)+((SUM(B1439:F1439)-C1438)*N1433),SUM(B1439:F1439)*N1433),IF(SUM(B1434:F1439)&gt;(L1450*6),L1450*N1433,SUM(B1439:F1439)*N1433)),2)</f>
        <v>0</v>
      </c>
      <c r="O1439" s="23">
        <f>ROUND(SUM(B1439+C1439+F1439)*O1433,2)</f>
        <v>0</v>
      </c>
      <c r="P1439" s="27">
        <f t="shared" si="163"/>
        <v>0</v>
      </c>
    </row>
    <row r="1440" spans="1:16" s="1" customFormat="1" x14ac:dyDescent="0.2">
      <c r="A1440" s="100" t="str">
        <f>$A$32</f>
        <v>Jul 2022</v>
      </c>
      <c r="B1440" s="24">
        <f>ROUND(IF(P1414=0,0,IFERROR(((LOOKUP(2,1/(A1422:A1425=A1440),G1422:G1425))*P1414*4.348),B1439/P1414*P1414)),2)</f>
        <v>0</v>
      </c>
      <c r="C1440" s="23">
        <f>ROUND(IFERROR(((LOOKUP(2,1/(B1427=A1440),((SUM(B1440:B1442)+SUM(F1440:F1442))/3)*C1427))),0)+IFERROR(((LOOKUP(2,1/(E1427=A1440),(B1446+F1446)*F1427))),0),2)</f>
        <v>0</v>
      </c>
      <c r="D1440" s="23">
        <f>ROUND(IF(B1440=0,0,D1433/L1415*P1414),2)</f>
        <v>0</v>
      </c>
      <c r="E1440" s="23">
        <f>ROUND(IF(B1440=0,0,E1433/N1411*P1414),2)</f>
        <v>0</v>
      </c>
      <c r="F1440" s="24">
        <f>ROUND(IF(P1414=0,0,IFERROR(((LOOKUP(2,1/(A1422:A1425=A1440),H1422:H1425))/N1411*P1414),F1439/P1414*P1414)),2)</f>
        <v>0</v>
      </c>
      <c r="G1440" s="27">
        <f t="shared" si="162"/>
        <v>0</v>
      </c>
      <c r="H1440" s="76">
        <f>ROUND(IF(SUM(B1434:F1439)&lt;(L1449*6),IF((SUM(B1434:F1440))&gt;(L1449*7),(((L1449*7)-(SUM(B1434:F1440)-C1439))*H1433)+((SUM(B1440:F1440)-C1439)*H1433),SUM(B1440:F1440)*H1433),IF(SUM(B1434:F1440)&gt;(L1449*7),L1449*H1433,SUM(B1440:F1440)*H1433)),2)</f>
        <v>0</v>
      </c>
      <c r="I1440" s="76">
        <f>ROUND(IF(SUM(B1434:F1439)&lt;(L1450*6),IF((SUM(B1434:F1440))&gt;(L1450*7),(((L1450*7)-(SUM(B1434:F1440)-C1439))*I1433)+((SUM(B1440:F1440)-C1439)*I1433),SUM(B1440:F1440)*I1433),IF(SUM(B1434:F1440)&gt;(L1450*7),L1450*I1433,SUM(B1440:F1440)*I1433)),2)</f>
        <v>0</v>
      </c>
      <c r="J1440" s="76">
        <f>ROUND(IF(SUM(B1434:F1439)&lt;(L1450*6),IF((SUM(B1434:F1440))&gt;(L1450*7),(((L1450*7)-(SUM(B1434:F1440)-C1439))*J1433)+((SUM(B1440:F1440)-C1439)*J1433),SUM(B1440:F1440)*J1433),IF(SUM(B1434:F1440)&gt;(L1450*7),L1450*J1433,SUM(B1440:F1440)*J1433)),2)</f>
        <v>0</v>
      </c>
      <c r="K1440" s="76">
        <f>ROUND(IF(SUM(B1434:F1439)&lt;(L1449*6),IF((SUM(B1434:F1440))&gt;(L1449*7),(((L1449*7)-(SUM(B1434:F1440)-C1439))*K1433)+((SUM(B1440:F1440)-C1439)*K1433),SUM(B1440:F1440)*K1433),IF(SUM(B1434:F1440)&gt;(L1449*7),L1449*K1433,SUM(B1440:F1440)*K1433)),2)</f>
        <v>0</v>
      </c>
      <c r="L1440" s="76">
        <f>ROUND(IF(SUM(B1434:F1439)&lt;(L1450*6),IF((SUM(B1434:F1440))&gt;(L1450*7),(((L1450*7)-(SUM(B1434:F1440)-C1440))*L1433)+((SUM(B1440:F1440)-C1440)*L1433),(SUM(B1440:F1440)-C1440)*L1433),IF(SUM(B1434:F1440)&gt;(L1450*7),L1450*L1433,SUM(B1440:F1440)*L1433)),2)</f>
        <v>0</v>
      </c>
      <c r="M1440" s="76">
        <f>ROUND(IF(SUM(B1434:F1439)&lt;(L1450*6),IF((SUM(B1434:F1440))&gt;(L1450*7),(((L1450*7)-(SUM(B1434:F1440)-C1440))*M1433)+((SUM(B1440:F1440)-C1440)*M1433),(SUM(B1440:F1440)-C1440)*M1433),IF(SUM(B1434:F1440)&gt;(L1450*7),L1450*M1433,SUM(B1440:F1440)*M1433)),2)</f>
        <v>0</v>
      </c>
      <c r="N1440" s="76">
        <f>ROUND(IF(SUM(B1434:F1439)&lt;(L1450*6),IF((SUM(B1434:F1440))&gt;(L1450*7),(((L1450*7)-(SUM(B1434:F1440)-C1439))*N1433)+((SUM(B1440:F1440)-C1439)*N1433),SUM(B1440:F1440)*N1433),IF(SUM(B1434:F1440)&gt;(L1450*7),L1450*N1433,SUM(B1440:F1440)*N1433)),2)</f>
        <v>0</v>
      </c>
      <c r="O1440" s="23">
        <f>ROUND(SUM(B1440+C1440+F1440)*O1433,2)</f>
        <v>0</v>
      </c>
      <c r="P1440" s="27">
        <f t="shared" si="163"/>
        <v>0</v>
      </c>
    </row>
    <row r="1441" spans="1:16" s="1" customFormat="1" x14ac:dyDescent="0.2">
      <c r="A1441" s="100" t="str">
        <f>$A$33</f>
        <v>Aug 2022</v>
      </c>
      <c r="B1441" s="24">
        <f>ROUND(IF(P1415=0,0,IFERROR(((LOOKUP(2,1/(A1422:A1425=A1441),G1422:G1425))*P1415*4.348),B1440/P1415*P1415)),2)</f>
        <v>0</v>
      </c>
      <c r="C1441" s="23">
        <f>ROUND(IFERROR(((LOOKUP(2,1/(B1427=A1441),((SUM(B1440:B1442)+SUM(F1440:F1442))/3)*C1427))),0)+IFERROR(((LOOKUP(2,1/(E1427=A1441),(B1446+F1446)*F1427))),0),2)</f>
        <v>0</v>
      </c>
      <c r="D1441" s="23">
        <f>ROUND(IF(B1441=0,0,D1433/L1415*P1415),2)</f>
        <v>0</v>
      </c>
      <c r="E1441" s="23">
        <f>ROUND(IF(B1441=0,0,E1433/N1411*P1415),2)</f>
        <v>0</v>
      </c>
      <c r="F1441" s="24">
        <f>ROUND(IF(P1415=0,0,IFERROR(((LOOKUP(2,1/(A1422:A1425=A1441),H1422:H1425))/N1411*P1415),F1440/P1415*P1415)),2)</f>
        <v>0</v>
      </c>
      <c r="G1441" s="27">
        <f t="shared" si="162"/>
        <v>0</v>
      </c>
      <c r="H1441" s="76">
        <f>ROUND(IF(SUM(B1434:F1440)&lt;(L1449*7),IF((SUM(B1434:F1441))&gt;(L1449*8),(((L1449*8)-(SUM(B1434:F1441)-C1440))*H1433)+((SUM(B1441:F1441)-C1440)*H1433),SUM(B1441:F1441)*H1433),IF(SUM(B1434:F1441)&gt;(L1449*8),L1449*H1433,SUM(B1441:F1441)*H1433)),2)</f>
        <v>0</v>
      </c>
      <c r="I1441" s="76">
        <f>ROUND(IF(SUM(B1434:F1440)&lt;(L1450*7),IF((SUM(B1434:F1441))&gt;(L1450*8),(((L1450*8)-(SUM(B1434:F1441)-C1440))*I1433)+((SUM(B1441:F1441)-C1440)*I1433),SUM(B1441:F1441)*I1433),IF(SUM(B1434:F1441)&gt;(L1450*8),L1450*I1433,SUM(B1441:F1441)*I1433)),2)</f>
        <v>0</v>
      </c>
      <c r="J1441" s="76">
        <f>ROUND(IF(SUM(B1434:F1440)&lt;(L1450*7),IF((SUM(B1434:F1441))&gt;(L1450*8),(((L1450*8)-(SUM(B1434:F1441)-C1440))*J1433)+((SUM(B1441:F1441)-C1440)*J1433),SUM(B1441:F1441)*J1433),IF(SUM(B1434:F1441)&gt;(L1450*8),L1450*J1433,SUM(B1441:F1441)*J1433)),2)</f>
        <v>0</v>
      </c>
      <c r="K1441" s="76">
        <f>ROUND(IF(SUM(B1434:F1440)&lt;(L1449*7),IF((SUM(B1434:F1441))&gt;(L1449*8),(((L1449*8)-(SUM(B1434:F1441)-C1440))*K1433)+((SUM(B1441:F1441)-C1440)*K1433),SUM(B1441:F1441)*K1433),IF(SUM(B1434:F1441)&gt;(L1449*8),L1449*K1433,SUM(B1441:F1441)*K1433)),2)</f>
        <v>0</v>
      </c>
      <c r="L1441" s="76">
        <f>ROUND(IF(SUM(B1434:F1440)&lt;(L1450*7),IF((SUM(B1434:F1441))&gt;(L1450*8),(((L1450*8)-(SUM(B1434:F1441)-C1441))*L1433)+((SUM(B1441:F1441)-C1441)*L1433),(SUM(B1441:F1441)-C1441)*L1433),IF(SUM(B1434:F1441)&gt;(L1450*8),L1450*L1433,SUM(B1441:F1441)*L1433)),2)</f>
        <v>0</v>
      </c>
      <c r="M1441" s="76">
        <f>ROUND(IF(SUM(B1434:F1440)&lt;(L1450*7),IF((SUM(B1434:F1441))&gt;(L1450*8),(((L1450*8)-(SUM(B1434:F1441)-C1441))*M1433)+((SUM(B1441:F1441)-C1441)*M1433),(SUM(B1441:F1441)-C1441)*M1433),IF(SUM(B1434:F1441)&gt;(L1450*8),L1450*M1433,SUM(B1441:F1441)*M1433)),2)</f>
        <v>0</v>
      </c>
      <c r="N1441" s="76">
        <f>ROUND(IF(SUM(B1434:F1440)&lt;(L1450*7),IF((SUM(B1434:F1441))&gt;(L1450*8),(((L1450*8)-(SUM(B1434:F1441)-C1440))*N1433)+((SUM(B1441:F1441)-C1440)*N1433),SUM(B1441:F1441)*N1433),IF(SUM(B1434:F1441)&gt;(L1450*8),L1450*N1433,SUM(B1441:F1441)*N1433)),2)</f>
        <v>0</v>
      </c>
      <c r="O1441" s="23">
        <f>ROUND(SUM(B1441+C1441+F1441)*O1433,2)</f>
        <v>0</v>
      </c>
      <c r="P1441" s="27">
        <f t="shared" si="163"/>
        <v>0</v>
      </c>
    </row>
    <row r="1442" spans="1:16" s="1" customFormat="1" x14ac:dyDescent="0.2">
      <c r="A1442" s="100" t="str">
        <f>$A$34</f>
        <v>Sep 2022</v>
      </c>
      <c r="B1442" s="24">
        <f>ROUND(IF(P1416=0,0,IFERROR(((LOOKUP(2,1/(A1422:A1425=A1442),G1422:G1425))*P1416*4.348),B1441/P1416*P1416)),2)</f>
        <v>0</v>
      </c>
      <c r="C1442" s="23">
        <f>ROUND(IFERROR(((LOOKUP(2,1/(B1427=A1442),((SUM(B1440:B1442)+SUM(F1440:F1442))/3)*C1427))),0)+IFERROR(((LOOKUP(2,1/(E1427=A1442),(B1446+F1446)*F1427))),0),2)</f>
        <v>0</v>
      </c>
      <c r="D1442" s="23">
        <f>ROUND(IF(B1442=0,0,D1433/L1415*P1416),2)</f>
        <v>0</v>
      </c>
      <c r="E1442" s="23">
        <f>ROUND(IF(B1442=0,0,E1433/N1411*P1416),2)</f>
        <v>0</v>
      </c>
      <c r="F1442" s="24">
        <f>ROUND(IF(P1416=0,0,IFERROR(((LOOKUP(2,1/(A1422:A1425=A1442),H1422:H1425))/N1411*P1416),F1441/P1416*P1416)),2)</f>
        <v>0</v>
      </c>
      <c r="G1442" s="27">
        <f t="shared" si="162"/>
        <v>0</v>
      </c>
      <c r="H1442" s="76">
        <f>ROUND(IF(SUM(B1434:F1441)&lt;(L1449*8),IF((SUM(B1434:F1442))&gt;(L1449*9),(((L1449*9)-(SUM(B1434:F1442)-C1441))*H1433)+((SUM(B1442:F1442)-C1441)*H1433),SUM(B1442:F1442)*H1433),IF(SUM(B1434:F1442)&gt;(L1449*9),L1449*H1433,SUM(B1442:F1442)*H1433)),2)</f>
        <v>0</v>
      </c>
      <c r="I1442" s="76">
        <f>ROUND(IF(SUM(B1434:F1441)&lt;(L1450*8),IF((SUM(B1434:F1442))&gt;(L1450*9),(((L1450*9)-(SUM(B1434:F1442)-C1441))*I1433)+((SUM(B1442:F1442)-C1441)*I1433),SUM(B1442:F1442)*I1433),IF(SUM(B1434:F1442)&gt;(L1450*9),L1450*I1433,SUM(B1442:F1442)*I1433)),2)</f>
        <v>0</v>
      </c>
      <c r="J1442" s="76">
        <f>ROUND(IF(SUM(B1434:F1441)&lt;(L1450*8),IF((SUM(B1434:F1442))&gt;(L1450*9),(((L1450*9)-(SUM(B1434:F1442)-C1441))*J1433)+((SUM(B1442:F1442)-C1441)*J1433),SUM(B1442:F1442)*J1433),IF(SUM(B1434:F1442)&gt;(L1450*9),L1450*J1433,SUM(B1442:F1442)*J1433)),2)</f>
        <v>0</v>
      </c>
      <c r="K1442" s="76">
        <f>ROUND(IF(SUM(B1434:F1441)&lt;(L1449*8),IF((SUM(B1434:F1442))&gt;(L1449*9),(((L1449*9)-(SUM(B1434:F1442)-C1441))*K1433)+((SUM(B1442:F1442)-C1441)*K1433),SUM(B1442:F1442)*K1433),IF(SUM(B1434:F1442)&gt;(L1449*9),L1449*K1433,SUM(B1442:F1442)*K1433)),2)</f>
        <v>0</v>
      </c>
      <c r="L1442" s="76">
        <f>ROUND(IF(SUM(B1434:F1441)&lt;(L1450*8),IF((SUM(B1434:F1442))&gt;(L1450*9),(((L1450*9)-(SUM(B1434:F1442)-C1442))*L1433)+((SUM(B1442:F1442)-C1442)*L1433),(SUM(B1442:F1442)-C1442)*L1433),IF(SUM(B1434:F1442)&gt;(L1450*9),L1450*L1433,SUM(B1442:F1442)*L1433)),2)</f>
        <v>0</v>
      </c>
      <c r="M1442" s="76">
        <f>ROUND(IF(SUM(B1434:F1441)&lt;(L1450*8),IF((SUM(B1434:F1442))&gt;(L1450*9),(((L1450*9)-(SUM(B1434:F1442)-C1442))*M1433)+((SUM(B1442:F1442)-C1442)*M1433),(SUM(B1442:F1442)-C1442)*M1433),IF(SUM(B1434:F1442)&gt;(L1450*9),L1450*M1433,SUM(B1442:F1442)*M1433)),2)</f>
        <v>0</v>
      </c>
      <c r="N1442" s="76">
        <f>ROUND(IF(SUM(B1434:F1441)&lt;(L1450*8),IF((SUM(B1434:F1442))&gt;(L1450*9),(((L1450*9)-(SUM(B1434:F1442)-C1441))*N1433)+((SUM(B1442:F1442)-C1441)*N1433),SUM(B1442:F1442)*N1433),IF(SUM(B1434:F1442)&gt;(L1450*9),L1450*N1433,SUM(B1442:F1442)*N1433)),2)</f>
        <v>0</v>
      </c>
      <c r="O1442" s="23">
        <f>ROUND(SUM(B1442+C1442+F1442)*O1433,2)</f>
        <v>0</v>
      </c>
      <c r="P1442" s="27">
        <f t="shared" si="163"/>
        <v>0</v>
      </c>
    </row>
    <row r="1443" spans="1:16" s="1" customFormat="1" x14ac:dyDescent="0.2">
      <c r="A1443" s="100" t="str">
        <f>$A$35</f>
        <v>Okt 2022</v>
      </c>
      <c r="B1443" s="24">
        <f>ROUND(IF(P1417=0,0,IFERROR(((LOOKUP(2,1/(A1422:A1425=A1443),G1422:G1425))*P1417*4.348),B1442/P1417*P1417)),2)</f>
        <v>0</v>
      </c>
      <c r="C1443" s="23">
        <f>ROUND(IFERROR(((LOOKUP(2,1/(B1427=A1443),((SUM(B1440:B1442)+SUM(F1440:F1442))/3)*C1427))),0)+IFERROR(((LOOKUP(2,1/(E1427=A1443),(B1446+F1446)*F1427))),0),2)</f>
        <v>0</v>
      </c>
      <c r="D1443" s="23">
        <f>ROUND(IF(B1443=0,0,D1433/L1415*P1417),2)</f>
        <v>0</v>
      </c>
      <c r="E1443" s="23">
        <f>ROUND(IF(B1443=0,0,E1433/N1411*P1417),2)</f>
        <v>0</v>
      </c>
      <c r="F1443" s="24">
        <f>ROUND(IF(P1417=0,0,IFERROR(((LOOKUP(2,1/(A1422:A1425=A1443),H1422:H1425))/N1411*P1417),F1442/P1417*P1417)),2)</f>
        <v>0</v>
      </c>
      <c r="G1443" s="27">
        <f t="shared" si="162"/>
        <v>0</v>
      </c>
      <c r="H1443" s="76">
        <f>ROUND(IF(SUM(B1434:F1442)&lt;(L1449*9),IF((SUM(B1434:F1443))&gt;(L1449*10),(((L1449*10)-(SUM(B1434:F1443)-C1442))*H1433)+((SUM(B1443:F1443)-C1442)*H1433),SUM(B1443:F1443)*H1433),IF(SUM(B1434:F1443)&gt;(L1449*10),L1449*H1433,SUM(B1443:F1443)*H1433)),2)</f>
        <v>0</v>
      </c>
      <c r="I1443" s="76">
        <f>ROUND(IF(SUM(B1434:F1442)&lt;(L1450*9),IF((SUM(B1434:F1443))&gt;(L1450*10),(((L1450*10)-(SUM(B1434:F1443)-C1442))*I1433)+((SUM(B1443:F1443)-C1442)*I1433),SUM(B1443:F1443)*I1433),IF(SUM(B1434:F1443)&gt;(L1450*10),L1450*I1433,SUM(B1443:F1443)*I1433)),2)</f>
        <v>0</v>
      </c>
      <c r="J1443" s="76">
        <f>ROUND(IF(SUM(B1434:F1442)&lt;(L1450*9),IF((SUM(B1434:F1443))&gt;(L1450*10),(((L1450*10)-(SUM(B1434:F1443)-C1442))*J1433)+((SUM(B1443:F1443)-C1442)*J1433),SUM(B1443:F1443)*J1433),IF(SUM(B1434:F1443)&gt;(L1450*10),L1450*J1433,SUM(B1443:F1443)*J1433)),2)</f>
        <v>0</v>
      </c>
      <c r="K1443" s="76">
        <f>ROUND(IF(SUM(B1434:F1442)&lt;(L1449*9),IF((SUM(B1434:F1443))&gt;(L1449*10),(((L1449*10)-(SUM(B1434:F1443)-C1442))*K1433)+((SUM(B1443:F1443)-C1442)*K1433),SUM(B1443:F1443)*K1433),IF(SUM(B1434:F1443)&gt;(L1449*10),L1449*K1433,SUM(B1443:F1443)*K1433)),2)</f>
        <v>0</v>
      </c>
      <c r="L1443" s="76">
        <f>ROUND(IF(SUM(B1434:F1442)&lt;(L1450*9),IF((SUM(B1434:F1443))&gt;(L1450*10),(((L1450*10)-(SUM(B1434:F1443)-C1443))*L1433)+((SUM(B1443:F1443)-C1443)*L1433),(SUM(B1443:F1443)-C1443)*L1433),IF(SUM(B1434:F1443)&gt;(L1450*10),L1450*L1433,SUM(B1443:F1443)*L1433)),2)</f>
        <v>0</v>
      </c>
      <c r="M1443" s="76">
        <f>ROUND(IF(SUM(B1434:F1442)&lt;(L1450*9),IF((SUM(B1434:F1443))&gt;(L1450*10),(((L1450*10)-(SUM(B1434:F1443)-C1443))*M1433)+((SUM(B1443:F1443)-C1443)*M1433),(SUM(B1443:F1443)-C1443)*M1433),IF(SUM(B1434:F1443)&gt;(L1450*10),L1450*M1433,SUM(B1443:F1443)*M1433)),2)</f>
        <v>0</v>
      </c>
      <c r="N1443" s="76">
        <f>ROUND(IF(SUM(B1434:F1442)&lt;(L1450*9),IF((SUM(B1434:F1443))&gt;(L1450*10),(((L1450*10)-(SUM(B1434:F1443)-C1442))*N1433)+((SUM(B1443:F1443)-C1442)*N1433),SUM(B1443:F1443)*N1433),IF(SUM(B1434:F1443)&gt;(L1450*10),L1450*N1433,SUM(B1443:F1443)*N1433)),2)</f>
        <v>0</v>
      </c>
      <c r="O1443" s="23">
        <f>ROUND(SUM(B1443+C1443+F1443)*O1433,2)</f>
        <v>0</v>
      </c>
      <c r="P1443" s="27">
        <f t="shared" si="163"/>
        <v>0</v>
      </c>
    </row>
    <row r="1444" spans="1:16" s="1" customFormat="1" x14ac:dyDescent="0.2">
      <c r="A1444" s="100" t="str">
        <f>$A$36</f>
        <v>Nov 2022</v>
      </c>
      <c r="B1444" s="24">
        <f>ROUND(IF(P1418=0,0,IFERROR(((LOOKUP(2,1/(A1422:A1425=A1444),G1422:G1425))*P1418*4.348),B1443/P1418*P1418)),2)</f>
        <v>0</v>
      </c>
      <c r="C1444" s="23">
        <f>ROUND(IFERROR(((LOOKUP(2,1/(B1427=A1444),((SUM(B1440:B1442)+SUM(F1440:F1442))/3)*C1427))),0)+IFERROR(((LOOKUP(2,1/(E1427=A1444),(B1446+F1446)*F1427))),0),2)</f>
        <v>0</v>
      </c>
      <c r="D1444" s="23">
        <f>ROUND(IF(B1444=0,0,D1433/L1415*P1418),2)</f>
        <v>0</v>
      </c>
      <c r="E1444" s="23">
        <f>ROUND(IF(B1444=0,0,E1433/N1411*P1418),2)</f>
        <v>0</v>
      </c>
      <c r="F1444" s="24">
        <f>ROUND(IF(P1418=0,0,IFERROR(((LOOKUP(2,1/(A1422:A1425=A1444),H1422:H1425))/N1411*P1418),F1443/P1418*P1418)),2)</f>
        <v>0</v>
      </c>
      <c r="G1444" s="27">
        <f t="shared" si="162"/>
        <v>0</v>
      </c>
      <c r="H1444" s="76">
        <f>ROUND(IF(SUM(B1434:F1443)&lt;(L1449*10),IF((SUM(B1434:F1444))&gt;(L1449*11),(((L1449*11)-(SUM(B1434:F1444)-C1443))*H1433)+((SUM(B1444:F1444)-C1443)*H1433),SUM(B1444:F1444)*H1433),IF(SUM(B1434:F1444)&gt;(L1449*11),L1449*H1433,SUM(B1444:F1444)*H1433)),2)</f>
        <v>0</v>
      </c>
      <c r="I1444" s="76">
        <f>ROUND(IF(SUM(B1434:F1443)&lt;(L1450*10),IF((SUM(B1434:F1444))&gt;(L1450*11),(((L1450*11)-(SUM(B1434:F1444)-C1443))*I1433)+((SUM(B1444:F1444)-C1443)*I1433),SUM(B1444:F1444)*I1433),IF(SUM(B1434:F1444)&gt;(L1450*11),L1450*I1433,SUM(B1444:F1444)*I1433)),2)</f>
        <v>0</v>
      </c>
      <c r="J1444" s="76">
        <f>ROUND(IF(SUM(B1434:F1443)&lt;(L1450*10),IF((SUM(B1434:F1444))&gt;(L1450*11),(((L1450*11)-(SUM(B1434:F1444)-C1443))*J1433)+((SUM(B1444:F1444)-C1443)*J1433),SUM(B1444:F1444)*J1433),IF(SUM(B1434:F1444)&gt;(L1450*11),L1450*J1433,SUM(B1444:F1444)*J1433)),2)</f>
        <v>0</v>
      </c>
      <c r="K1444" s="76">
        <f>ROUND(IF(SUM(B1434:F1443)&lt;(L1449*10),IF((SUM(B1434:F1444))&gt;(L1449*11),(((L1449*11)-(SUM(B1434:F1444)-C1443))*K1433)+((SUM(B1444:F1444)-C1443)*K1433),SUM(B1444:F1444)*K1433),IF(SUM(B1434:F1444)&gt;(L1449*11),L1449*K1433,SUM(B1444:F1444)*K1433)),2)</f>
        <v>0</v>
      </c>
      <c r="L1444" s="76">
        <f>ROUND(IF(SUM(B1434:F1443)&lt;(L1450*10),IF((SUM(B1434:F1444))&gt;(L1450*11),(((L1450*11)-(SUM(B1434:F1444)-C1444))*L1433)+((SUM(B1444:F1444)-C1444)*L1433),(SUM(B1444:F1444)-C1444)*L1433),IF(SUM(B1434:F1444)&gt;(L1450*11),L1450*L1433,SUM(B1444:F1444)*L1433)),2)</f>
        <v>0</v>
      </c>
      <c r="M1444" s="76">
        <f>ROUND(IF(SUM(B1434:F1443)&lt;(L1450*10),IF((SUM(B1434:F1444))&gt;(L1450*11),(((L1450*11)-(SUM(B1434:F1444)-C1444))*M1433)+((SUM(B1444:F1444)-C1444)*M1433),(SUM(B1444:F1444)-C1444)*M1433),IF(SUM(B1434:F1444)&gt;(L1450*11),L1450*M1433,SUM(B1444:F1444)*M1433)),2)</f>
        <v>0</v>
      </c>
      <c r="N1444" s="76">
        <f>ROUND(IF(SUM(B1434:F1443)&lt;(L1450*10),IF((SUM(B1434:F1444))&gt;(L1450*11),(((L1450*11)-(SUM(B1434:F1444)-C1443))*N1433)+((SUM(B1444:F1444)-C1443)*N1433),SUM(B1444:F1444)*N1433),IF(SUM(B1434:F1444)&gt;(L1450*11),L1450*N1433,SUM(B1444:F1444)*N1433)),2)</f>
        <v>0</v>
      </c>
      <c r="O1444" s="23">
        <f>ROUND(SUM(B1444+C1444+F1444)*O1433,2)</f>
        <v>0</v>
      </c>
      <c r="P1444" s="27">
        <f t="shared" si="163"/>
        <v>0</v>
      </c>
    </row>
    <row r="1445" spans="1:16" s="1" customFormat="1" x14ac:dyDescent="0.2">
      <c r="A1445" s="100" t="str">
        <f>$A$37</f>
        <v>Dez 2022</v>
      </c>
      <c r="B1445" s="24">
        <f>ROUND(IF(P1419=0,0,IFERROR(((LOOKUP(2,1/(A1422:A1425=A1445),G1422:G1425))*P1419*4.348),B1444/P1419*P1419)),2)</f>
        <v>0</v>
      </c>
      <c r="C1445" s="23">
        <f>ROUND(IFERROR(((LOOKUP(2,1/(B1427=A1445),((SUM(B1440:B1442)+SUM(F1440:F1442))/3)*C1427))),0)+IFERROR(((LOOKUP(2,1/(E1427=A1445),(B1446+F1446)*F1427))),0),2)</f>
        <v>0</v>
      </c>
      <c r="D1445" s="23">
        <f>ROUND(IF(B1445=0,0,D1433/L1415*P1419),2)</f>
        <v>0</v>
      </c>
      <c r="E1445" s="23">
        <f>ROUND(IF(B1445=0,0,E1433/N1411*P1419),2)</f>
        <v>0</v>
      </c>
      <c r="F1445" s="24">
        <f>ROUND(IF(P1419=0,0,IFERROR(((LOOKUP(2,1/(A1422:A1425=A1445),H1422:H1425))/N1411*P1419),F1444/P1419*P1419)),2)</f>
        <v>0</v>
      </c>
      <c r="G1445" s="27">
        <f t="shared" si="162"/>
        <v>0</v>
      </c>
      <c r="H1445" s="76">
        <f>ROUND(IF(SUM(B1434:F1444)&lt;(L1449*11),IF((SUM(B1434:F1445))&gt;(L1449*12),(((L1449*12)-(SUM(B1434:F1445)-C1444))*H1433)+((SUM(B1445:F1445)-C1444)*H1433),SUM(B1445:F1445)*H1433),IF(SUM(B1434:F1445)&gt;(L1449*12),L1449*H1433,SUM(B1445:F1445)*H1433)),2)</f>
        <v>0</v>
      </c>
      <c r="I1445" s="76">
        <f>ROUND(IF(SUM(B1434:F1444)&lt;(L1450*11),IF((SUM(B1434:F1445))&gt;(L1450*12),(((L1450*12)-(SUM(B1434:F1445)-C1444))*I1433)+((SUM(B1445:F1445)-C1444)*I1433),SUM(B1445:F1445)*I1433),IF(SUM(B1434:F1445)&gt;(L1450*12),L1450*I1433,SUM(B1445:F1445)*I1433)),2)</f>
        <v>0</v>
      </c>
      <c r="J1445" s="76">
        <f>ROUND(IF(SUM(B1434:F1444)&lt;(L1450*11),IF((SUM(B1434:F1445))&gt;(L1450*12),(((L1450*12)-(SUM(B1434:F1445)-C1444))*J1433)+((SUM(B1445:F1445)-C1444)*J1433),SUM(B1445:F1445)*J1433),IF(SUM(B1434:F1445)&gt;(L1450*12),L1450*J1433,SUM(B1445:F1445)*J1433)),2)</f>
        <v>0</v>
      </c>
      <c r="K1445" s="76">
        <f>ROUND(IF(SUM(B1434:F1444)&lt;(L1449*11),IF((SUM(B1434:F1445))&gt;(L1449*12),(((L1449*12)-(SUM(B1434:F1445)-C1444))*K1433)+((SUM(B1445:F1445)-C1444)*K1433),SUM(B1445:F1445)*K1433),IF(SUM(B1434:F1445)&gt;(L1449*12),L1449*K1433,SUM(B1445:F1445)*K1433)),2)</f>
        <v>0</v>
      </c>
      <c r="L1445" s="76">
        <f>ROUND(IF(SUM(B1434:F1444)&lt;(L1450*11),IF((SUM(B1434:F1445))&gt;(L1450*12),(((L1450*12)-(SUM(B1434:F1445)-C1445))*L1433)+((SUM(B1445:F1445)-C1445)*L1433),(SUM(B1445:F1445)-C1445)*L1433),IF(SUM(B1434:F1445)&gt;(L1450*12),L1450*L1433,SUM(B1445:F1445)*L1433)),2)</f>
        <v>0</v>
      </c>
      <c r="M1445" s="76">
        <f>ROUND(IF(SUM(B1434:F1444)&lt;(L1450*11),IF((SUM(B1434:F1445))&gt;(L1450*12),(((L1450*12)-(SUM(B1434:F1445)-C1445))*M1433)+((SUM(B1445:F1445)-C1445)*M1433),(SUM(B1445:F1445)-C1445)*M1433),IF(SUM(B1434:F1445)&gt;(L1450*12),L1450*M1433,SUM(B1445:F1445)*M1433)),2)</f>
        <v>0</v>
      </c>
      <c r="N1445" s="76">
        <f>ROUND(IF(SUM(B1434:F1444)&lt;(L1450*11),IF((SUM(B1434:F1445))&gt;(L1450*12),(((L1450*12)-(SUM(B1434:F1445)-C1444))*N1433)+((SUM(B1445:F1445)-C1444)*N1433),SUM(B1445:F1445)*N1433),IF(SUM(B1434:F1445)&gt;(L1450*12),L1450*N1433,SUM(B1445:F1445)*N1433)),2)</f>
        <v>0</v>
      </c>
      <c r="O1445" s="23">
        <f>ROUND(SUM(B1445+C1445+F1445)*O1433,2)</f>
        <v>0</v>
      </c>
      <c r="P1445" s="27">
        <f t="shared" si="163"/>
        <v>0</v>
      </c>
    </row>
    <row r="1446" spans="1:16" s="14" customFormat="1" ht="15" x14ac:dyDescent="0.25">
      <c r="A1446" s="4" t="s">
        <v>2</v>
      </c>
      <c r="B1446" s="27">
        <f>SUM(B1434:B1445)</f>
        <v>0</v>
      </c>
      <c r="C1446" s="27">
        <f t="shared" ref="C1446:D1446" si="164">SUM(C1434:C1445)</f>
        <v>0</v>
      </c>
      <c r="D1446" s="27">
        <f t="shared" si="164"/>
        <v>0</v>
      </c>
      <c r="E1446" s="27">
        <f>SUM(E1434:E1445)</f>
        <v>0</v>
      </c>
      <c r="F1446" s="27">
        <f>SUM(F1434:F1445)</f>
        <v>0</v>
      </c>
      <c r="G1446" s="27">
        <f>SUM(G1434:G1445)</f>
        <v>0</v>
      </c>
      <c r="H1446" s="1133">
        <f>SUM(H1434:N1445)</f>
        <v>0</v>
      </c>
      <c r="I1446" s="1134"/>
      <c r="J1446" s="1134"/>
      <c r="K1446" s="1134"/>
      <c r="L1446" s="1134"/>
      <c r="M1446" s="1134"/>
      <c r="N1446" s="1135"/>
      <c r="O1446" s="27">
        <f>SUM(O1434:O1445)</f>
        <v>0</v>
      </c>
      <c r="P1446" s="27">
        <f>SUM(P1434:P1445)</f>
        <v>0</v>
      </c>
    </row>
    <row r="1447" spans="1:16" s="13" customFormat="1" ht="11.25" x14ac:dyDescent="0.2">
      <c r="A1447" s="3" t="s">
        <v>1</v>
      </c>
      <c r="B1447" s="2"/>
      <c r="C1447" s="2"/>
      <c r="D1447" s="2"/>
      <c r="E1447" s="2"/>
      <c r="F1447" s="2"/>
      <c r="G1447" s="2"/>
      <c r="H1447" s="2"/>
      <c r="I1447" s="2"/>
      <c r="J1447" s="2"/>
      <c r="K1447" s="2"/>
      <c r="L1447" s="2"/>
      <c r="M1447" s="2"/>
      <c r="N1447" s="2"/>
      <c r="O1447" s="2"/>
      <c r="P1447" s="2"/>
    </row>
    <row r="1448" spans="1:16" s="1" customFormat="1" ht="14.25" customHeight="1" x14ac:dyDescent="0.2">
      <c r="A1448" s="1136" t="s">
        <v>133</v>
      </c>
      <c r="B1448" s="1137"/>
      <c r="C1448" s="1137"/>
      <c r="D1448" s="1137" t="s">
        <v>134</v>
      </c>
      <c r="E1448" s="1137"/>
      <c r="F1448" s="94" t="str">
        <f>IF(IF(G1446=0,"",'päd.Personal - Leitung'!$F$40)=0,"",IF(G1446=0,"",'päd.Personal - Leitung'!$F$40))</f>
        <v/>
      </c>
      <c r="G1448" s="77" t="s">
        <v>135</v>
      </c>
      <c r="H1448" s="96" t="str">
        <f>IF(IF(G1446=0,"",'päd.Personal - Leitung'!$H$40)=0,"",IF(G1446=0,"",'päd.Personal - Leitung'!$H$40))</f>
        <v/>
      </c>
      <c r="I1448" s="73"/>
      <c r="J1448" s="194" t="s">
        <v>160</v>
      </c>
      <c r="K1448" s="194" t="str">
        <f>$K$40</f>
        <v>2021</v>
      </c>
      <c r="L1448" s="194" t="str">
        <f>$L$40</f>
        <v>anteilig 2021</v>
      </c>
      <c r="M1448" s="1138" t="s">
        <v>140</v>
      </c>
      <c r="N1448" s="1138"/>
      <c r="O1448" s="1139"/>
      <c r="P1448" s="27">
        <f>ROUND(IF(F1448="",IF(E1452="",0,(E1452*H1452/K1452)/L1415*L1416),G1446*F1448*H1448/1000),2)</f>
        <v>0</v>
      </c>
    </row>
    <row r="1449" spans="1:16" s="1" customFormat="1" ht="15" customHeight="1" x14ac:dyDescent="0.2">
      <c r="A1449" s="1140" t="s">
        <v>145</v>
      </c>
      <c r="B1449" s="1141"/>
      <c r="C1449" s="1141"/>
      <c r="D1449" s="18"/>
      <c r="E1449" s="107" t="s">
        <v>135</v>
      </c>
      <c r="F1449" s="95" t="str">
        <f>IF(IF(G1446=0,"",'päd.Personal - Leitung'!$F$41)=0,"",IF(G1446=0,"",'päd.Personal - Leitung'!$F$41))</f>
        <v/>
      </c>
      <c r="G1449" s="48"/>
      <c r="H1449" s="47"/>
      <c r="I1449" s="48"/>
      <c r="J1449" s="195" t="s">
        <v>158</v>
      </c>
      <c r="K1449" s="198">
        <f>$K$41</f>
        <v>4837.5</v>
      </c>
      <c r="L1449" s="197">
        <f>IF(L1415="",K1449,K1449/L1415*L1416)</f>
        <v>4837.5</v>
      </c>
      <c r="M1449" s="1138" t="s">
        <v>139</v>
      </c>
      <c r="N1449" s="1138"/>
      <c r="O1449" s="1139"/>
      <c r="P1449" s="27">
        <f>ROUND(IF(F1449="",0,G1446*F1449/1000),2)</f>
        <v>0</v>
      </c>
    </row>
    <row r="1450" spans="1:16" s="1" customFormat="1" ht="15.75" customHeight="1" x14ac:dyDescent="0.2">
      <c r="A1450" s="1142" t="s">
        <v>141</v>
      </c>
      <c r="B1450" s="1143"/>
      <c r="C1450" s="1143"/>
      <c r="D1450" s="1144" t="s">
        <v>143</v>
      </c>
      <c r="E1450" s="1144"/>
      <c r="F1450" s="1145" t="str">
        <f>IF(IF(G1446=0,"",'päd.Personal - Leitung'!$F$42)=0,"",IF(G1446=0,"",'päd.Personal - Leitung'!$F$42))</f>
        <v/>
      </c>
      <c r="G1450" s="1145"/>
      <c r="H1450" s="72"/>
      <c r="I1450" s="18"/>
      <c r="J1450" s="195" t="s">
        <v>159</v>
      </c>
      <c r="K1450" s="197">
        <f>$K$42</f>
        <v>6700</v>
      </c>
      <c r="L1450" s="197">
        <f>IF(L1415="",K1450,K1450/L1415*L1416)</f>
        <v>6700</v>
      </c>
      <c r="M1450" s="1138" t="s">
        <v>141</v>
      </c>
      <c r="N1450" s="1138"/>
      <c r="O1450" s="1139"/>
      <c r="P1450" s="23">
        <f>ROUND(IF(F1450="",0,IF(G1446=0,0,F1450/L1415*L1416)),2)</f>
        <v>0</v>
      </c>
    </row>
    <row r="1451" spans="1:16" s="1" customFormat="1" ht="14.25" customHeight="1" x14ac:dyDescent="0.2">
      <c r="A1451" s="18"/>
      <c r="B1451" s="18"/>
      <c r="C1451" s="18"/>
      <c r="D1451" s="18"/>
      <c r="E1451" s="18"/>
      <c r="F1451" s="18"/>
      <c r="G1451" s="18"/>
      <c r="H1451" s="18"/>
      <c r="I1451" s="18"/>
      <c r="J1451" s="18"/>
      <c r="K1451" s="74"/>
      <c r="L1451" s="82"/>
      <c r="M1451" s="1127" t="s">
        <v>146</v>
      </c>
      <c r="N1451" s="1127"/>
      <c r="O1451" s="1128"/>
      <c r="P1451" s="23">
        <f>ROUND(IF(G1446=0,0,$P$87),2)</f>
        <v>0</v>
      </c>
    </row>
    <row r="1452" spans="1:16" s="1" customFormat="1" ht="14.25" customHeight="1" x14ac:dyDescent="0.2">
      <c r="A1452" s="1129" t="s">
        <v>142</v>
      </c>
      <c r="B1452" s="1130"/>
      <c r="C1452" s="126" t="s">
        <v>136</v>
      </c>
      <c r="D1452" s="179" t="s">
        <v>137</v>
      </c>
      <c r="E1452" s="1131" t="str">
        <f>IF(IF(G1446=0,"",'päd.Personal - Leitung'!$E$44)=0,"",IF(G1446=0,"",'päd.Personal - Leitung'!$E$44))</f>
        <v/>
      </c>
      <c r="F1452" s="1131"/>
      <c r="G1452" s="83" t="s">
        <v>138</v>
      </c>
      <c r="H1452" s="97" t="str">
        <f>IF(IF(G1446=0,"",'päd.Personal - Leitung'!$H$44)=0,"",IF(G1446=0,"",'päd.Personal - Leitung'!$H$44))</f>
        <v/>
      </c>
      <c r="I1452" s="1132" t="s">
        <v>144</v>
      </c>
      <c r="J1452" s="1132"/>
      <c r="K1452" s="98" t="str">
        <f>IF(IF(G1446=0,"",'päd.Personal - Leitung'!$K$44)=0,"",IF(G1446=0,"",'päd.Personal - Leitung'!$K$44))</f>
        <v/>
      </c>
      <c r="L1452" s="29"/>
      <c r="M1452" s="29"/>
      <c r="N1452" s="29"/>
      <c r="O1452" s="28" t="s">
        <v>0</v>
      </c>
      <c r="P1452" s="27">
        <f>P1446+SUM(P1448:P1451)</f>
        <v>0</v>
      </c>
    </row>
    <row r="1453" spans="1:16" s="12" customFormat="1" ht="13.5" customHeight="1" x14ac:dyDescent="0.2">
      <c r="A1453" s="1178" t="s">
        <v>18</v>
      </c>
      <c r="B1453" s="1178"/>
      <c r="C1453" s="1178"/>
      <c r="D1453" s="1179" t="str">
        <f>IF($D$1="","",$D$1)</f>
        <v/>
      </c>
      <c r="E1453" s="1179"/>
      <c r="F1453" s="1179"/>
      <c r="G1453" s="1179"/>
      <c r="H1453" s="1179"/>
      <c r="I1453" s="1179"/>
      <c r="J1453" s="1179"/>
      <c r="K1453" s="1179"/>
      <c r="L1453" s="1179"/>
      <c r="M1453" s="1179"/>
      <c r="N1453" s="1179"/>
    </row>
    <row r="1454" spans="1:16" s="12" customFormat="1" ht="15" customHeight="1" x14ac:dyDescent="0.2">
      <c r="A1454" s="1178" t="s">
        <v>17</v>
      </c>
      <c r="B1454" s="1178"/>
      <c r="C1454" s="1178" t="s">
        <v>15</v>
      </c>
      <c r="D1454" s="1179" t="str">
        <f>IF($D$2="","",$D$2)</f>
        <v/>
      </c>
      <c r="E1454" s="1179"/>
      <c r="F1454" s="1179"/>
      <c r="G1454" s="1179"/>
      <c r="H1454" s="1179"/>
      <c r="I1454" s="1179"/>
      <c r="J1454" s="1179"/>
      <c r="K1454" s="1179"/>
      <c r="L1454" s="1179"/>
      <c r="M1454" s="1179"/>
      <c r="N1454" s="1179"/>
    </row>
    <row r="1455" spans="1:16" s="12" customFormat="1" ht="15" customHeight="1" x14ac:dyDescent="0.2">
      <c r="A1455" s="1178" t="s">
        <v>16</v>
      </c>
      <c r="B1455" s="1178"/>
      <c r="C1455" s="1178" t="s">
        <v>15</v>
      </c>
      <c r="D1455" s="1179" t="str">
        <f>IF($D$3="","",$D$3)</f>
        <v/>
      </c>
      <c r="E1455" s="1179"/>
      <c r="F1455" s="1179"/>
      <c r="G1455" s="1179"/>
      <c r="H1455" s="1179"/>
      <c r="I1455" s="1179"/>
      <c r="J1455" s="1179"/>
      <c r="K1455" s="1178" t="s">
        <v>103</v>
      </c>
      <c r="L1455" s="1178"/>
      <c r="M1455" s="1178"/>
      <c r="N1455" s="41" t="str">
        <f>IF($N$3="","",$N$3)</f>
        <v/>
      </c>
    </row>
    <row r="1456" spans="1:16" s="13" customFormat="1" ht="11.25" x14ac:dyDescent="0.2">
      <c r="A1456" s="1182"/>
      <c r="B1456" s="1182"/>
      <c r="C1456" s="1182"/>
      <c r="D1456" s="1183"/>
      <c r="E1456" s="1183"/>
      <c r="F1456" s="1183"/>
      <c r="G1456" s="1183"/>
      <c r="H1456" s="1183"/>
      <c r="I1456" s="1183"/>
      <c r="J1456" s="1183"/>
      <c r="K1456" s="11"/>
      <c r="L1456" s="11"/>
      <c r="M1456" s="11"/>
      <c r="N1456" s="11"/>
      <c r="O1456" s="11"/>
      <c r="P1456" s="11"/>
    </row>
    <row r="1457" spans="1:16" s="15" customFormat="1" ht="13.5" customHeight="1" x14ac:dyDescent="0.2">
      <c r="A1457" s="1177" t="s">
        <v>166</v>
      </c>
      <c r="B1457" s="1177"/>
      <c r="C1457" s="1177"/>
      <c r="D1457" s="1177"/>
      <c r="E1457" s="1177"/>
      <c r="F1457" s="1177"/>
      <c r="G1457" s="1177"/>
      <c r="H1457" s="1177"/>
      <c r="I1457" s="1177"/>
      <c r="J1457" s="1177"/>
      <c r="K1457" s="9"/>
      <c r="L1457" s="9"/>
      <c r="M1457" s="9"/>
      <c r="N1457" s="59" t="s">
        <v>154</v>
      </c>
      <c r="O1457" s="191">
        <f>$O$5</f>
        <v>2022</v>
      </c>
      <c r="P1457" s="59" t="s">
        <v>154</v>
      </c>
    </row>
    <row r="1458" spans="1:16" s="10" customFormat="1" ht="13.5" customHeight="1" x14ac:dyDescent="0.25">
      <c r="B1458" s="32"/>
      <c r="C1458" s="32"/>
      <c r="D1458" s="5" t="s">
        <v>216</v>
      </c>
      <c r="E1458" s="31"/>
      <c r="F1458" s="31"/>
      <c r="G1458" s="31"/>
      <c r="H1458" s="31"/>
      <c r="I1458" s="26"/>
      <c r="J1458" s="1174" t="s">
        <v>14</v>
      </c>
      <c r="K1458" s="1174"/>
      <c r="L1458" s="180"/>
      <c r="N1458" s="84">
        <f>IF(L1460="","",L1460)</f>
        <v>0</v>
      </c>
      <c r="O1458" s="58" t="str">
        <f>$O$6</f>
        <v>Jan                Jul</v>
      </c>
      <c r="P1458" s="85">
        <f>IF(N1463="","",N1463)</f>
        <v>0</v>
      </c>
    </row>
    <row r="1459" spans="1:16" s="7" customFormat="1" ht="13.5" customHeight="1" x14ac:dyDescent="0.25">
      <c r="A1459" s="1180" t="s">
        <v>71</v>
      </c>
      <c r="B1459" s="1180"/>
      <c r="C1459" s="1180"/>
      <c r="D1459" s="1184"/>
      <c r="E1459" s="1184"/>
      <c r="F1459" s="1184"/>
      <c r="G1459" s="1184"/>
      <c r="H1459" s="1184"/>
      <c r="I1459" s="1184"/>
      <c r="J1459" s="1174" t="s">
        <v>104</v>
      </c>
      <c r="K1459" s="1174"/>
      <c r="L1459" s="145"/>
      <c r="N1459" s="85">
        <f>IF(N1458="","",N1458)</f>
        <v>0</v>
      </c>
      <c r="O1459" s="58" t="str">
        <f>$O$7</f>
        <v>Feb              Aug</v>
      </c>
      <c r="P1459" s="85">
        <f>IF(P1458="","",P1458)</f>
        <v>0</v>
      </c>
    </row>
    <row r="1460" spans="1:16" s="1" customFormat="1" ht="13.5" customHeight="1" x14ac:dyDescent="0.2">
      <c r="A1460" s="1180" t="s">
        <v>13</v>
      </c>
      <c r="B1460" s="1180"/>
      <c r="C1460" s="1180"/>
      <c r="D1460" s="1181"/>
      <c r="E1460" s="1181"/>
      <c r="F1460" s="1181"/>
      <c r="G1460" s="1181"/>
      <c r="H1460" s="1181"/>
      <c r="I1460" s="1181"/>
      <c r="J1460" s="1174" t="s">
        <v>164</v>
      </c>
      <c r="K1460" s="1174"/>
      <c r="L1460" s="145">
        <f>IF((L1461+L1462)&gt;L1459,0,L1459-L1461-L1462)</f>
        <v>0</v>
      </c>
      <c r="N1460" s="85">
        <f>IF(N1459="","",N1459)</f>
        <v>0</v>
      </c>
      <c r="O1460" s="58" t="str">
        <f>$O$8</f>
        <v>Mrz              Sep</v>
      </c>
      <c r="P1460" s="85">
        <f>IF(P1459="","",P1459)</f>
        <v>0</v>
      </c>
    </row>
    <row r="1461" spans="1:16" s="1" customFormat="1" ht="13.5" customHeight="1" x14ac:dyDescent="0.2">
      <c r="A1461" s="1180" t="s">
        <v>12</v>
      </c>
      <c r="B1461" s="1180"/>
      <c r="C1461" s="1180"/>
      <c r="D1461" s="1181"/>
      <c r="E1461" s="1181"/>
      <c r="F1461" s="1181"/>
      <c r="G1461" s="1181"/>
      <c r="H1461" s="1181"/>
      <c r="I1461" s="1181"/>
      <c r="J1461" s="1174" t="s">
        <v>165</v>
      </c>
      <c r="K1461" s="1174"/>
      <c r="L1461" s="145"/>
      <c r="N1461" s="85">
        <f>IF(N1460="","",N1460)</f>
        <v>0</v>
      </c>
      <c r="O1461" s="58" t="str">
        <f>$O$9</f>
        <v>Apr               Okt</v>
      </c>
      <c r="P1461" s="85">
        <f t="shared" ref="P1461:P1463" si="165">IF(P1460="","",P1460)</f>
        <v>0</v>
      </c>
    </row>
    <row r="1462" spans="1:16" s="1" customFormat="1" ht="13.5" customHeight="1" x14ac:dyDescent="0.2">
      <c r="A1462" s="1180" t="s">
        <v>19</v>
      </c>
      <c r="B1462" s="1180"/>
      <c r="C1462" s="1180"/>
      <c r="D1462" s="1181"/>
      <c r="E1462" s="1181"/>
      <c r="F1462" s="1181"/>
      <c r="G1462" s="1181"/>
      <c r="H1462" s="1181"/>
      <c r="I1462" s="1181"/>
      <c r="J1462" s="1174" t="s">
        <v>252</v>
      </c>
      <c r="K1462" s="1174"/>
      <c r="L1462" s="145"/>
      <c r="M1462" s="92"/>
      <c r="N1462" s="85">
        <f>IF(N1461="","",N1461)</f>
        <v>0</v>
      </c>
      <c r="O1462" s="58" t="str">
        <f>$O$10</f>
        <v>Mai               Nov</v>
      </c>
      <c r="P1462" s="85">
        <f t="shared" si="165"/>
        <v>0</v>
      </c>
    </row>
    <row r="1463" spans="1:16" s="1" customFormat="1" ht="13.5" customHeight="1" x14ac:dyDescent="0.2">
      <c r="B1463" s="8"/>
      <c r="C1463" s="121" t="s">
        <v>162</v>
      </c>
      <c r="D1463" s="1175"/>
      <c r="E1463" s="1175"/>
      <c r="F1463" s="1176" t="s">
        <v>106</v>
      </c>
      <c r="G1463" s="1176"/>
      <c r="H1463" s="1186"/>
      <c r="I1463" s="1186"/>
      <c r="J1463" s="1174" t="s">
        <v>97</v>
      </c>
      <c r="K1463" s="1174"/>
      <c r="L1463" s="17" t="str">
        <f>IF(IF((COUNTIF(B1478:B1489,"&gt;0"))=0,0,(COUNTIF(B1478:B1489,"&gt;0")))&gt;Grundlagen!$C$24,Grundlagen!$C$24,IF((COUNTIF(B1478:B1489,"&gt;0"))=0,"",(COUNTIF(B1478:B1489,"&gt;0"))))</f>
        <v/>
      </c>
      <c r="N1463" s="85">
        <f>IF(N1462="","",N1462)</f>
        <v>0</v>
      </c>
      <c r="O1463" s="58" t="str">
        <f>'päd.Personal - Leitung'!$O$11</f>
        <v>Jun               Dez</v>
      </c>
      <c r="P1463" s="85">
        <f t="shared" si="165"/>
        <v>0</v>
      </c>
    </row>
    <row r="1464" spans="1:16" s="1" customFormat="1" ht="13.5" customHeight="1" x14ac:dyDescent="0.2">
      <c r="I1464" s="6"/>
      <c r="L1464" s="147" t="str">
        <f>IF((SUM(F1466:F1469))=0,"",IF(P1464&gt;L1460,L1460,IF(L1460="","",IF(L1463="","",P1464))))</f>
        <v/>
      </c>
      <c r="O1464" s="174" t="s">
        <v>251</v>
      </c>
      <c r="P1464" s="175">
        <f>IF(L1463="",0,((IF(SUMIF(B1478,"&gt;0"),N1458,0))+(IF(SUMIF(B1479,"&gt;0"),N1459,0))+(IF(SUMIF(B1480,"&gt;0"),N1460,0))+(IF(SUMIF(B1481,"&gt;0"),N1461,0))+(IF(SUMIF(B1482,"&gt;0"),N1462,0))+(IF(SUMIF(B1483,"&gt;0"),N1463,0))+(IF(SUMIF(B1484,"&gt;0"),P1458,0))+(IF(SUMIF(B1485,"&gt;0"),P1459,0))+(IF(SUMIF(B1486,"&gt;0"),P1460,0))+(IF(SUMIF(B1487,"&gt;0"),P1461,0))+(IF(SUMIF(B1488,"&gt;0"),P1462,0))+(IF(SUMIF(B1489,"&gt;0"),P1463,0)))/Grundlagen!$C$24)</f>
        <v>0</v>
      </c>
    </row>
    <row r="1465" spans="1:16" s="52" customFormat="1" ht="13.5" customHeight="1" x14ac:dyDescent="0.2">
      <c r="A1465" s="61" t="s">
        <v>148</v>
      </c>
      <c r="B1465" s="1168" t="s">
        <v>149</v>
      </c>
      <c r="C1465" s="1168"/>
      <c r="D1465" s="62" t="s">
        <v>150</v>
      </c>
      <c r="E1465" s="63" t="s">
        <v>151</v>
      </c>
      <c r="F1465" s="64" t="str">
        <f>CONCATENATE("Entg. ",N1455," h/Wo")</f>
        <v>Entg.  h/Wo</v>
      </c>
      <c r="G1465" s="65" t="s">
        <v>152</v>
      </c>
      <c r="H1465" s="65" t="s">
        <v>153</v>
      </c>
      <c r="K1465" s="1169" t="str">
        <f>CONCATENATE("Zuschläge / Zulagen für ",N1455,"h/Wo")</f>
        <v>Zuschläge / Zulagen für h/Wo</v>
      </c>
      <c r="L1465" s="1169"/>
      <c r="M1465" s="66" t="str">
        <f>IF(A1466="","",A1466)</f>
        <v>Jan 2022</v>
      </c>
      <c r="N1465" s="66" t="str">
        <f>IF(A1467="","",A1467)</f>
        <v/>
      </c>
      <c r="O1465" s="66" t="str">
        <f>IF(A1468="","",A1468)</f>
        <v/>
      </c>
      <c r="P1465" s="66" t="str">
        <f>IF(A1469="","",A1469)</f>
        <v/>
      </c>
    </row>
    <row r="1466" spans="1:16" s="52" customFormat="1" ht="13.5" customHeight="1" x14ac:dyDescent="0.25">
      <c r="A1466" s="54" t="str">
        <f>A1478</f>
        <v>Jan 2022</v>
      </c>
      <c r="B1466" s="1170" t="str">
        <f>IF($D$3="","",$D$3)</f>
        <v/>
      </c>
      <c r="C1466" s="1171"/>
      <c r="D1466" s="181"/>
      <c r="E1466" s="181"/>
      <c r="F1466" s="87"/>
      <c r="G1466" s="56">
        <f>IF(N1455="",0,F1466/N1455/4.348)</f>
        <v>0</v>
      </c>
      <c r="H1466" s="53">
        <f>IF(G1466=0,0,M1471)</f>
        <v>0</v>
      </c>
      <c r="K1466" s="1146"/>
      <c r="L1466" s="1146"/>
      <c r="M1466" s="172"/>
      <c r="N1466" s="172"/>
      <c r="O1466" s="172"/>
      <c r="P1466" s="172"/>
    </row>
    <row r="1467" spans="1:16" s="52" customFormat="1" ht="13.5" customHeight="1" x14ac:dyDescent="0.25">
      <c r="A1467" s="55"/>
      <c r="B1467" s="1172" t="str">
        <f>IF(A1467="","",B1466)</f>
        <v/>
      </c>
      <c r="C1467" s="1173"/>
      <c r="D1467" s="181"/>
      <c r="E1467" s="181"/>
      <c r="F1467" s="87"/>
      <c r="G1467" s="56">
        <f>IF(N1455="",0,F1467/N1455/4.348)</f>
        <v>0</v>
      </c>
      <c r="H1467" s="53">
        <f>IF(G1467=0,0,N1471)</f>
        <v>0</v>
      </c>
      <c r="K1467" s="1146"/>
      <c r="L1467" s="1146"/>
      <c r="M1467" s="172"/>
      <c r="N1467" s="172"/>
      <c r="O1467" s="172"/>
      <c r="P1467" s="172"/>
    </row>
    <row r="1468" spans="1:16" s="52" customFormat="1" ht="13.5" customHeight="1" x14ac:dyDescent="0.25">
      <c r="A1468" s="55"/>
      <c r="B1468" s="1172" t="str">
        <f>IF(A1468="","",B1467)</f>
        <v/>
      </c>
      <c r="C1468" s="1173"/>
      <c r="D1468" s="181"/>
      <c r="E1468" s="181"/>
      <c r="F1468" s="87"/>
      <c r="G1468" s="56">
        <f>IF(N1455="",0,F1468/N1455/4.348)</f>
        <v>0</v>
      </c>
      <c r="H1468" s="53">
        <f>IF(G1468=0,0,O1471)</f>
        <v>0</v>
      </c>
      <c r="K1468" s="1146"/>
      <c r="L1468" s="1146"/>
      <c r="M1468" s="172"/>
      <c r="N1468" s="172"/>
      <c r="O1468" s="172"/>
      <c r="P1468" s="172"/>
    </row>
    <row r="1469" spans="1:16" s="52" customFormat="1" ht="13.5" customHeight="1" x14ac:dyDescent="0.25">
      <c r="A1469" s="55"/>
      <c r="B1469" s="1172" t="str">
        <f>IF(A1469="","",B1468)</f>
        <v/>
      </c>
      <c r="C1469" s="1173"/>
      <c r="D1469" s="181"/>
      <c r="E1469" s="181"/>
      <c r="F1469" s="87"/>
      <c r="G1469" s="56">
        <f>IF(N1455="",0,F1469/N1455/4.348)</f>
        <v>0</v>
      </c>
      <c r="H1469" s="53">
        <f>IF(G1469=0,0,P1471)</f>
        <v>0</v>
      </c>
      <c r="K1469" s="1146"/>
      <c r="L1469" s="1146"/>
      <c r="M1469" s="172"/>
      <c r="N1469" s="172"/>
      <c r="O1469" s="172"/>
      <c r="P1469" s="172"/>
    </row>
    <row r="1470" spans="1:16" s="52" customFormat="1" ht="13.5" customHeight="1" x14ac:dyDescent="0.25">
      <c r="B1470" s="1167" t="s">
        <v>157</v>
      </c>
      <c r="C1470" s="1167"/>
      <c r="E1470" s="1167" t="s">
        <v>156</v>
      </c>
      <c r="F1470" s="1167"/>
      <c r="J1470" s="69"/>
      <c r="K1470" s="1146"/>
      <c r="L1470" s="1146"/>
      <c r="M1470" s="172"/>
      <c r="N1470" s="172"/>
      <c r="O1470" s="172"/>
      <c r="P1470" s="172"/>
    </row>
    <row r="1471" spans="1:16" s="52" customFormat="1" ht="13.5" customHeight="1" x14ac:dyDescent="0.25">
      <c r="A1471" s="70" t="s">
        <v>167</v>
      </c>
      <c r="B1471" s="67"/>
      <c r="C1471" s="99" t="str">
        <f>IF(C1427="","",C1427)</f>
        <v/>
      </c>
      <c r="D1471" s="70" t="s">
        <v>167</v>
      </c>
      <c r="E1471" s="67"/>
      <c r="F1471" s="99" t="str">
        <f>IF(F1427="","",F1427)</f>
        <v/>
      </c>
      <c r="J1471" s="68"/>
      <c r="M1471" s="173">
        <f>SUM(M1466:M1470)</f>
        <v>0</v>
      </c>
      <c r="N1471" s="173">
        <f t="shared" ref="N1471:P1471" si="166">SUM(N1466:N1470)</f>
        <v>0</v>
      </c>
      <c r="O1471" s="173">
        <f t="shared" si="166"/>
        <v>0</v>
      </c>
      <c r="P1471" s="173">
        <f t="shared" si="166"/>
        <v>0</v>
      </c>
    </row>
    <row r="1472" spans="1:16" s="52" customFormat="1" ht="13.5" customHeight="1" x14ac:dyDescent="0.2">
      <c r="A1472" s="60" t="s">
        <v>155</v>
      </c>
    </row>
    <row r="1473" spans="1:16" s="1" customFormat="1" ht="14.25" customHeight="1" x14ac:dyDescent="0.2">
      <c r="A1473" s="1147"/>
      <c r="B1473" s="1149" t="s">
        <v>9</v>
      </c>
      <c r="C1473" s="1150"/>
      <c r="D1473" s="1150"/>
      <c r="E1473" s="1150"/>
      <c r="F1473" s="1150"/>
      <c r="G1473" s="1151"/>
      <c r="H1473" s="1152" t="s">
        <v>119</v>
      </c>
      <c r="I1473" s="1153"/>
      <c r="J1473" s="1153"/>
      <c r="K1473" s="1153"/>
      <c r="L1473" s="1153"/>
      <c r="M1473" s="1153"/>
      <c r="N1473" s="1153"/>
      <c r="O1473" s="33"/>
      <c r="P1473" s="1154" t="s">
        <v>0</v>
      </c>
    </row>
    <row r="1474" spans="1:16" s="1" customFormat="1" ht="14.25" customHeight="1" x14ac:dyDescent="0.2">
      <c r="A1474" s="1148"/>
      <c r="B1474" s="1157" t="s">
        <v>117</v>
      </c>
      <c r="C1474" s="124" t="s">
        <v>115</v>
      </c>
      <c r="D1474" s="1159" t="s">
        <v>277</v>
      </c>
      <c r="E1474" s="1161" t="s">
        <v>147</v>
      </c>
      <c r="F1474" s="127" t="s">
        <v>7</v>
      </c>
      <c r="G1474" s="1162" t="s">
        <v>6</v>
      </c>
      <c r="H1474" s="1161" t="s">
        <v>129</v>
      </c>
      <c r="I1474" s="1161" t="s">
        <v>5</v>
      </c>
      <c r="J1474" s="1161" t="s">
        <v>4</v>
      </c>
      <c r="K1474" s="1161" t="s">
        <v>3</v>
      </c>
      <c r="L1474" s="1161" t="s">
        <v>121</v>
      </c>
      <c r="M1474" s="1161" t="s">
        <v>122</v>
      </c>
      <c r="N1474" s="1161" t="s">
        <v>123</v>
      </c>
      <c r="O1474" s="1160" t="s">
        <v>114</v>
      </c>
      <c r="P1474" s="1155"/>
    </row>
    <row r="1475" spans="1:16" s="1" customFormat="1" ht="14.25" customHeight="1" x14ac:dyDescent="0.2">
      <c r="A1475" s="1148"/>
      <c r="B1475" s="1157"/>
      <c r="C1475" s="21" t="str">
        <f>IF(C1471="","",C1471)</f>
        <v/>
      </c>
      <c r="D1475" s="1160"/>
      <c r="E1475" s="1161"/>
      <c r="F1475" s="1165" t="str">
        <f>IF(H1466=0,"","siehe Zuschläge / Zulagen")</f>
        <v/>
      </c>
      <c r="G1475" s="1162"/>
      <c r="H1475" s="1164" t="s">
        <v>127</v>
      </c>
      <c r="I1475" s="1164"/>
      <c r="J1475" s="1164"/>
      <c r="K1475" s="1164"/>
      <c r="L1475" s="1164"/>
      <c r="M1475" s="1164"/>
      <c r="N1475" s="1164"/>
      <c r="O1475" s="1160"/>
      <c r="P1475" s="1155"/>
    </row>
    <row r="1476" spans="1:16" s="1" customFormat="1" x14ac:dyDescent="0.2">
      <c r="A1476" s="1148"/>
      <c r="B1476" s="1157"/>
      <c r="C1476" s="122" t="s">
        <v>70</v>
      </c>
      <c r="D1476" s="1160"/>
      <c r="E1476" s="1161"/>
      <c r="F1476" s="1165"/>
      <c r="G1476" s="1162"/>
      <c r="H1476" s="43" t="s">
        <v>128</v>
      </c>
      <c r="I1476" s="43" t="s">
        <v>255</v>
      </c>
      <c r="J1476" s="43" t="s">
        <v>256</v>
      </c>
      <c r="K1476" s="43" t="s">
        <v>257</v>
      </c>
      <c r="L1476" s="43"/>
      <c r="M1476" s="43"/>
      <c r="N1476" s="43" t="s">
        <v>254</v>
      </c>
      <c r="O1476" s="1160"/>
      <c r="P1476" s="1155"/>
    </row>
    <row r="1477" spans="1:16" s="1" customFormat="1" x14ac:dyDescent="0.2">
      <c r="A1477" s="1148"/>
      <c r="B1477" s="1158"/>
      <c r="C1477" s="21" t="str">
        <f>IF(F1471="","",F1471)</f>
        <v/>
      </c>
      <c r="D1477" s="51"/>
      <c r="E1477" s="51"/>
      <c r="F1477" s="1166"/>
      <c r="G1477" s="1163"/>
      <c r="H1477" s="93"/>
      <c r="I1477" s="139">
        <f>$I$69</f>
        <v>0</v>
      </c>
      <c r="J1477" s="139">
        <f>$J$69</f>
        <v>0</v>
      </c>
      <c r="K1477" s="44">
        <f>$K$69</f>
        <v>0</v>
      </c>
      <c r="L1477" s="21"/>
      <c r="M1477" s="21"/>
      <c r="N1477" s="139">
        <f>$N$69</f>
        <v>0</v>
      </c>
      <c r="O1477" s="21">
        <f>O1433</f>
        <v>0</v>
      </c>
      <c r="P1477" s="1156"/>
    </row>
    <row r="1478" spans="1:16" s="1" customFormat="1" x14ac:dyDescent="0.2">
      <c r="A1478" s="100" t="str">
        <f>$A$26</f>
        <v>Jan 2022</v>
      </c>
      <c r="B1478" s="24">
        <f>ROUND(IF(N1458=0,0,(LOOKUP(2,1/(A1466:A1469=A1478),G1466:G1469))*N1458*4.348),2)</f>
        <v>0</v>
      </c>
      <c r="C1478" s="23">
        <f>ROUND(IFERROR(((LOOKUP(2,1/(B1471=A1478),((SUM(B1484:B1486)+SUM(F1484:F1486))/3)*C1471))),0)+IFERROR(((LOOKUP(2,1/(E1471=A1478),(B1490+F1490)*F1471))),0),2)</f>
        <v>0</v>
      </c>
      <c r="D1478" s="23">
        <f>ROUND(IF(B1478=0,0,D1477/L1459*N1458),2)</f>
        <v>0</v>
      </c>
      <c r="E1478" s="23">
        <f>ROUND(IF(B1478=0,0,E1477/N1455*N1458),2)</f>
        <v>0</v>
      </c>
      <c r="F1478" s="24">
        <f>ROUND(IF(N1458=0,0,(LOOKUP(2,1/(A1466:A1469=A1478),H1466:H1469))/N1455*N1458),2)</f>
        <v>0</v>
      </c>
      <c r="G1478" s="27">
        <f>SUM(B1478+C1478+E1478+F1478)</f>
        <v>0</v>
      </c>
      <c r="H1478" s="76">
        <f>ROUND(IF((SUM(B1478:F1478))&gt;L1493,L1493*H1477,SUM(B1478:F1478)*H1477),2)</f>
        <v>0</v>
      </c>
      <c r="I1478" s="76">
        <f>ROUND(IF((SUM(B1478:F1478))&gt;L1494,L1494*I1477,SUM(B1478:F1478)*I1477),2)</f>
        <v>0</v>
      </c>
      <c r="J1478" s="76">
        <f>ROUND(IF((SUM(B1478:F1478))&gt;L1494,L1494*J1477,SUM(B1478:F1478)*J1477),2)</f>
        <v>0</v>
      </c>
      <c r="K1478" s="76">
        <f>ROUND(IF((SUM(B1478:F1478))&gt;L1493,L1493*K1477,SUM(B1478:F1478)*K1477),2)</f>
        <v>0</v>
      </c>
      <c r="L1478" s="76">
        <f>ROUND(IF((SUM(B1478:F1478))&gt;L1494,L1494*L1477,(SUM(B1478:F1478)-C1478)*L1477),2)</f>
        <v>0</v>
      </c>
      <c r="M1478" s="76">
        <f>ROUND(IF((SUM(B1478:F1478))&gt;L1494,L1494*M1477,(SUM(B1478:F1478)-C1478)*M1477),2)</f>
        <v>0</v>
      </c>
      <c r="N1478" s="76">
        <f>ROUND(IF((SUM(B1478:F1478))&gt;L1494,L1494*N1477,SUM(B1478:F1478)*N1477),2)</f>
        <v>0</v>
      </c>
      <c r="O1478" s="23">
        <f>ROUND(SUM(B1478+C1478+F1478)*O1477,2)</f>
        <v>0</v>
      </c>
      <c r="P1478" s="27">
        <f>SUM(G1478:O1478)</f>
        <v>0</v>
      </c>
    </row>
    <row r="1479" spans="1:16" s="1" customFormat="1" x14ac:dyDescent="0.2">
      <c r="A1479" s="100" t="str">
        <f>$A$27</f>
        <v>Feb 2022</v>
      </c>
      <c r="B1479" s="24">
        <f>ROUND(IF(N1459=0,0,IFERROR(((LOOKUP(2,1/(A1466:A1469=A1479),G1466:G1469))*N1459*4.348),B1478/N1459*N1459)),2)</f>
        <v>0</v>
      </c>
      <c r="C1479" s="23">
        <f>ROUND(IFERROR(((LOOKUP(2,1/(B1471=A1479),((SUM(B1484:B1486)+SUM(F1484:F1486))/3)*C1471))),0)+IFERROR(((LOOKUP(2,1/(E1471=A1479),(B1490+F1490)*F1471))),0),2)</f>
        <v>0</v>
      </c>
      <c r="D1479" s="23">
        <f>ROUND(IF(B1479=0,0,D1477/L1459*N1459),2)</f>
        <v>0</v>
      </c>
      <c r="E1479" s="23">
        <f>ROUND(IF(B1479=0,0,E1477/N1455*N1459),2)</f>
        <v>0</v>
      </c>
      <c r="F1479" s="24">
        <f>ROUND(IF(N1459=0,0,IFERROR(((LOOKUP(2,1/(A1466:A1469=A1479),H1466:H1469))/N1455*N1459),F1478/N1459*N1459)),2)</f>
        <v>0</v>
      </c>
      <c r="G1479" s="27">
        <f t="shared" ref="G1479:G1489" si="167">SUM(B1479+C1479+E1479+F1479)</f>
        <v>0</v>
      </c>
      <c r="H1479" s="76">
        <f>ROUND(IF(SUM(B1478:F1478)&lt;(L1493*1),IF((SUM(B1478:F1479))&gt;(L1493*2),(((L1493*2)-(SUM(B1478:F1479)-C1478))*H1477)+((SUM(B1479:F1479)-C1478)*H1477),SUM(B1479:F1479)*H1477),IF(SUM(B1478:F1479)&gt;(L1493*2),L1493*H1477,SUM(B1479:F1479)*H1477)),2)</f>
        <v>0</v>
      </c>
      <c r="I1479" s="76">
        <f>ROUND(IF(SUM(B1478:F1478)&lt;(L1494*1),IF((SUM(B1478:F1479))&gt;(L1494*2),(((L1494*2)-(SUM(B1478:F1479)-C1478))*I1477)+((SUM(B1479:F1479)-C1478)*I1477),SUM(B1479:F1479)*I1477),IF(SUM(B1478:F1479)&gt;(L1494*2),L1494*I1477,SUM(B1479:F1479)*I1477)),2)</f>
        <v>0</v>
      </c>
      <c r="J1479" s="76">
        <f>ROUND(IF(SUM(B1478:F1478)&lt;(L1494*1),IF((SUM(B1478:F1479))&gt;(L1494*2),(((L1494*2)-(SUM(B1478:F1479)-C1478))*J1477)+((SUM(B1479:F1479)-C1478)*J1477),SUM(B1479:F1479)*J1477),IF(SUM(B1478:F1479)&gt;(L1494*2),L1494*J1477,SUM(B1479:F1479)*J1477)),2)</f>
        <v>0</v>
      </c>
      <c r="K1479" s="76">
        <f>ROUND(IF(SUM(B1478:F1478)&lt;(L1493*1),IF((SUM(B1478:F1479))&gt;(L1493*2),(((L1493*2)-(SUM(B1478:F1479)-C1478))*K1477)+((SUM(B1479:F1479)-C1478)*K1477),SUM(B1479:F1479)*K1477),IF(SUM(B1478:F1479)&gt;(L1493*2),L1493*K1477,SUM(B1479:F1479)*K1477)),2)</f>
        <v>0</v>
      </c>
      <c r="L1479" s="76">
        <f>ROUND(IF(SUM(B1478:F1478)&lt;(L1494*1),IF((SUM(B1478:F1479))&gt;(L1494*2),(((L1494*2)-(SUM(B1478:F1479)-C1479))*L1477)+((SUM(B1479:F1479)-C1479)*L1477),(SUM(B1479:F1479)-C1479)*L1477),IF(SUM(B1478:F1479)&gt;(L1494*2),L1494*L1477,SUM(B1479:F1479)*L1477)),2)</f>
        <v>0</v>
      </c>
      <c r="M1479" s="76">
        <f>ROUND(IF(SUM(B1478:F1478)&lt;(L1494*1),IF((SUM(B1478:F1479))&gt;(L1494*2),(((L1494*2)-(SUM(B1478:F1479)-C1479))*M1477)+((SUM(B1479:F1479)-C1479)*M1477),(SUM(B1479:F1479)-C1479)*M1477),IF(SUM(B1478:F1479)&gt;(L1494*2),L1494*M1477,SUM(B1479:F1479)*M1477)),2)</f>
        <v>0</v>
      </c>
      <c r="N1479" s="76">
        <f>ROUND(IF(SUM(B1478:F1478)&lt;(L1494*1),IF((SUM(B1478:F1479))&gt;(L1494*2),(((L1494*2)-(SUM(B1478:F1479)-C1478))*N1477)+((SUM(B1479:F1479)-C1478)*N1477),SUM(B1479:F1479)*N1477),IF(SUM(B1478:F1479)&gt;(L1494*2),L1494*N1477,SUM(B1479:F1479)*N1477)),2)</f>
        <v>0</v>
      </c>
      <c r="O1479" s="23">
        <f>ROUND(SUM(B1479+C1479+F1479)*O1477,2)</f>
        <v>0</v>
      </c>
      <c r="P1479" s="27">
        <f>SUM(G1479:O1479)</f>
        <v>0</v>
      </c>
    </row>
    <row r="1480" spans="1:16" s="1" customFormat="1" x14ac:dyDescent="0.2">
      <c r="A1480" s="100" t="str">
        <f>$A$28</f>
        <v>Mrz 2022</v>
      </c>
      <c r="B1480" s="24">
        <f>ROUND(IF(N1460=0,0,IFERROR(((LOOKUP(2,1/(A1466:A1469=A1480),G1466:G1469))*N1460*4.348),B1479/N1460*N1460)),2)</f>
        <v>0</v>
      </c>
      <c r="C1480" s="23">
        <f>ROUND(IFERROR(((LOOKUP(2,1/(B1471=A1480),((SUM(B1484:B1486)+SUM(F1484:F1486))/3)*C1471))),0)+IFERROR(((LOOKUP(2,1/(E1471=A1480),(B1490+F1490)*F1471))),0),2)</f>
        <v>0</v>
      </c>
      <c r="D1480" s="23">
        <f>ROUND(IF(B1480=0,0,D1477/L1459*N1460),2)</f>
        <v>0</v>
      </c>
      <c r="E1480" s="23">
        <f>ROUND(IF(B1480=0,0,E1477/N1455*N1460),2)</f>
        <v>0</v>
      </c>
      <c r="F1480" s="24">
        <f>ROUND(IF(N1460=0,0,IFERROR(((LOOKUP(2,1/(A1466:A1469=A1480),H1466:H1469))/N1455*N1460),F1479/N1460*N1460)),2)</f>
        <v>0</v>
      </c>
      <c r="G1480" s="27">
        <f t="shared" si="167"/>
        <v>0</v>
      </c>
      <c r="H1480" s="76">
        <f>ROUND(IF(SUM(B1478:F1479)&lt;(L1493*2),IF((SUM(B1478:F1480))&gt;(L1493*3),(((L1493*3)-(SUM(B1478:F1480)-C1479))*H1477)+((SUM(B1480:F1480)-C1479)*H1477),SUM(B1480:F1480)*H1477),IF(SUM(B1478:F1480)&gt;(L1493*3),L1493*H1477,SUM(B1480:F1480)*H1477)),2)</f>
        <v>0</v>
      </c>
      <c r="I1480" s="76">
        <f>ROUND(IF(SUM(B1478:F1479)&lt;(L1494*2),IF((SUM(B1478:F1480))&gt;(L1494*3),(((L1494*3)-(SUM(B1478:F1480)-C1479))*I1477)+((SUM(B1480:F1480)-C1479)*I1477),SUM(B1480:F1480)*I1477),IF(SUM(B1478:F1480)&gt;(L1494*3),L1494*I1477,SUM(B1480:F1480)*I1477)),2)</f>
        <v>0</v>
      </c>
      <c r="J1480" s="76">
        <f>ROUND(IF(SUM(B1478:F1479)&lt;(L1494*2),IF((SUM(B1478:F1480))&gt;(L1494*3),(((L1494*3)-(SUM(B1478:F1480)-C1479))*J1477)+((SUM(B1480:F1480)-C1479)*J1477),SUM(B1480:F1480)*J1477),IF(SUM(B1478:F1480)&gt;(L1494*3),L1494*J1477,SUM(B1480:F1480)*J1477)),2)</f>
        <v>0</v>
      </c>
      <c r="K1480" s="76">
        <f>ROUND(IF(SUM(B1478:F1479)&lt;(L1493*2),IF((SUM(B1478:F1480))&gt;(L1493*3),(((L1493*3)-(SUM(B1478:F1480)-C1479))*K1477)+((SUM(B1480:F1480)-C1479)*K1477),SUM(B1480:F1480)*K1477),IF(SUM(B1478:F1480)&gt;(L1493*3),L1493*K1477,SUM(B1480:F1480)*K1477)),2)</f>
        <v>0</v>
      </c>
      <c r="L1480" s="76">
        <f>ROUND(IF(SUM(B1478:F1479)&lt;(L1494*2),IF((SUM(B1478:F1480))&gt;(L1494*3),(((L1494*3)-(SUM(B1478:F1480)-C1480))*L1477)+((SUM(B1480:F1480)-C1480)*L1477),(SUM(B1480:F1480)-C1480)*L1477),IF(SUM(B1478:F1480)&gt;(L1494*3),L1494*L1477,SUM(B1480:F1480)*L1477)),2)</f>
        <v>0</v>
      </c>
      <c r="M1480" s="76">
        <f>ROUND(IF(SUM(B1478:F1479)&lt;(L1494*2),IF((SUM(B1478:F1480))&gt;(L1494*3),(((L1494*3)-(SUM(B1478:F1480)-C1480))*M1477)+((SUM(B1480:F1480)-C1480)*M1477),(SUM(B1480:F1480)-C1480)*M1477),IF(SUM(B1478:F1480)&gt;(L1494*3),L1494*M1477,SUM(B1480:F1480)*M1477)),2)</f>
        <v>0</v>
      </c>
      <c r="N1480" s="76">
        <f>ROUND(IF(SUM(B1478:F1479)&lt;(L1494*2),IF((SUM(B1478:F1480))&gt;(L1494*3),(((L1494*3)-(SUM(B1478:F1480)-C1479))*N1477)+((SUM(B1480:F1480)-C1479)*N1477),SUM(B1480:F1480)*N1477),IF(SUM(B1478:F1480)&gt;(L1494*3),L1494*N1477,SUM(B1480:F1480)*N1477)),2)</f>
        <v>0</v>
      </c>
      <c r="O1480" s="23">
        <f>ROUND(SUM(B1480+C1480+F1480)*O1477,2)</f>
        <v>0</v>
      </c>
      <c r="P1480" s="27">
        <f t="shared" ref="P1480:P1489" si="168">SUM(G1480:O1480)</f>
        <v>0</v>
      </c>
    </row>
    <row r="1481" spans="1:16" s="1" customFormat="1" x14ac:dyDescent="0.2">
      <c r="A1481" s="100" t="str">
        <f>$A$29</f>
        <v>Apr 2022</v>
      </c>
      <c r="B1481" s="24">
        <f>ROUND(IF(N1461=0,0,IFERROR(((LOOKUP(2,1/(A1466:A1469=A1481),G1466:G1469))*N1461*4.348),B1480/N1461*N1461)),2)</f>
        <v>0</v>
      </c>
      <c r="C1481" s="23">
        <f>ROUND(IFERROR(((LOOKUP(2,1/(B1471=A1481),((SUM(B1484:B1486)+SUM(F1484:F1486))/3)*C1471))),0)+IFERROR(((LOOKUP(2,1/(E1471=A1481),(B1490+F1490)*F1471))),0),2)</f>
        <v>0</v>
      </c>
      <c r="D1481" s="23">
        <f>ROUND(IF(B1481=0,0,D1477/L1459*N1461),2)</f>
        <v>0</v>
      </c>
      <c r="E1481" s="23">
        <f>ROUND(IF(B1481=0,0,E1477/N1455*N1461),2)</f>
        <v>0</v>
      </c>
      <c r="F1481" s="24">
        <f>ROUND(IF(N1461=0,0,IFERROR(((LOOKUP(2,1/(A1466:A1469=A1481),H1466:H1469))/N1455*N1461),F1480/N1461*N1461)),2)</f>
        <v>0</v>
      </c>
      <c r="G1481" s="27">
        <f t="shared" si="167"/>
        <v>0</v>
      </c>
      <c r="H1481" s="76">
        <f>ROUND(IF(SUM(B1478:F1480)&lt;(L1493*3),IF((SUM(B1478:F1481))&gt;(L1493*4),(((L1493*4)-(SUM(B1478:F1481)-C1480))*H1477)+((SUM(B1481:F1481)-C1480)*H1477),SUM(B1481:F1481)*H1477),IF(SUM(B1478:F1481)&gt;(L1493*4),L1493*H1477,SUM(B1481:F1481)*H1477)),2)</f>
        <v>0</v>
      </c>
      <c r="I1481" s="76">
        <f>ROUND(IF(SUM(B1478:F1480)&lt;(L1494*3),IF((SUM(B1478:F1481))&gt;(L1494*4),(((L1494*4)-(SUM(B1478:F1481)-C1480))*I1477)+((SUM(B1481:F1481)-C1480)*I1477),SUM(B1481:F1481)*I1477),IF(SUM(B1478:F1481)&gt;(L1494*4),L1494*I1477,SUM(B1481:F1481)*I1477)),2)</f>
        <v>0</v>
      </c>
      <c r="J1481" s="76">
        <f>ROUND(IF(SUM(B1478:F1480)&lt;(L1494*3),IF((SUM(B1478:F1481))&gt;(L1494*4),(((L1494*4)-(SUM(B1478:F1481)-C1480))*J1477)+((SUM(B1481:F1481)-C1480)*J1477),SUM(B1481:F1481)*J1477),IF(SUM(B1478:F1481)&gt;(L1494*4),L1494*J1477,SUM(B1481:F1481)*J1477)),2)</f>
        <v>0</v>
      </c>
      <c r="K1481" s="76">
        <f>ROUND(IF(SUM(B1478:F1480)&lt;(L1493*3),IF((SUM(B1478:F1481))&gt;(L1493*4),(((L1493*4)-(SUM(B1478:F1481)-C1480))*K1477)+((SUM(B1481:F1481)-C1480)*K1477),SUM(B1481:F1481)*K1477),IF(SUM(B1478:F1481)&gt;(L1493*4),L1493*K1477,SUM(B1481:F1481)*K1477)),2)</f>
        <v>0</v>
      </c>
      <c r="L1481" s="76">
        <f>ROUND(IF(SUM(B1478:F1480)&lt;(L1494*3),IF((SUM(B1478:F1481))&gt;(L1494*4),(((L1494*4)-(SUM(B1478:F1481)-C1481))*L1477)+((SUM(B1481:F1481)-C1481)*L1477),(SUM(B1481:F1481)-C1481)*L1477),IF(SUM(B1478:F1481)&gt;(L1494*4),L1494*L1477,SUM(B1481:F1481)*L1477)),2)</f>
        <v>0</v>
      </c>
      <c r="M1481" s="76">
        <f>ROUND(IF(SUM(B1478:F1480)&lt;(L1494*3),IF((SUM(B1478:F1481))&gt;(L1494*4),(((L1494*4)-(SUM(B1478:F1481)-C1481))*M1477)+((SUM(B1481:F1481)-C1481)*M1477),(SUM(B1481:F1481)-C1481)*M1477),IF(SUM(B1478:F1481)&gt;(L1494*4),L1494*M1477,SUM(B1481:F1481)*M1477)),2)</f>
        <v>0</v>
      </c>
      <c r="N1481" s="76">
        <f>ROUND(IF(SUM(B1478:F1480)&lt;(L1494*3),IF((SUM(B1478:F1481))&gt;(L1494*4),(((L1494*4)-(SUM(B1478:F1481)-C1480))*N1477)+((SUM(B1481:F1481)-C1480)*N1477),SUM(B1481:F1481)*N1477),IF(SUM(B1478:F1481)&gt;(L1494*4),L1494*N1477,SUM(B1481:F1481)*N1477)),2)</f>
        <v>0</v>
      </c>
      <c r="O1481" s="23">
        <f>ROUND(SUM(B1481+C1481+F1481)*O1477,2)</f>
        <v>0</v>
      </c>
      <c r="P1481" s="27">
        <f t="shared" si="168"/>
        <v>0</v>
      </c>
    </row>
    <row r="1482" spans="1:16" s="1" customFormat="1" x14ac:dyDescent="0.2">
      <c r="A1482" s="100" t="str">
        <f>$A$30</f>
        <v>Mai 2022</v>
      </c>
      <c r="B1482" s="24">
        <f>ROUND(IF(N1462=0,0,IFERROR(((LOOKUP(2,1/(A1466:A1469=A1482),G1466:G1469))*N1462*4.348),B1481/N1462*N1462)),2)</f>
        <v>0</v>
      </c>
      <c r="C1482" s="23">
        <f>ROUND(IFERROR(((LOOKUP(2,1/(B1471=A1482),((SUM(B1484:B1486)+SUM(F1484:F1486))/3)*C1471))),0)+IFERROR(((LOOKUP(2,1/(E1471=A1482),(B1490+F1490)*F1471))),0),2)</f>
        <v>0</v>
      </c>
      <c r="D1482" s="23">
        <f>ROUND(IF(B1482=0,0,D1477/L1459*N1462),2)</f>
        <v>0</v>
      </c>
      <c r="E1482" s="23">
        <f>ROUND(IF(B1482=0,0,E1477/N1455*N1462),2)</f>
        <v>0</v>
      </c>
      <c r="F1482" s="24">
        <f>ROUND(IF(N1462=0,0,IFERROR(((LOOKUP(2,1/(A1466:A1469=A1482),H1466:H1469))/N1455*N1462),F1481/N1462*N1462)),2)</f>
        <v>0</v>
      </c>
      <c r="G1482" s="27">
        <f t="shared" si="167"/>
        <v>0</v>
      </c>
      <c r="H1482" s="76">
        <f>ROUND(IF(SUM(B1478:F1481)&lt;(L1493*4),IF((SUM(B1478:F1482))&gt;(L1493*5),(((L1493*5)-(SUM(B1478:F1482)-C1481))*H1477)+((SUM(B1482:F1482)-C1481)*H1477),SUM(B1482:F1482)*H1477),IF(SUM(B1478:F1482)&gt;(L1493*5),L1493*H1477,SUM(B1482:F1482)*H1477)),2)</f>
        <v>0</v>
      </c>
      <c r="I1482" s="76">
        <f>ROUND(IF(SUM(B1478:F1481)&lt;(L1494*4),IF((SUM(B1478:F1482))&gt;(L1494*5),(((L1494*5)-(SUM(B1478:F1482)-C1481))*I1477)+((SUM(B1482:F1482)-C1481)*I1477),SUM(B1482:F1482)*I1477),IF(SUM(B1478:F1482)&gt;(L1494*5),L1494*I1477,SUM(B1482:F1482)*I1477)),2)</f>
        <v>0</v>
      </c>
      <c r="J1482" s="76">
        <f>ROUND(IF(SUM(B1478:F1481)&lt;(L1494*4),IF((SUM(B1478:F1482))&gt;(L1494*5),(((L1494*5)-(SUM(B1478:F1482)-C1481))*J1477)+((SUM(B1482:F1482)-C1481)*J1477),SUM(B1482:F1482)*J1477),IF(SUM(B1478:F1482)&gt;(L1494*5),L1494*J1477,SUM(B1482:F1482)*J1477)),2)</f>
        <v>0</v>
      </c>
      <c r="K1482" s="76">
        <f>ROUND(IF(SUM(B1478:F1481)&lt;(L1493*4),IF((SUM(B1478:F1482))&gt;(L1493*5),(((L1493*5)-(SUM(B1478:F1482)-C1481))*K1477)+((SUM(B1482:F1482)-C1481)*K1477),SUM(B1482:F1482)*K1477),IF(SUM(B1478:F1482)&gt;(L1493*5),L1493*K1477,SUM(B1482:F1482)*K1477)),2)</f>
        <v>0</v>
      </c>
      <c r="L1482" s="76">
        <f>ROUND(IF(SUM(B1478:F1481)&lt;(L1494*4),IF((SUM(B1478:F1482))&gt;(L1494*5),(((L1494*5)-(SUM(B1478:F1482)-C1482))*L1477)+((SUM(B1482:F1482)-C1482)*L1477),(SUM(B1482:F1482)-C1482)*L1477),IF(SUM(B1478:F1482)&gt;(L1494*5),L1494*L1477,SUM(B1482:F1482)*L1477)),2)</f>
        <v>0</v>
      </c>
      <c r="M1482" s="76">
        <f>ROUND(IF(SUM(B1478:F1481)&lt;(L1494*4),IF((SUM(B1478:F1482))&gt;(L1494*5),(((L1494*5)-(SUM(B1478:F1482)-C1482))*M1477)+((SUM(B1482:F1482)-C1482)*M1477),(SUM(B1482:F1482)-C1482)*M1477),IF(SUM(B1478:F1482)&gt;(L1494*5),L1494*M1477,SUM(B1482:F1482)*M1477)),2)</f>
        <v>0</v>
      </c>
      <c r="N1482" s="76">
        <f>ROUND(IF(SUM(B1478:F1481)&lt;(L1494*4),IF((SUM(B1478:F1482))&gt;(L1494*5),(((L1494*5)-(SUM(B1478:F1482)-C1481))*N1477)+((SUM(B1482:F1482)-C1481)*N1477),SUM(B1482:F1482)*N1477),IF(SUM(B1478:F1482)&gt;(L1494*5),L1494*N1477,SUM(B1482:F1482)*N1477)),2)</f>
        <v>0</v>
      </c>
      <c r="O1482" s="23">
        <f>ROUND(SUM(B1482+C1482+F1482)*O1477,2)</f>
        <v>0</v>
      </c>
      <c r="P1482" s="27">
        <f t="shared" si="168"/>
        <v>0</v>
      </c>
    </row>
    <row r="1483" spans="1:16" s="1" customFormat="1" x14ac:dyDescent="0.2">
      <c r="A1483" s="100" t="str">
        <f>$A$31</f>
        <v>Jun 2022</v>
      </c>
      <c r="B1483" s="24">
        <f>ROUND(IF(N1463=0,0,IFERROR(((LOOKUP(2,1/(A1466:A1469=A1483),G1466:G1469))*N1463*4.348),B1482/N1463*N1463)),2)</f>
        <v>0</v>
      </c>
      <c r="C1483" s="23">
        <f>ROUND(IFERROR(((LOOKUP(2,1/(B1471=A1483),((SUM(B1484:B1486)+SUM(F1484:F1486))/3)*C1471))),0)+IFERROR(((LOOKUP(2,1/(E1471=A1483),(B1490+F1490)*F1471))),0),2)</f>
        <v>0</v>
      </c>
      <c r="D1483" s="23">
        <f>ROUND(IF(B1483=0,0,D1477/L1459*N1463),2)</f>
        <v>0</v>
      </c>
      <c r="E1483" s="23">
        <f>ROUND(IF(B1483=0,0,E1477/N1455*N1463),2)</f>
        <v>0</v>
      </c>
      <c r="F1483" s="24">
        <f>ROUND(IF(N1463=0,0,IFERROR(((LOOKUP(2,1/(A1466:A1469=A1483),H1466:H1469))/N1455*N1463),F1482/N1463*N1463)),2)</f>
        <v>0</v>
      </c>
      <c r="G1483" s="27">
        <f t="shared" si="167"/>
        <v>0</v>
      </c>
      <c r="H1483" s="76">
        <f>ROUND(IF(SUM(B1478:F1482)&lt;(L1493*5),IF((SUM(B1478:F1483))&gt;(L1493*6),(((L1493*6)-(SUM(B1478:F1483)-C1482))*H1477)+((SUM(B1483:F1483)-C1482)*H1477),SUM(B1483:F1483)*H1477),IF(SUM(B1478:F1483)&gt;(L1493*6),L1493*H1477,SUM(B1483:F1483)*H1477)),2)</f>
        <v>0</v>
      </c>
      <c r="I1483" s="76">
        <f>ROUND(IF(SUM(B1478:F1482)&lt;(L1494*5),IF((SUM(B1478:F1483))&gt;(L1494*6),(((L1494*6)-(SUM(B1478:F1483)-C1482))*I1477)+((SUM(B1483:F1483)-C1482)*I1477),SUM(B1483:F1483)*I1477),IF(SUM(B1478:F1483)&gt;(L1494*6),L1494*I1477,SUM(B1483:F1483)*I1477)),2)</f>
        <v>0</v>
      </c>
      <c r="J1483" s="76">
        <f>ROUND(IF(SUM(B1478:F1482)&lt;(L1494*5),IF((SUM(B1478:F1483))&gt;(L1494*6),(((L1494*6)-(SUM(B1478:F1483)-C1482))*J1477)+((SUM(B1483:F1483)-C1482)*J1477),SUM(B1483:F1483)*J1477),IF(SUM(B1478:F1483)&gt;(L1494*6),L1494*J1477,SUM(B1483:F1483)*J1477)),2)</f>
        <v>0</v>
      </c>
      <c r="K1483" s="76">
        <f>ROUND(IF(SUM(B1478:F1482)&lt;(L1493*5),IF((SUM(B1478:F1483))&gt;(L1493*6),(((L1493*6)-(SUM(B1478:F1483)-C1482))*K1477)+((SUM(B1483:F1483)-C1482)*K1477),SUM(B1483:F1483)*K1477),IF(SUM(B1478:F1483)&gt;(L1493*6),L1493*K1477,SUM(B1483:F1483)*K1477)),2)</f>
        <v>0</v>
      </c>
      <c r="L1483" s="76">
        <f>ROUND(IF(SUM(B1478:F1482)&lt;(L1494*5),IF((SUM(B1478:F1483))&gt;(L1494*6),(((L1494*6)-(SUM(B1478:F1483)-C1483))*L1477)+((SUM(B1483:F1483)-C1483)*L1477),(SUM(B1483:F1483)-C1483)*L1477),IF(SUM(B1478:F1483)&gt;(L1494*6),L1494*L1477,SUM(B1483:F1483)*L1477)),2)</f>
        <v>0</v>
      </c>
      <c r="M1483" s="76">
        <f>ROUND(IF(SUM(B1478:F1482)&lt;(L1494*5),IF((SUM(B1478:F1483))&gt;(L1494*6),(((L1494*6)-(SUM(B1478:F1483)-C1483))*M1477)+((SUM(B1483:F1483)-C1483)*M1477),(SUM(B1483:F1483)-C1483)*M1477),IF(SUM(B1478:F1483)&gt;(L1494*6),L1494*M1477,SUM(B1483:F1483)*M1477)),2)</f>
        <v>0</v>
      </c>
      <c r="N1483" s="76">
        <f>ROUND(IF(SUM(B1478:F1482)&lt;(L1494*5),IF((SUM(B1478:F1483))&gt;(L1494*6),(((L1494*6)-(SUM(B1478:F1483)-C1482))*N1477)+((SUM(B1483:F1483)-C1482)*N1477),SUM(B1483:F1483)*N1477),IF(SUM(B1478:F1483)&gt;(L1494*6),L1494*N1477,SUM(B1483:F1483)*N1477)),2)</f>
        <v>0</v>
      </c>
      <c r="O1483" s="23">
        <f>ROUND(SUM(B1483+C1483+F1483)*O1477,2)</f>
        <v>0</v>
      </c>
      <c r="P1483" s="27">
        <f t="shared" si="168"/>
        <v>0</v>
      </c>
    </row>
    <row r="1484" spans="1:16" s="1" customFormat="1" x14ac:dyDescent="0.2">
      <c r="A1484" s="100" t="str">
        <f>$A$32</f>
        <v>Jul 2022</v>
      </c>
      <c r="B1484" s="24">
        <f>ROUND(IF(P1458=0,0,IFERROR(((LOOKUP(2,1/(A1466:A1469=A1484),G1466:G1469))*P1458*4.348),B1483/P1458*P1458)),2)</f>
        <v>0</v>
      </c>
      <c r="C1484" s="23">
        <f>ROUND(IFERROR(((LOOKUP(2,1/(B1471=A1484),((SUM(B1484:B1486)+SUM(F1484:F1486))/3)*C1471))),0)+IFERROR(((LOOKUP(2,1/(E1471=A1484),(B1490+F1490)*F1471))),0),2)</f>
        <v>0</v>
      </c>
      <c r="D1484" s="23">
        <f>ROUND(IF(B1484=0,0,D1477/L1459*P1458),2)</f>
        <v>0</v>
      </c>
      <c r="E1484" s="23">
        <f>ROUND(IF(B1484=0,0,E1477/N1455*P1458),2)</f>
        <v>0</v>
      </c>
      <c r="F1484" s="24">
        <f>ROUND(IF(P1458=0,0,IFERROR(((LOOKUP(2,1/(A1466:A1469=A1484),H1466:H1469))/N1455*P1458),F1483/P1458*P1458)),2)</f>
        <v>0</v>
      </c>
      <c r="G1484" s="27">
        <f t="shared" si="167"/>
        <v>0</v>
      </c>
      <c r="H1484" s="76">
        <f>ROUND(IF(SUM(B1478:F1483)&lt;(L1493*6),IF((SUM(B1478:F1484))&gt;(L1493*7),(((L1493*7)-(SUM(B1478:F1484)-C1483))*H1477)+((SUM(B1484:F1484)-C1483)*H1477),SUM(B1484:F1484)*H1477),IF(SUM(B1478:F1484)&gt;(L1493*7),L1493*H1477,SUM(B1484:F1484)*H1477)),2)</f>
        <v>0</v>
      </c>
      <c r="I1484" s="76">
        <f>ROUND(IF(SUM(B1478:F1483)&lt;(L1494*6),IF((SUM(B1478:F1484))&gt;(L1494*7),(((L1494*7)-(SUM(B1478:F1484)-C1483))*I1477)+((SUM(B1484:F1484)-C1483)*I1477),SUM(B1484:F1484)*I1477),IF(SUM(B1478:F1484)&gt;(L1494*7),L1494*I1477,SUM(B1484:F1484)*I1477)),2)</f>
        <v>0</v>
      </c>
      <c r="J1484" s="76">
        <f>ROUND(IF(SUM(B1478:F1483)&lt;(L1494*6),IF((SUM(B1478:F1484))&gt;(L1494*7),(((L1494*7)-(SUM(B1478:F1484)-C1483))*J1477)+((SUM(B1484:F1484)-C1483)*J1477),SUM(B1484:F1484)*J1477),IF(SUM(B1478:F1484)&gt;(L1494*7),L1494*J1477,SUM(B1484:F1484)*J1477)),2)</f>
        <v>0</v>
      </c>
      <c r="K1484" s="76">
        <f>ROUND(IF(SUM(B1478:F1483)&lt;(L1493*6),IF((SUM(B1478:F1484))&gt;(L1493*7),(((L1493*7)-(SUM(B1478:F1484)-C1483))*K1477)+((SUM(B1484:F1484)-C1483)*K1477),SUM(B1484:F1484)*K1477),IF(SUM(B1478:F1484)&gt;(L1493*7),L1493*K1477,SUM(B1484:F1484)*K1477)),2)</f>
        <v>0</v>
      </c>
      <c r="L1484" s="76">
        <f>ROUND(IF(SUM(B1478:F1483)&lt;(L1494*6),IF((SUM(B1478:F1484))&gt;(L1494*7),(((L1494*7)-(SUM(B1478:F1484)-C1484))*L1477)+((SUM(B1484:F1484)-C1484)*L1477),(SUM(B1484:F1484)-C1484)*L1477),IF(SUM(B1478:F1484)&gt;(L1494*7),L1494*L1477,SUM(B1484:F1484)*L1477)),2)</f>
        <v>0</v>
      </c>
      <c r="M1484" s="76">
        <f>ROUND(IF(SUM(B1478:F1483)&lt;(L1494*6),IF((SUM(B1478:F1484))&gt;(L1494*7),(((L1494*7)-(SUM(B1478:F1484)-C1484))*M1477)+((SUM(B1484:F1484)-C1484)*M1477),(SUM(B1484:F1484)-C1484)*M1477),IF(SUM(B1478:F1484)&gt;(L1494*7),L1494*M1477,SUM(B1484:F1484)*M1477)),2)</f>
        <v>0</v>
      </c>
      <c r="N1484" s="76">
        <f>ROUND(IF(SUM(B1478:F1483)&lt;(L1494*6),IF((SUM(B1478:F1484))&gt;(L1494*7),(((L1494*7)-(SUM(B1478:F1484)-C1483))*N1477)+((SUM(B1484:F1484)-C1483)*N1477),SUM(B1484:F1484)*N1477),IF(SUM(B1478:F1484)&gt;(L1494*7),L1494*N1477,SUM(B1484:F1484)*N1477)),2)</f>
        <v>0</v>
      </c>
      <c r="O1484" s="23">
        <f>ROUND(SUM(B1484+C1484+F1484)*O1477,2)</f>
        <v>0</v>
      </c>
      <c r="P1484" s="27">
        <f t="shared" si="168"/>
        <v>0</v>
      </c>
    </row>
    <row r="1485" spans="1:16" s="1" customFormat="1" x14ac:dyDescent="0.2">
      <c r="A1485" s="100" t="str">
        <f>$A$33</f>
        <v>Aug 2022</v>
      </c>
      <c r="B1485" s="24">
        <f>ROUND(IF(P1459=0,0,IFERROR(((LOOKUP(2,1/(A1466:A1469=A1485),G1466:G1469))*P1459*4.348),B1484/P1459*P1459)),2)</f>
        <v>0</v>
      </c>
      <c r="C1485" s="23">
        <f>ROUND(IFERROR(((LOOKUP(2,1/(B1471=A1485),((SUM(B1484:B1486)+SUM(F1484:F1486))/3)*C1471))),0)+IFERROR(((LOOKUP(2,1/(E1471=A1485),(B1490+F1490)*F1471))),0),2)</f>
        <v>0</v>
      </c>
      <c r="D1485" s="23">
        <f>ROUND(IF(B1485=0,0,D1477/L1459*P1459),2)</f>
        <v>0</v>
      </c>
      <c r="E1485" s="23">
        <f>ROUND(IF(B1485=0,0,E1477/N1455*P1459),2)</f>
        <v>0</v>
      </c>
      <c r="F1485" s="24">
        <f>ROUND(IF(P1459=0,0,IFERROR(((LOOKUP(2,1/(A1466:A1469=A1485),H1466:H1469))/N1455*P1459),F1484/P1459*P1459)),2)</f>
        <v>0</v>
      </c>
      <c r="G1485" s="27">
        <f t="shared" si="167"/>
        <v>0</v>
      </c>
      <c r="H1485" s="76">
        <f>ROUND(IF(SUM(B1478:F1484)&lt;(L1493*7),IF((SUM(B1478:F1485))&gt;(L1493*8),(((L1493*8)-(SUM(B1478:F1485)-C1484))*H1477)+((SUM(B1485:F1485)-C1484)*H1477),SUM(B1485:F1485)*H1477),IF(SUM(B1478:F1485)&gt;(L1493*8),L1493*H1477,SUM(B1485:F1485)*H1477)),2)</f>
        <v>0</v>
      </c>
      <c r="I1485" s="76">
        <f>ROUND(IF(SUM(B1478:F1484)&lt;(L1494*7),IF((SUM(B1478:F1485))&gt;(L1494*8),(((L1494*8)-(SUM(B1478:F1485)-C1484))*I1477)+((SUM(B1485:F1485)-C1484)*I1477),SUM(B1485:F1485)*I1477),IF(SUM(B1478:F1485)&gt;(L1494*8),L1494*I1477,SUM(B1485:F1485)*I1477)),2)</f>
        <v>0</v>
      </c>
      <c r="J1485" s="76">
        <f>ROUND(IF(SUM(B1478:F1484)&lt;(L1494*7),IF((SUM(B1478:F1485))&gt;(L1494*8),(((L1494*8)-(SUM(B1478:F1485)-C1484))*J1477)+((SUM(B1485:F1485)-C1484)*J1477),SUM(B1485:F1485)*J1477),IF(SUM(B1478:F1485)&gt;(L1494*8),L1494*J1477,SUM(B1485:F1485)*J1477)),2)</f>
        <v>0</v>
      </c>
      <c r="K1485" s="76">
        <f>ROUND(IF(SUM(B1478:F1484)&lt;(L1493*7),IF((SUM(B1478:F1485))&gt;(L1493*8),(((L1493*8)-(SUM(B1478:F1485)-C1484))*K1477)+((SUM(B1485:F1485)-C1484)*K1477),SUM(B1485:F1485)*K1477),IF(SUM(B1478:F1485)&gt;(L1493*8),L1493*K1477,SUM(B1485:F1485)*K1477)),2)</f>
        <v>0</v>
      </c>
      <c r="L1485" s="76">
        <f>ROUND(IF(SUM(B1478:F1484)&lt;(L1494*7),IF((SUM(B1478:F1485))&gt;(L1494*8),(((L1494*8)-(SUM(B1478:F1485)-C1485))*L1477)+((SUM(B1485:F1485)-C1485)*L1477),(SUM(B1485:F1485)-C1485)*L1477),IF(SUM(B1478:F1485)&gt;(L1494*8),L1494*L1477,SUM(B1485:F1485)*L1477)),2)</f>
        <v>0</v>
      </c>
      <c r="M1485" s="76">
        <f>ROUND(IF(SUM(B1478:F1484)&lt;(L1494*7),IF((SUM(B1478:F1485))&gt;(L1494*8),(((L1494*8)-(SUM(B1478:F1485)-C1485))*M1477)+((SUM(B1485:F1485)-C1485)*M1477),(SUM(B1485:F1485)-C1485)*M1477),IF(SUM(B1478:F1485)&gt;(L1494*8),L1494*M1477,SUM(B1485:F1485)*M1477)),2)</f>
        <v>0</v>
      </c>
      <c r="N1485" s="76">
        <f>ROUND(IF(SUM(B1478:F1484)&lt;(L1494*7),IF((SUM(B1478:F1485))&gt;(L1494*8),(((L1494*8)-(SUM(B1478:F1485)-C1484))*N1477)+((SUM(B1485:F1485)-C1484)*N1477),SUM(B1485:F1485)*N1477),IF(SUM(B1478:F1485)&gt;(L1494*8),L1494*N1477,SUM(B1485:F1485)*N1477)),2)</f>
        <v>0</v>
      </c>
      <c r="O1485" s="23">
        <f>ROUND(SUM(B1485+C1485+F1485)*O1477,2)</f>
        <v>0</v>
      </c>
      <c r="P1485" s="27">
        <f t="shared" si="168"/>
        <v>0</v>
      </c>
    </row>
    <row r="1486" spans="1:16" s="1" customFormat="1" x14ac:dyDescent="0.2">
      <c r="A1486" s="100" t="str">
        <f>$A$34</f>
        <v>Sep 2022</v>
      </c>
      <c r="B1486" s="24">
        <f>ROUND(IF(P1460=0,0,IFERROR(((LOOKUP(2,1/(A1466:A1469=A1486),G1466:G1469))*P1460*4.348),B1485/P1460*P1460)),2)</f>
        <v>0</v>
      </c>
      <c r="C1486" s="23">
        <f>ROUND(IFERROR(((LOOKUP(2,1/(B1471=A1486),((SUM(B1484:B1486)+SUM(F1484:F1486))/3)*C1471))),0)+IFERROR(((LOOKUP(2,1/(E1471=A1486),(B1490+F1490)*F1471))),0),2)</f>
        <v>0</v>
      </c>
      <c r="D1486" s="23">
        <f>ROUND(IF(B1486=0,0,D1477/L1459*P1460),2)</f>
        <v>0</v>
      </c>
      <c r="E1486" s="23">
        <f>ROUND(IF(B1486=0,0,E1477/N1455*P1460),2)</f>
        <v>0</v>
      </c>
      <c r="F1486" s="24">
        <f>ROUND(IF(P1460=0,0,IFERROR(((LOOKUP(2,1/(A1466:A1469=A1486),H1466:H1469))/N1455*P1460),F1485/P1460*P1460)),2)</f>
        <v>0</v>
      </c>
      <c r="G1486" s="27">
        <f t="shared" si="167"/>
        <v>0</v>
      </c>
      <c r="H1486" s="76">
        <f>ROUND(IF(SUM(B1478:F1485)&lt;(L1493*8),IF((SUM(B1478:F1486))&gt;(L1493*9),(((L1493*9)-(SUM(B1478:F1486)-C1485))*H1477)+((SUM(B1486:F1486)-C1485)*H1477),SUM(B1486:F1486)*H1477),IF(SUM(B1478:F1486)&gt;(L1493*9),L1493*H1477,SUM(B1486:F1486)*H1477)),2)</f>
        <v>0</v>
      </c>
      <c r="I1486" s="76">
        <f>ROUND(IF(SUM(B1478:F1485)&lt;(L1494*8),IF((SUM(B1478:F1486))&gt;(L1494*9),(((L1494*9)-(SUM(B1478:F1486)-C1485))*I1477)+((SUM(B1486:F1486)-C1485)*I1477),SUM(B1486:F1486)*I1477),IF(SUM(B1478:F1486)&gt;(L1494*9),L1494*I1477,SUM(B1486:F1486)*I1477)),2)</f>
        <v>0</v>
      </c>
      <c r="J1486" s="76">
        <f>ROUND(IF(SUM(B1478:F1485)&lt;(L1494*8),IF((SUM(B1478:F1486))&gt;(L1494*9),(((L1494*9)-(SUM(B1478:F1486)-C1485))*J1477)+((SUM(B1486:F1486)-C1485)*J1477),SUM(B1486:F1486)*J1477),IF(SUM(B1478:F1486)&gt;(L1494*9),L1494*J1477,SUM(B1486:F1486)*J1477)),2)</f>
        <v>0</v>
      </c>
      <c r="K1486" s="76">
        <f>ROUND(IF(SUM(B1478:F1485)&lt;(L1493*8),IF((SUM(B1478:F1486))&gt;(L1493*9),(((L1493*9)-(SUM(B1478:F1486)-C1485))*K1477)+((SUM(B1486:F1486)-C1485)*K1477),SUM(B1486:F1486)*K1477),IF(SUM(B1478:F1486)&gt;(L1493*9),L1493*K1477,SUM(B1486:F1486)*K1477)),2)</f>
        <v>0</v>
      </c>
      <c r="L1486" s="76">
        <f>ROUND(IF(SUM(B1478:F1485)&lt;(L1494*8),IF((SUM(B1478:F1486))&gt;(L1494*9),(((L1494*9)-(SUM(B1478:F1486)-C1486))*L1477)+((SUM(B1486:F1486)-C1486)*L1477),(SUM(B1486:F1486)-C1486)*L1477),IF(SUM(B1478:F1486)&gt;(L1494*9),L1494*L1477,SUM(B1486:F1486)*L1477)),2)</f>
        <v>0</v>
      </c>
      <c r="M1486" s="76">
        <f>ROUND(IF(SUM(B1478:F1485)&lt;(L1494*8),IF((SUM(B1478:F1486))&gt;(L1494*9),(((L1494*9)-(SUM(B1478:F1486)-C1486))*M1477)+((SUM(B1486:F1486)-C1486)*M1477),(SUM(B1486:F1486)-C1486)*M1477),IF(SUM(B1478:F1486)&gt;(L1494*9),L1494*M1477,SUM(B1486:F1486)*M1477)),2)</f>
        <v>0</v>
      </c>
      <c r="N1486" s="76">
        <f>ROUND(IF(SUM(B1478:F1485)&lt;(L1494*8),IF((SUM(B1478:F1486))&gt;(L1494*9),(((L1494*9)-(SUM(B1478:F1486)-C1485))*N1477)+((SUM(B1486:F1486)-C1485)*N1477),SUM(B1486:F1486)*N1477),IF(SUM(B1478:F1486)&gt;(L1494*9),L1494*N1477,SUM(B1486:F1486)*N1477)),2)</f>
        <v>0</v>
      </c>
      <c r="O1486" s="23">
        <f>ROUND(SUM(B1486+C1486+F1486)*O1477,2)</f>
        <v>0</v>
      </c>
      <c r="P1486" s="27">
        <f t="shared" si="168"/>
        <v>0</v>
      </c>
    </row>
    <row r="1487" spans="1:16" s="1" customFormat="1" x14ac:dyDescent="0.2">
      <c r="A1487" s="100" t="str">
        <f>$A$35</f>
        <v>Okt 2022</v>
      </c>
      <c r="B1487" s="24">
        <f>ROUND(IF(P1461=0,0,IFERROR(((LOOKUP(2,1/(A1466:A1469=A1487),G1466:G1469))*P1461*4.348),B1486/P1461*P1461)),2)</f>
        <v>0</v>
      </c>
      <c r="C1487" s="23">
        <f>ROUND(IFERROR(((LOOKUP(2,1/(B1471=A1487),((SUM(B1484:B1486)+SUM(F1484:F1486))/3)*C1471))),0)+IFERROR(((LOOKUP(2,1/(E1471=A1487),(B1490+F1490)*F1471))),0),2)</f>
        <v>0</v>
      </c>
      <c r="D1487" s="23">
        <f>ROUND(IF(B1487=0,0,D1477/L1459*P1461),2)</f>
        <v>0</v>
      </c>
      <c r="E1487" s="23">
        <f>ROUND(IF(B1487=0,0,E1477/N1455*P1461),2)</f>
        <v>0</v>
      </c>
      <c r="F1487" s="24">
        <f>ROUND(IF(P1461=0,0,IFERROR(((LOOKUP(2,1/(A1466:A1469=A1487),H1466:H1469))/N1455*P1461),F1486/P1461*P1461)),2)</f>
        <v>0</v>
      </c>
      <c r="G1487" s="27">
        <f t="shared" si="167"/>
        <v>0</v>
      </c>
      <c r="H1487" s="76">
        <f>ROUND(IF(SUM(B1478:F1486)&lt;(L1493*9),IF((SUM(B1478:F1487))&gt;(L1493*10),(((L1493*10)-(SUM(B1478:F1487)-C1486))*H1477)+((SUM(B1487:F1487)-C1486)*H1477),SUM(B1487:F1487)*H1477),IF(SUM(B1478:F1487)&gt;(L1493*10),L1493*H1477,SUM(B1487:F1487)*H1477)),2)</f>
        <v>0</v>
      </c>
      <c r="I1487" s="76">
        <f>ROUND(IF(SUM(B1478:F1486)&lt;(L1494*9),IF((SUM(B1478:F1487))&gt;(L1494*10),(((L1494*10)-(SUM(B1478:F1487)-C1486))*I1477)+((SUM(B1487:F1487)-C1486)*I1477),SUM(B1487:F1487)*I1477),IF(SUM(B1478:F1487)&gt;(L1494*10),L1494*I1477,SUM(B1487:F1487)*I1477)),2)</f>
        <v>0</v>
      </c>
      <c r="J1487" s="76">
        <f>ROUND(IF(SUM(B1478:F1486)&lt;(L1494*9),IF((SUM(B1478:F1487))&gt;(L1494*10),(((L1494*10)-(SUM(B1478:F1487)-C1486))*J1477)+((SUM(B1487:F1487)-C1486)*J1477),SUM(B1487:F1487)*J1477),IF(SUM(B1478:F1487)&gt;(L1494*10),L1494*J1477,SUM(B1487:F1487)*J1477)),2)</f>
        <v>0</v>
      </c>
      <c r="K1487" s="76">
        <f>ROUND(IF(SUM(B1478:F1486)&lt;(L1493*9),IF((SUM(B1478:F1487))&gt;(L1493*10),(((L1493*10)-(SUM(B1478:F1487)-C1486))*K1477)+((SUM(B1487:F1487)-C1486)*K1477),SUM(B1487:F1487)*K1477),IF(SUM(B1478:F1487)&gt;(L1493*10),L1493*K1477,SUM(B1487:F1487)*K1477)),2)</f>
        <v>0</v>
      </c>
      <c r="L1487" s="76">
        <f>ROUND(IF(SUM(B1478:F1486)&lt;(L1494*9),IF((SUM(B1478:F1487))&gt;(L1494*10),(((L1494*10)-(SUM(B1478:F1487)-C1487))*L1477)+((SUM(B1487:F1487)-C1487)*L1477),(SUM(B1487:F1487)-C1487)*L1477),IF(SUM(B1478:F1487)&gt;(L1494*10),L1494*L1477,SUM(B1487:F1487)*L1477)),2)</f>
        <v>0</v>
      </c>
      <c r="M1487" s="76">
        <f>ROUND(IF(SUM(B1478:F1486)&lt;(L1494*9),IF((SUM(B1478:F1487))&gt;(L1494*10),(((L1494*10)-(SUM(B1478:F1487)-C1487))*M1477)+((SUM(B1487:F1487)-C1487)*M1477),(SUM(B1487:F1487)-C1487)*M1477),IF(SUM(B1478:F1487)&gt;(L1494*10),L1494*M1477,SUM(B1487:F1487)*M1477)),2)</f>
        <v>0</v>
      </c>
      <c r="N1487" s="76">
        <f>ROUND(IF(SUM(B1478:F1486)&lt;(L1494*9),IF((SUM(B1478:F1487))&gt;(L1494*10),(((L1494*10)-(SUM(B1478:F1487)-C1486))*N1477)+((SUM(B1487:F1487)-C1486)*N1477),SUM(B1487:F1487)*N1477),IF(SUM(B1478:F1487)&gt;(L1494*10),L1494*N1477,SUM(B1487:F1487)*N1477)),2)</f>
        <v>0</v>
      </c>
      <c r="O1487" s="23">
        <f>ROUND(SUM(B1487+C1487+F1487)*O1477,2)</f>
        <v>0</v>
      </c>
      <c r="P1487" s="27">
        <f t="shared" si="168"/>
        <v>0</v>
      </c>
    </row>
    <row r="1488" spans="1:16" s="1" customFormat="1" x14ac:dyDescent="0.2">
      <c r="A1488" s="100" t="str">
        <f>$A$36</f>
        <v>Nov 2022</v>
      </c>
      <c r="B1488" s="24">
        <f>ROUND(IF(P1462=0,0,IFERROR(((LOOKUP(2,1/(A1466:A1469=A1488),G1466:G1469))*P1462*4.348),B1487/P1462*P1462)),2)</f>
        <v>0</v>
      </c>
      <c r="C1488" s="23">
        <f>ROUND(IFERROR(((LOOKUP(2,1/(B1471=A1488),((SUM(B1484:B1486)+SUM(F1484:F1486))/3)*C1471))),0)+IFERROR(((LOOKUP(2,1/(E1471=A1488),(B1490+F1490)*F1471))),0),2)</f>
        <v>0</v>
      </c>
      <c r="D1488" s="23">
        <f>ROUND(IF(B1488=0,0,D1477/L1459*P1462),2)</f>
        <v>0</v>
      </c>
      <c r="E1488" s="23">
        <f>ROUND(IF(B1488=0,0,E1477/N1455*P1462),2)</f>
        <v>0</v>
      </c>
      <c r="F1488" s="24">
        <f>ROUND(IF(P1462=0,0,IFERROR(((LOOKUP(2,1/(A1466:A1469=A1488),H1466:H1469))/N1455*P1462),F1487/P1462*P1462)),2)</f>
        <v>0</v>
      </c>
      <c r="G1488" s="27">
        <f t="shared" si="167"/>
        <v>0</v>
      </c>
      <c r="H1488" s="76">
        <f>ROUND(IF(SUM(B1478:F1487)&lt;(L1493*10),IF((SUM(B1478:F1488))&gt;(L1493*11),(((L1493*11)-(SUM(B1478:F1488)-C1487))*H1477)+((SUM(B1488:F1488)-C1487)*H1477),SUM(B1488:F1488)*H1477),IF(SUM(B1478:F1488)&gt;(L1493*11),L1493*H1477,SUM(B1488:F1488)*H1477)),2)</f>
        <v>0</v>
      </c>
      <c r="I1488" s="76">
        <f>ROUND(IF(SUM(B1478:F1487)&lt;(L1494*10),IF((SUM(B1478:F1488))&gt;(L1494*11),(((L1494*11)-(SUM(B1478:F1488)-C1487))*I1477)+((SUM(B1488:F1488)-C1487)*I1477),SUM(B1488:F1488)*I1477),IF(SUM(B1478:F1488)&gt;(L1494*11),L1494*I1477,SUM(B1488:F1488)*I1477)),2)</f>
        <v>0</v>
      </c>
      <c r="J1488" s="76">
        <f>ROUND(IF(SUM(B1478:F1487)&lt;(L1494*10),IF((SUM(B1478:F1488))&gt;(L1494*11),(((L1494*11)-(SUM(B1478:F1488)-C1487))*J1477)+((SUM(B1488:F1488)-C1487)*J1477),SUM(B1488:F1488)*J1477),IF(SUM(B1478:F1488)&gt;(L1494*11),L1494*J1477,SUM(B1488:F1488)*J1477)),2)</f>
        <v>0</v>
      </c>
      <c r="K1488" s="76">
        <f>ROUND(IF(SUM(B1478:F1487)&lt;(L1493*10),IF((SUM(B1478:F1488))&gt;(L1493*11),(((L1493*11)-(SUM(B1478:F1488)-C1487))*K1477)+((SUM(B1488:F1488)-C1487)*K1477),SUM(B1488:F1488)*K1477),IF(SUM(B1478:F1488)&gt;(L1493*11),L1493*K1477,SUM(B1488:F1488)*K1477)),2)</f>
        <v>0</v>
      </c>
      <c r="L1488" s="76">
        <f>ROUND(IF(SUM(B1478:F1487)&lt;(L1494*10),IF((SUM(B1478:F1488))&gt;(L1494*11),(((L1494*11)-(SUM(B1478:F1488)-C1488))*L1477)+((SUM(B1488:F1488)-C1488)*L1477),(SUM(B1488:F1488)-C1488)*L1477),IF(SUM(B1478:F1488)&gt;(L1494*11),L1494*L1477,SUM(B1488:F1488)*L1477)),2)</f>
        <v>0</v>
      </c>
      <c r="M1488" s="76">
        <f>ROUND(IF(SUM(B1478:F1487)&lt;(L1494*10),IF((SUM(B1478:F1488))&gt;(L1494*11),(((L1494*11)-(SUM(B1478:F1488)-C1488))*M1477)+((SUM(B1488:F1488)-C1488)*M1477),(SUM(B1488:F1488)-C1488)*M1477),IF(SUM(B1478:F1488)&gt;(L1494*11),L1494*M1477,SUM(B1488:F1488)*M1477)),2)</f>
        <v>0</v>
      </c>
      <c r="N1488" s="76">
        <f>ROUND(IF(SUM(B1478:F1487)&lt;(L1494*10),IF((SUM(B1478:F1488))&gt;(L1494*11),(((L1494*11)-(SUM(B1478:F1488)-C1487))*N1477)+((SUM(B1488:F1488)-C1487)*N1477),SUM(B1488:F1488)*N1477),IF(SUM(B1478:F1488)&gt;(L1494*11),L1494*N1477,SUM(B1488:F1488)*N1477)),2)</f>
        <v>0</v>
      </c>
      <c r="O1488" s="23">
        <f>ROUND(SUM(B1488+C1488+F1488)*O1477,2)</f>
        <v>0</v>
      </c>
      <c r="P1488" s="27">
        <f t="shared" si="168"/>
        <v>0</v>
      </c>
    </row>
    <row r="1489" spans="1:16" s="1" customFormat="1" x14ac:dyDescent="0.2">
      <c r="A1489" s="100" t="str">
        <f>$A$37</f>
        <v>Dez 2022</v>
      </c>
      <c r="B1489" s="24">
        <f>ROUND(IF(P1463=0,0,IFERROR(((LOOKUP(2,1/(A1466:A1469=A1489),G1466:G1469))*P1463*4.348),B1488/P1463*P1463)),2)</f>
        <v>0</v>
      </c>
      <c r="C1489" s="23">
        <f>ROUND(IFERROR(((LOOKUP(2,1/(B1471=A1489),((SUM(B1484:B1486)+SUM(F1484:F1486))/3)*C1471))),0)+IFERROR(((LOOKUP(2,1/(E1471=A1489),(B1490+F1490)*F1471))),0),2)</f>
        <v>0</v>
      </c>
      <c r="D1489" s="23">
        <f>ROUND(IF(B1489=0,0,D1477/L1459*P1463),2)</f>
        <v>0</v>
      </c>
      <c r="E1489" s="23">
        <f>ROUND(IF(B1489=0,0,E1477/N1455*P1463),2)</f>
        <v>0</v>
      </c>
      <c r="F1489" s="24">
        <f>ROUND(IF(P1463=0,0,IFERROR(((LOOKUP(2,1/(A1466:A1469=A1489),H1466:H1469))/N1455*P1463),F1488/P1463*P1463)),2)</f>
        <v>0</v>
      </c>
      <c r="G1489" s="27">
        <f t="shared" si="167"/>
        <v>0</v>
      </c>
      <c r="H1489" s="76">
        <f>ROUND(IF(SUM(B1478:F1488)&lt;(L1493*11),IF((SUM(B1478:F1489))&gt;(L1493*12),(((L1493*12)-(SUM(B1478:F1489)-C1488))*H1477)+((SUM(B1489:F1489)-C1488)*H1477),SUM(B1489:F1489)*H1477),IF(SUM(B1478:F1489)&gt;(L1493*12),L1493*H1477,SUM(B1489:F1489)*H1477)),2)</f>
        <v>0</v>
      </c>
      <c r="I1489" s="76">
        <f>ROUND(IF(SUM(B1478:F1488)&lt;(L1494*11),IF((SUM(B1478:F1489))&gt;(L1494*12),(((L1494*12)-(SUM(B1478:F1489)-C1488))*I1477)+((SUM(B1489:F1489)-C1488)*I1477),SUM(B1489:F1489)*I1477),IF(SUM(B1478:F1489)&gt;(L1494*12),L1494*I1477,SUM(B1489:F1489)*I1477)),2)</f>
        <v>0</v>
      </c>
      <c r="J1489" s="76">
        <f>ROUND(IF(SUM(B1478:F1488)&lt;(L1494*11),IF((SUM(B1478:F1489))&gt;(L1494*12),(((L1494*12)-(SUM(B1478:F1489)-C1488))*J1477)+((SUM(B1489:F1489)-C1488)*J1477),SUM(B1489:F1489)*J1477),IF(SUM(B1478:F1489)&gt;(L1494*12),L1494*J1477,SUM(B1489:F1489)*J1477)),2)</f>
        <v>0</v>
      </c>
      <c r="K1489" s="76">
        <f>ROUND(IF(SUM(B1478:F1488)&lt;(L1493*11),IF((SUM(B1478:F1489))&gt;(L1493*12),(((L1493*12)-(SUM(B1478:F1489)-C1488))*K1477)+((SUM(B1489:F1489)-C1488)*K1477),SUM(B1489:F1489)*K1477),IF(SUM(B1478:F1489)&gt;(L1493*12),L1493*K1477,SUM(B1489:F1489)*K1477)),2)</f>
        <v>0</v>
      </c>
      <c r="L1489" s="76">
        <f>ROUND(IF(SUM(B1478:F1488)&lt;(L1494*11),IF((SUM(B1478:F1489))&gt;(L1494*12),(((L1494*12)-(SUM(B1478:F1489)-C1489))*L1477)+((SUM(B1489:F1489)-C1489)*L1477),(SUM(B1489:F1489)-C1489)*L1477),IF(SUM(B1478:F1489)&gt;(L1494*12),L1494*L1477,SUM(B1489:F1489)*L1477)),2)</f>
        <v>0</v>
      </c>
      <c r="M1489" s="76">
        <f>ROUND(IF(SUM(B1478:F1488)&lt;(L1494*11),IF((SUM(B1478:F1489))&gt;(L1494*12),(((L1494*12)-(SUM(B1478:F1489)-C1489))*M1477)+((SUM(B1489:F1489)-C1489)*M1477),(SUM(B1489:F1489)-C1489)*M1477),IF(SUM(B1478:F1489)&gt;(L1494*12),L1494*M1477,SUM(B1489:F1489)*M1477)),2)</f>
        <v>0</v>
      </c>
      <c r="N1489" s="76">
        <f>ROUND(IF(SUM(B1478:F1488)&lt;(L1494*11),IF((SUM(B1478:F1489))&gt;(L1494*12),(((L1494*12)-(SUM(B1478:F1489)-C1488))*N1477)+((SUM(B1489:F1489)-C1488)*N1477),SUM(B1489:F1489)*N1477),IF(SUM(B1478:F1489)&gt;(L1494*12),L1494*N1477,SUM(B1489:F1489)*N1477)),2)</f>
        <v>0</v>
      </c>
      <c r="O1489" s="23">
        <f>ROUND(SUM(B1489+C1489+F1489)*O1477,2)</f>
        <v>0</v>
      </c>
      <c r="P1489" s="27">
        <f t="shared" si="168"/>
        <v>0</v>
      </c>
    </row>
    <row r="1490" spans="1:16" s="14" customFormat="1" ht="15" x14ac:dyDescent="0.25">
      <c r="A1490" s="4" t="s">
        <v>2</v>
      </c>
      <c r="B1490" s="27">
        <f>SUM(B1478:B1489)</f>
        <v>0</v>
      </c>
      <c r="C1490" s="27">
        <f t="shared" ref="C1490:D1490" si="169">SUM(C1478:C1489)</f>
        <v>0</v>
      </c>
      <c r="D1490" s="27">
        <f t="shared" si="169"/>
        <v>0</v>
      </c>
      <c r="E1490" s="27">
        <f>SUM(E1478:E1489)</f>
        <v>0</v>
      </c>
      <c r="F1490" s="27">
        <f>SUM(F1478:F1489)</f>
        <v>0</v>
      </c>
      <c r="G1490" s="27">
        <f>SUM(G1478:G1489)</f>
        <v>0</v>
      </c>
      <c r="H1490" s="1133">
        <f>SUM(H1478:N1489)</f>
        <v>0</v>
      </c>
      <c r="I1490" s="1134"/>
      <c r="J1490" s="1134"/>
      <c r="K1490" s="1134"/>
      <c r="L1490" s="1134"/>
      <c r="M1490" s="1134"/>
      <c r="N1490" s="1135"/>
      <c r="O1490" s="27">
        <f>SUM(O1478:O1489)</f>
        <v>0</v>
      </c>
      <c r="P1490" s="27">
        <f>SUM(P1478:P1489)</f>
        <v>0</v>
      </c>
    </row>
    <row r="1491" spans="1:16" s="13" customFormat="1" ht="11.25" x14ac:dyDescent="0.2">
      <c r="A1491" s="3" t="s">
        <v>1</v>
      </c>
      <c r="B1491" s="2"/>
      <c r="C1491" s="2"/>
      <c r="D1491" s="2"/>
      <c r="E1491" s="2"/>
      <c r="F1491" s="2"/>
      <c r="G1491" s="2"/>
      <c r="H1491" s="2"/>
      <c r="I1491" s="2"/>
      <c r="J1491" s="2"/>
      <c r="K1491" s="2"/>
      <c r="L1491" s="2"/>
      <c r="M1491" s="2"/>
      <c r="N1491" s="2"/>
      <c r="O1491" s="2"/>
      <c r="P1491" s="2"/>
    </row>
    <row r="1492" spans="1:16" s="1" customFormat="1" ht="14.25" customHeight="1" x14ac:dyDescent="0.2">
      <c r="A1492" s="1136" t="s">
        <v>133</v>
      </c>
      <c r="B1492" s="1137"/>
      <c r="C1492" s="1137"/>
      <c r="D1492" s="1137" t="s">
        <v>134</v>
      </c>
      <c r="E1492" s="1137"/>
      <c r="F1492" s="94" t="str">
        <f>IF(IF(G1490=0,"",'päd.Personal - Leitung'!$F$40)=0,"",IF(G1490=0,"",'päd.Personal - Leitung'!$F$40))</f>
        <v/>
      </c>
      <c r="G1492" s="77" t="s">
        <v>135</v>
      </c>
      <c r="H1492" s="96" t="str">
        <f>IF(IF(G1490=0,"",'päd.Personal - Leitung'!$H$40)=0,"",IF(G1490=0,"",'päd.Personal - Leitung'!$H$40))</f>
        <v/>
      </c>
      <c r="I1492" s="73"/>
      <c r="J1492" s="194" t="s">
        <v>160</v>
      </c>
      <c r="K1492" s="194" t="str">
        <f>$K$40</f>
        <v>2021</v>
      </c>
      <c r="L1492" s="194" t="str">
        <f>$L$40</f>
        <v>anteilig 2021</v>
      </c>
      <c r="M1492" s="1138" t="s">
        <v>140</v>
      </c>
      <c r="N1492" s="1138"/>
      <c r="O1492" s="1139"/>
      <c r="P1492" s="27">
        <f>ROUND(IF(F1492="",IF(E1496="",0,(E1496*H1496/K1496)/L1459*L1460),G1490*F1492*H1492/1000),2)</f>
        <v>0</v>
      </c>
    </row>
    <row r="1493" spans="1:16" s="1" customFormat="1" ht="15" customHeight="1" x14ac:dyDescent="0.2">
      <c r="A1493" s="1140" t="s">
        <v>145</v>
      </c>
      <c r="B1493" s="1141"/>
      <c r="C1493" s="1141"/>
      <c r="D1493" s="18"/>
      <c r="E1493" s="107" t="s">
        <v>135</v>
      </c>
      <c r="F1493" s="95" t="str">
        <f>IF(IF(G1490=0,"",'päd.Personal - Leitung'!$F$41)=0,"",IF(G1490=0,"",'päd.Personal - Leitung'!$F$41))</f>
        <v/>
      </c>
      <c r="G1493" s="48"/>
      <c r="H1493" s="47"/>
      <c r="I1493" s="48"/>
      <c r="J1493" s="195" t="s">
        <v>158</v>
      </c>
      <c r="K1493" s="198">
        <f>$K$41</f>
        <v>4837.5</v>
      </c>
      <c r="L1493" s="197">
        <f>IF(L1459="",K1493,K1493/L1459*L1460)</f>
        <v>4837.5</v>
      </c>
      <c r="M1493" s="1138" t="s">
        <v>139</v>
      </c>
      <c r="N1493" s="1138"/>
      <c r="O1493" s="1139"/>
      <c r="P1493" s="27">
        <f>ROUND(IF(F1493="",0,G1490*F1493/1000),2)</f>
        <v>0</v>
      </c>
    </row>
    <row r="1494" spans="1:16" s="1" customFormat="1" ht="15.75" customHeight="1" x14ac:dyDescent="0.2">
      <c r="A1494" s="1142" t="s">
        <v>141</v>
      </c>
      <c r="B1494" s="1143"/>
      <c r="C1494" s="1143"/>
      <c r="D1494" s="1144" t="s">
        <v>143</v>
      </c>
      <c r="E1494" s="1144"/>
      <c r="F1494" s="1145" t="str">
        <f>IF(IF(G1490=0,"",'päd.Personal - Leitung'!$F$42)=0,"",IF(G1490=0,"",'päd.Personal - Leitung'!$F$42))</f>
        <v/>
      </c>
      <c r="G1494" s="1145"/>
      <c r="H1494" s="72"/>
      <c r="I1494" s="18"/>
      <c r="J1494" s="195" t="s">
        <v>159</v>
      </c>
      <c r="K1494" s="197">
        <f>$K$42</f>
        <v>6700</v>
      </c>
      <c r="L1494" s="197">
        <f>IF(L1459="",K1494,K1494/L1459*L1460)</f>
        <v>6700</v>
      </c>
      <c r="M1494" s="1138" t="s">
        <v>141</v>
      </c>
      <c r="N1494" s="1138"/>
      <c r="O1494" s="1139"/>
      <c r="P1494" s="23">
        <f>ROUND(IF(F1494="",0,IF(G1490=0,0,F1494/L1459*L1460)),2)</f>
        <v>0</v>
      </c>
    </row>
    <row r="1495" spans="1:16" s="1" customFormat="1" ht="14.25" customHeight="1" x14ac:dyDescent="0.2">
      <c r="A1495" s="18"/>
      <c r="B1495" s="18"/>
      <c r="C1495" s="18"/>
      <c r="D1495" s="18"/>
      <c r="E1495" s="18"/>
      <c r="F1495" s="18"/>
      <c r="G1495" s="18"/>
      <c r="H1495" s="18"/>
      <c r="I1495" s="18"/>
      <c r="J1495" s="18"/>
      <c r="K1495" s="74"/>
      <c r="L1495" s="82"/>
      <c r="M1495" s="1127" t="s">
        <v>146</v>
      </c>
      <c r="N1495" s="1127"/>
      <c r="O1495" s="1128"/>
      <c r="P1495" s="23">
        <f>ROUND(IF(G1490=0,0,$P$87),2)</f>
        <v>0</v>
      </c>
    </row>
    <row r="1496" spans="1:16" s="1" customFormat="1" ht="14.25" customHeight="1" x14ac:dyDescent="0.2">
      <c r="A1496" s="1129" t="s">
        <v>142</v>
      </c>
      <c r="B1496" s="1130"/>
      <c r="C1496" s="126" t="s">
        <v>136</v>
      </c>
      <c r="D1496" s="179" t="s">
        <v>137</v>
      </c>
      <c r="E1496" s="1131" t="str">
        <f>IF(IF(G1490=0,"",'päd.Personal - Leitung'!$E$44)=0,"",IF(G1490=0,"",'päd.Personal - Leitung'!$E$44))</f>
        <v/>
      </c>
      <c r="F1496" s="1131"/>
      <c r="G1496" s="83" t="s">
        <v>138</v>
      </c>
      <c r="H1496" s="97" t="str">
        <f>IF(IF(G1490=0,"",'päd.Personal - Leitung'!$H$44)=0,"",IF(G1490=0,"",'päd.Personal - Leitung'!$H$44))</f>
        <v/>
      </c>
      <c r="I1496" s="1132" t="s">
        <v>144</v>
      </c>
      <c r="J1496" s="1132"/>
      <c r="K1496" s="98" t="str">
        <f>IF(IF(G1490=0,"",'päd.Personal - Leitung'!$K$44)=0,"",IF(G1490=0,"",'päd.Personal - Leitung'!$K$44))</f>
        <v/>
      </c>
      <c r="L1496" s="29"/>
      <c r="M1496" s="29"/>
      <c r="N1496" s="29"/>
      <c r="O1496" s="28" t="s">
        <v>0</v>
      </c>
      <c r="P1496" s="27">
        <f>P1490+SUM(P1492:P1495)</f>
        <v>0</v>
      </c>
    </row>
    <row r="1497" spans="1:16" s="12" customFormat="1" ht="13.5" customHeight="1" x14ac:dyDescent="0.2">
      <c r="A1497" s="1178" t="s">
        <v>18</v>
      </c>
      <c r="B1497" s="1178"/>
      <c r="C1497" s="1178"/>
      <c r="D1497" s="1179" t="str">
        <f>IF($D$1="","",$D$1)</f>
        <v/>
      </c>
      <c r="E1497" s="1179"/>
      <c r="F1497" s="1179"/>
      <c r="G1497" s="1179"/>
      <c r="H1497" s="1179"/>
      <c r="I1497" s="1179"/>
      <c r="J1497" s="1179"/>
      <c r="K1497" s="1179"/>
      <c r="L1497" s="1179"/>
      <c r="M1497" s="1179"/>
      <c r="N1497" s="1179"/>
    </row>
    <row r="1498" spans="1:16" s="12" customFormat="1" ht="15" customHeight="1" x14ac:dyDescent="0.2">
      <c r="A1498" s="1178" t="s">
        <v>17</v>
      </c>
      <c r="B1498" s="1178"/>
      <c r="C1498" s="1178" t="s">
        <v>15</v>
      </c>
      <c r="D1498" s="1179" t="str">
        <f>IF($D$2="","",$D$2)</f>
        <v/>
      </c>
      <c r="E1498" s="1179"/>
      <c r="F1498" s="1179"/>
      <c r="G1498" s="1179"/>
      <c r="H1498" s="1179"/>
      <c r="I1498" s="1179"/>
      <c r="J1498" s="1179"/>
      <c r="K1498" s="1179"/>
      <c r="L1498" s="1179"/>
      <c r="M1498" s="1179"/>
      <c r="N1498" s="1179"/>
    </row>
    <row r="1499" spans="1:16" s="12" customFormat="1" ht="15" customHeight="1" x14ac:dyDescent="0.2">
      <c r="A1499" s="1178" t="s">
        <v>16</v>
      </c>
      <c r="B1499" s="1178"/>
      <c r="C1499" s="1178" t="s">
        <v>15</v>
      </c>
      <c r="D1499" s="1179" t="str">
        <f>IF($D$3="","",$D$3)</f>
        <v/>
      </c>
      <c r="E1499" s="1179"/>
      <c r="F1499" s="1179"/>
      <c r="G1499" s="1179"/>
      <c r="H1499" s="1179"/>
      <c r="I1499" s="1179"/>
      <c r="J1499" s="1179"/>
      <c r="K1499" s="1178" t="s">
        <v>103</v>
      </c>
      <c r="L1499" s="1178"/>
      <c r="M1499" s="1178"/>
      <c r="N1499" s="41" t="str">
        <f>IF($N$3="","",$N$3)</f>
        <v/>
      </c>
    </row>
    <row r="1500" spans="1:16" s="13" customFormat="1" ht="11.25" x14ac:dyDescent="0.2">
      <c r="A1500" s="1182"/>
      <c r="B1500" s="1182"/>
      <c r="C1500" s="1182"/>
      <c r="D1500" s="1183"/>
      <c r="E1500" s="1183"/>
      <c r="F1500" s="1183"/>
      <c r="G1500" s="1183"/>
      <c r="H1500" s="1183"/>
      <c r="I1500" s="1183"/>
      <c r="J1500" s="1183"/>
      <c r="K1500" s="11"/>
      <c r="L1500" s="11"/>
      <c r="M1500" s="11"/>
      <c r="N1500" s="11"/>
      <c r="O1500" s="11"/>
      <c r="P1500" s="11"/>
    </row>
    <row r="1501" spans="1:16" s="15" customFormat="1" ht="13.5" customHeight="1" x14ac:dyDescent="0.2">
      <c r="A1501" s="1177" t="s">
        <v>166</v>
      </c>
      <c r="B1501" s="1177"/>
      <c r="C1501" s="1177"/>
      <c r="D1501" s="1177"/>
      <c r="E1501" s="1177"/>
      <c r="F1501" s="1177"/>
      <c r="G1501" s="1177"/>
      <c r="H1501" s="1177"/>
      <c r="I1501" s="1177"/>
      <c r="J1501" s="1177"/>
      <c r="K1501" s="9"/>
      <c r="L1501" s="9"/>
      <c r="M1501" s="9"/>
      <c r="N1501" s="59" t="s">
        <v>154</v>
      </c>
      <c r="O1501" s="191">
        <f>$O$5</f>
        <v>2022</v>
      </c>
      <c r="P1501" s="59" t="s">
        <v>154</v>
      </c>
    </row>
    <row r="1502" spans="1:16" s="10" customFormat="1" ht="13.5" customHeight="1" x14ac:dyDescent="0.25">
      <c r="B1502" s="32"/>
      <c r="C1502" s="32"/>
      <c r="D1502" s="5" t="s">
        <v>217</v>
      </c>
      <c r="E1502" s="31"/>
      <c r="F1502" s="31"/>
      <c r="G1502" s="31"/>
      <c r="H1502" s="31"/>
      <c r="I1502" s="26"/>
      <c r="J1502" s="1174" t="s">
        <v>14</v>
      </c>
      <c r="K1502" s="1174"/>
      <c r="L1502" s="180"/>
      <c r="N1502" s="84">
        <f>IF(L1504="","",L1504)</f>
        <v>0</v>
      </c>
      <c r="O1502" s="58" t="str">
        <f>$O$6</f>
        <v>Jan                Jul</v>
      </c>
      <c r="P1502" s="85">
        <f>IF(N1507="","",N1507)</f>
        <v>0</v>
      </c>
    </row>
    <row r="1503" spans="1:16" s="7" customFormat="1" ht="13.5" customHeight="1" x14ac:dyDescent="0.25">
      <c r="A1503" s="1180" t="s">
        <v>71</v>
      </c>
      <c r="B1503" s="1180"/>
      <c r="C1503" s="1180"/>
      <c r="D1503" s="1184"/>
      <c r="E1503" s="1184"/>
      <c r="F1503" s="1184"/>
      <c r="G1503" s="1184"/>
      <c r="H1503" s="1184"/>
      <c r="I1503" s="1184"/>
      <c r="J1503" s="1174" t="s">
        <v>104</v>
      </c>
      <c r="K1503" s="1174"/>
      <c r="L1503" s="145"/>
      <c r="N1503" s="85">
        <f>IF(N1502="","",N1502)</f>
        <v>0</v>
      </c>
      <c r="O1503" s="58" t="str">
        <f>$O$7</f>
        <v>Feb              Aug</v>
      </c>
      <c r="P1503" s="85">
        <f>IF(P1502="","",P1502)</f>
        <v>0</v>
      </c>
    </row>
    <row r="1504" spans="1:16" s="1" customFormat="1" ht="13.5" customHeight="1" x14ac:dyDescent="0.2">
      <c r="A1504" s="1180" t="s">
        <v>13</v>
      </c>
      <c r="B1504" s="1180"/>
      <c r="C1504" s="1180"/>
      <c r="D1504" s="1181"/>
      <c r="E1504" s="1181"/>
      <c r="F1504" s="1181"/>
      <c r="G1504" s="1181"/>
      <c r="H1504" s="1181"/>
      <c r="I1504" s="1181"/>
      <c r="J1504" s="1174" t="s">
        <v>164</v>
      </c>
      <c r="K1504" s="1174"/>
      <c r="L1504" s="145">
        <f>IF((L1505+L1506)&gt;L1503,0,L1503-L1505-L1506)</f>
        <v>0</v>
      </c>
      <c r="N1504" s="85">
        <f>IF(N1503="","",N1503)</f>
        <v>0</v>
      </c>
      <c r="O1504" s="58" t="str">
        <f>$O$8</f>
        <v>Mrz              Sep</v>
      </c>
      <c r="P1504" s="85">
        <f>IF(P1503="","",P1503)</f>
        <v>0</v>
      </c>
    </row>
    <row r="1505" spans="1:16" s="1" customFormat="1" ht="13.5" customHeight="1" x14ac:dyDescent="0.2">
      <c r="A1505" s="1180" t="s">
        <v>12</v>
      </c>
      <c r="B1505" s="1180"/>
      <c r="C1505" s="1180"/>
      <c r="D1505" s="1181"/>
      <c r="E1505" s="1181"/>
      <c r="F1505" s="1181"/>
      <c r="G1505" s="1181"/>
      <c r="H1505" s="1181"/>
      <c r="I1505" s="1181"/>
      <c r="J1505" s="1174" t="s">
        <v>165</v>
      </c>
      <c r="K1505" s="1174"/>
      <c r="L1505" s="145"/>
      <c r="N1505" s="85">
        <f>IF(N1504="","",N1504)</f>
        <v>0</v>
      </c>
      <c r="O1505" s="58" t="str">
        <f>$O$9</f>
        <v>Apr               Okt</v>
      </c>
      <c r="P1505" s="85">
        <f t="shared" ref="P1505:P1507" si="170">IF(P1504="","",P1504)</f>
        <v>0</v>
      </c>
    </row>
    <row r="1506" spans="1:16" s="1" customFormat="1" ht="13.5" customHeight="1" x14ac:dyDescent="0.2">
      <c r="A1506" s="1180" t="s">
        <v>19</v>
      </c>
      <c r="B1506" s="1180"/>
      <c r="C1506" s="1180"/>
      <c r="D1506" s="1181"/>
      <c r="E1506" s="1181"/>
      <c r="F1506" s="1181"/>
      <c r="G1506" s="1181"/>
      <c r="H1506" s="1181"/>
      <c r="I1506" s="1181"/>
      <c r="J1506" s="1174" t="s">
        <v>252</v>
      </c>
      <c r="K1506" s="1174"/>
      <c r="L1506" s="145"/>
      <c r="M1506" s="92"/>
      <c r="N1506" s="85">
        <f>IF(N1505="","",N1505)</f>
        <v>0</v>
      </c>
      <c r="O1506" s="58" t="str">
        <f>$O$10</f>
        <v>Mai               Nov</v>
      </c>
      <c r="P1506" s="85">
        <f t="shared" si="170"/>
        <v>0</v>
      </c>
    </row>
    <row r="1507" spans="1:16" s="1" customFormat="1" ht="13.5" customHeight="1" x14ac:dyDescent="0.2">
      <c r="B1507" s="8"/>
      <c r="C1507" s="121" t="s">
        <v>162</v>
      </c>
      <c r="D1507" s="1175"/>
      <c r="E1507" s="1175"/>
      <c r="F1507" s="1176" t="s">
        <v>106</v>
      </c>
      <c r="G1507" s="1176"/>
      <c r="H1507" s="1186"/>
      <c r="I1507" s="1186"/>
      <c r="J1507" s="1174" t="s">
        <v>97</v>
      </c>
      <c r="K1507" s="1174"/>
      <c r="L1507" s="17" t="str">
        <f>IF(IF((COUNTIF(B1522:B1533,"&gt;0"))=0,0,(COUNTIF(B1522:B1533,"&gt;0")))&gt;Grundlagen!$C$24,Grundlagen!$C$24,IF((COUNTIF(B1522:B1533,"&gt;0"))=0,"",(COUNTIF(B1522:B1533,"&gt;0"))))</f>
        <v/>
      </c>
      <c r="N1507" s="85">
        <f>IF(N1506="","",N1506)</f>
        <v>0</v>
      </c>
      <c r="O1507" s="58" t="str">
        <f>'päd.Personal - Leitung'!$O$11</f>
        <v>Jun               Dez</v>
      </c>
      <c r="P1507" s="85">
        <f t="shared" si="170"/>
        <v>0</v>
      </c>
    </row>
    <row r="1508" spans="1:16" s="1" customFormat="1" ht="13.5" customHeight="1" x14ac:dyDescent="0.2">
      <c r="I1508" s="6"/>
      <c r="L1508" s="147" t="str">
        <f>IF((SUM(F1510:F1513))=0,"",IF(P1508&gt;L1504,L1504,IF(L1504="","",IF(L1507="","",P1508))))</f>
        <v/>
      </c>
      <c r="O1508" s="174" t="s">
        <v>251</v>
      </c>
      <c r="P1508" s="175">
        <f>IF(L1507="",0,((IF(SUMIF(B1522,"&gt;0"),N1502,0))+(IF(SUMIF(B1523,"&gt;0"),N1503,0))+(IF(SUMIF(B1524,"&gt;0"),N1504,0))+(IF(SUMIF(B1525,"&gt;0"),N1505,0))+(IF(SUMIF(B1526,"&gt;0"),N1506,0))+(IF(SUMIF(B1527,"&gt;0"),N1507,0))+(IF(SUMIF(B1528,"&gt;0"),P1502,0))+(IF(SUMIF(B1529,"&gt;0"),P1503,0))+(IF(SUMIF(B1530,"&gt;0"),P1504,0))+(IF(SUMIF(B1531,"&gt;0"),P1505,0))+(IF(SUMIF(B1532,"&gt;0"),P1506,0))+(IF(SUMIF(B1533,"&gt;0"),P1507,0)))/Grundlagen!$C$24)</f>
        <v>0</v>
      </c>
    </row>
    <row r="1509" spans="1:16" s="52" customFormat="1" ht="13.5" customHeight="1" x14ac:dyDescent="0.2">
      <c r="A1509" s="61" t="s">
        <v>148</v>
      </c>
      <c r="B1509" s="1168" t="s">
        <v>149</v>
      </c>
      <c r="C1509" s="1168"/>
      <c r="D1509" s="62" t="s">
        <v>150</v>
      </c>
      <c r="E1509" s="63" t="s">
        <v>151</v>
      </c>
      <c r="F1509" s="64" t="str">
        <f>CONCATENATE("Entg. ",N1499," h/Wo")</f>
        <v>Entg.  h/Wo</v>
      </c>
      <c r="G1509" s="65" t="s">
        <v>152</v>
      </c>
      <c r="H1509" s="65" t="s">
        <v>153</v>
      </c>
      <c r="K1509" s="1169" t="str">
        <f>CONCATENATE("Zuschläge / Zulagen für ",N1499,"h/Wo")</f>
        <v>Zuschläge / Zulagen für h/Wo</v>
      </c>
      <c r="L1509" s="1169"/>
      <c r="M1509" s="66" t="str">
        <f>IF(A1510="","",A1510)</f>
        <v>Jan 2022</v>
      </c>
      <c r="N1509" s="66" t="str">
        <f>IF(A1511="","",A1511)</f>
        <v/>
      </c>
      <c r="O1509" s="66" t="str">
        <f>IF(A1512="","",A1512)</f>
        <v/>
      </c>
      <c r="P1509" s="66" t="str">
        <f>IF(A1513="","",A1513)</f>
        <v/>
      </c>
    </row>
    <row r="1510" spans="1:16" s="52" customFormat="1" ht="13.5" customHeight="1" x14ac:dyDescent="0.25">
      <c r="A1510" s="54" t="str">
        <f>A1522</f>
        <v>Jan 2022</v>
      </c>
      <c r="B1510" s="1170" t="str">
        <f>IF($D$3="","",$D$3)</f>
        <v/>
      </c>
      <c r="C1510" s="1171"/>
      <c r="D1510" s="181"/>
      <c r="E1510" s="181"/>
      <c r="F1510" s="87"/>
      <c r="G1510" s="56">
        <f>IF(N1499="",0,F1510/N1499/4.348)</f>
        <v>0</v>
      </c>
      <c r="H1510" s="53">
        <f>IF(G1510=0,0,M1515)</f>
        <v>0</v>
      </c>
      <c r="K1510" s="1146"/>
      <c r="L1510" s="1146"/>
      <c r="M1510" s="172"/>
      <c r="N1510" s="172"/>
      <c r="O1510" s="172"/>
      <c r="P1510" s="172"/>
    </row>
    <row r="1511" spans="1:16" s="52" customFormat="1" ht="13.5" customHeight="1" x14ac:dyDescent="0.25">
      <c r="A1511" s="55"/>
      <c r="B1511" s="1172" t="str">
        <f>IF(A1511="","",B1510)</f>
        <v/>
      </c>
      <c r="C1511" s="1173"/>
      <c r="D1511" s="181"/>
      <c r="E1511" s="181"/>
      <c r="F1511" s="87"/>
      <c r="G1511" s="56">
        <f>IF(N1499="",0,F1511/N1499/4.348)</f>
        <v>0</v>
      </c>
      <c r="H1511" s="53">
        <f>IF(G1511=0,0,N1515)</f>
        <v>0</v>
      </c>
      <c r="K1511" s="1146"/>
      <c r="L1511" s="1146"/>
      <c r="M1511" s="172"/>
      <c r="N1511" s="172"/>
      <c r="O1511" s="172"/>
      <c r="P1511" s="172"/>
    </row>
    <row r="1512" spans="1:16" s="52" customFormat="1" ht="13.5" customHeight="1" x14ac:dyDescent="0.25">
      <c r="A1512" s="55"/>
      <c r="B1512" s="1172" t="str">
        <f>IF(A1512="","",B1511)</f>
        <v/>
      </c>
      <c r="C1512" s="1173"/>
      <c r="D1512" s="181"/>
      <c r="E1512" s="181"/>
      <c r="F1512" s="87"/>
      <c r="G1512" s="56">
        <f>IF(N1499="",0,F1512/N1499/4.348)</f>
        <v>0</v>
      </c>
      <c r="H1512" s="53">
        <f>IF(G1512=0,0,O1515)</f>
        <v>0</v>
      </c>
      <c r="K1512" s="1146"/>
      <c r="L1512" s="1146"/>
      <c r="M1512" s="172"/>
      <c r="N1512" s="172"/>
      <c r="O1512" s="172"/>
      <c r="P1512" s="172"/>
    </row>
    <row r="1513" spans="1:16" s="52" customFormat="1" ht="13.5" customHeight="1" x14ac:dyDescent="0.25">
      <c r="A1513" s="55"/>
      <c r="B1513" s="1172" t="str">
        <f>IF(A1513="","",B1512)</f>
        <v/>
      </c>
      <c r="C1513" s="1173"/>
      <c r="D1513" s="181"/>
      <c r="E1513" s="181"/>
      <c r="F1513" s="87"/>
      <c r="G1513" s="56">
        <f>IF(N1499="",0,F1513/N1499/4.348)</f>
        <v>0</v>
      </c>
      <c r="H1513" s="53">
        <f>IF(G1513=0,0,P1515)</f>
        <v>0</v>
      </c>
      <c r="K1513" s="1146"/>
      <c r="L1513" s="1146"/>
      <c r="M1513" s="172"/>
      <c r="N1513" s="172"/>
      <c r="O1513" s="172"/>
      <c r="P1513" s="172"/>
    </row>
    <row r="1514" spans="1:16" s="52" customFormat="1" ht="13.5" customHeight="1" x14ac:dyDescent="0.25">
      <c r="B1514" s="1167" t="s">
        <v>157</v>
      </c>
      <c r="C1514" s="1167"/>
      <c r="E1514" s="1167" t="s">
        <v>156</v>
      </c>
      <c r="F1514" s="1167"/>
      <c r="J1514" s="69"/>
      <c r="K1514" s="1146"/>
      <c r="L1514" s="1146"/>
      <c r="M1514" s="172"/>
      <c r="N1514" s="172"/>
      <c r="O1514" s="172"/>
      <c r="P1514" s="172"/>
    </row>
    <row r="1515" spans="1:16" s="52" customFormat="1" ht="13.5" customHeight="1" x14ac:dyDescent="0.25">
      <c r="A1515" s="70" t="s">
        <v>167</v>
      </c>
      <c r="B1515" s="67"/>
      <c r="C1515" s="99" t="str">
        <f>IF(C1471="","",C1471)</f>
        <v/>
      </c>
      <c r="D1515" s="70" t="s">
        <v>167</v>
      </c>
      <c r="E1515" s="67"/>
      <c r="F1515" s="99" t="str">
        <f>IF(F1471="","",F1471)</f>
        <v/>
      </c>
      <c r="J1515" s="68"/>
      <c r="M1515" s="173">
        <f>SUM(M1510:M1514)</f>
        <v>0</v>
      </c>
      <c r="N1515" s="173">
        <f t="shared" ref="N1515:P1515" si="171">SUM(N1510:N1514)</f>
        <v>0</v>
      </c>
      <c r="O1515" s="173">
        <f t="shared" si="171"/>
        <v>0</v>
      </c>
      <c r="P1515" s="173">
        <f t="shared" si="171"/>
        <v>0</v>
      </c>
    </row>
    <row r="1516" spans="1:16" s="52" customFormat="1" ht="13.5" customHeight="1" x14ac:dyDescent="0.2">
      <c r="A1516" s="60" t="s">
        <v>155</v>
      </c>
    </row>
    <row r="1517" spans="1:16" s="1" customFormat="1" ht="14.25" customHeight="1" x14ac:dyDescent="0.2">
      <c r="A1517" s="1147"/>
      <c r="B1517" s="1149" t="s">
        <v>9</v>
      </c>
      <c r="C1517" s="1150"/>
      <c r="D1517" s="1150"/>
      <c r="E1517" s="1150"/>
      <c r="F1517" s="1150"/>
      <c r="G1517" s="1151"/>
      <c r="H1517" s="1152" t="s">
        <v>119</v>
      </c>
      <c r="I1517" s="1153"/>
      <c r="J1517" s="1153"/>
      <c r="K1517" s="1153"/>
      <c r="L1517" s="1153"/>
      <c r="M1517" s="1153"/>
      <c r="N1517" s="1153"/>
      <c r="O1517" s="33"/>
      <c r="P1517" s="1154" t="s">
        <v>0</v>
      </c>
    </row>
    <row r="1518" spans="1:16" s="1" customFormat="1" ht="14.25" customHeight="1" x14ac:dyDescent="0.2">
      <c r="A1518" s="1148"/>
      <c r="B1518" s="1157" t="s">
        <v>117</v>
      </c>
      <c r="C1518" s="124" t="s">
        <v>115</v>
      </c>
      <c r="D1518" s="1159" t="s">
        <v>277</v>
      </c>
      <c r="E1518" s="1161" t="s">
        <v>147</v>
      </c>
      <c r="F1518" s="127" t="s">
        <v>7</v>
      </c>
      <c r="G1518" s="1162" t="s">
        <v>6</v>
      </c>
      <c r="H1518" s="1161" t="s">
        <v>129</v>
      </c>
      <c r="I1518" s="1161" t="s">
        <v>5</v>
      </c>
      <c r="J1518" s="1161" t="s">
        <v>4</v>
      </c>
      <c r="K1518" s="1161" t="s">
        <v>3</v>
      </c>
      <c r="L1518" s="1161" t="s">
        <v>121</v>
      </c>
      <c r="M1518" s="1161" t="s">
        <v>122</v>
      </c>
      <c r="N1518" s="1161" t="s">
        <v>123</v>
      </c>
      <c r="O1518" s="1160" t="s">
        <v>114</v>
      </c>
      <c r="P1518" s="1155"/>
    </row>
    <row r="1519" spans="1:16" s="1" customFormat="1" ht="14.25" customHeight="1" x14ac:dyDescent="0.2">
      <c r="A1519" s="1148"/>
      <c r="B1519" s="1157"/>
      <c r="C1519" s="21" t="str">
        <f>IF(C1515="","",C1515)</f>
        <v/>
      </c>
      <c r="D1519" s="1160"/>
      <c r="E1519" s="1161"/>
      <c r="F1519" s="1165" t="str">
        <f>IF(H1510=0,"","siehe Zuschläge / Zulagen")</f>
        <v/>
      </c>
      <c r="G1519" s="1162"/>
      <c r="H1519" s="1164" t="s">
        <v>127</v>
      </c>
      <c r="I1519" s="1164"/>
      <c r="J1519" s="1164"/>
      <c r="K1519" s="1164"/>
      <c r="L1519" s="1164"/>
      <c r="M1519" s="1164"/>
      <c r="N1519" s="1164"/>
      <c r="O1519" s="1160"/>
      <c r="P1519" s="1155"/>
    </row>
    <row r="1520" spans="1:16" s="1" customFormat="1" x14ac:dyDescent="0.2">
      <c r="A1520" s="1148"/>
      <c r="B1520" s="1157"/>
      <c r="C1520" s="122" t="s">
        <v>70</v>
      </c>
      <c r="D1520" s="1160"/>
      <c r="E1520" s="1161"/>
      <c r="F1520" s="1165"/>
      <c r="G1520" s="1162"/>
      <c r="H1520" s="43" t="s">
        <v>128</v>
      </c>
      <c r="I1520" s="43" t="s">
        <v>255</v>
      </c>
      <c r="J1520" s="43" t="s">
        <v>256</v>
      </c>
      <c r="K1520" s="43" t="s">
        <v>257</v>
      </c>
      <c r="L1520" s="43"/>
      <c r="M1520" s="43"/>
      <c r="N1520" s="43" t="s">
        <v>254</v>
      </c>
      <c r="O1520" s="1160"/>
      <c r="P1520" s="1155"/>
    </row>
    <row r="1521" spans="1:16" s="1" customFormat="1" x14ac:dyDescent="0.2">
      <c r="A1521" s="1148"/>
      <c r="B1521" s="1158"/>
      <c r="C1521" s="21" t="str">
        <f>IF(F1515="","",F1515)</f>
        <v/>
      </c>
      <c r="D1521" s="51"/>
      <c r="E1521" s="51"/>
      <c r="F1521" s="1166"/>
      <c r="G1521" s="1163"/>
      <c r="H1521" s="93"/>
      <c r="I1521" s="139">
        <f>$I$69</f>
        <v>0</v>
      </c>
      <c r="J1521" s="139">
        <f>$J$69</f>
        <v>0</v>
      </c>
      <c r="K1521" s="44">
        <f>$K$69</f>
        <v>0</v>
      </c>
      <c r="L1521" s="21"/>
      <c r="M1521" s="21"/>
      <c r="N1521" s="139">
        <f>$N$69</f>
        <v>0</v>
      </c>
      <c r="O1521" s="21">
        <f>O1477</f>
        <v>0</v>
      </c>
      <c r="P1521" s="1156"/>
    </row>
    <row r="1522" spans="1:16" s="1" customFormat="1" x14ac:dyDescent="0.2">
      <c r="A1522" s="100" t="str">
        <f>$A$26</f>
        <v>Jan 2022</v>
      </c>
      <c r="B1522" s="24">
        <f>ROUND(IF(N1502=0,0,(LOOKUP(2,1/(A1510:A1513=A1522),G1510:G1513))*N1502*4.348),2)</f>
        <v>0</v>
      </c>
      <c r="C1522" s="23">
        <f>ROUND(IFERROR(((LOOKUP(2,1/(B1515=A1522),((SUM(B1528:B1530)+SUM(F1528:F1530))/3)*C1515))),0)+IFERROR(((LOOKUP(2,1/(E1515=A1522),(B1534+F1534)*F1515))),0),2)</f>
        <v>0</v>
      </c>
      <c r="D1522" s="23">
        <f>ROUND(IF(B1522=0,0,D1521/L1503*N1502),2)</f>
        <v>0</v>
      </c>
      <c r="E1522" s="23">
        <f>ROUND(IF(B1522=0,0,E1521/N1499*N1502),2)</f>
        <v>0</v>
      </c>
      <c r="F1522" s="24">
        <f>ROUND(IF(N1502=0,0,(LOOKUP(2,1/(A1510:A1513=A1522),H1510:H1513))/N1499*N1502),2)</f>
        <v>0</v>
      </c>
      <c r="G1522" s="27">
        <f>SUM(B1522+C1522+E1522+F1522)</f>
        <v>0</v>
      </c>
      <c r="H1522" s="76">
        <f>ROUND(IF((SUM(B1522:F1522))&gt;L1537,L1537*H1521,SUM(B1522:F1522)*H1521),2)</f>
        <v>0</v>
      </c>
      <c r="I1522" s="76">
        <f>ROUND(IF((SUM(B1522:F1522))&gt;L1538,L1538*I1521,SUM(B1522:F1522)*I1521),2)</f>
        <v>0</v>
      </c>
      <c r="J1522" s="76">
        <f>ROUND(IF((SUM(B1522:F1522))&gt;L1538,L1538*J1521,SUM(B1522:F1522)*J1521),2)</f>
        <v>0</v>
      </c>
      <c r="K1522" s="76">
        <f>ROUND(IF((SUM(B1522:F1522))&gt;L1537,L1537*K1521,SUM(B1522:F1522)*K1521),2)</f>
        <v>0</v>
      </c>
      <c r="L1522" s="76">
        <f>ROUND(IF((SUM(B1522:F1522))&gt;L1538,L1538*L1521,(SUM(B1522:F1522)-C1522)*L1521),2)</f>
        <v>0</v>
      </c>
      <c r="M1522" s="76">
        <f>ROUND(IF((SUM(B1522:F1522))&gt;L1538,L1538*M1521,(SUM(B1522:F1522)-C1522)*M1521),2)</f>
        <v>0</v>
      </c>
      <c r="N1522" s="76">
        <f>ROUND(IF((SUM(B1522:F1522))&gt;L1538,L1538*N1521,SUM(B1522:F1522)*N1521),2)</f>
        <v>0</v>
      </c>
      <c r="O1522" s="23">
        <f>ROUND(SUM(B1522+C1522+F1522)*O1521,2)</f>
        <v>0</v>
      </c>
      <c r="P1522" s="27">
        <f>SUM(G1522:O1522)</f>
        <v>0</v>
      </c>
    </row>
    <row r="1523" spans="1:16" s="1" customFormat="1" x14ac:dyDescent="0.2">
      <c r="A1523" s="100" t="str">
        <f>$A$27</f>
        <v>Feb 2022</v>
      </c>
      <c r="B1523" s="24">
        <f>ROUND(IF(N1503=0,0,IFERROR(((LOOKUP(2,1/(A1510:A1513=A1523),G1510:G1513))*N1503*4.348),B1522/N1503*N1503)),2)</f>
        <v>0</v>
      </c>
      <c r="C1523" s="23">
        <f>ROUND(IFERROR(((LOOKUP(2,1/(B1515=A1523),((SUM(B1528:B1530)+SUM(F1528:F1530))/3)*C1515))),0)+IFERROR(((LOOKUP(2,1/(E1515=A1523),(B1534+F1534)*F1515))),0),2)</f>
        <v>0</v>
      </c>
      <c r="D1523" s="23">
        <f>ROUND(IF(B1523=0,0,D1521/L1503*N1503),2)</f>
        <v>0</v>
      </c>
      <c r="E1523" s="23">
        <f>ROUND(IF(B1523=0,0,E1521/N1499*N1503),2)</f>
        <v>0</v>
      </c>
      <c r="F1523" s="24">
        <f>ROUND(IF(N1503=0,0,IFERROR(((LOOKUP(2,1/(A1510:A1513=A1523),H1510:H1513))/N1499*N1503),F1522/N1503*N1503)),2)</f>
        <v>0</v>
      </c>
      <c r="G1523" s="27">
        <f t="shared" ref="G1523:G1533" si="172">SUM(B1523+C1523+E1523+F1523)</f>
        <v>0</v>
      </c>
      <c r="H1523" s="76">
        <f>ROUND(IF(SUM(B1522:F1522)&lt;(L1537*1),IF((SUM(B1522:F1523))&gt;(L1537*2),(((L1537*2)-(SUM(B1522:F1523)-C1522))*H1521)+((SUM(B1523:F1523)-C1522)*H1521),SUM(B1523:F1523)*H1521),IF(SUM(B1522:F1523)&gt;(L1537*2),L1537*H1521,SUM(B1523:F1523)*H1521)),2)</f>
        <v>0</v>
      </c>
      <c r="I1523" s="76">
        <f>ROUND(IF(SUM(B1522:F1522)&lt;(L1538*1),IF((SUM(B1522:F1523))&gt;(L1538*2),(((L1538*2)-(SUM(B1522:F1523)-C1522))*I1521)+((SUM(B1523:F1523)-C1522)*I1521),SUM(B1523:F1523)*I1521),IF(SUM(B1522:F1523)&gt;(L1538*2),L1538*I1521,SUM(B1523:F1523)*I1521)),2)</f>
        <v>0</v>
      </c>
      <c r="J1523" s="76">
        <f>ROUND(IF(SUM(B1522:F1522)&lt;(L1538*1),IF((SUM(B1522:F1523))&gt;(L1538*2),(((L1538*2)-(SUM(B1522:F1523)-C1522))*J1521)+((SUM(B1523:F1523)-C1522)*J1521),SUM(B1523:F1523)*J1521),IF(SUM(B1522:F1523)&gt;(L1538*2),L1538*J1521,SUM(B1523:F1523)*J1521)),2)</f>
        <v>0</v>
      </c>
      <c r="K1523" s="76">
        <f>ROUND(IF(SUM(B1522:F1522)&lt;(L1537*1),IF((SUM(B1522:F1523))&gt;(L1537*2),(((L1537*2)-(SUM(B1522:F1523)-C1522))*K1521)+((SUM(B1523:F1523)-C1522)*K1521),SUM(B1523:F1523)*K1521),IF(SUM(B1522:F1523)&gt;(L1537*2),L1537*K1521,SUM(B1523:F1523)*K1521)),2)</f>
        <v>0</v>
      </c>
      <c r="L1523" s="76">
        <f>ROUND(IF(SUM(B1522:F1522)&lt;(L1538*1),IF((SUM(B1522:F1523))&gt;(L1538*2),(((L1538*2)-(SUM(B1522:F1523)-C1523))*L1521)+((SUM(B1523:F1523)-C1523)*L1521),(SUM(B1523:F1523)-C1523)*L1521),IF(SUM(B1522:F1523)&gt;(L1538*2),L1538*L1521,SUM(B1523:F1523)*L1521)),2)</f>
        <v>0</v>
      </c>
      <c r="M1523" s="76">
        <f>ROUND(IF(SUM(B1522:F1522)&lt;(L1538*1),IF((SUM(B1522:F1523))&gt;(L1538*2),(((L1538*2)-(SUM(B1522:F1523)-C1523))*M1521)+((SUM(B1523:F1523)-C1523)*M1521),(SUM(B1523:F1523)-C1523)*M1521),IF(SUM(B1522:F1523)&gt;(L1538*2),L1538*M1521,SUM(B1523:F1523)*M1521)),2)</f>
        <v>0</v>
      </c>
      <c r="N1523" s="76">
        <f>ROUND(IF(SUM(B1522:F1522)&lt;(L1538*1),IF((SUM(B1522:F1523))&gt;(L1538*2),(((L1538*2)-(SUM(B1522:F1523)-C1522))*N1521)+((SUM(B1523:F1523)-C1522)*N1521),SUM(B1523:F1523)*N1521),IF(SUM(B1522:F1523)&gt;(L1538*2),L1538*N1521,SUM(B1523:F1523)*N1521)),2)</f>
        <v>0</v>
      </c>
      <c r="O1523" s="23">
        <f>ROUND(SUM(B1523+C1523+F1523)*O1521,2)</f>
        <v>0</v>
      </c>
      <c r="P1523" s="27">
        <f>SUM(G1523:O1523)</f>
        <v>0</v>
      </c>
    </row>
    <row r="1524" spans="1:16" s="1" customFormat="1" x14ac:dyDescent="0.2">
      <c r="A1524" s="100" t="str">
        <f>$A$28</f>
        <v>Mrz 2022</v>
      </c>
      <c r="B1524" s="24">
        <f>ROUND(IF(N1504=0,0,IFERROR(((LOOKUP(2,1/(A1510:A1513=A1524),G1510:G1513))*N1504*4.348),B1523/N1504*N1504)),2)</f>
        <v>0</v>
      </c>
      <c r="C1524" s="23">
        <f>ROUND(IFERROR(((LOOKUP(2,1/(B1515=A1524),((SUM(B1528:B1530)+SUM(F1528:F1530))/3)*C1515))),0)+IFERROR(((LOOKUP(2,1/(E1515=A1524),(B1534+F1534)*F1515))),0),2)</f>
        <v>0</v>
      </c>
      <c r="D1524" s="23">
        <f>ROUND(IF(B1524=0,0,D1521/L1503*N1504),2)</f>
        <v>0</v>
      </c>
      <c r="E1524" s="23">
        <f>ROUND(IF(B1524=0,0,E1521/N1499*N1504),2)</f>
        <v>0</v>
      </c>
      <c r="F1524" s="24">
        <f>ROUND(IF(N1504=0,0,IFERROR(((LOOKUP(2,1/(A1510:A1513=A1524),H1510:H1513))/N1499*N1504),F1523/N1504*N1504)),2)</f>
        <v>0</v>
      </c>
      <c r="G1524" s="27">
        <f t="shared" si="172"/>
        <v>0</v>
      </c>
      <c r="H1524" s="76">
        <f>ROUND(IF(SUM(B1522:F1523)&lt;(L1537*2),IF((SUM(B1522:F1524))&gt;(L1537*3),(((L1537*3)-(SUM(B1522:F1524)-C1523))*H1521)+((SUM(B1524:F1524)-C1523)*H1521),SUM(B1524:F1524)*H1521),IF(SUM(B1522:F1524)&gt;(L1537*3),L1537*H1521,SUM(B1524:F1524)*H1521)),2)</f>
        <v>0</v>
      </c>
      <c r="I1524" s="76">
        <f>ROUND(IF(SUM(B1522:F1523)&lt;(L1538*2),IF((SUM(B1522:F1524))&gt;(L1538*3),(((L1538*3)-(SUM(B1522:F1524)-C1523))*I1521)+((SUM(B1524:F1524)-C1523)*I1521),SUM(B1524:F1524)*I1521),IF(SUM(B1522:F1524)&gt;(L1538*3),L1538*I1521,SUM(B1524:F1524)*I1521)),2)</f>
        <v>0</v>
      </c>
      <c r="J1524" s="76">
        <f>ROUND(IF(SUM(B1522:F1523)&lt;(L1538*2),IF((SUM(B1522:F1524))&gt;(L1538*3),(((L1538*3)-(SUM(B1522:F1524)-C1523))*J1521)+((SUM(B1524:F1524)-C1523)*J1521),SUM(B1524:F1524)*J1521),IF(SUM(B1522:F1524)&gt;(L1538*3),L1538*J1521,SUM(B1524:F1524)*J1521)),2)</f>
        <v>0</v>
      </c>
      <c r="K1524" s="76">
        <f>ROUND(IF(SUM(B1522:F1523)&lt;(L1537*2),IF((SUM(B1522:F1524))&gt;(L1537*3),(((L1537*3)-(SUM(B1522:F1524)-C1523))*K1521)+((SUM(B1524:F1524)-C1523)*K1521),SUM(B1524:F1524)*K1521),IF(SUM(B1522:F1524)&gt;(L1537*3),L1537*K1521,SUM(B1524:F1524)*K1521)),2)</f>
        <v>0</v>
      </c>
      <c r="L1524" s="76">
        <f>ROUND(IF(SUM(B1522:F1523)&lt;(L1538*2),IF((SUM(B1522:F1524))&gt;(L1538*3),(((L1538*3)-(SUM(B1522:F1524)-C1524))*L1521)+((SUM(B1524:F1524)-C1524)*L1521),(SUM(B1524:F1524)-C1524)*L1521),IF(SUM(B1522:F1524)&gt;(L1538*3),L1538*L1521,SUM(B1524:F1524)*L1521)),2)</f>
        <v>0</v>
      </c>
      <c r="M1524" s="76">
        <f>ROUND(IF(SUM(B1522:F1523)&lt;(L1538*2),IF((SUM(B1522:F1524))&gt;(L1538*3),(((L1538*3)-(SUM(B1522:F1524)-C1524))*M1521)+((SUM(B1524:F1524)-C1524)*M1521),(SUM(B1524:F1524)-C1524)*M1521),IF(SUM(B1522:F1524)&gt;(L1538*3),L1538*M1521,SUM(B1524:F1524)*M1521)),2)</f>
        <v>0</v>
      </c>
      <c r="N1524" s="76">
        <f>ROUND(IF(SUM(B1522:F1523)&lt;(L1538*2),IF((SUM(B1522:F1524))&gt;(L1538*3),(((L1538*3)-(SUM(B1522:F1524)-C1523))*N1521)+((SUM(B1524:F1524)-C1523)*N1521),SUM(B1524:F1524)*N1521),IF(SUM(B1522:F1524)&gt;(L1538*3),L1538*N1521,SUM(B1524:F1524)*N1521)),2)</f>
        <v>0</v>
      </c>
      <c r="O1524" s="23">
        <f>ROUND(SUM(B1524+C1524+F1524)*O1521,2)</f>
        <v>0</v>
      </c>
      <c r="P1524" s="27">
        <f t="shared" ref="P1524:P1533" si="173">SUM(G1524:O1524)</f>
        <v>0</v>
      </c>
    </row>
    <row r="1525" spans="1:16" s="1" customFormat="1" x14ac:dyDescent="0.2">
      <c r="A1525" s="100" t="str">
        <f>$A$29</f>
        <v>Apr 2022</v>
      </c>
      <c r="B1525" s="24">
        <f>ROUND(IF(N1505=0,0,IFERROR(((LOOKUP(2,1/(A1510:A1513=A1525),G1510:G1513))*N1505*4.348),B1524/N1505*N1505)),2)</f>
        <v>0</v>
      </c>
      <c r="C1525" s="23">
        <f>ROUND(IFERROR(((LOOKUP(2,1/(B1515=A1525),((SUM(B1528:B1530)+SUM(F1528:F1530))/3)*C1515))),0)+IFERROR(((LOOKUP(2,1/(E1515=A1525),(B1534+F1534)*F1515))),0),2)</f>
        <v>0</v>
      </c>
      <c r="D1525" s="23">
        <f>ROUND(IF(B1525=0,0,D1521/L1503*N1505),2)</f>
        <v>0</v>
      </c>
      <c r="E1525" s="23">
        <f>ROUND(IF(B1525=0,0,E1521/N1499*N1505),2)</f>
        <v>0</v>
      </c>
      <c r="F1525" s="24">
        <f>ROUND(IF(N1505=0,0,IFERROR(((LOOKUP(2,1/(A1510:A1513=A1525),H1510:H1513))/N1499*N1505),F1524/N1505*N1505)),2)</f>
        <v>0</v>
      </c>
      <c r="G1525" s="27">
        <f t="shared" si="172"/>
        <v>0</v>
      </c>
      <c r="H1525" s="76">
        <f>ROUND(IF(SUM(B1522:F1524)&lt;(L1537*3),IF((SUM(B1522:F1525))&gt;(L1537*4),(((L1537*4)-(SUM(B1522:F1525)-C1524))*H1521)+((SUM(B1525:F1525)-C1524)*H1521),SUM(B1525:F1525)*H1521),IF(SUM(B1522:F1525)&gt;(L1537*4),L1537*H1521,SUM(B1525:F1525)*H1521)),2)</f>
        <v>0</v>
      </c>
      <c r="I1525" s="76">
        <f>ROUND(IF(SUM(B1522:F1524)&lt;(L1538*3),IF((SUM(B1522:F1525))&gt;(L1538*4),(((L1538*4)-(SUM(B1522:F1525)-C1524))*I1521)+((SUM(B1525:F1525)-C1524)*I1521),SUM(B1525:F1525)*I1521),IF(SUM(B1522:F1525)&gt;(L1538*4),L1538*I1521,SUM(B1525:F1525)*I1521)),2)</f>
        <v>0</v>
      </c>
      <c r="J1525" s="76">
        <f>ROUND(IF(SUM(B1522:F1524)&lt;(L1538*3),IF((SUM(B1522:F1525))&gt;(L1538*4),(((L1538*4)-(SUM(B1522:F1525)-C1524))*J1521)+((SUM(B1525:F1525)-C1524)*J1521),SUM(B1525:F1525)*J1521),IF(SUM(B1522:F1525)&gt;(L1538*4),L1538*J1521,SUM(B1525:F1525)*J1521)),2)</f>
        <v>0</v>
      </c>
      <c r="K1525" s="76">
        <f>ROUND(IF(SUM(B1522:F1524)&lt;(L1537*3),IF((SUM(B1522:F1525))&gt;(L1537*4),(((L1537*4)-(SUM(B1522:F1525)-C1524))*K1521)+((SUM(B1525:F1525)-C1524)*K1521),SUM(B1525:F1525)*K1521),IF(SUM(B1522:F1525)&gt;(L1537*4),L1537*K1521,SUM(B1525:F1525)*K1521)),2)</f>
        <v>0</v>
      </c>
      <c r="L1525" s="76">
        <f>ROUND(IF(SUM(B1522:F1524)&lt;(L1538*3),IF((SUM(B1522:F1525))&gt;(L1538*4),(((L1538*4)-(SUM(B1522:F1525)-C1525))*L1521)+((SUM(B1525:F1525)-C1525)*L1521),(SUM(B1525:F1525)-C1525)*L1521),IF(SUM(B1522:F1525)&gt;(L1538*4),L1538*L1521,SUM(B1525:F1525)*L1521)),2)</f>
        <v>0</v>
      </c>
      <c r="M1525" s="76">
        <f>ROUND(IF(SUM(B1522:F1524)&lt;(L1538*3),IF((SUM(B1522:F1525))&gt;(L1538*4),(((L1538*4)-(SUM(B1522:F1525)-C1525))*M1521)+((SUM(B1525:F1525)-C1525)*M1521),(SUM(B1525:F1525)-C1525)*M1521),IF(SUM(B1522:F1525)&gt;(L1538*4),L1538*M1521,SUM(B1525:F1525)*M1521)),2)</f>
        <v>0</v>
      </c>
      <c r="N1525" s="76">
        <f>ROUND(IF(SUM(B1522:F1524)&lt;(L1538*3),IF((SUM(B1522:F1525))&gt;(L1538*4),(((L1538*4)-(SUM(B1522:F1525)-C1524))*N1521)+((SUM(B1525:F1525)-C1524)*N1521),SUM(B1525:F1525)*N1521),IF(SUM(B1522:F1525)&gt;(L1538*4),L1538*N1521,SUM(B1525:F1525)*N1521)),2)</f>
        <v>0</v>
      </c>
      <c r="O1525" s="23">
        <f>ROUND(SUM(B1525+C1525+F1525)*O1521,2)</f>
        <v>0</v>
      </c>
      <c r="P1525" s="27">
        <f t="shared" si="173"/>
        <v>0</v>
      </c>
    </row>
    <row r="1526" spans="1:16" s="1" customFormat="1" x14ac:dyDescent="0.2">
      <c r="A1526" s="100" t="str">
        <f>$A$30</f>
        <v>Mai 2022</v>
      </c>
      <c r="B1526" s="24">
        <f>ROUND(IF(N1506=0,0,IFERROR(((LOOKUP(2,1/(A1510:A1513=A1526),G1510:G1513))*N1506*4.348),B1525/N1506*N1506)),2)</f>
        <v>0</v>
      </c>
      <c r="C1526" s="23">
        <f>ROUND(IFERROR(((LOOKUP(2,1/(B1515=A1526),((SUM(B1528:B1530)+SUM(F1528:F1530))/3)*C1515))),0)+IFERROR(((LOOKUP(2,1/(E1515=A1526),(B1534+F1534)*F1515))),0),2)</f>
        <v>0</v>
      </c>
      <c r="D1526" s="23">
        <f>ROUND(IF(B1526=0,0,D1521/L1503*N1506),2)</f>
        <v>0</v>
      </c>
      <c r="E1526" s="23">
        <f>ROUND(IF(B1526=0,0,E1521/N1499*N1506),2)</f>
        <v>0</v>
      </c>
      <c r="F1526" s="24">
        <f>ROUND(IF(N1506=0,0,IFERROR(((LOOKUP(2,1/(A1510:A1513=A1526),H1510:H1513))/N1499*N1506),F1525/N1506*N1506)),2)</f>
        <v>0</v>
      </c>
      <c r="G1526" s="27">
        <f t="shared" si="172"/>
        <v>0</v>
      </c>
      <c r="H1526" s="76">
        <f>ROUND(IF(SUM(B1522:F1525)&lt;(L1537*4),IF((SUM(B1522:F1526))&gt;(L1537*5),(((L1537*5)-(SUM(B1522:F1526)-C1525))*H1521)+((SUM(B1526:F1526)-C1525)*H1521),SUM(B1526:F1526)*H1521),IF(SUM(B1522:F1526)&gt;(L1537*5),L1537*H1521,SUM(B1526:F1526)*H1521)),2)</f>
        <v>0</v>
      </c>
      <c r="I1526" s="76">
        <f>ROUND(IF(SUM(B1522:F1525)&lt;(L1538*4),IF((SUM(B1522:F1526))&gt;(L1538*5),(((L1538*5)-(SUM(B1522:F1526)-C1525))*I1521)+((SUM(B1526:F1526)-C1525)*I1521),SUM(B1526:F1526)*I1521),IF(SUM(B1522:F1526)&gt;(L1538*5),L1538*I1521,SUM(B1526:F1526)*I1521)),2)</f>
        <v>0</v>
      </c>
      <c r="J1526" s="76">
        <f>ROUND(IF(SUM(B1522:F1525)&lt;(L1538*4),IF((SUM(B1522:F1526))&gt;(L1538*5),(((L1538*5)-(SUM(B1522:F1526)-C1525))*J1521)+((SUM(B1526:F1526)-C1525)*J1521),SUM(B1526:F1526)*J1521),IF(SUM(B1522:F1526)&gt;(L1538*5),L1538*J1521,SUM(B1526:F1526)*J1521)),2)</f>
        <v>0</v>
      </c>
      <c r="K1526" s="76">
        <f>ROUND(IF(SUM(B1522:F1525)&lt;(L1537*4),IF((SUM(B1522:F1526))&gt;(L1537*5),(((L1537*5)-(SUM(B1522:F1526)-C1525))*K1521)+((SUM(B1526:F1526)-C1525)*K1521),SUM(B1526:F1526)*K1521),IF(SUM(B1522:F1526)&gt;(L1537*5),L1537*K1521,SUM(B1526:F1526)*K1521)),2)</f>
        <v>0</v>
      </c>
      <c r="L1526" s="76">
        <f>ROUND(IF(SUM(B1522:F1525)&lt;(L1538*4),IF((SUM(B1522:F1526))&gt;(L1538*5),(((L1538*5)-(SUM(B1522:F1526)-C1526))*L1521)+((SUM(B1526:F1526)-C1526)*L1521),(SUM(B1526:F1526)-C1526)*L1521),IF(SUM(B1522:F1526)&gt;(L1538*5),L1538*L1521,SUM(B1526:F1526)*L1521)),2)</f>
        <v>0</v>
      </c>
      <c r="M1526" s="76">
        <f>ROUND(IF(SUM(B1522:F1525)&lt;(L1538*4),IF((SUM(B1522:F1526))&gt;(L1538*5),(((L1538*5)-(SUM(B1522:F1526)-C1526))*M1521)+((SUM(B1526:F1526)-C1526)*M1521),(SUM(B1526:F1526)-C1526)*M1521),IF(SUM(B1522:F1526)&gt;(L1538*5),L1538*M1521,SUM(B1526:F1526)*M1521)),2)</f>
        <v>0</v>
      </c>
      <c r="N1526" s="76">
        <f>ROUND(IF(SUM(B1522:F1525)&lt;(L1538*4),IF((SUM(B1522:F1526))&gt;(L1538*5),(((L1538*5)-(SUM(B1522:F1526)-C1525))*N1521)+((SUM(B1526:F1526)-C1525)*N1521),SUM(B1526:F1526)*N1521),IF(SUM(B1522:F1526)&gt;(L1538*5),L1538*N1521,SUM(B1526:F1526)*N1521)),2)</f>
        <v>0</v>
      </c>
      <c r="O1526" s="23">
        <f>ROUND(SUM(B1526+C1526+F1526)*O1521,2)</f>
        <v>0</v>
      </c>
      <c r="P1526" s="27">
        <f t="shared" si="173"/>
        <v>0</v>
      </c>
    </row>
    <row r="1527" spans="1:16" s="1" customFormat="1" x14ac:dyDescent="0.2">
      <c r="A1527" s="100" t="str">
        <f>$A$31</f>
        <v>Jun 2022</v>
      </c>
      <c r="B1527" s="24">
        <f>ROUND(IF(N1507=0,0,IFERROR(((LOOKUP(2,1/(A1510:A1513=A1527),G1510:G1513))*N1507*4.348),B1526/N1507*N1507)),2)</f>
        <v>0</v>
      </c>
      <c r="C1527" s="23">
        <f>ROUND(IFERROR(((LOOKUP(2,1/(B1515=A1527),((SUM(B1528:B1530)+SUM(F1528:F1530))/3)*C1515))),0)+IFERROR(((LOOKUP(2,1/(E1515=A1527),(B1534+F1534)*F1515))),0),2)</f>
        <v>0</v>
      </c>
      <c r="D1527" s="23">
        <f>ROUND(IF(B1527=0,0,D1521/L1503*N1507),2)</f>
        <v>0</v>
      </c>
      <c r="E1527" s="23">
        <f>ROUND(IF(B1527=0,0,E1521/N1499*N1507),2)</f>
        <v>0</v>
      </c>
      <c r="F1527" s="24">
        <f>ROUND(IF(N1507=0,0,IFERROR(((LOOKUP(2,1/(A1510:A1513=A1527),H1510:H1513))/N1499*N1507),F1526/N1507*N1507)),2)</f>
        <v>0</v>
      </c>
      <c r="G1527" s="27">
        <f t="shared" si="172"/>
        <v>0</v>
      </c>
      <c r="H1527" s="76">
        <f>ROUND(IF(SUM(B1522:F1526)&lt;(L1537*5),IF((SUM(B1522:F1527))&gt;(L1537*6),(((L1537*6)-(SUM(B1522:F1527)-C1526))*H1521)+((SUM(B1527:F1527)-C1526)*H1521),SUM(B1527:F1527)*H1521),IF(SUM(B1522:F1527)&gt;(L1537*6),L1537*H1521,SUM(B1527:F1527)*H1521)),2)</f>
        <v>0</v>
      </c>
      <c r="I1527" s="76">
        <f>ROUND(IF(SUM(B1522:F1526)&lt;(L1538*5),IF((SUM(B1522:F1527))&gt;(L1538*6),(((L1538*6)-(SUM(B1522:F1527)-C1526))*I1521)+((SUM(B1527:F1527)-C1526)*I1521),SUM(B1527:F1527)*I1521),IF(SUM(B1522:F1527)&gt;(L1538*6),L1538*I1521,SUM(B1527:F1527)*I1521)),2)</f>
        <v>0</v>
      </c>
      <c r="J1527" s="76">
        <f>ROUND(IF(SUM(B1522:F1526)&lt;(L1538*5),IF((SUM(B1522:F1527))&gt;(L1538*6),(((L1538*6)-(SUM(B1522:F1527)-C1526))*J1521)+((SUM(B1527:F1527)-C1526)*J1521),SUM(B1527:F1527)*J1521),IF(SUM(B1522:F1527)&gt;(L1538*6),L1538*J1521,SUM(B1527:F1527)*J1521)),2)</f>
        <v>0</v>
      </c>
      <c r="K1527" s="76">
        <f>ROUND(IF(SUM(B1522:F1526)&lt;(L1537*5),IF((SUM(B1522:F1527))&gt;(L1537*6),(((L1537*6)-(SUM(B1522:F1527)-C1526))*K1521)+((SUM(B1527:F1527)-C1526)*K1521),SUM(B1527:F1527)*K1521),IF(SUM(B1522:F1527)&gt;(L1537*6),L1537*K1521,SUM(B1527:F1527)*K1521)),2)</f>
        <v>0</v>
      </c>
      <c r="L1527" s="76">
        <f>ROUND(IF(SUM(B1522:F1526)&lt;(L1538*5),IF((SUM(B1522:F1527))&gt;(L1538*6),(((L1538*6)-(SUM(B1522:F1527)-C1527))*L1521)+((SUM(B1527:F1527)-C1527)*L1521),(SUM(B1527:F1527)-C1527)*L1521),IF(SUM(B1522:F1527)&gt;(L1538*6),L1538*L1521,SUM(B1527:F1527)*L1521)),2)</f>
        <v>0</v>
      </c>
      <c r="M1527" s="76">
        <f>ROUND(IF(SUM(B1522:F1526)&lt;(L1538*5),IF((SUM(B1522:F1527))&gt;(L1538*6),(((L1538*6)-(SUM(B1522:F1527)-C1527))*M1521)+((SUM(B1527:F1527)-C1527)*M1521),(SUM(B1527:F1527)-C1527)*M1521),IF(SUM(B1522:F1527)&gt;(L1538*6),L1538*M1521,SUM(B1527:F1527)*M1521)),2)</f>
        <v>0</v>
      </c>
      <c r="N1527" s="76">
        <f>ROUND(IF(SUM(B1522:F1526)&lt;(L1538*5),IF((SUM(B1522:F1527))&gt;(L1538*6),(((L1538*6)-(SUM(B1522:F1527)-C1526))*N1521)+((SUM(B1527:F1527)-C1526)*N1521),SUM(B1527:F1527)*N1521),IF(SUM(B1522:F1527)&gt;(L1538*6),L1538*N1521,SUM(B1527:F1527)*N1521)),2)</f>
        <v>0</v>
      </c>
      <c r="O1527" s="23">
        <f>ROUND(SUM(B1527+C1527+F1527)*O1521,2)</f>
        <v>0</v>
      </c>
      <c r="P1527" s="27">
        <f t="shared" si="173"/>
        <v>0</v>
      </c>
    </row>
    <row r="1528" spans="1:16" s="1" customFormat="1" x14ac:dyDescent="0.2">
      <c r="A1528" s="100" t="str">
        <f>$A$32</f>
        <v>Jul 2022</v>
      </c>
      <c r="B1528" s="24">
        <f>ROUND(IF(P1502=0,0,IFERROR(((LOOKUP(2,1/(A1510:A1513=A1528),G1510:G1513))*P1502*4.348),B1527/P1502*P1502)),2)</f>
        <v>0</v>
      </c>
      <c r="C1528" s="23">
        <f>ROUND(IFERROR(((LOOKUP(2,1/(B1515=A1528),((SUM(B1528:B1530)+SUM(F1528:F1530))/3)*C1515))),0)+IFERROR(((LOOKUP(2,1/(E1515=A1528),(B1534+F1534)*F1515))),0),2)</f>
        <v>0</v>
      </c>
      <c r="D1528" s="23">
        <f>ROUND(IF(B1528=0,0,D1521/L1503*P1502),2)</f>
        <v>0</v>
      </c>
      <c r="E1528" s="23">
        <f>ROUND(IF(B1528=0,0,E1521/N1499*P1502),2)</f>
        <v>0</v>
      </c>
      <c r="F1528" s="24">
        <f>ROUND(IF(P1502=0,0,IFERROR(((LOOKUP(2,1/(A1510:A1513=A1528),H1510:H1513))/N1499*P1502),F1527/P1502*P1502)),2)</f>
        <v>0</v>
      </c>
      <c r="G1528" s="27">
        <f t="shared" si="172"/>
        <v>0</v>
      </c>
      <c r="H1528" s="76">
        <f>ROUND(IF(SUM(B1522:F1527)&lt;(L1537*6),IF((SUM(B1522:F1528))&gt;(L1537*7),(((L1537*7)-(SUM(B1522:F1528)-C1527))*H1521)+((SUM(B1528:F1528)-C1527)*H1521),SUM(B1528:F1528)*H1521),IF(SUM(B1522:F1528)&gt;(L1537*7),L1537*H1521,SUM(B1528:F1528)*H1521)),2)</f>
        <v>0</v>
      </c>
      <c r="I1528" s="76">
        <f>ROUND(IF(SUM(B1522:F1527)&lt;(L1538*6),IF((SUM(B1522:F1528))&gt;(L1538*7),(((L1538*7)-(SUM(B1522:F1528)-C1527))*I1521)+((SUM(B1528:F1528)-C1527)*I1521),SUM(B1528:F1528)*I1521),IF(SUM(B1522:F1528)&gt;(L1538*7),L1538*I1521,SUM(B1528:F1528)*I1521)),2)</f>
        <v>0</v>
      </c>
      <c r="J1528" s="76">
        <f>ROUND(IF(SUM(B1522:F1527)&lt;(L1538*6),IF((SUM(B1522:F1528))&gt;(L1538*7),(((L1538*7)-(SUM(B1522:F1528)-C1527))*J1521)+((SUM(B1528:F1528)-C1527)*J1521),SUM(B1528:F1528)*J1521),IF(SUM(B1522:F1528)&gt;(L1538*7),L1538*J1521,SUM(B1528:F1528)*J1521)),2)</f>
        <v>0</v>
      </c>
      <c r="K1528" s="76">
        <f>ROUND(IF(SUM(B1522:F1527)&lt;(L1537*6),IF((SUM(B1522:F1528))&gt;(L1537*7),(((L1537*7)-(SUM(B1522:F1528)-C1527))*K1521)+((SUM(B1528:F1528)-C1527)*K1521),SUM(B1528:F1528)*K1521),IF(SUM(B1522:F1528)&gt;(L1537*7),L1537*K1521,SUM(B1528:F1528)*K1521)),2)</f>
        <v>0</v>
      </c>
      <c r="L1528" s="76">
        <f>ROUND(IF(SUM(B1522:F1527)&lt;(L1538*6),IF((SUM(B1522:F1528))&gt;(L1538*7),(((L1538*7)-(SUM(B1522:F1528)-C1528))*L1521)+((SUM(B1528:F1528)-C1528)*L1521),(SUM(B1528:F1528)-C1528)*L1521),IF(SUM(B1522:F1528)&gt;(L1538*7),L1538*L1521,SUM(B1528:F1528)*L1521)),2)</f>
        <v>0</v>
      </c>
      <c r="M1528" s="76">
        <f>ROUND(IF(SUM(B1522:F1527)&lt;(L1538*6),IF((SUM(B1522:F1528))&gt;(L1538*7),(((L1538*7)-(SUM(B1522:F1528)-C1528))*M1521)+((SUM(B1528:F1528)-C1528)*M1521),(SUM(B1528:F1528)-C1528)*M1521),IF(SUM(B1522:F1528)&gt;(L1538*7),L1538*M1521,SUM(B1528:F1528)*M1521)),2)</f>
        <v>0</v>
      </c>
      <c r="N1528" s="76">
        <f>ROUND(IF(SUM(B1522:F1527)&lt;(L1538*6),IF((SUM(B1522:F1528))&gt;(L1538*7),(((L1538*7)-(SUM(B1522:F1528)-C1527))*N1521)+((SUM(B1528:F1528)-C1527)*N1521),SUM(B1528:F1528)*N1521),IF(SUM(B1522:F1528)&gt;(L1538*7),L1538*N1521,SUM(B1528:F1528)*N1521)),2)</f>
        <v>0</v>
      </c>
      <c r="O1528" s="23">
        <f>ROUND(SUM(B1528+C1528+F1528)*O1521,2)</f>
        <v>0</v>
      </c>
      <c r="P1528" s="27">
        <f t="shared" si="173"/>
        <v>0</v>
      </c>
    </row>
    <row r="1529" spans="1:16" s="1" customFormat="1" x14ac:dyDescent="0.2">
      <c r="A1529" s="100" t="str">
        <f>$A$33</f>
        <v>Aug 2022</v>
      </c>
      <c r="B1529" s="24">
        <f>ROUND(IF(P1503=0,0,IFERROR(((LOOKUP(2,1/(A1510:A1513=A1529),G1510:G1513))*P1503*4.348),B1528/P1503*P1503)),2)</f>
        <v>0</v>
      </c>
      <c r="C1529" s="23">
        <f>ROUND(IFERROR(((LOOKUP(2,1/(B1515=A1529),((SUM(B1528:B1530)+SUM(F1528:F1530))/3)*C1515))),0)+IFERROR(((LOOKUP(2,1/(E1515=A1529),(B1534+F1534)*F1515))),0),2)</f>
        <v>0</v>
      </c>
      <c r="D1529" s="23">
        <f>ROUND(IF(B1529=0,0,D1521/L1503*P1503),2)</f>
        <v>0</v>
      </c>
      <c r="E1529" s="23">
        <f>ROUND(IF(B1529=0,0,E1521/N1499*P1503),2)</f>
        <v>0</v>
      </c>
      <c r="F1529" s="24">
        <f>ROUND(IF(P1503=0,0,IFERROR(((LOOKUP(2,1/(A1510:A1513=A1529),H1510:H1513))/N1499*P1503),F1528/P1503*P1503)),2)</f>
        <v>0</v>
      </c>
      <c r="G1529" s="27">
        <f t="shared" si="172"/>
        <v>0</v>
      </c>
      <c r="H1529" s="76">
        <f>ROUND(IF(SUM(B1522:F1528)&lt;(L1537*7),IF((SUM(B1522:F1529))&gt;(L1537*8),(((L1537*8)-(SUM(B1522:F1529)-C1528))*H1521)+((SUM(B1529:F1529)-C1528)*H1521),SUM(B1529:F1529)*H1521),IF(SUM(B1522:F1529)&gt;(L1537*8),L1537*H1521,SUM(B1529:F1529)*H1521)),2)</f>
        <v>0</v>
      </c>
      <c r="I1529" s="76">
        <f>ROUND(IF(SUM(B1522:F1528)&lt;(L1538*7),IF((SUM(B1522:F1529))&gt;(L1538*8),(((L1538*8)-(SUM(B1522:F1529)-C1528))*I1521)+((SUM(B1529:F1529)-C1528)*I1521),SUM(B1529:F1529)*I1521),IF(SUM(B1522:F1529)&gt;(L1538*8),L1538*I1521,SUM(B1529:F1529)*I1521)),2)</f>
        <v>0</v>
      </c>
      <c r="J1529" s="76">
        <f>ROUND(IF(SUM(B1522:F1528)&lt;(L1538*7),IF((SUM(B1522:F1529))&gt;(L1538*8),(((L1538*8)-(SUM(B1522:F1529)-C1528))*J1521)+((SUM(B1529:F1529)-C1528)*J1521),SUM(B1529:F1529)*J1521),IF(SUM(B1522:F1529)&gt;(L1538*8),L1538*J1521,SUM(B1529:F1529)*J1521)),2)</f>
        <v>0</v>
      </c>
      <c r="K1529" s="76">
        <f>ROUND(IF(SUM(B1522:F1528)&lt;(L1537*7),IF((SUM(B1522:F1529))&gt;(L1537*8),(((L1537*8)-(SUM(B1522:F1529)-C1528))*K1521)+((SUM(B1529:F1529)-C1528)*K1521),SUM(B1529:F1529)*K1521),IF(SUM(B1522:F1529)&gt;(L1537*8),L1537*K1521,SUM(B1529:F1529)*K1521)),2)</f>
        <v>0</v>
      </c>
      <c r="L1529" s="76">
        <f>ROUND(IF(SUM(B1522:F1528)&lt;(L1538*7),IF((SUM(B1522:F1529))&gt;(L1538*8),(((L1538*8)-(SUM(B1522:F1529)-C1529))*L1521)+((SUM(B1529:F1529)-C1529)*L1521),(SUM(B1529:F1529)-C1529)*L1521),IF(SUM(B1522:F1529)&gt;(L1538*8),L1538*L1521,SUM(B1529:F1529)*L1521)),2)</f>
        <v>0</v>
      </c>
      <c r="M1529" s="76">
        <f>ROUND(IF(SUM(B1522:F1528)&lt;(L1538*7),IF((SUM(B1522:F1529))&gt;(L1538*8),(((L1538*8)-(SUM(B1522:F1529)-C1529))*M1521)+((SUM(B1529:F1529)-C1529)*M1521),(SUM(B1529:F1529)-C1529)*M1521),IF(SUM(B1522:F1529)&gt;(L1538*8),L1538*M1521,SUM(B1529:F1529)*M1521)),2)</f>
        <v>0</v>
      </c>
      <c r="N1529" s="76">
        <f>ROUND(IF(SUM(B1522:F1528)&lt;(L1538*7),IF((SUM(B1522:F1529))&gt;(L1538*8),(((L1538*8)-(SUM(B1522:F1529)-C1528))*N1521)+((SUM(B1529:F1529)-C1528)*N1521),SUM(B1529:F1529)*N1521),IF(SUM(B1522:F1529)&gt;(L1538*8),L1538*N1521,SUM(B1529:F1529)*N1521)),2)</f>
        <v>0</v>
      </c>
      <c r="O1529" s="23">
        <f>ROUND(SUM(B1529+C1529+F1529)*O1521,2)</f>
        <v>0</v>
      </c>
      <c r="P1529" s="27">
        <f t="shared" si="173"/>
        <v>0</v>
      </c>
    </row>
    <row r="1530" spans="1:16" s="1" customFormat="1" x14ac:dyDescent="0.2">
      <c r="A1530" s="100" t="str">
        <f>$A$34</f>
        <v>Sep 2022</v>
      </c>
      <c r="B1530" s="24">
        <f>ROUND(IF(P1504=0,0,IFERROR(((LOOKUP(2,1/(A1510:A1513=A1530),G1510:G1513))*P1504*4.348),B1529/P1504*P1504)),2)</f>
        <v>0</v>
      </c>
      <c r="C1530" s="23">
        <f>ROUND(IFERROR(((LOOKUP(2,1/(B1515=A1530),((SUM(B1528:B1530)+SUM(F1528:F1530))/3)*C1515))),0)+IFERROR(((LOOKUP(2,1/(E1515=A1530),(B1534+F1534)*F1515))),0),2)</f>
        <v>0</v>
      </c>
      <c r="D1530" s="23">
        <f>ROUND(IF(B1530=0,0,D1521/L1503*P1504),2)</f>
        <v>0</v>
      </c>
      <c r="E1530" s="23">
        <f>ROUND(IF(B1530=0,0,E1521/N1499*P1504),2)</f>
        <v>0</v>
      </c>
      <c r="F1530" s="24">
        <f>ROUND(IF(P1504=0,0,IFERROR(((LOOKUP(2,1/(A1510:A1513=A1530),H1510:H1513))/N1499*P1504),F1529/P1504*P1504)),2)</f>
        <v>0</v>
      </c>
      <c r="G1530" s="27">
        <f t="shared" si="172"/>
        <v>0</v>
      </c>
      <c r="H1530" s="76">
        <f>ROUND(IF(SUM(B1522:F1529)&lt;(L1537*8),IF((SUM(B1522:F1530))&gt;(L1537*9),(((L1537*9)-(SUM(B1522:F1530)-C1529))*H1521)+((SUM(B1530:F1530)-C1529)*H1521),SUM(B1530:F1530)*H1521),IF(SUM(B1522:F1530)&gt;(L1537*9),L1537*H1521,SUM(B1530:F1530)*H1521)),2)</f>
        <v>0</v>
      </c>
      <c r="I1530" s="76">
        <f>ROUND(IF(SUM(B1522:F1529)&lt;(L1538*8),IF((SUM(B1522:F1530))&gt;(L1538*9),(((L1538*9)-(SUM(B1522:F1530)-C1529))*I1521)+((SUM(B1530:F1530)-C1529)*I1521),SUM(B1530:F1530)*I1521),IF(SUM(B1522:F1530)&gt;(L1538*9),L1538*I1521,SUM(B1530:F1530)*I1521)),2)</f>
        <v>0</v>
      </c>
      <c r="J1530" s="76">
        <f>ROUND(IF(SUM(B1522:F1529)&lt;(L1538*8),IF((SUM(B1522:F1530))&gt;(L1538*9),(((L1538*9)-(SUM(B1522:F1530)-C1529))*J1521)+((SUM(B1530:F1530)-C1529)*J1521),SUM(B1530:F1530)*J1521),IF(SUM(B1522:F1530)&gt;(L1538*9),L1538*J1521,SUM(B1530:F1530)*J1521)),2)</f>
        <v>0</v>
      </c>
      <c r="K1530" s="76">
        <f>ROUND(IF(SUM(B1522:F1529)&lt;(L1537*8),IF((SUM(B1522:F1530))&gt;(L1537*9),(((L1537*9)-(SUM(B1522:F1530)-C1529))*K1521)+((SUM(B1530:F1530)-C1529)*K1521),SUM(B1530:F1530)*K1521),IF(SUM(B1522:F1530)&gt;(L1537*9),L1537*K1521,SUM(B1530:F1530)*K1521)),2)</f>
        <v>0</v>
      </c>
      <c r="L1530" s="76">
        <f>ROUND(IF(SUM(B1522:F1529)&lt;(L1538*8),IF((SUM(B1522:F1530))&gt;(L1538*9),(((L1538*9)-(SUM(B1522:F1530)-C1530))*L1521)+((SUM(B1530:F1530)-C1530)*L1521),(SUM(B1530:F1530)-C1530)*L1521),IF(SUM(B1522:F1530)&gt;(L1538*9),L1538*L1521,SUM(B1530:F1530)*L1521)),2)</f>
        <v>0</v>
      </c>
      <c r="M1530" s="76">
        <f>ROUND(IF(SUM(B1522:F1529)&lt;(L1538*8),IF((SUM(B1522:F1530))&gt;(L1538*9),(((L1538*9)-(SUM(B1522:F1530)-C1530))*M1521)+((SUM(B1530:F1530)-C1530)*M1521),(SUM(B1530:F1530)-C1530)*M1521),IF(SUM(B1522:F1530)&gt;(L1538*9),L1538*M1521,SUM(B1530:F1530)*M1521)),2)</f>
        <v>0</v>
      </c>
      <c r="N1530" s="76">
        <f>ROUND(IF(SUM(B1522:F1529)&lt;(L1538*8),IF((SUM(B1522:F1530))&gt;(L1538*9),(((L1538*9)-(SUM(B1522:F1530)-C1529))*N1521)+((SUM(B1530:F1530)-C1529)*N1521),SUM(B1530:F1530)*N1521),IF(SUM(B1522:F1530)&gt;(L1538*9),L1538*N1521,SUM(B1530:F1530)*N1521)),2)</f>
        <v>0</v>
      </c>
      <c r="O1530" s="23">
        <f>ROUND(SUM(B1530+C1530+F1530)*O1521,2)</f>
        <v>0</v>
      </c>
      <c r="P1530" s="27">
        <f t="shared" si="173"/>
        <v>0</v>
      </c>
    </row>
    <row r="1531" spans="1:16" s="1" customFormat="1" x14ac:dyDescent="0.2">
      <c r="A1531" s="100" t="str">
        <f>$A$35</f>
        <v>Okt 2022</v>
      </c>
      <c r="B1531" s="24">
        <f>ROUND(IF(P1505=0,0,IFERROR(((LOOKUP(2,1/(A1510:A1513=A1531),G1510:G1513))*P1505*4.348),B1530/P1505*P1505)),2)</f>
        <v>0</v>
      </c>
      <c r="C1531" s="23">
        <f>ROUND(IFERROR(((LOOKUP(2,1/(B1515=A1531),((SUM(B1528:B1530)+SUM(F1528:F1530))/3)*C1515))),0)+IFERROR(((LOOKUP(2,1/(E1515=A1531),(B1534+F1534)*F1515))),0),2)</f>
        <v>0</v>
      </c>
      <c r="D1531" s="23">
        <f>ROUND(IF(B1531=0,0,D1521/L1503*P1505),2)</f>
        <v>0</v>
      </c>
      <c r="E1531" s="23">
        <f>ROUND(IF(B1531=0,0,E1521/N1499*P1505),2)</f>
        <v>0</v>
      </c>
      <c r="F1531" s="24">
        <f>ROUND(IF(P1505=0,0,IFERROR(((LOOKUP(2,1/(A1510:A1513=A1531),H1510:H1513))/N1499*P1505),F1530/P1505*P1505)),2)</f>
        <v>0</v>
      </c>
      <c r="G1531" s="27">
        <f t="shared" si="172"/>
        <v>0</v>
      </c>
      <c r="H1531" s="76">
        <f>ROUND(IF(SUM(B1522:F1530)&lt;(L1537*9),IF((SUM(B1522:F1531))&gt;(L1537*10),(((L1537*10)-(SUM(B1522:F1531)-C1530))*H1521)+((SUM(B1531:F1531)-C1530)*H1521),SUM(B1531:F1531)*H1521),IF(SUM(B1522:F1531)&gt;(L1537*10),L1537*H1521,SUM(B1531:F1531)*H1521)),2)</f>
        <v>0</v>
      </c>
      <c r="I1531" s="76">
        <f>ROUND(IF(SUM(B1522:F1530)&lt;(L1538*9),IF((SUM(B1522:F1531))&gt;(L1538*10),(((L1538*10)-(SUM(B1522:F1531)-C1530))*I1521)+((SUM(B1531:F1531)-C1530)*I1521),SUM(B1531:F1531)*I1521),IF(SUM(B1522:F1531)&gt;(L1538*10),L1538*I1521,SUM(B1531:F1531)*I1521)),2)</f>
        <v>0</v>
      </c>
      <c r="J1531" s="76">
        <f>ROUND(IF(SUM(B1522:F1530)&lt;(L1538*9),IF((SUM(B1522:F1531))&gt;(L1538*10),(((L1538*10)-(SUM(B1522:F1531)-C1530))*J1521)+((SUM(B1531:F1531)-C1530)*J1521),SUM(B1531:F1531)*J1521),IF(SUM(B1522:F1531)&gt;(L1538*10),L1538*J1521,SUM(B1531:F1531)*J1521)),2)</f>
        <v>0</v>
      </c>
      <c r="K1531" s="76">
        <f>ROUND(IF(SUM(B1522:F1530)&lt;(L1537*9),IF((SUM(B1522:F1531))&gt;(L1537*10),(((L1537*10)-(SUM(B1522:F1531)-C1530))*K1521)+((SUM(B1531:F1531)-C1530)*K1521),SUM(B1531:F1531)*K1521),IF(SUM(B1522:F1531)&gt;(L1537*10),L1537*K1521,SUM(B1531:F1531)*K1521)),2)</f>
        <v>0</v>
      </c>
      <c r="L1531" s="76">
        <f>ROUND(IF(SUM(B1522:F1530)&lt;(L1538*9),IF((SUM(B1522:F1531))&gt;(L1538*10),(((L1538*10)-(SUM(B1522:F1531)-C1531))*L1521)+((SUM(B1531:F1531)-C1531)*L1521),(SUM(B1531:F1531)-C1531)*L1521),IF(SUM(B1522:F1531)&gt;(L1538*10),L1538*L1521,SUM(B1531:F1531)*L1521)),2)</f>
        <v>0</v>
      </c>
      <c r="M1531" s="76">
        <f>ROUND(IF(SUM(B1522:F1530)&lt;(L1538*9),IF((SUM(B1522:F1531))&gt;(L1538*10),(((L1538*10)-(SUM(B1522:F1531)-C1531))*M1521)+((SUM(B1531:F1531)-C1531)*M1521),(SUM(B1531:F1531)-C1531)*M1521),IF(SUM(B1522:F1531)&gt;(L1538*10),L1538*M1521,SUM(B1531:F1531)*M1521)),2)</f>
        <v>0</v>
      </c>
      <c r="N1531" s="76">
        <f>ROUND(IF(SUM(B1522:F1530)&lt;(L1538*9),IF((SUM(B1522:F1531))&gt;(L1538*10),(((L1538*10)-(SUM(B1522:F1531)-C1530))*N1521)+((SUM(B1531:F1531)-C1530)*N1521),SUM(B1531:F1531)*N1521),IF(SUM(B1522:F1531)&gt;(L1538*10),L1538*N1521,SUM(B1531:F1531)*N1521)),2)</f>
        <v>0</v>
      </c>
      <c r="O1531" s="23">
        <f>ROUND(SUM(B1531+C1531+F1531)*O1521,2)</f>
        <v>0</v>
      </c>
      <c r="P1531" s="27">
        <f t="shared" si="173"/>
        <v>0</v>
      </c>
    </row>
    <row r="1532" spans="1:16" s="1" customFormat="1" x14ac:dyDescent="0.2">
      <c r="A1532" s="100" t="str">
        <f>$A$36</f>
        <v>Nov 2022</v>
      </c>
      <c r="B1532" s="24">
        <f>ROUND(IF(P1506=0,0,IFERROR(((LOOKUP(2,1/(A1510:A1513=A1532),G1510:G1513))*P1506*4.348),B1531/P1506*P1506)),2)</f>
        <v>0</v>
      </c>
      <c r="C1532" s="23">
        <f>ROUND(IFERROR(((LOOKUP(2,1/(B1515=A1532),((SUM(B1528:B1530)+SUM(F1528:F1530))/3)*C1515))),0)+IFERROR(((LOOKUP(2,1/(E1515=A1532),(B1534+F1534)*F1515))),0),2)</f>
        <v>0</v>
      </c>
      <c r="D1532" s="23">
        <f>ROUND(IF(B1532=0,0,D1521/L1503*P1506),2)</f>
        <v>0</v>
      </c>
      <c r="E1532" s="23">
        <f>ROUND(IF(B1532=0,0,E1521/N1499*P1506),2)</f>
        <v>0</v>
      </c>
      <c r="F1532" s="24">
        <f>ROUND(IF(P1506=0,0,IFERROR(((LOOKUP(2,1/(A1510:A1513=A1532),H1510:H1513))/N1499*P1506),F1531/P1506*P1506)),2)</f>
        <v>0</v>
      </c>
      <c r="G1532" s="27">
        <f t="shared" si="172"/>
        <v>0</v>
      </c>
      <c r="H1532" s="76">
        <f>ROUND(IF(SUM(B1522:F1531)&lt;(L1537*10),IF((SUM(B1522:F1532))&gt;(L1537*11),(((L1537*11)-(SUM(B1522:F1532)-C1531))*H1521)+((SUM(B1532:F1532)-C1531)*H1521),SUM(B1532:F1532)*H1521),IF(SUM(B1522:F1532)&gt;(L1537*11),L1537*H1521,SUM(B1532:F1532)*H1521)),2)</f>
        <v>0</v>
      </c>
      <c r="I1532" s="76">
        <f>ROUND(IF(SUM(B1522:F1531)&lt;(L1538*10),IF((SUM(B1522:F1532))&gt;(L1538*11),(((L1538*11)-(SUM(B1522:F1532)-C1531))*I1521)+((SUM(B1532:F1532)-C1531)*I1521),SUM(B1532:F1532)*I1521),IF(SUM(B1522:F1532)&gt;(L1538*11),L1538*I1521,SUM(B1532:F1532)*I1521)),2)</f>
        <v>0</v>
      </c>
      <c r="J1532" s="76">
        <f>ROUND(IF(SUM(B1522:F1531)&lt;(L1538*10),IF((SUM(B1522:F1532))&gt;(L1538*11),(((L1538*11)-(SUM(B1522:F1532)-C1531))*J1521)+((SUM(B1532:F1532)-C1531)*J1521),SUM(B1532:F1532)*J1521),IF(SUM(B1522:F1532)&gt;(L1538*11),L1538*J1521,SUM(B1532:F1532)*J1521)),2)</f>
        <v>0</v>
      </c>
      <c r="K1532" s="76">
        <f>ROUND(IF(SUM(B1522:F1531)&lt;(L1537*10),IF((SUM(B1522:F1532))&gt;(L1537*11),(((L1537*11)-(SUM(B1522:F1532)-C1531))*K1521)+((SUM(B1532:F1532)-C1531)*K1521),SUM(B1532:F1532)*K1521),IF(SUM(B1522:F1532)&gt;(L1537*11),L1537*K1521,SUM(B1532:F1532)*K1521)),2)</f>
        <v>0</v>
      </c>
      <c r="L1532" s="76">
        <f>ROUND(IF(SUM(B1522:F1531)&lt;(L1538*10),IF((SUM(B1522:F1532))&gt;(L1538*11),(((L1538*11)-(SUM(B1522:F1532)-C1532))*L1521)+((SUM(B1532:F1532)-C1532)*L1521),(SUM(B1532:F1532)-C1532)*L1521),IF(SUM(B1522:F1532)&gt;(L1538*11),L1538*L1521,SUM(B1532:F1532)*L1521)),2)</f>
        <v>0</v>
      </c>
      <c r="M1532" s="76">
        <f>ROUND(IF(SUM(B1522:F1531)&lt;(L1538*10),IF((SUM(B1522:F1532))&gt;(L1538*11),(((L1538*11)-(SUM(B1522:F1532)-C1532))*M1521)+((SUM(B1532:F1532)-C1532)*M1521),(SUM(B1532:F1532)-C1532)*M1521),IF(SUM(B1522:F1532)&gt;(L1538*11),L1538*M1521,SUM(B1532:F1532)*M1521)),2)</f>
        <v>0</v>
      </c>
      <c r="N1532" s="76">
        <f>ROUND(IF(SUM(B1522:F1531)&lt;(L1538*10),IF((SUM(B1522:F1532))&gt;(L1538*11),(((L1538*11)-(SUM(B1522:F1532)-C1531))*N1521)+((SUM(B1532:F1532)-C1531)*N1521),SUM(B1532:F1532)*N1521),IF(SUM(B1522:F1532)&gt;(L1538*11),L1538*N1521,SUM(B1532:F1532)*N1521)),2)</f>
        <v>0</v>
      </c>
      <c r="O1532" s="23">
        <f>ROUND(SUM(B1532+C1532+F1532)*O1521,2)</f>
        <v>0</v>
      </c>
      <c r="P1532" s="27">
        <f t="shared" si="173"/>
        <v>0</v>
      </c>
    </row>
    <row r="1533" spans="1:16" s="1" customFormat="1" x14ac:dyDescent="0.2">
      <c r="A1533" s="100" t="str">
        <f>$A$37</f>
        <v>Dez 2022</v>
      </c>
      <c r="B1533" s="24">
        <f>ROUND(IF(P1507=0,0,IFERROR(((LOOKUP(2,1/(A1510:A1513=A1533),G1510:G1513))*P1507*4.348),B1532/P1507*P1507)),2)</f>
        <v>0</v>
      </c>
      <c r="C1533" s="23">
        <f>ROUND(IFERROR(((LOOKUP(2,1/(B1515=A1533),((SUM(B1528:B1530)+SUM(F1528:F1530))/3)*C1515))),0)+IFERROR(((LOOKUP(2,1/(E1515=A1533),(B1534+F1534)*F1515))),0),2)</f>
        <v>0</v>
      </c>
      <c r="D1533" s="23">
        <f>ROUND(IF(B1533=0,0,D1521/L1503*P1507),2)</f>
        <v>0</v>
      </c>
      <c r="E1533" s="23">
        <f>ROUND(IF(B1533=0,0,E1521/N1499*P1507),2)</f>
        <v>0</v>
      </c>
      <c r="F1533" s="24">
        <f>ROUND(IF(P1507=0,0,IFERROR(((LOOKUP(2,1/(A1510:A1513=A1533),H1510:H1513))/N1499*P1507),F1532/P1507*P1507)),2)</f>
        <v>0</v>
      </c>
      <c r="G1533" s="27">
        <f t="shared" si="172"/>
        <v>0</v>
      </c>
      <c r="H1533" s="76">
        <f>ROUND(IF(SUM(B1522:F1532)&lt;(L1537*11),IF((SUM(B1522:F1533))&gt;(L1537*12),(((L1537*12)-(SUM(B1522:F1533)-C1532))*H1521)+((SUM(B1533:F1533)-C1532)*H1521),SUM(B1533:F1533)*H1521),IF(SUM(B1522:F1533)&gt;(L1537*12),L1537*H1521,SUM(B1533:F1533)*H1521)),2)</f>
        <v>0</v>
      </c>
      <c r="I1533" s="76">
        <f>ROUND(IF(SUM(B1522:F1532)&lt;(L1538*11),IF((SUM(B1522:F1533))&gt;(L1538*12),(((L1538*12)-(SUM(B1522:F1533)-C1532))*I1521)+((SUM(B1533:F1533)-C1532)*I1521),SUM(B1533:F1533)*I1521),IF(SUM(B1522:F1533)&gt;(L1538*12),L1538*I1521,SUM(B1533:F1533)*I1521)),2)</f>
        <v>0</v>
      </c>
      <c r="J1533" s="76">
        <f>ROUND(IF(SUM(B1522:F1532)&lt;(L1538*11),IF((SUM(B1522:F1533))&gt;(L1538*12),(((L1538*12)-(SUM(B1522:F1533)-C1532))*J1521)+((SUM(B1533:F1533)-C1532)*J1521),SUM(B1533:F1533)*J1521),IF(SUM(B1522:F1533)&gt;(L1538*12),L1538*J1521,SUM(B1533:F1533)*J1521)),2)</f>
        <v>0</v>
      </c>
      <c r="K1533" s="76">
        <f>ROUND(IF(SUM(B1522:F1532)&lt;(L1537*11),IF((SUM(B1522:F1533))&gt;(L1537*12),(((L1537*12)-(SUM(B1522:F1533)-C1532))*K1521)+((SUM(B1533:F1533)-C1532)*K1521),SUM(B1533:F1533)*K1521),IF(SUM(B1522:F1533)&gt;(L1537*12),L1537*K1521,SUM(B1533:F1533)*K1521)),2)</f>
        <v>0</v>
      </c>
      <c r="L1533" s="76">
        <f>ROUND(IF(SUM(B1522:F1532)&lt;(L1538*11),IF((SUM(B1522:F1533))&gt;(L1538*12),(((L1538*12)-(SUM(B1522:F1533)-C1533))*L1521)+((SUM(B1533:F1533)-C1533)*L1521),(SUM(B1533:F1533)-C1533)*L1521),IF(SUM(B1522:F1533)&gt;(L1538*12),L1538*L1521,SUM(B1533:F1533)*L1521)),2)</f>
        <v>0</v>
      </c>
      <c r="M1533" s="76">
        <f>ROUND(IF(SUM(B1522:F1532)&lt;(L1538*11),IF((SUM(B1522:F1533))&gt;(L1538*12),(((L1538*12)-(SUM(B1522:F1533)-C1533))*M1521)+((SUM(B1533:F1533)-C1533)*M1521),(SUM(B1533:F1533)-C1533)*M1521),IF(SUM(B1522:F1533)&gt;(L1538*12),L1538*M1521,SUM(B1533:F1533)*M1521)),2)</f>
        <v>0</v>
      </c>
      <c r="N1533" s="76">
        <f>ROUND(IF(SUM(B1522:F1532)&lt;(L1538*11),IF((SUM(B1522:F1533))&gt;(L1538*12),(((L1538*12)-(SUM(B1522:F1533)-C1532))*N1521)+((SUM(B1533:F1533)-C1532)*N1521),SUM(B1533:F1533)*N1521),IF(SUM(B1522:F1533)&gt;(L1538*12),L1538*N1521,SUM(B1533:F1533)*N1521)),2)</f>
        <v>0</v>
      </c>
      <c r="O1533" s="23">
        <f>ROUND(SUM(B1533+C1533+F1533)*O1521,2)</f>
        <v>0</v>
      </c>
      <c r="P1533" s="27">
        <f t="shared" si="173"/>
        <v>0</v>
      </c>
    </row>
    <row r="1534" spans="1:16" s="14" customFormat="1" ht="15" x14ac:dyDescent="0.25">
      <c r="A1534" s="4" t="s">
        <v>2</v>
      </c>
      <c r="B1534" s="27">
        <f>SUM(B1522:B1533)</f>
        <v>0</v>
      </c>
      <c r="C1534" s="27">
        <f t="shared" ref="C1534:D1534" si="174">SUM(C1522:C1533)</f>
        <v>0</v>
      </c>
      <c r="D1534" s="27">
        <f t="shared" si="174"/>
        <v>0</v>
      </c>
      <c r="E1534" s="27">
        <f>SUM(E1522:E1533)</f>
        <v>0</v>
      </c>
      <c r="F1534" s="27">
        <f>SUM(F1522:F1533)</f>
        <v>0</v>
      </c>
      <c r="G1534" s="27">
        <f>SUM(G1522:G1533)</f>
        <v>0</v>
      </c>
      <c r="H1534" s="1133">
        <f>SUM(H1522:N1533)</f>
        <v>0</v>
      </c>
      <c r="I1534" s="1134"/>
      <c r="J1534" s="1134"/>
      <c r="K1534" s="1134"/>
      <c r="L1534" s="1134"/>
      <c r="M1534" s="1134"/>
      <c r="N1534" s="1135"/>
      <c r="O1534" s="27">
        <f>SUM(O1522:O1533)</f>
        <v>0</v>
      </c>
      <c r="P1534" s="27">
        <f>SUM(P1522:P1533)</f>
        <v>0</v>
      </c>
    </row>
    <row r="1535" spans="1:16" s="13" customFormat="1" ht="11.25" x14ac:dyDescent="0.2">
      <c r="A1535" s="3" t="s">
        <v>1</v>
      </c>
      <c r="B1535" s="2"/>
      <c r="C1535" s="2"/>
      <c r="D1535" s="2"/>
      <c r="E1535" s="2"/>
      <c r="F1535" s="2"/>
      <c r="G1535" s="2"/>
      <c r="H1535" s="2"/>
      <c r="I1535" s="2"/>
      <c r="J1535" s="2"/>
      <c r="K1535" s="2"/>
      <c r="L1535" s="2"/>
      <c r="M1535" s="2"/>
      <c r="N1535" s="2"/>
      <c r="O1535" s="2"/>
      <c r="P1535" s="2"/>
    </row>
    <row r="1536" spans="1:16" s="1" customFormat="1" ht="14.25" customHeight="1" x14ac:dyDescent="0.2">
      <c r="A1536" s="1136" t="s">
        <v>133</v>
      </c>
      <c r="B1536" s="1137"/>
      <c r="C1536" s="1137"/>
      <c r="D1536" s="1137" t="s">
        <v>134</v>
      </c>
      <c r="E1536" s="1137"/>
      <c r="F1536" s="94" t="str">
        <f>IF(IF(G1534=0,"",'päd.Personal - Leitung'!$F$40)=0,"",IF(G1534=0,"",'päd.Personal - Leitung'!$F$40))</f>
        <v/>
      </c>
      <c r="G1536" s="77" t="s">
        <v>135</v>
      </c>
      <c r="H1536" s="96" t="str">
        <f>IF(IF(G1534=0,"",'päd.Personal - Leitung'!$H$40)=0,"",IF(G1534=0,"",'päd.Personal - Leitung'!$H$40))</f>
        <v/>
      </c>
      <c r="I1536" s="73"/>
      <c r="J1536" s="194" t="s">
        <v>160</v>
      </c>
      <c r="K1536" s="194" t="str">
        <f>$K$40</f>
        <v>2021</v>
      </c>
      <c r="L1536" s="194" t="str">
        <f>$L$40</f>
        <v>anteilig 2021</v>
      </c>
      <c r="M1536" s="1138" t="s">
        <v>140</v>
      </c>
      <c r="N1536" s="1138"/>
      <c r="O1536" s="1139"/>
      <c r="P1536" s="27">
        <f>ROUND(IF(F1536="",IF(E1540="",0,(E1540*H1540/K1540)/L1503*L1504),G1534*F1536*H1536/1000),2)</f>
        <v>0</v>
      </c>
    </row>
    <row r="1537" spans="1:16" s="1" customFormat="1" ht="15" customHeight="1" x14ac:dyDescent="0.2">
      <c r="A1537" s="1140" t="s">
        <v>145</v>
      </c>
      <c r="B1537" s="1141"/>
      <c r="C1537" s="1141"/>
      <c r="D1537" s="18"/>
      <c r="E1537" s="107" t="s">
        <v>135</v>
      </c>
      <c r="F1537" s="95" t="str">
        <f>IF(IF(G1534=0,"",'päd.Personal - Leitung'!$F$41)=0,"",IF(G1534=0,"",'päd.Personal - Leitung'!$F$41))</f>
        <v/>
      </c>
      <c r="G1537" s="48"/>
      <c r="H1537" s="47"/>
      <c r="I1537" s="48"/>
      <c r="J1537" s="195" t="s">
        <v>158</v>
      </c>
      <c r="K1537" s="198">
        <f>$K$41</f>
        <v>4837.5</v>
      </c>
      <c r="L1537" s="197">
        <f>IF(L1503="",K1537,K1537/L1503*L1504)</f>
        <v>4837.5</v>
      </c>
      <c r="M1537" s="1138" t="s">
        <v>139</v>
      </c>
      <c r="N1537" s="1138"/>
      <c r="O1537" s="1139"/>
      <c r="P1537" s="27">
        <f>ROUND(IF(F1537="",0,G1534*F1537/1000),2)</f>
        <v>0</v>
      </c>
    </row>
    <row r="1538" spans="1:16" s="1" customFormat="1" ht="15.75" customHeight="1" x14ac:dyDescent="0.2">
      <c r="A1538" s="1142" t="s">
        <v>141</v>
      </c>
      <c r="B1538" s="1143"/>
      <c r="C1538" s="1143"/>
      <c r="D1538" s="1144" t="s">
        <v>143</v>
      </c>
      <c r="E1538" s="1144"/>
      <c r="F1538" s="1145" t="str">
        <f>IF(IF(G1534=0,"",'päd.Personal - Leitung'!$F$42)=0,"",IF(G1534=0,"",'päd.Personal - Leitung'!$F$42))</f>
        <v/>
      </c>
      <c r="G1538" s="1145"/>
      <c r="H1538" s="72"/>
      <c r="I1538" s="18"/>
      <c r="J1538" s="195" t="s">
        <v>159</v>
      </c>
      <c r="K1538" s="197">
        <f>$K$42</f>
        <v>6700</v>
      </c>
      <c r="L1538" s="197">
        <f>IF(L1503="",K1538,K1538/L1503*L1504)</f>
        <v>6700</v>
      </c>
      <c r="M1538" s="1138" t="s">
        <v>141</v>
      </c>
      <c r="N1538" s="1138"/>
      <c r="O1538" s="1139"/>
      <c r="P1538" s="23">
        <f>ROUND(IF(F1538="",0,IF(G1534=0,0,F1538/L1503*L1504)),2)</f>
        <v>0</v>
      </c>
    </row>
    <row r="1539" spans="1:16" s="1" customFormat="1" ht="14.25" customHeight="1" x14ac:dyDescent="0.2">
      <c r="A1539" s="18"/>
      <c r="B1539" s="18"/>
      <c r="C1539" s="18"/>
      <c r="D1539" s="18"/>
      <c r="E1539" s="18"/>
      <c r="F1539" s="18"/>
      <c r="G1539" s="18"/>
      <c r="H1539" s="18"/>
      <c r="I1539" s="18"/>
      <c r="J1539" s="18"/>
      <c r="K1539" s="74"/>
      <c r="L1539" s="82"/>
      <c r="M1539" s="1127" t="s">
        <v>146</v>
      </c>
      <c r="N1539" s="1127"/>
      <c r="O1539" s="1128"/>
      <c r="P1539" s="23">
        <f>ROUND(IF(G1534=0,0,$P$87),2)</f>
        <v>0</v>
      </c>
    </row>
    <row r="1540" spans="1:16" s="1" customFormat="1" ht="14.25" customHeight="1" x14ac:dyDescent="0.2">
      <c r="A1540" s="1129" t="s">
        <v>142</v>
      </c>
      <c r="B1540" s="1130"/>
      <c r="C1540" s="126" t="s">
        <v>136</v>
      </c>
      <c r="D1540" s="179" t="s">
        <v>137</v>
      </c>
      <c r="E1540" s="1131" t="str">
        <f>IF(IF(G1534=0,"",'päd.Personal - Leitung'!$E$44)=0,"",IF(G1534=0,"",'päd.Personal - Leitung'!$E$44))</f>
        <v/>
      </c>
      <c r="F1540" s="1131"/>
      <c r="G1540" s="83" t="s">
        <v>138</v>
      </c>
      <c r="H1540" s="97" t="str">
        <f>IF(IF(G1534=0,"",'päd.Personal - Leitung'!$H$44)=0,"",IF(G1534=0,"",'päd.Personal - Leitung'!$H$44))</f>
        <v/>
      </c>
      <c r="I1540" s="1132" t="s">
        <v>144</v>
      </c>
      <c r="J1540" s="1132"/>
      <c r="K1540" s="98" t="str">
        <f>IF(IF(G1534=0,"",'päd.Personal - Leitung'!$K$44)=0,"",IF(G1534=0,"",'päd.Personal - Leitung'!$K$44))</f>
        <v/>
      </c>
      <c r="L1540" s="29"/>
      <c r="M1540" s="29"/>
      <c r="N1540" s="29"/>
      <c r="O1540" s="28" t="s">
        <v>0</v>
      </c>
      <c r="P1540" s="27">
        <f>P1534+SUM(P1536:P1539)</f>
        <v>0</v>
      </c>
    </row>
  </sheetData>
  <sheetProtection algorithmName="SHA-512" hashValue="YGu5ieY6VyScBJBGcqq/fIoCeoomlr3mrkAO+3Us9qeZPV7wXb+Pxbv/22ZIKzXOlnk3/tZK/v7K1/wJ6j+Pxw==" saltValue="1sp2GErbVT+G+i3UmmJkFw==" spinCount="100000" sheet="1" objects="1" scenarios="1"/>
  <mergeCells count="2485">
    <mergeCell ref="J979:K979"/>
    <mergeCell ref="J1023:K1023"/>
    <mergeCell ref="J1067:K1067"/>
    <mergeCell ref="J1111:K1111"/>
    <mergeCell ref="J1155:K1155"/>
    <mergeCell ref="J1199:K1199"/>
    <mergeCell ref="J1243:K1243"/>
    <mergeCell ref="J1287:K1287"/>
    <mergeCell ref="J1331:K1331"/>
    <mergeCell ref="J1375:K1375"/>
    <mergeCell ref="J1419:K1419"/>
    <mergeCell ref="J1463:K1463"/>
    <mergeCell ref="J1507:K1507"/>
    <mergeCell ref="J99:K99"/>
    <mergeCell ref="J143:K143"/>
    <mergeCell ref="J187:K187"/>
    <mergeCell ref="J231:K231"/>
    <mergeCell ref="J275:K275"/>
    <mergeCell ref="J319:K319"/>
    <mergeCell ref="J363:K363"/>
    <mergeCell ref="J407:K407"/>
    <mergeCell ref="J451:K451"/>
    <mergeCell ref="J495:K495"/>
    <mergeCell ref="J539:K539"/>
    <mergeCell ref="J583:K583"/>
    <mergeCell ref="J627:K627"/>
    <mergeCell ref="J671:K671"/>
    <mergeCell ref="J715:K715"/>
    <mergeCell ref="J759:K759"/>
    <mergeCell ref="J803:K803"/>
    <mergeCell ref="H1490:N1490"/>
    <mergeCell ref="H1402:N1402"/>
    <mergeCell ref="A1537:C1537"/>
    <mergeCell ref="M1537:O1537"/>
    <mergeCell ref="A1538:C1538"/>
    <mergeCell ref="D1538:E1538"/>
    <mergeCell ref="F1538:G1538"/>
    <mergeCell ref="M1538:O1538"/>
    <mergeCell ref="M1539:O1539"/>
    <mergeCell ref="A1540:B1540"/>
    <mergeCell ref="E1540:F1540"/>
    <mergeCell ref="I1540:J1540"/>
    <mergeCell ref="P1517:P1521"/>
    <mergeCell ref="B1518:B1521"/>
    <mergeCell ref="D1518:D1520"/>
    <mergeCell ref="E1518:E1520"/>
    <mergeCell ref="G1518:G1521"/>
    <mergeCell ref="H1518:H1519"/>
    <mergeCell ref="I1518:I1519"/>
    <mergeCell ref="J1518:J1519"/>
    <mergeCell ref="K1518:K1519"/>
    <mergeCell ref="L1518:L1519"/>
    <mergeCell ref="M1518:M1519"/>
    <mergeCell ref="N1518:N1519"/>
    <mergeCell ref="O1518:O1520"/>
    <mergeCell ref="F1519:F1521"/>
    <mergeCell ref="H1534:N1534"/>
    <mergeCell ref="A1536:C1536"/>
    <mergeCell ref="D1536:E1536"/>
    <mergeCell ref="M1536:O1536"/>
    <mergeCell ref="D1507:E1507"/>
    <mergeCell ref="F1507:G1507"/>
    <mergeCell ref="H1507:I1507"/>
    <mergeCell ref="B1509:C1509"/>
    <mergeCell ref="K1509:L1509"/>
    <mergeCell ref="B1510:C1510"/>
    <mergeCell ref="K1510:L1510"/>
    <mergeCell ref="B1511:C1511"/>
    <mergeCell ref="K1511:L1511"/>
    <mergeCell ref="B1512:C1512"/>
    <mergeCell ref="K1512:L1512"/>
    <mergeCell ref="B1513:C1513"/>
    <mergeCell ref="K1513:L1513"/>
    <mergeCell ref="B1514:C1514"/>
    <mergeCell ref="E1514:F1514"/>
    <mergeCell ref="K1514:L1514"/>
    <mergeCell ref="A1517:A1521"/>
    <mergeCell ref="B1517:G1517"/>
    <mergeCell ref="H1517:N1517"/>
    <mergeCell ref="A1499:C1499"/>
    <mergeCell ref="D1499:J1499"/>
    <mergeCell ref="K1499:M1499"/>
    <mergeCell ref="A1500:C1500"/>
    <mergeCell ref="D1500:J1500"/>
    <mergeCell ref="A1501:J1501"/>
    <mergeCell ref="J1502:K1502"/>
    <mergeCell ref="A1503:C1503"/>
    <mergeCell ref="D1503:I1503"/>
    <mergeCell ref="J1503:K1503"/>
    <mergeCell ref="A1504:C1504"/>
    <mergeCell ref="D1504:I1504"/>
    <mergeCell ref="J1504:K1504"/>
    <mergeCell ref="A1505:C1505"/>
    <mergeCell ref="D1505:I1505"/>
    <mergeCell ref="J1505:K1505"/>
    <mergeCell ref="A1506:C1506"/>
    <mergeCell ref="D1506:I1506"/>
    <mergeCell ref="J1506:K1506"/>
    <mergeCell ref="A1492:C1492"/>
    <mergeCell ref="D1492:E1492"/>
    <mergeCell ref="M1492:O1492"/>
    <mergeCell ref="A1493:C1493"/>
    <mergeCell ref="M1493:O1493"/>
    <mergeCell ref="A1494:C1494"/>
    <mergeCell ref="D1494:E1494"/>
    <mergeCell ref="F1494:G1494"/>
    <mergeCell ref="M1494:O1494"/>
    <mergeCell ref="M1495:O1495"/>
    <mergeCell ref="A1496:B1496"/>
    <mergeCell ref="E1496:F1496"/>
    <mergeCell ref="I1496:J1496"/>
    <mergeCell ref="A1497:C1497"/>
    <mergeCell ref="D1497:N1497"/>
    <mergeCell ref="A1498:C1498"/>
    <mergeCell ref="D1498:N1498"/>
    <mergeCell ref="B1465:C1465"/>
    <mergeCell ref="K1465:L1465"/>
    <mergeCell ref="B1466:C1466"/>
    <mergeCell ref="K1466:L1466"/>
    <mergeCell ref="B1467:C1467"/>
    <mergeCell ref="K1467:L1467"/>
    <mergeCell ref="B1468:C1468"/>
    <mergeCell ref="K1468:L1468"/>
    <mergeCell ref="B1469:C1469"/>
    <mergeCell ref="K1469:L1469"/>
    <mergeCell ref="B1470:C1470"/>
    <mergeCell ref="E1470:F1470"/>
    <mergeCell ref="K1470:L1470"/>
    <mergeCell ref="A1473:A1477"/>
    <mergeCell ref="B1473:G1473"/>
    <mergeCell ref="H1473:N1473"/>
    <mergeCell ref="P1473:P1477"/>
    <mergeCell ref="B1474:B1477"/>
    <mergeCell ref="D1474:D1476"/>
    <mergeCell ref="E1474:E1476"/>
    <mergeCell ref="G1474:G1477"/>
    <mergeCell ref="H1474:H1475"/>
    <mergeCell ref="I1474:I1475"/>
    <mergeCell ref="J1474:J1475"/>
    <mergeCell ref="K1474:K1475"/>
    <mergeCell ref="L1474:L1475"/>
    <mergeCell ref="M1474:M1475"/>
    <mergeCell ref="N1474:N1475"/>
    <mergeCell ref="O1474:O1476"/>
    <mergeCell ref="F1475:F1477"/>
    <mergeCell ref="A1456:C1456"/>
    <mergeCell ref="D1456:J1456"/>
    <mergeCell ref="A1457:J1457"/>
    <mergeCell ref="J1458:K1458"/>
    <mergeCell ref="A1459:C1459"/>
    <mergeCell ref="D1459:I1459"/>
    <mergeCell ref="J1459:K1459"/>
    <mergeCell ref="A1460:C1460"/>
    <mergeCell ref="D1460:I1460"/>
    <mergeCell ref="J1460:K1460"/>
    <mergeCell ref="A1461:C1461"/>
    <mergeCell ref="D1461:I1461"/>
    <mergeCell ref="J1461:K1461"/>
    <mergeCell ref="A1462:C1462"/>
    <mergeCell ref="D1462:I1462"/>
    <mergeCell ref="J1462:K1462"/>
    <mergeCell ref="D1463:E1463"/>
    <mergeCell ref="F1463:G1463"/>
    <mergeCell ref="H1463:I1463"/>
    <mergeCell ref="A1449:C1449"/>
    <mergeCell ref="M1449:O1449"/>
    <mergeCell ref="A1450:C1450"/>
    <mergeCell ref="D1450:E1450"/>
    <mergeCell ref="F1450:G1450"/>
    <mergeCell ref="M1450:O1450"/>
    <mergeCell ref="M1451:O1451"/>
    <mergeCell ref="A1452:B1452"/>
    <mergeCell ref="E1452:F1452"/>
    <mergeCell ref="I1452:J1452"/>
    <mergeCell ref="A1453:C1453"/>
    <mergeCell ref="D1453:N1453"/>
    <mergeCell ref="A1454:C1454"/>
    <mergeCell ref="D1454:N1454"/>
    <mergeCell ref="A1455:C1455"/>
    <mergeCell ref="D1455:J1455"/>
    <mergeCell ref="K1455:M1455"/>
    <mergeCell ref="P1429:P1433"/>
    <mergeCell ref="B1430:B1433"/>
    <mergeCell ref="D1430:D1432"/>
    <mergeCell ref="E1430:E1432"/>
    <mergeCell ref="G1430:G1433"/>
    <mergeCell ref="H1430:H1431"/>
    <mergeCell ref="I1430:I1431"/>
    <mergeCell ref="J1430:J1431"/>
    <mergeCell ref="K1430:K1431"/>
    <mergeCell ref="L1430:L1431"/>
    <mergeCell ref="M1430:M1431"/>
    <mergeCell ref="N1430:N1431"/>
    <mergeCell ref="O1430:O1432"/>
    <mergeCell ref="F1431:F1433"/>
    <mergeCell ref="H1446:N1446"/>
    <mergeCell ref="A1448:C1448"/>
    <mergeCell ref="D1448:E1448"/>
    <mergeCell ref="M1448:O1448"/>
    <mergeCell ref="D1419:E1419"/>
    <mergeCell ref="F1419:G1419"/>
    <mergeCell ref="H1419:I1419"/>
    <mergeCell ref="B1421:C1421"/>
    <mergeCell ref="K1421:L1421"/>
    <mergeCell ref="B1422:C1422"/>
    <mergeCell ref="K1422:L1422"/>
    <mergeCell ref="B1423:C1423"/>
    <mergeCell ref="K1423:L1423"/>
    <mergeCell ref="B1424:C1424"/>
    <mergeCell ref="K1424:L1424"/>
    <mergeCell ref="B1425:C1425"/>
    <mergeCell ref="K1425:L1425"/>
    <mergeCell ref="B1426:C1426"/>
    <mergeCell ref="E1426:F1426"/>
    <mergeCell ref="K1426:L1426"/>
    <mergeCell ref="A1429:A1433"/>
    <mergeCell ref="B1429:G1429"/>
    <mergeCell ref="H1429:N1429"/>
    <mergeCell ref="A1411:C1411"/>
    <mergeCell ref="D1411:J1411"/>
    <mergeCell ref="K1411:M1411"/>
    <mergeCell ref="A1412:C1412"/>
    <mergeCell ref="D1412:J1412"/>
    <mergeCell ref="A1413:J1413"/>
    <mergeCell ref="J1414:K1414"/>
    <mergeCell ref="A1415:C1415"/>
    <mergeCell ref="D1415:I1415"/>
    <mergeCell ref="J1415:K1415"/>
    <mergeCell ref="A1416:C1416"/>
    <mergeCell ref="D1416:I1416"/>
    <mergeCell ref="J1416:K1416"/>
    <mergeCell ref="A1417:C1417"/>
    <mergeCell ref="D1417:I1417"/>
    <mergeCell ref="J1417:K1417"/>
    <mergeCell ref="A1418:C1418"/>
    <mergeCell ref="D1418:I1418"/>
    <mergeCell ref="J1418:K1418"/>
    <mergeCell ref="A1404:C1404"/>
    <mergeCell ref="D1404:E1404"/>
    <mergeCell ref="M1404:O1404"/>
    <mergeCell ref="A1405:C1405"/>
    <mergeCell ref="M1405:O1405"/>
    <mergeCell ref="A1406:C1406"/>
    <mergeCell ref="D1406:E1406"/>
    <mergeCell ref="F1406:G1406"/>
    <mergeCell ref="M1406:O1406"/>
    <mergeCell ref="M1407:O1407"/>
    <mergeCell ref="A1408:B1408"/>
    <mergeCell ref="E1408:F1408"/>
    <mergeCell ref="I1408:J1408"/>
    <mergeCell ref="A1409:C1409"/>
    <mergeCell ref="D1409:N1409"/>
    <mergeCell ref="A1410:C1410"/>
    <mergeCell ref="D1410:N1410"/>
    <mergeCell ref="B1381:C1381"/>
    <mergeCell ref="K1381:L1381"/>
    <mergeCell ref="B1382:C1382"/>
    <mergeCell ref="E1382:F1382"/>
    <mergeCell ref="K1382:L1382"/>
    <mergeCell ref="A1385:A1389"/>
    <mergeCell ref="B1385:G1385"/>
    <mergeCell ref="H1385:N1385"/>
    <mergeCell ref="P1385:P1389"/>
    <mergeCell ref="B1386:B1389"/>
    <mergeCell ref="D1386:D1388"/>
    <mergeCell ref="E1386:E1388"/>
    <mergeCell ref="G1386:G1389"/>
    <mergeCell ref="H1386:H1387"/>
    <mergeCell ref="I1386:I1387"/>
    <mergeCell ref="J1386:J1387"/>
    <mergeCell ref="K1386:K1387"/>
    <mergeCell ref="L1386:L1387"/>
    <mergeCell ref="M1386:M1387"/>
    <mergeCell ref="N1386:N1387"/>
    <mergeCell ref="O1386:O1388"/>
    <mergeCell ref="F1387:F1389"/>
    <mergeCell ref="A1373:C1373"/>
    <mergeCell ref="D1373:I1373"/>
    <mergeCell ref="J1373:K1373"/>
    <mergeCell ref="A1374:C1374"/>
    <mergeCell ref="D1374:I1374"/>
    <mergeCell ref="J1374:K1374"/>
    <mergeCell ref="D1375:E1375"/>
    <mergeCell ref="F1375:G1375"/>
    <mergeCell ref="H1375:I1375"/>
    <mergeCell ref="B1377:C1377"/>
    <mergeCell ref="K1377:L1377"/>
    <mergeCell ref="B1378:C1378"/>
    <mergeCell ref="K1378:L1378"/>
    <mergeCell ref="B1379:C1379"/>
    <mergeCell ref="K1379:L1379"/>
    <mergeCell ref="B1380:C1380"/>
    <mergeCell ref="K1380:L1380"/>
    <mergeCell ref="A1365:C1365"/>
    <mergeCell ref="D1365:N1365"/>
    <mergeCell ref="A1366:C1366"/>
    <mergeCell ref="D1366:N1366"/>
    <mergeCell ref="A1367:C1367"/>
    <mergeCell ref="D1367:J1367"/>
    <mergeCell ref="K1367:M1367"/>
    <mergeCell ref="A1368:C1368"/>
    <mergeCell ref="D1368:J1368"/>
    <mergeCell ref="A1369:J1369"/>
    <mergeCell ref="J1370:K1370"/>
    <mergeCell ref="A1371:C1371"/>
    <mergeCell ref="D1371:I1371"/>
    <mergeCell ref="J1371:K1371"/>
    <mergeCell ref="A1372:C1372"/>
    <mergeCell ref="D1372:I1372"/>
    <mergeCell ref="J1372:K1372"/>
    <mergeCell ref="P593:P597"/>
    <mergeCell ref="B594:B597"/>
    <mergeCell ref="D594:D596"/>
    <mergeCell ref="E594:E596"/>
    <mergeCell ref="G594:G597"/>
    <mergeCell ref="H594:H595"/>
    <mergeCell ref="I594:I595"/>
    <mergeCell ref="J594:J595"/>
    <mergeCell ref="K594:K595"/>
    <mergeCell ref="L594:L595"/>
    <mergeCell ref="M594:M595"/>
    <mergeCell ref="N594:N595"/>
    <mergeCell ref="O594:O596"/>
    <mergeCell ref="F595:F597"/>
    <mergeCell ref="D583:E583"/>
    <mergeCell ref="F583:G583"/>
    <mergeCell ref="H583:I583"/>
    <mergeCell ref="B585:C585"/>
    <mergeCell ref="K585:L585"/>
    <mergeCell ref="B586:C586"/>
    <mergeCell ref="K586:L586"/>
    <mergeCell ref="B587:C587"/>
    <mergeCell ref="K587:L587"/>
    <mergeCell ref="B588:C588"/>
    <mergeCell ref="K588:L588"/>
    <mergeCell ref="M615:O615"/>
    <mergeCell ref="A616:B616"/>
    <mergeCell ref="E616:F616"/>
    <mergeCell ref="I616:J616"/>
    <mergeCell ref="B589:C589"/>
    <mergeCell ref="K589:L589"/>
    <mergeCell ref="B590:C590"/>
    <mergeCell ref="E590:F590"/>
    <mergeCell ref="K590:L590"/>
    <mergeCell ref="A593:A597"/>
    <mergeCell ref="B593:G593"/>
    <mergeCell ref="H593:N593"/>
    <mergeCell ref="M570:O570"/>
    <mergeCell ref="M571:O571"/>
    <mergeCell ref="A572:B572"/>
    <mergeCell ref="E572:F572"/>
    <mergeCell ref="I572:J572"/>
    <mergeCell ref="A573:C573"/>
    <mergeCell ref="D573:N573"/>
    <mergeCell ref="A574:C574"/>
    <mergeCell ref="D574:N574"/>
    <mergeCell ref="A575:C575"/>
    <mergeCell ref="D575:J575"/>
    <mergeCell ref="K575:M575"/>
    <mergeCell ref="A581:C581"/>
    <mergeCell ref="D581:I581"/>
    <mergeCell ref="J581:K581"/>
    <mergeCell ref="A582:C582"/>
    <mergeCell ref="D582:I582"/>
    <mergeCell ref="J582:K582"/>
    <mergeCell ref="A549:A553"/>
    <mergeCell ref="B549:G549"/>
    <mergeCell ref="H549:N549"/>
    <mergeCell ref="P549:P553"/>
    <mergeCell ref="B550:B553"/>
    <mergeCell ref="D550:D552"/>
    <mergeCell ref="E550:E552"/>
    <mergeCell ref="G550:G553"/>
    <mergeCell ref="H550:H551"/>
    <mergeCell ref="I550:I551"/>
    <mergeCell ref="J550:J551"/>
    <mergeCell ref="K550:K551"/>
    <mergeCell ref="L550:L551"/>
    <mergeCell ref="M550:M551"/>
    <mergeCell ref="N550:N551"/>
    <mergeCell ref="O550:O552"/>
    <mergeCell ref="F551:F553"/>
    <mergeCell ref="A533:J533"/>
    <mergeCell ref="J534:K534"/>
    <mergeCell ref="J535:K535"/>
    <mergeCell ref="A536:C536"/>
    <mergeCell ref="D536:I536"/>
    <mergeCell ref="A537:C537"/>
    <mergeCell ref="D537:I537"/>
    <mergeCell ref="J537:K537"/>
    <mergeCell ref="A538:C538"/>
    <mergeCell ref="D538:I538"/>
    <mergeCell ref="J538:K538"/>
    <mergeCell ref="D539:E539"/>
    <mergeCell ref="F539:G539"/>
    <mergeCell ref="H539:I539"/>
    <mergeCell ref="B541:C541"/>
    <mergeCell ref="K541:L541"/>
    <mergeCell ref="K546:L546"/>
    <mergeCell ref="A494:C494"/>
    <mergeCell ref="D494:I494"/>
    <mergeCell ref="J494:K494"/>
    <mergeCell ref="D495:E495"/>
    <mergeCell ref="F495:G495"/>
    <mergeCell ref="H495:I495"/>
    <mergeCell ref="B497:C497"/>
    <mergeCell ref="K497:L497"/>
    <mergeCell ref="B498:C498"/>
    <mergeCell ref="K498:L498"/>
    <mergeCell ref="B505:G505"/>
    <mergeCell ref="H505:N505"/>
    <mergeCell ref="P505:P509"/>
    <mergeCell ref="B506:B509"/>
    <mergeCell ref="D506:D508"/>
    <mergeCell ref="E506:E508"/>
    <mergeCell ref="G506:G509"/>
    <mergeCell ref="H506:H507"/>
    <mergeCell ref="I506:I507"/>
    <mergeCell ref="J506:J507"/>
    <mergeCell ref="K506:K507"/>
    <mergeCell ref="L506:L507"/>
    <mergeCell ref="M506:M507"/>
    <mergeCell ref="N506:N507"/>
    <mergeCell ref="O506:O508"/>
    <mergeCell ref="F507:F509"/>
    <mergeCell ref="B499:C499"/>
    <mergeCell ref="K499:L499"/>
    <mergeCell ref="B500:C500"/>
    <mergeCell ref="K500:L500"/>
    <mergeCell ref="B501:C501"/>
    <mergeCell ref="K501:L501"/>
    <mergeCell ref="A489:J489"/>
    <mergeCell ref="K456:L456"/>
    <mergeCell ref="B457:C457"/>
    <mergeCell ref="K457:L457"/>
    <mergeCell ref="B458:C458"/>
    <mergeCell ref="E458:F458"/>
    <mergeCell ref="K458:L458"/>
    <mergeCell ref="A461:A465"/>
    <mergeCell ref="B461:G461"/>
    <mergeCell ref="H461:N461"/>
    <mergeCell ref="D491:I491"/>
    <mergeCell ref="J491:K491"/>
    <mergeCell ref="D492:I492"/>
    <mergeCell ref="J492:K492"/>
    <mergeCell ref="A493:C493"/>
    <mergeCell ref="D493:I493"/>
    <mergeCell ref="J493:K493"/>
    <mergeCell ref="P461:P465"/>
    <mergeCell ref="B462:B465"/>
    <mergeCell ref="D462:D464"/>
    <mergeCell ref="E462:E464"/>
    <mergeCell ref="G462:G465"/>
    <mergeCell ref="H462:H463"/>
    <mergeCell ref="I462:I463"/>
    <mergeCell ref="J462:J463"/>
    <mergeCell ref="K462:K463"/>
    <mergeCell ref="L462:L463"/>
    <mergeCell ref="M462:M463"/>
    <mergeCell ref="N462:N463"/>
    <mergeCell ref="O462:O464"/>
    <mergeCell ref="F463:F465"/>
    <mergeCell ref="A444:C444"/>
    <mergeCell ref="D444:J444"/>
    <mergeCell ref="A445:J445"/>
    <mergeCell ref="J446:K446"/>
    <mergeCell ref="D447:I447"/>
    <mergeCell ref="J447:K447"/>
    <mergeCell ref="D448:I448"/>
    <mergeCell ref="J448:K448"/>
    <mergeCell ref="A449:C449"/>
    <mergeCell ref="D449:I449"/>
    <mergeCell ref="J449:K449"/>
    <mergeCell ref="A450:C450"/>
    <mergeCell ref="D450:I450"/>
    <mergeCell ref="J450:K450"/>
    <mergeCell ref="H451:I451"/>
    <mergeCell ref="B453:C453"/>
    <mergeCell ref="K453:L453"/>
    <mergeCell ref="D451:E451"/>
    <mergeCell ref="D436:E436"/>
    <mergeCell ref="M436:O436"/>
    <mergeCell ref="A437:C437"/>
    <mergeCell ref="M437:O437"/>
    <mergeCell ref="A438:C438"/>
    <mergeCell ref="D438:E438"/>
    <mergeCell ref="F438:G438"/>
    <mergeCell ref="M438:O438"/>
    <mergeCell ref="M439:O439"/>
    <mergeCell ref="A440:B440"/>
    <mergeCell ref="E440:F440"/>
    <mergeCell ref="I440:J440"/>
    <mergeCell ref="A441:C441"/>
    <mergeCell ref="D441:N441"/>
    <mergeCell ref="A442:C442"/>
    <mergeCell ref="D442:N442"/>
    <mergeCell ref="A443:C443"/>
    <mergeCell ref="D443:J443"/>
    <mergeCell ref="K443:M443"/>
    <mergeCell ref="K410:L410"/>
    <mergeCell ref="B411:C411"/>
    <mergeCell ref="K411:L411"/>
    <mergeCell ref="B412:C412"/>
    <mergeCell ref="K412:L412"/>
    <mergeCell ref="B413:C413"/>
    <mergeCell ref="K413:L413"/>
    <mergeCell ref="B414:C414"/>
    <mergeCell ref="E414:F414"/>
    <mergeCell ref="K414:L414"/>
    <mergeCell ref="A417:A421"/>
    <mergeCell ref="B417:G417"/>
    <mergeCell ref="H417:N417"/>
    <mergeCell ref="P417:P421"/>
    <mergeCell ref="B418:B421"/>
    <mergeCell ref="D418:D420"/>
    <mergeCell ref="E418:E420"/>
    <mergeCell ref="G418:G421"/>
    <mergeCell ref="H418:H419"/>
    <mergeCell ref="I418:I419"/>
    <mergeCell ref="J418:J419"/>
    <mergeCell ref="K418:K419"/>
    <mergeCell ref="L418:L419"/>
    <mergeCell ref="M418:M419"/>
    <mergeCell ref="N418:N419"/>
    <mergeCell ref="O418:O420"/>
    <mergeCell ref="F419:F421"/>
    <mergeCell ref="J402:K402"/>
    <mergeCell ref="A403:C403"/>
    <mergeCell ref="D403:I403"/>
    <mergeCell ref="J403:K403"/>
    <mergeCell ref="A404:C404"/>
    <mergeCell ref="D404:I404"/>
    <mergeCell ref="J404:K404"/>
    <mergeCell ref="A405:C405"/>
    <mergeCell ref="D405:I405"/>
    <mergeCell ref="J405:K405"/>
    <mergeCell ref="A406:C406"/>
    <mergeCell ref="D406:I406"/>
    <mergeCell ref="J406:K406"/>
    <mergeCell ref="D407:E407"/>
    <mergeCell ref="F407:G407"/>
    <mergeCell ref="H407:I407"/>
    <mergeCell ref="B409:C409"/>
    <mergeCell ref="K409:L409"/>
    <mergeCell ref="D394:E394"/>
    <mergeCell ref="F394:G394"/>
    <mergeCell ref="M394:O394"/>
    <mergeCell ref="M395:O395"/>
    <mergeCell ref="A396:B396"/>
    <mergeCell ref="E396:F396"/>
    <mergeCell ref="I396:J396"/>
    <mergeCell ref="A397:C397"/>
    <mergeCell ref="D397:N397"/>
    <mergeCell ref="A398:C398"/>
    <mergeCell ref="D398:N398"/>
    <mergeCell ref="A399:C399"/>
    <mergeCell ref="D399:J399"/>
    <mergeCell ref="K399:M399"/>
    <mergeCell ref="A400:C400"/>
    <mergeCell ref="D400:J400"/>
    <mergeCell ref="A401:J401"/>
    <mergeCell ref="K365:L365"/>
    <mergeCell ref="B366:C366"/>
    <mergeCell ref="K366:L366"/>
    <mergeCell ref="B367:C367"/>
    <mergeCell ref="K367:L367"/>
    <mergeCell ref="B368:C368"/>
    <mergeCell ref="K368:L368"/>
    <mergeCell ref="B369:C369"/>
    <mergeCell ref="K369:L369"/>
    <mergeCell ref="B370:C370"/>
    <mergeCell ref="E370:F370"/>
    <mergeCell ref="K370:L370"/>
    <mergeCell ref="A373:A377"/>
    <mergeCell ref="B373:G373"/>
    <mergeCell ref="H373:N373"/>
    <mergeCell ref="P373:P377"/>
    <mergeCell ref="B374:B377"/>
    <mergeCell ref="D374:D376"/>
    <mergeCell ref="E374:E376"/>
    <mergeCell ref="G374:G377"/>
    <mergeCell ref="H374:H375"/>
    <mergeCell ref="I374:I375"/>
    <mergeCell ref="J374:J375"/>
    <mergeCell ref="K374:K375"/>
    <mergeCell ref="L374:L375"/>
    <mergeCell ref="M374:M375"/>
    <mergeCell ref="N374:N375"/>
    <mergeCell ref="O374:O376"/>
    <mergeCell ref="F375:F377"/>
    <mergeCell ref="D348:E348"/>
    <mergeCell ref="M348:O348"/>
    <mergeCell ref="M349:O349"/>
    <mergeCell ref="D350:E350"/>
    <mergeCell ref="F350:G350"/>
    <mergeCell ref="M350:O350"/>
    <mergeCell ref="M351:O351"/>
    <mergeCell ref="A352:B352"/>
    <mergeCell ref="E352:F352"/>
    <mergeCell ref="I352:J352"/>
    <mergeCell ref="A353:C353"/>
    <mergeCell ref="D353:N353"/>
    <mergeCell ref="A354:C354"/>
    <mergeCell ref="D354:N354"/>
    <mergeCell ref="A355:C355"/>
    <mergeCell ref="D355:J355"/>
    <mergeCell ref="K355:M355"/>
    <mergeCell ref="A350:C350"/>
    <mergeCell ref="K325:L325"/>
    <mergeCell ref="B326:C326"/>
    <mergeCell ref="E326:F326"/>
    <mergeCell ref="K326:L326"/>
    <mergeCell ref="A329:A333"/>
    <mergeCell ref="B329:G329"/>
    <mergeCell ref="H329:N329"/>
    <mergeCell ref="P329:P333"/>
    <mergeCell ref="B330:B333"/>
    <mergeCell ref="D330:D332"/>
    <mergeCell ref="E330:E332"/>
    <mergeCell ref="G330:G333"/>
    <mergeCell ref="H330:H331"/>
    <mergeCell ref="I330:I331"/>
    <mergeCell ref="J330:J331"/>
    <mergeCell ref="K330:K331"/>
    <mergeCell ref="L330:L331"/>
    <mergeCell ref="M330:M331"/>
    <mergeCell ref="N330:N331"/>
    <mergeCell ref="O330:O332"/>
    <mergeCell ref="F331:F333"/>
    <mergeCell ref="H285:N285"/>
    <mergeCell ref="P285:P289"/>
    <mergeCell ref="B286:B289"/>
    <mergeCell ref="D286:D288"/>
    <mergeCell ref="E286:E288"/>
    <mergeCell ref="G286:G289"/>
    <mergeCell ref="H286:H287"/>
    <mergeCell ref="I286:I287"/>
    <mergeCell ref="J286:J287"/>
    <mergeCell ref="K286:K287"/>
    <mergeCell ref="L286:L287"/>
    <mergeCell ref="M286:M287"/>
    <mergeCell ref="N286:N287"/>
    <mergeCell ref="O286:O288"/>
    <mergeCell ref="F287:F289"/>
    <mergeCell ref="D309:N309"/>
    <mergeCell ref="D310:N310"/>
    <mergeCell ref="F306:G306"/>
    <mergeCell ref="M306:O306"/>
    <mergeCell ref="M307:O307"/>
    <mergeCell ref="A308:B308"/>
    <mergeCell ref="E308:F308"/>
    <mergeCell ref="I308:J308"/>
    <mergeCell ref="A309:C309"/>
    <mergeCell ref="H258:N258"/>
    <mergeCell ref="A260:C260"/>
    <mergeCell ref="D260:E260"/>
    <mergeCell ref="M260:O260"/>
    <mergeCell ref="D262:E262"/>
    <mergeCell ref="F262:G262"/>
    <mergeCell ref="M262:O262"/>
    <mergeCell ref="M263:O263"/>
    <mergeCell ref="A264:B264"/>
    <mergeCell ref="E264:F264"/>
    <mergeCell ref="I264:J264"/>
    <mergeCell ref="A265:C265"/>
    <mergeCell ref="D265:N265"/>
    <mergeCell ref="A266:C266"/>
    <mergeCell ref="D266:N266"/>
    <mergeCell ref="D267:J267"/>
    <mergeCell ref="K267:M267"/>
    <mergeCell ref="M261:O261"/>
    <mergeCell ref="A267:C267"/>
    <mergeCell ref="B236:C236"/>
    <mergeCell ref="K236:L236"/>
    <mergeCell ref="B237:C237"/>
    <mergeCell ref="K237:L237"/>
    <mergeCell ref="B238:C238"/>
    <mergeCell ref="E238:F238"/>
    <mergeCell ref="K238:L238"/>
    <mergeCell ref="A241:A245"/>
    <mergeCell ref="B241:G241"/>
    <mergeCell ref="H241:N241"/>
    <mergeCell ref="P241:P245"/>
    <mergeCell ref="B242:B245"/>
    <mergeCell ref="D242:D244"/>
    <mergeCell ref="E242:E244"/>
    <mergeCell ref="G242:G245"/>
    <mergeCell ref="H242:H243"/>
    <mergeCell ref="I242:I243"/>
    <mergeCell ref="J242:J243"/>
    <mergeCell ref="K242:K243"/>
    <mergeCell ref="L242:L243"/>
    <mergeCell ref="M242:M243"/>
    <mergeCell ref="N242:N243"/>
    <mergeCell ref="O242:O244"/>
    <mergeCell ref="F243:F245"/>
    <mergeCell ref="A228:C228"/>
    <mergeCell ref="D228:I228"/>
    <mergeCell ref="J228:K228"/>
    <mergeCell ref="A229:C229"/>
    <mergeCell ref="D229:I229"/>
    <mergeCell ref="J229:K229"/>
    <mergeCell ref="D230:I230"/>
    <mergeCell ref="J230:K230"/>
    <mergeCell ref="D231:E231"/>
    <mergeCell ref="F231:G231"/>
    <mergeCell ref="H231:I231"/>
    <mergeCell ref="B233:C233"/>
    <mergeCell ref="K233:L233"/>
    <mergeCell ref="B234:C234"/>
    <mergeCell ref="K234:L234"/>
    <mergeCell ref="B235:C235"/>
    <mergeCell ref="K235:L235"/>
    <mergeCell ref="A93:J93"/>
    <mergeCell ref="J94:K94"/>
    <mergeCell ref="A95:C95"/>
    <mergeCell ref="D95:I95"/>
    <mergeCell ref="J95:K95"/>
    <mergeCell ref="I132:J132"/>
    <mergeCell ref="B104:C104"/>
    <mergeCell ref="K104:L104"/>
    <mergeCell ref="B105:C105"/>
    <mergeCell ref="K105:L105"/>
    <mergeCell ref="B106:C106"/>
    <mergeCell ref="E106:F106"/>
    <mergeCell ref="K106:L106"/>
    <mergeCell ref="A109:A113"/>
    <mergeCell ref="B109:G109"/>
    <mergeCell ref="H109:N109"/>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D96:I96"/>
    <mergeCell ref="J96:K96"/>
    <mergeCell ref="H82:N82"/>
    <mergeCell ref="A84:C84"/>
    <mergeCell ref="D84:E84"/>
    <mergeCell ref="M84:O84"/>
    <mergeCell ref="A86:C86"/>
    <mergeCell ref="D86:E86"/>
    <mergeCell ref="F86:G86"/>
    <mergeCell ref="M86:O86"/>
    <mergeCell ref="M87:O87"/>
    <mergeCell ref="A88:B88"/>
    <mergeCell ref="E88:F88"/>
    <mergeCell ref="I88:J88"/>
    <mergeCell ref="D89:N89"/>
    <mergeCell ref="D90:N90"/>
    <mergeCell ref="D91:J91"/>
    <mergeCell ref="K91:M91"/>
    <mergeCell ref="A92:C92"/>
    <mergeCell ref="D92:J92"/>
    <mergeCell ref="M85:O85"/>
    <mergeCell ref="B57:C57"/>
    <mergeCell ref="K57:L57"/>
    <mergeCell ref="B58:C58"/>
    <mergeCell ref="K58:L58"/>
    <mergeCell ref="B59:C59"/>
    <mergeCell ref="K59:L59"/>
    <mergeCell ref="A51:C51"/>
    <mergeCell ref="D51:I51"/>
    <mergeCell ref="A53:C53"/>
    <mergeCell ref="D53:I53"/>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K61:L61"/>
    <mergeCell ref="B62:C62"/>
    <mergeCell ref="E62:F62"/>
    <mergeCell ref="K62:L62"/>
    <mergeCell ref="A65:A69"/>
    <mergeCell ref="B65:G65"/>
    <mergeCell ref="H65:N65"/>
    <mergeCell ref="J54:K54"/>
    <mergeCell ref="J8:K8"/>
    <mergeCell ref="B18:C18"/>
    <mergeCell ref="E18:F18"/>
    <mergeCell ref="K18:L18"/>
    <mergeCell ref="A21:A25"/>
    <mergeCell ref="B21:G21"/>
    <mergeCell ref="H21:N21"/>
    <mergeCell ref="A46:C46"/>
    <mergeCell ref="A47:C47"/>
    <mergeCell ref="A49:J49"/>
    <mergeCell ref="J50:K50"/>
    <mergeCell ref="J51:K51"/>
    <mergeCell ref="J52:K52"/>
    <mergeCell ref="J53:K53"/>
    <mergeCell ref="J55:K55"/>
    <mergeCell ref="D55:E55"/>
    <mergeCell ref="F55:G55"/>
    <mergeCell ref="H55:I55"/>
    <mergeCell ref="B13:C13"/>
    <mergeCell ref="K13:L13"/>
    <mergeCell ref="B14:C14"/>
    <mergeCell ref="K14:L14"/>
    <mergeCell ref="B15:C15"/>
    <mergeCell ref="K15:L15"/>
    <mergeCell ref="J10:K10"/>
    <mergeCell ref="D97:I97"/>
    <mergeCell ref="J97:K97"/>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M43:O43"/>
    <mergeCell ref="A44:B44"/>
    <mergeCell ref="E44:F44"/>
    <mergeCell ref="A97:C97"/>
    <mergeCell ref="A91:C91"/>
    <mergeCell ref="A85:C85"/>
    <mergeCell ref="M40:O40"/>
    <mergeCell ref="A41:C41"/>
    <mergeCell ref="M41:O41"/>
    <mergeCell ref="A42:C42"/>
    <mergeCell ref="D42:E42"/>
    <mergeCell ref="M42:O42"/>
    <mergeCell ref="B60:C60"/>
    <mergeCell ref="K60:L60"/>
    <mergeCell ref="B61:C61"/>
    <mergeCell ref="I44:J44"/>
    <mergeCell ref="M129:O129"/>
    <mergeCell ref="A130:C130"/>
    <mergeCell ref="D130:E130"/>
    <mergeCell ref="F130:G130"/>
    <mergeCell ref="M130:O130"/>
    <mergeCell ref="M131:O131"/>
    <mergeCell ref="A132:B132"/>
    <mergeCell ref="E132:F132"/>
    <mergeCell ref="A221:C221"/>
    <mergeCell ref="D221:N221"/>
    <mergeCell ref="A222:C222"/>
    <mergeCell ref="D222:N222"/>
    <mergeCell ref="A223:C223"/>
    <mergeCell ref="D223:J223"/>
    <mergeCell ref="K223:M223"/>
    <mergeCell ref="D136:J136"/>
    <mergeCell ref="A137:J137"/>
    <mergeCell ref="J138:K138"/>
    <mergeCell ref="A139:C139"/>
    <mergeCell ref="D139:I139"/>
    <mergeCell ref="J139:K139"/>
    <mergeCell ref="A140:C140"/>
    <mergeCell ref="D140:I140"/>
    <mergeCell ref="J140:K140"/>
    <mergeCell ref="A141:C141"/>
    <mergeCell ref="D141:I141"/>
    <mergeCell ref="J141:K141"/>
    <mergeCell ref="A142:C142"/>
    <mergeCell ref="D142:I142"/>
    <mergeCell ref="J142:K142"/>
    <mergeCell ref="D143:E143"/>
    <mergeCell ref="F143:G143"/>
    <mergeCell ref="A268:C268"/>
    <mergeCell ref="A273:C273"/>
    <mergeCell ref="D273:I273"/>
    <mergeCell ref="D275:E275"/>
    <mergeCell ref="F275:G275"/>
    <mergeCell ref="H275:I275"/>
    <mergeCell ref="A312:C312"/>
    <mergeCell ref="A304:C304"/>
    <mergeCell ref="A305:C305"/>
    <mergeCell ref="A306:C306"/>
    <mergeCell ref="A310:C310"/>
    <mergeCell ref="A311:C311"/>
    <mergeCell ref="H302:N302"/>
    <mergeCell ref="D304:E304"/>
    <mergeCell ref="M304:O304"/>
    <mergeCell ref="B277:C277"/>
    <mergeCell ref="K277:L277"/>
    <mergeCell ref="B278:C278"/>
    <mergeCell ref="K278:L278"/>
    <mergeCell ref="B279:C279"/>
    <mergeCell ref="K279:L279"/>
    <mergeCell ref="B280:C280"/>
    <mergeCell ref="K280:L280"/>
    <mergeCell ref="B281:C281"/>
    <mergeCell ref="K281:L281"/>
    <mergeCell ref="B282:C282"/>
    <mergeCell ref="E282:F282"/>
    <mergeCell ref="K282:L282"/>
    <mergeCell ref="A285:A289"/>
    <mergeCell ref="B285:G285"/>
    <mergeCell ref="M305:O305"/>
    <mergeCell ref="D306:E306"/>
    <mergeCell ref="A1009:C1009"/>
    <mergeCell ref="A976:C976"/>
    <mergeCell ref="A968:B968"/>
    <mergeCell ref="D976:I976"/>
    <mergeCell ref="A977:C977"/>
    <mergeCell ref="D977:I977"/>
    <mergeCell ref="A971:C971"/>
    <mergeCell ref="A972:C972"/>
    <mergeCell ref="A970:C970"/>
    <mergeCell ref="A1008:C1008"/>
    <mergeCell ref="D970:N970"/>
    <mergeCell ref="E968:F968"/>
    <mergeCell ref="I968:J968"/>
    <mergeCell ref="D971:J971"/>
    <mergeCell ref="K971:M971"/>
    <mergeCell ref="A973:J973"/>
    <mergeCell ref="J974:K974"/>
    <mergeCell ref="A975:C975"/>
    <mergeCell ref="D975:I975"/>
    <mergeCell ref="J975:K975"/>
    <mergeCell ref="J976:K976"/>
    <mergeCell ref="J977:K977"/>
    <mergeCell ref="K984:L984"/>
    <mergeCell ref="D972:J972"/>
    <mergeCell ref="A978:C978"/>
    <mergeCell ref="D978:I978"/>
    <mergeCell ref="J978:K978"/>
    <mergeCell ref="D979:E979"/>
    <mergeCell ref="F979:G979"/>
    <mergeCell ref="H979:I979"/>
    <mergeCell ref="B981:C981"/>
    <mergeCell ref="K981:L981"/>
    <mergeCell ref="H1050:N1050"/>
    <mergeCell ref="D1052:E1052"/>
    <mergeCell ref="M1052:O1052"/>
    <mergeCell ref="M1053:O1053"/>
    <mergeCell ref="A1054:C1054"/>
    <mergeCell ref="D1054:E1054"/>
    <mergeCell ref="F1054:G1054"/>
    <mergeCell ref="M1054:O1054"/>
    <mergeCell ref="A1098:C1098"/>
    <mergeCell ref="D1098:E1098"/>
    <mergeCell ref="F1098:G1098"/>
    <mergeCell ref="M1098:O1098"/>
    <mergeCell ref="M1099:O1099"/>
    <mergeCell ref="A1100:B1100"/>
    <mergeCell ref="E1100:F1100"/>
    <mergeCell ref="I1100:J1100"/>
    <mergeCell ref="M1055:O1055"/>
    <mergeCell ref="A1052:C1052"/>
    <mergeCell ref="A1053:C1053"/>
    <mergeCell ref="D1066:I1066"/>
    <mergeCell ref="J1066:K1066"/>
    <mergeCell ref="E1056:F1056"/>
    <mergeCell ref="I1056:J1056"/>
    <mergeCell ref="A1056:B1056"/>
    <mergeCell ref="A1057:C1057"/>
    <mergeCell ref="D1057:N1057"/>
    <mergeCell ref="H1067:I1067"/>
    <mergeCell ref="B1069:C1069"/>
    <mergeCell ref="K1069:L1069"/>
    <mergeCell ref="B1070:C1070"/>
    <mergeCell ref="K1070:L1070"/>
    <mergeCell ref="B1071:C1071"/>
    <mergeCell ref="K1122:K1123"/>
    <mergeCell ref="L1122:L1123"/>
    <mergeCell ref="M1122:M1123"/>
    <mergeCell ref="A1077:A1081"/>
    <mergeCell ref="B1077:G1077"/>
    <mergeCell ref="H1077:N1077"/>
    <mergeCell ref="A1097:C1097"/>
    <mergeCell ref="M1097:O1097"/>
    <mergeCell ref="D1058:N1058"/>
    <mergeCell ref="A1059:C1059"/>
    <mergeCell ref="D1059:J1059"/>
    <mergeCell ref="K1059:M1059"/>
    <mergeCell ref="D1067:E1067"/>
    <mergeCell ref="F1067:G1067"/>
    <mergeCell ref="P1121:P1125"/>
    <mergeCell ref="B1122:B1125"/>
    <mergeCell ref="D1122:D1124"/>
    <mergeCell ref="A1060:C1060"/>
    <mergeCell ref="D1060:J1060"/>
    <mergeCell ref="A1061:J1061"/>
    <mergeCell ref="J1062:K1062"/>
    <mergeCell ref="A1063:C1063"/>
    <mergeCell ref="D1063:I1063"/>
    <mergeCell ref="J1063:K1063"/>
    <mergeCell ref="A1064:C1064"/>
    <mergeCell ref="D1064:I1064"/>
    <mergeCell ref="J1064:K1064"/>
    <mergeCell ref="A1065:C1065"/>
    <mergeCell ref="D1065:I1065"/>
    <mergeCell ref="J1065:K1065"/>
    <mergeCell ref="A1058:C1058"/>
    <mergeCell ref="A1066:C1066"/>
    <mergeCell ref="A1019:C1019"/>
    <mergeCell ref="D1019:I1019"/>
    <mergeCell ref="J1019:K1019"/>
    <mergeCell ref="A1020:C1020"/>
    <mergeCell ref="D1020:I1020"/>
    <mergeCell ref="J1020:K1020"/>
    <mergeCell ref="A1021:C1021"/>
    <mergeCell ref="D1021:I1021"/>
    <mergeCell ref="J1021:K1021"/>
    <mergeCell ref="B1028:C1028"/>
    <mergeCell ref="K1028:L1028"/>
    <mergeCell ref="B1029:C1029"/>
    <mergeCell ref="K1029:L1029"/>
    <mergeCell ref="B1030:C1030"/>
    <mergeCell ref="E1030:F1030"/>
    <mergeCell ref="K1030:L1030"/>
    <mergeCell ref="A1033:A1037"/>
    <mergeCell ref="B1033:G1033"/>
    <mergeCell ref="H1033:N1033"/>
    <mergeCell ref="A1022:C1022"/>
    <mergeCell ref="D1022:I1022"/>
    <mergeCell ref="J1022:K1022"/>
    <mergeCell ref="D1023:E1023"/>
    <mergeCell ref="F1023:G1023"/>
    <mergeCell ref="H1023:I1023"/>
    <mergeCell ref="B1025:C1025"/>
    <mergeCell ref="K1025:L1025"/>
    <mergeCell ref="B1026:C1026"/>
    <mergeCell ref="K1026:L1026"/>
    <mergeCell ref="B1027:C1027"/>
    <mergeCell ref="K1027:L1027"/>
    <mergeCell ref="B982:C982"/>
    <mergeCell ref="K982:L982"/>
    <mergeCell ref="B983:C983"/>
    <mergeCell ref="K983:L983"/>
    <mergeCell ref="B984:C984"/>
    <mergeCell ref="A1010:C1010"/>
    <mergeCell ref="A1015:C1015"/>
    <mergeCell ref="H1006:N1006"/>
    <mergeCell ref="D1008:E1008"/>
    <mergeCell ref="M1008:O1008"/>
    <mergeCell ref="M1009:O1009"/>
    <mergeCell ref="D1010:E1010"/>
    <mergeCell ref="F1010:G1010"/>
    <mergeCell ref="M1010:O1010"/>
    <mergeCell ref="M1011:O1011"/>
    <mergeCell ref="A1012:B1012"/>
    <mergeCell ref="E1012:F1012"/>
    <mergeCell ref="I1012:J1012"/>
    <mergeCell ref="D1013:N1013"/>
    <mergeCell ref="D1014:N1014"/>
    <mergeCell ref="B985:C985"/>
    <mergeCell ref="K985:L985"/>
    <mergeCell ref="B986:C986"/>
    <mergeCell ref="E986:F986"/>
    <mergeCell ref="K986:L986"/>
    <mergeCell ref="A989:A993"/>
    <mergeCell ref="B989:G989"/>
    <mergeCell ref="H989:N989"/>
    <mergeCell ref="A1013:C1013"/>
    <mergeCell ref="A1014:C1014"/>
    <mergeCell ref="D1015:J1015"/>
    <mergeCell ref="K1015:M1015"/>
    <mergeCell ref="A839:C839"/>
    <mergeCell ref="D839:J839"/>
    <mergeCell ref="K839:M839"/>
    <mergeCell ref="A840:C840"/>
    <mergeCell ref="D840:J840"/>
    <mergeCell ref="A841:J841"/>
    <mergeCell ref="J842:K842"/>
    <mergeCell ref="H874:N874"/>
    <mergeCell ref="P945:P949"/>
    <mergeCell ref="B946:B949"/>
    <mergeCell ref="G946:G949"/>
    <mergeCell ref="O946:O948"/>
    <mergeCell ref="A945:A949"/>
    <mergeCell ref="B945:G945"/>
    <mergeCell ref="H946:H947"/>
    <mergeCell ref="I946:I947"/>
    <mergeCell ref="J946:J947"/>
    <mergeCell ref="K946:K947"/>
    <mergeCell ref="L946:L947"/>
    <mergeCell ref="M946:M947"/>
    <mergeCell ref="N946:N947"/>
    <mergeCell ref="H945:N945"/>
    <mergeCell ref="A890:C890"/>
    <mergeCell ref="A843:C843"/>
    <mergeCell ref="D843:I843"/>
    <mergeCell ref="J843:K843"/>
    <mergeCell ref="A844:C844"/>
    <mergeCell ref="D844:I844"/>
    <mergeCell ref="J844:K844"/>
    <mergeCell ref="A845:C845"/>
    <mergeCell ref="D845:I845"/>
    <mergeCell ref="J845:K845"/>
    <mergeCell ref="B102:C102"/>
    <mergeCell ref="K102:L102"/>
    <mergeCell ref="B103:C103"/>
    <mergeCell ref="A230:C230"/>
    <mergeCell ref="K3:M3"/>
    <mergeCell ref="D9:I9"/>
    <mergeCell ref="A9:C9"/>
    <mergeCell ref="D46:N46"/>
    <mergeCell ref="A48:C48"/>
    <mergeCell ref="D47:J47"/>
    <mergeCell ref="K47:M47"/>
    <mergeCell ref="D10:I10"/>
    <mergeCell ref="K103:L103"/>
    <mergeCell ref="A52:C52"/>
    <mergeCell ref="D52:I52"/>
    <mergeCell ref="A54:C54"/>
    <mergeCell ref="D54:I54"/>
    <mergeCell ref="A89:C89"/>
    <mergeCell ref="A90:C90"/>
    <mergeCell ref="A128:C128"/>
    <mergeCell ref="A96:C96"/>
    <mergeCell ref="D224:J224"/>
    <mergeCell ref="A225:J225"/>
    <mergeCell ref="J226:K226"/>
    <mergeCell ref="A227:C227"/>
    <mergeCell ref="D227:I227"/>
    <mergeCell ref="J227:K227"/>
    <mergeCell ref="A224:C224"/>
    <mergeCell ref="H126:N126"/>
    <mergeCell ref="D128:E128"/>
    <mergeCell ref="M128:O128"/>
    <mergeCell ref="A129:C129"/>
    <mergeCell ref="A1:C1"/>
    <mergeCell ref="A2:C2"/>
    <mergeCell ref="A3:C3"/>
    <mergeCell ref="D1:N1"/>
    <mergeCell ref="D2:N2"/>
    <mergeCell ref="D48:J48"/>
    <mergeCell ref="D8:I8"/>
    <mergeCell ref="A8:C8"/>
    <mergeCell ref="A45:C45"/>
    <mergeCell ref="D45:N45"/>
    <mergeCell ref="A4:C4"/>
    <mergeCell ref="D4:J4"/>
    <mergeCell ref="A7:C7"/>
    <mergeCell ref="D7:I7"/>
    <mergeCell ref="A10:C10"/>
    <mergeCell ref="D3:J3"/>
    <mergeCell ref="A5:J5"/>
    <mergeCell ref="J6:K6"/>
    <mergeCell ref="J7:K7"/>
    <mergeCell ref="J9:K9"/>
    <mergeCell ref="J11:K11"/>
    <mergeCell ref="D11:E11"/>
    <mergeCell ref="F11:G11"/>
    <mergeCell ref="H11:I11"/>
    <mergeCell ref="B16:C16"/>
    <mergeCell ref="K16:L16"/>
    <mergeCell ref="B17:C17"/>
    <mergeCell ref="K17:L17"/>
    <mergeCell ref="H38:N38"/>
    <mergeCell ref="A40:C40"/>
    <mergeCell ref="D40:E40"/>
    <mergeCell ref="F42:G42"/>
    <mergeCell ref="A98:C98"/>
    <mergeCell ref="D98:I98"/>
    <mergeCell ref="J98:K98"/>
    <mergeCell ref="D99:E99"/>
    <mergeCell ref="F99:G99"/>
    <mergeCell ref="H99:I99"/>
    <mergeCell ref="B101:C101"/>
    <mergeCell ref="K101:L101"/>
    <mergeCell ref="A274:C274"/>
    <mergeCell ref="D274:I274"/>
    <mergeCell ref="A261:C261"/>
    <mergeCell ref="A262:C262"/>
    <mergeCell ref="D268:J268"/>
    <mergeCell ref="A269:J269"/>
    <mergeCell ref="J270:K270"/>
    <mergeCell ref="A271:C271"/>
    <mergeCell ref="D271:I271"/>
    <mergeCell ref="J271:K271"/>
    <mergeCell ref="A272:C272"/>
    <mergeCell ref="D272:I272"/>
    <mergeCell ref="J272:K272"/>
    <mergeCell ref="J273:K273"/>
    <mergeCell ref="J274:K274"/>
    <mergeCell ref="D187:E187"/>
    <mergeCell ref="A133:C133"/>
    <mergeCell ref="D133:N133"/>
    <mergeCell ref="A134:C134"/>
    <mergeCell ref="D134:N134"/>
    <mergeCell ref="A135:C135"/>
    <mergeCell ref="D135:J135"/>
    <mergeCell ref="K135:M135"/>
    <mergeCell ref="A136:C136"/>
    <mergeCell ref="J314:K314"/>
    <mergeCell ref="D319:E319"/>
    <mergeCell ref="F319:G319"/>
    <mergeCell ref="H319:I319"/>
    <mergeCell ref="B321:C321"/>
    <mergeCell ref="K321:L321"/>
    <mergeCell ref="B322:C322"/>
    <mergeCell ref="A349:C349"/>
    <mergeCell ref="A348:C348"/>
    <mergeCell ref="H346:N346"/>
    <mergeCell ref="D311:J311"/>
    <mergeCell ref="K311:M311"/>
    <mergeCell ref="D312:J312"/>
    <mergeCell ref="A313:J313"/>
    <mergeCell ref="A315:C315"/>
    <mergeCell ref="D315:I315"/>
    <mergeCell ref="J315:K315"/>
    <mergeCell ref="A316:C316"/>
    <mergeCell ref="D316:I316"/>
    <mergeCell ref="J316:K316"/>
    <mergeCell ref="A317:C317"/>
    <mergeCell ref="D317:I317"/>
    <mergeCell ref="J317:K317"/>
    <mergeCell ref="A318:C318"/>
    <mergeCell ref="D318:I318"/>
    <mergeCell ref="J318:K318"/>
    <mergeCell ref="K322:L322"/>
    <mergeCell ref="B323:C323"/>
    <mergeCell ref="K323:L323"/>
    <mergeCell ref="B324:C324"/>
    <mergeCell ref="K324:L324"/>
    <mergeCell ref="B325:C325"/>
    <mergeCell ref="A356:C356"/>
    <mergeCell ref="D356:J356"/>
    <mergeCell ref="A357:J357"/>
    <mergeCell ref="J358:K358"/>
    <mergeCell ref="A359:C359"/>
    <mergeCell ref="D359:I359"/>
    <mergeCell ref="H390:N390"/>
    <mergeCell ref="A392:C392"/>
    <mergeCell ref="D392:E392"/>
    <mergeCell ref="M392:O392"/>
    <mergeCell ref="A393:C393"/>
    <mergeCell ref="M393:O393"/>
    <mergeCell ref="A394:C394"/>
    <mergeCell ref="B410:C410"/>
    <mergeCell ref="A447:C447"/>
    <mergeCell ref="A448:C448"/>
    <mergeCell ref="H434:N434"/>
    <mergeCell ref="A436:C436"/>
    <mergeCell ref="J359:K359"/>
    <mergeCell ref="A360:C360"/>
    <mergeCell ref="D360:I360"/>
    <mergeCell ref="J360:K360"/>
    <mergeCell ref="A361:C361"/>
    <mergeCell ref="D361:I361"/>
    <mergeCell ref="J361:K361"/>
    <mergeCell ref="A362:C362"/>
    <mergeCell ref="D362:I362"/>
    <mergeCell ref="J362:K362"/>
    <mergeCell ref="D363:E363"/>
    <mergeCell ref="F363:G363"/>
    <mergeCell ref="H363:I363"/>
    <mergeCell ref="B365:C365"/>
    <mergeCell ref="F451:G451"/>
    <mergeCell ref="B454:C454"/>
    <mergeCell ref="K454:L454"/>
    <mergeCell ref="B455:C455"/>
    <mergeCell ref="K455:L455"/>
    <mergeCell ref="B456:C456"/>
    <mergeCell ref="H478:N478"/>
    <mergeCell ref="A480:C480"/>
    <mergeCell ref="D480:E480"/>
    <mergeCell ref="M480:O480"/>
    <mergeCell ref="A481:C481"/>
    <mergeCell ref="M481:O481"/>
    <mergeCell ref="A485:C485"/>
    <mergeCell ref="A492:C492"/>
    <mergeCell ref="M483:O483"/>
    <mergeCell ref="A491:C491"/>
    <mergeCell ref="J490:K490"/>
    <mergeCell ref="A482:C482"/>
    <mergeCell ref="D482:E482"/>
    <mergeCell ref="F482:G482"/>
    <mergeCell ref="M482:O482"/>
    <mergeCell ref="A484:B484"/>
    <mergeCell ref="E484:F484"/>
    <mergeCell ref="I484:J484"/>
    <mergeCell ref="D485:N485"/>
    <mergeCell ref="A486:C486"/>
    <mergeCell ref="D486:N486"/>
    <mergeCell ref="A487:C487"/>
    <mergeCell ref="D487:J487"/>
    <mergeCell ref="K487:M487"/>
    <mergeCell ref="A488:C488"/>
    <mergeCell ref="D488:J488"/>
    <mergeCell ref="B502:C502"/>
    <mergeCell ref="E502:F502"/>
    <mergeCell ref="K502:L502"/>
    <mergeCell ref="A505:A509"/>
    <mergeCell ref="A529:C529"/>
    <mergeCell ref="A526:C526"/>
    <mergeCell ref="A532:C532"/>
    <mergeCell ref="A535:C535"/>
    <mergeCell ref="D535:I535"/>
    <mergeCell ref="J536:K536"/>
    <mergeCell ref="B542:C542"/>
    <mergeCell ref="K542:L542"/>
    <mergeCell ref="H522:N522"/>
    <mergeCell ref="A524:C524"/>
    <mergeCell ref="D524:E524"/>
    <mergeCell ref="M524:O524"/>
    <mergeCell ref="A525:C525"/>
    <mergeCell ref="M525:O525"/>
    <mergeCell ref="D526:E526"/>
    <mergeCell ref="F526:G526"/>
    <mergeCell ref="M526:O526"/>
    <mergeCell ref="M527:O527"/>
    <mergeCell ref="A528:B528"/>
    <mergeCell ref="E528:F528"/>
    <mergeCell ref="I528:J528"/>
    <mergeCell ref="D529:N529"/>
    <mergeCell ref="A530:C530"/>
    <mergeCell ref="D530:N530"/>
    <mergeCell ref="A531:C531"/>
    <mergeCell ref="D531:J531"/>
    <mergeCell ref="K531:M531"/>
    <mergeCell ref="D532:J532"/>
    <mergeCell ref="D619:J619"/>
    <mergeCell ref="K619:M619"/>
    <mergeCell ref="A620:C620"/>
    <mergeCell ref="D620:J620"/>
    <mergeCell ref="A621:J621"/>
    <mergeCell ref="J622:K622"/>
    <mergeCell ref="A623:C623"/>
    <mergeCell ref="D623:I623"/>
    <mergeCell ref="B543:C543"/>
    <mergeCell ref="K543:L543"/>
    <mergeCell ref="B544:C544"/>
    <mergeCell ref="K544:L544"/>
    <mergeCell ref="B545:C545"/>
    <mergeCell ref="K545:L545"/>
    <mergeCell ref="B546:C546"/>
    <mergeCell ref="E546:F546"/>
    <mergeCell ref="A569:C569"/>
    <mergeCell ref="A570:C570"/>
    <mergeCell ref="A576:C576"/>
    <mergeCell ref="D576:J576"/>
    <mergeCell ref="A577:J577"/>
    <mergeCell ref="J578:K578"/>
    <mergeCell ref="A579:C579"/>
    <mergeCell ref="D579:I579"/>
    <mergeCell ref="J579:K579"/>
    <mergeCell ref="H566:N566"/>
    <mergeCell ref="A568:C568"/>
    <mergeCell ref="D568:E568"/>
    <mergeCell ref="M568:O568"/>
    <mergeCell ref="M569:O569"/>
    <mergeCell ref="D570:E570"/>
    <mergeCell ref="F570:G570"/>
    <mergeCell ref="H654:N654"/>
    <mergeCell ref="A656:C656"/>
    <mergeCell ref="D656:E656"/>
    <mergeCell ref="M656:O656"/>
    <mergeCell ref="A657:C657"/>
    <mergeCell ref="M657:O657"/>
    <mergeCell ref="A658:C658"/>
    <mergeCell ref="D658:E658"/>
    <mergeCell ref="F658:G658"/>
    <mergeCell ref="M658:O658"/>
    <mergeCell ref="B631:C631"/>
    <mergeCell ref="K631:L631"/>
    <mergeCell ref="B632:C632"/>
    <mergeCell ref="K632:L632"/>
    <mergeCell ref="A580:C580"/>
    <mergeCell ref="D580:I580"/>
    <mergeCell ref="J580:K580"/>
    <mergeCell ref="H610:N610"/>
    <mergeCell ref="A612:C612"/>
    <mergeCell ref="D612:E612"/>
    <mergeCell ref="M612:O612"/>
    <mergeCell ref="A613:C613"/>
    <mergeCell ref="M613:O613"/>
    <mergeCell ref="A614:C614"/>
    <mergeCell ref="D614:E614"/>
    <mergeCell ref="F614:G614"/>
    <mergeCell ref="M614:O614"/>
    <mergeCell ref="A617:C617"/>
    <mergeCell ref="D617:N617"/>
    <mergeCell ref="A618:C618"/>
    <mergeCell ref="D618:N618"/>
    <mergeCell ref="A619:C619"/>
    <mergeCell ref="A681:A685"/>
    <mergeCell ref="B681:G681"/>
    <mergeCell ref="H681:N681"/>
    <mergeCell ref="A668:C668"/>
    <mergeCell ref="A669:C669"/>
    <mergeCell ref="A670:C670"/>
    <mergeCell ref="A714:C714"/>
    <mergeCell ref="J710:K710"/>
    <mergeCell ref="D711:I711"/>
    <mergeCell ref="J711:K711"/>
    <mergeCell ref="D712:I712"/>
    <mergeCell ref="J712:K712"/>
    <mergeCell ref="D713:I713"/>
    <mergeCell ref="J713:K713"/>
    <mergeCell ref="D714:I714"/>
    <mergeCell ref="J714:K714"/>
    <mergeCell ref="D668:I668"/>
    <mergeCell ref="J668:K668"/>
    <mergeCell ref="D669:I669"/>
    <mergeCell ref="J669:K669"/>
    <mergeCell ref="D670:I670"/>
    <mergeCell ref="J670:K670"/>
    <mergeCell ref="D671:E671"/>
    <mergeCell ref="F671:G671"/>
    <mergeCell ref="H671:I671"/>
    <mergeCell ref="B673:C673"/>
    <mergeCell ref="K673:L673"/>
    <mergeCell ref="A713:C713"/>
    <mergeCell ref="B674:C674"/>
    <mergeCell ref="K674:L674"/>
    <mergeCell ref="B675:C675"/>
    <mergeCell ref="K675:L675"/>
    <mergeCell ref="A173:C173"/>
    <mergeCell ref="M173:O173"/>
    <mergeCell ref="A174:C174"/>
    <mergeCell ref="D174:E174"/>
    <mergeCell ref="K717:L717"/>
    <mergeCell ref="B718:C718"/>
    <mergeCell ref="K718:L718"/>
    <mergeCell ref="B719:C719"/>
    <mergeCell ref="K719:L719"/>
    <mergeCell ref="D715:E715"/>
    <mergeCell ref="F715:G715"/>
    <mergeCell ref="H715:I715"/>
    <mergeCell ref="B717:C717"/>
    <mergeCell ref="A794:C794"/>
    <mergeCell ref="D788:E788"/>
    <mergeCell ref="M788:O788"/>
    <mergeCell ref="A789:C789"/>
    <mergeCell ref="M789:O789"/>
    <mergeCell ref="A790:C790"/>
    <mergeCell ref="D790:E790"/>
    <mergeCell ref="F790:G790"/>
    <mergeCell ref="M790:O790"/>
    <mergeCell ref="H742:N742"/>
    <mergeCell ref="M744:O744"/>
    <mergeCell ref="A745:C745"/>
    <mergeCell ref="M746:O746"/>
    <mergeCell ref="M747:O747"/>
    <mergeCell ref="A748:B748"/>
    <mergeCell ref="E748:F748"/>
    <mergeCell ref="I748:J748"/>
    <mergeCell ref="D750:N750"/>
    <mergeCell ref="K751:M751"/>
    <mergeCell ref="H143:I143"/>
    <mergeCell ref="B145:C145"/>
    <mergeCell ref="K145:L145"/>
    <mergeCell ref="B146:C146"/>
    <mergeCell ref="K146:L146"/>
    <mergeCell ref="B147:C147"/>
    <mergeCell ref="K147:L147"/>
    <mergeCell ref="B148:C148"/>
    <mergeCell ref="K148:L148"/>
    <mergeCell ref="B149:C149"/>
    <mergeCell ref="K149:L149"/>
    <mergeCell ref="B150:C150"/>
    <mergeCell ref="E150:F150"/>
    <mergeCell ref="K150:L150"/>
    <mergeCell ref="A153:A157"/>
    <mergeCell ref="B153:G153"/>
    <mergeCell ref="H153:N153"/>
    <mergeCell ref="P153:P157"/>
    <mergeCell ref="B154:B157"/>
    <mergeCell ref="D154:D156"/>
    <mergeCell ref="E154:E156"/>
    <mergeCell ref="G154:G157"/>
    <mergeCell ref="H154:H155"/>
    <mergeCell ref="I154:I155"/>
    <mergeCell ref="J154:J155"/>
    <mergeCell ref="K154:K155"/>
    <mergeCell ref="L154:L155"/>
    <mergeCell ref="M154:M155"/>
    <mergeCell ref="N154:N155"/>
    <mergeCell ref="O154:O156"/>
    <mergeCell ref="F155:F157"/>
    <mergeCell ref="H170:N170"/>
    <mergeCell ref="A172:C172"/>
    <mergeCell ref="D172:E172"/>
    <mergeCell ref="M172:O172"/>
    <mergeCell ref="F174:G174"/>
    <mergeCell ref="M174:O174"/>
    <mergeCell ref="M175:O175"/>
    <mergeCell ref="A176:B176"/>
    <mergeCell ref="E176:F176"/>
    <mergeCell ref="I176:J176"/>
    <mergeCell ref="A177:C177"/>
    <mergeCell ref="D177:N177"/>
    <mergeCell ref="A178:C178"/>
    <mergeCell ref="D178:N178"/>
    <mergeCell ref="A179:C179"/>
    <mergeCell ref="D179:J179"/>
    <mergeCell ref="K179:M179"/>
    <mergeCell ref="A180:C180"/>
    <mergeCell ref="D180:J180"/>
    <mergeCell ref="A181:J181"/>
    <mergeCell ref="J182:K182"/>
    <mergeCell ref="A183:C183"/>
    <mergeCell ref="D183:I183"/>
    <mergeCell ref="J183:K183"/>
    <mergeCell ref="A184:C184"/>
    <mergeCell ref="D184:I184"/>
    <mergeCell ref="J184:K184"/>
    <mergeCell ref="A185:C185"/>
    <mergeCell ref="D185:I185"/>
    <mergeCell ref="J185:K185"/>
    <mergeCell ref="A186:C186"/>
    <mergeCell ref="D186:I186"/>
    <mergeCell ref="J186:K186"/>
    <mergeCell ref="F187:G187"/>
    <mergeCell ref="H187:I187"/>
    <mergeCell ref="B189:C189"/>
    <mergeCell ref="K189:L189"/>
    <mergeCell ref="B190:C190"/>
    <mergeCell ref="K190:L190"/>
    <mergeCell ref="B191:C191"/>
    <mergeCell ref="K191:L191"/>
    <mergeCell ref="B192:C192"/>
    <mergeCell ref="K192:L192"/>
    <mergeCell ref="B193:C193"/>
    <mergeCell ref="K193:L193"/>
    <mergeCell ref="B194:C194"/>
    <mergeCell ref="E194:F194"/>
    <mergeCell ref="K194:L194"/>
    <mergeCell ref="A197:A201"/>
    <mergeCell ref="B197:G197"/>
    <mergeCell ref="H197:N197"/>
    <mergeCell ref="A217:C217"/>
    <mergeCell ref="M217:O217"/>
    <mergeCell ref="A218:C218"/>
    <mergeCell ref="D218:E218"/>
    <mergeCell ref="F218:G218"/>
    <mergeCell ref="M218:O218"/>
    <mergeCell ref="M219:O219"/>
    <mergeCell ref="A220:B220"/>
    <mergeCell ref="E220:F220"/>
    <mergeCell ref="I220:J220"/>
    <mergeCell ref="P197:P201"/>
    <mergeCell ref="B198:B201"/>
    <mergeCell ref="D198:D200"/>
    <mergeCell ref="E198:E200"/>
    <mergeCell ref="G198:G201"/>
    <mergeCell ref="H198:H199"/>
    <mergeCell ref="I198:I199"/>
    <mergeCell ref="J198:J199"/>
    <mergeCell ref="K198:K199"/>
    <mergeCell ref="L198:L199"/>
    <mergeCell ref="M198:M199"/>
    <mergeCell ref="N198:N199"/>
    <mergeCell ref="O198:O200"/>
    <mergeCell ref="F199:F201"/>
    <mergeCell ref="H214:N214"/>
    <mergeCell ref="A216:C216"/>
    <mergeCell ref="D216:E216"/>
    <mergeCell ref="M216:O216"/>
    <mergeCell ref="J623:K623"/>
    <mergeCell ref="A624:C624"/>
    <mergeCell ref="D624:I624"/>
    <mergeCell ref="J624:K624"/>
    <mergeCell ref="A625:C625"/>
    <mergeCell ref="D625:I625"/>
    <mergeCell ref="J625:K625"/>
    <mergeCell ref="A626:C626"/>
    <mergeCell ref="D626:I626"/>
    <mergeCell ref="J626:K626"/>
    <mergeCell ref="D627:E627"/>
    <mergeCell ref="F627:G627"/>
    <mergeCell ref="H627:I627"/>
    <mergeCell ref="B629:C629"/>
    <mergeCell ref="K629:L629"/>
    <mergeCell ref="B630:C630"/>
    <mergeCell ref="K630:L630"/>
    <mergeCell ref="B633:C633"/>
    <mergeCell ref="K633:L633"/>
    <mergeCell ref="B634:C634"/>
    <mergeCell ref="E634:F634"/>
    <mergeCell ref="K634:L634"/>
    <mergeCell ref="A637:A641"/>
    <mergeCell ref="B637:G637"/>
    <mergeCell ref="H637:N637"/>
    <mergeCell ref="P637:P641"/>
    <mergeCell ref="B638:B641"/>
    <mergeCell ref="D638:D640"/>
    <mergeCell ref="E638:E640"/>
    <mergeCell ref="G638:G641"/>
    <mergeCell ref="H638:H639"/>
    <mergeCell ref="I638:I639"/>
    <mergeCell ref="J638:J639"/>
    <mergeCell ref="K638:K639"/>
    <mergeCell ref="L638:L639"/>
    <mergeCell ref="M638:M639"/>
    <mergeCell ref="N638:N639"/>
    <mergeCell ref="O638:O640"/>
    <mergeCell ref="F639:F641"/>
    <mergeCell ref="M659:O659"/>
    <mergeCell ref="A660:B660"/>
    <mergeCell ref="E660:F660"/>
    <mergeCell ref="I660:J660"/>
    <mergeCell ref="A661:C661"/>
    <mergeCell ref="D661:N661"/>
    <mergeCell ref="A662:C662"/>
    <mergeCell ref="D662:N662"/>
    <mergeCell ref="A663:C663"/>
    <mergeCell ref="D663:J663"/>
    <mergeCell ref="K663:M663"/>
    <mergeCell ref="A664:C664"/>
    <mergeCell ref="D664:J664"/>
    <mergeCell ref="A665:J665"/>
    <mergeCell ref="J666:K666"/>
    <mergeCell ref="A667:C667"/>
    <mergeCell ref="D667:I667"/>
    <mergeCell ref="J667:K667"/>
    <mergeCell ref="B676:C676"/>
    <mergeCell ref="K676:L676"/>
    <mergeCell ref="P681:P685"/>
    <mergeCell ref="B682:B685"/>
    <mergeCell ref="D682:D684"/>
    <mergeCell ref="E682:E684"/>
    <mergeCell ref="G682:G685"/>
    <mergeCell ref="H682:H683"/>
    <mergeCell ref="I682:I683"/>
    <mergeCell ref="J682:J683"/>
    <mergeCell ref="K682:K683"/>
    <mergeCell ref="L682:L683"/>
    <mergeCell ref="M682:M683"/>
    <mergeCell ref="N682:N683"/>
    <mergeCell ref="O682:O684"/>
    <mergeCell ref="F683:F685"/>
    <mergeCell ref="B677:C677"/>
    <mergeCell ref="K677:L677"/>
    <mergeCell ref="B678:C678"/>
    <mergeCell ref="E678:F678"/>
    <mergeCell ref="K678:L678"/>
    <mergeCell ref="H698:N698"/>
    <mergeCell ref="A700:C700"/>
    <mergeCell ref="D700:E700"/>
    <mergeCell ref="M700:O700"/>
    <mergeCell ref="A701:C701"/>
    <mergeCell ref="M701:O701"/>
    <mergeCell ref="A702:C702"/>
    <mergeCell ref="D702:E702"/>
    <mergeCell ref="F702:G702"/>
    <mergeCell ref="M702:O702"/>
    <mergeCell ref="M703:O703"/>
    <mergeCell ref="A704:B704"/>
    <mergeCell ref="E704:F704"/>
    <mergeCell ref="I704:J704"/>
    <mergeCell ref="D705:N705"/>
    <mergeCell ref="D706:N706"/>
    <mergeCell ref="D707:J707"/>
    <mergeCell ref="K707:M707"/>
    <mergeCell ref="A708:C708"/>
    <mergeCell ref="D708:J708"/>
    <mergeCell ref="A709:J709"/>
    <mergeCell ref="A705:C705"/>
    <mergeCell ref="A706:C706"/>
    <mergeCell ref="A707:C707"/>
    <mergeCell ref="P725:P729"/>
    <mergeCell ref="B726:B729"/>
    <mergeCell ref="D726:D728"/>
    <mergeCell ref="E726:E728"/>
    <mergeCell ref="G726:G729"/>
    <mergeCell ref="H726:H727"/>
    <mergeCell ref="I726:I727"/>
    <mergeCell ref="J726:J727"/>
    <mergeCell ref="K726:K727"/>
    <mergeCell ref="L726:L727"/>
    <mergeCell ref="M726:M727"/>
    <mergeCell ref="N726:N727"/>
    <mergeCell ref="O726:O728"/>
    <mergeCell ref="F727:F729"/>
    <mergeCell ref="B720:C720"/>
    <mergeCell ref="K720:L720"/>
    <mergeCell ref="B721:C721"/>
    <mergeCell ref="K721:L721"/>
    <mergeCell ref="B722:C722"/>
    <mergeCell ref="E722:F722"/>
    <mergeCell ref="K722:L722"/>
    <mergeCell ref="A725:A729"/>
    <mergeCell ref="B725:G725"/>
    <mergeCell ref="H725:N725"/>
    <mergeCell ref="A711:C711"/>
    <mergeCell ref="A712:C712"/>
    <mergeCell ref="A744:C744"/>
    <mergeCell ref="D744:E744"/>
    <mergeCell ref="M745:O745"/>
    <mergeCell ref="A751:C751"/>
    <mergeCell ref="D751:J751"/>
    <mergeCell ref="J755:K755"/>
    <mergeCell ref="D755:I755"/>
    <mergeCell ref="J756:K756"/>
    <mergeCell ref="J757:K757"/>
    <mergeCell ref="A758:C758"/>
    <mergeCell ref="D758:I758"/>
    <mergeCell ref="D759:E759"/>
    <mergeCell ref="F759:G759"/>
    <mergeCell ref="H759:I759"/>
    <mergeCell ref="A749:C749"/>
    <mergeCell ref="D749:N749"/>
    <mergeCell ref="A750:C750"/>
    <mergeCell ref="A755:C755"/>
    <mergeCell ref="A746:C746"/>
    <mergeCell ref="D746:E746"/>
    <mergeCell ref="F746:G746"/>
    <mergeCell ref="A757:C757"/>
    <mergeCell ref="D757:I757"/>
    <mergeCell ref="J758:K758"/>
    <mergeCell ref="A752:C752"/>
    <mergeCell ref="D752:J752"/>
    <mergeCell ref="A753:J753"/>
    <mergeCell ref="J754:K754"/>
    <mergeCell ref="B761:C761"/>
    <mergeCell ref="K761:L761"/>
    <mergeCell ref="B762:C762"/>
    <mergeCell ref="K762:L762"/>
    <mergeCell ref="B763:C763"/>
    <mergeCell ref="K763:L763"/>
    <mergeCell ref="B764:C764"/>
    <mergeCell ref="K764:L764"/>
    <mergeCell ref="B765:C765"/>
    <mergeCell ref="K765:L765"/>
    <mergeCell ref="A756:C756"/>
    <mergeCell ref="D756:I756"/>
    <mergeCell ref="P769:P773"/>
    <mergeCell ref="B770:B773"/>
    <mergeCell ref="D770:D772"/>
    <mergeCell ref="E770:E772"/>
    <mergeCell ref="G770:G773"/>
    <mergeCell ref="H770:H771"/>
    <mergeCell ref="I770:I771"/>
    <mergeCell ref="J770:J771"/>
    <mergeCell ref="K770:K771"/>
    <mergeCell ref="L770:L771"/>
    <mergeCell ref="M770:M771"/>
    <mergeCell ref="N770:N771"/>
    <mergeCell ref="O770:O772"/>
    <mergeCell ref="F771:F773"/>
    <mergeCell ref="B766:C766"/>
    <mergeCell ref="E766:F766"/>
    <mergeCell ref="K766:L766"/>
    <mergeCell ref="A769:A773"/>
    <mergeCell ref="B769:G769"/>
    <mergeCell ref="H769:N769"/>
    <mergeCell ref="J800:K800"/>
    <mergeCell ref="A801:C801"/>
    <mergeCell ref="D801:I801"/>
    <mergeCell ref="J801:K801"/>
    <mergeCell ref="A788:C788"/>
    <mergeCell ref="A793:C793"/>
    <mergeCell ref="H786:N786"/>
    <mergeCell ref="D794:N794"/>
    <mergeCell ref="A795:C795"/>
    <mergeCell ref="D795:J795"/>
    <mergeCell ref="K795:M795"/>
    <mergeCell ref="A796:C796"/>
    <mergeCell ref="D796:J796"/>
    <mergeCell ref="A797:J797"/>
    <mergeCell ref="J798:K798"/>
    <mergeCell ref="A799:C799"/>
    <mergeCell ref="D799:I799"/>
    <mergeCell ref="J799:K799"/>
    <mergeCell ref="M791:O791"/>
    <mergeCell ref="A792:B792"/>
    <mergeCell ref="E792:F792"/>
    <mergeCell ref="I792:J792"/>
    <mergeCell ref="D793:N793"/>
    <mergeCell ref="A800:C800"/>
    <mergeCell ref="D800:I800"/>
    <mergeCell ref="A802:C802"/>
    <mergeCell ref="D802:I802"/>
    <mergeCell ref="J802:K802"/>
    <mergeCell ref="D803:E803"/>
    <mergeCell ref="F803:G803"/>
    <mergeCell ref="H803:I803"/>
    <mergeCell ref="B805:C805"/>
    <mergeCell ref="K805:L805"/>
    <mergeCell ref="B806:C806"/>
    <mergeCell ref="K806:L806"/>
    <mergeCell ref="B807:C807"/>
    <mergeCell ref="K807:L807"/>
    <mergeCell ref="B808:C808"/>
    <mergeCell ref="K808:L808"/>
    <mergeCell ref="B809:C809"/>
    <mergeCell ref="K809:L809"/>
    <mergeCell ref="B810:C810"/>
    <mergeCell ref="E810:F810"/>
    <mergeCell ref="K810:L810"/>
    <mergeCell ref="A813:A817"/>
    <mergeCell ref="B813:G813"/>
    <mergeCell ref="H813:N813"/>
    <mergeCell ref="P813:P817"/>
    <mergeCell ref="B814:B817"/>
    <mergeCell ref="D814:D816"/>
    <mergeCell ref="E814:E816"/>
    <mergeCell ref="G814:G817"/>
    <mergeCell ref="H814:H815"/>
    <mergeCell ref="I814:I815"/>
    <mergeCell ref="J814:J815"/>
    <mergeCell ref="K814:K815"/>
    <mergeCell ref="L814:L815"/>
    <mergeCell ref="M814:M815"/>
    <mergeCell ref="N814:N815"/>
    <mergeCell ref="O814:O816"/>
    <mergeCell ref="F815:F817"/>
    <mergeCell ref="H830:N830"/>
    <mergeCell ref="A832:C832"/>
    <mergeCell ref="D832:E832"/>
    <mergeCell ref="M832:O832"/>
    <mergeCell ref="A833:C833"/>
    <mergeCell ref="M833:O833"/>
    <mergeCell ref="D834:E834"/>
    <mergeCell ref="F834:G834"/>
    <mergeCell ref="M834:O834"/>
    <mergeCell ref="I836:J836"/>
    <mergeCell ref="A834:C834"/>
    <mergeCell ref="M835:O835"/>
    <mergeCell ref="A836:B836"/>
    <mergeCell ref="E836:F836"/>
    <mergeCell ref="A837:C837"/>
    <mergeCell ref="D837:N837"/>
    <mergeCell ref="A838:C838"/>
    <mergeCell ref="D838:N838"/>
    <mergeCell ref="A846:C846"/>
    <mergeCell ref="D846:I846"/>
    <mergeCell ref="J846:K846"/>
    <mergeCell ref="D847:E847"/>
    <mergeCell ref="F847:G847"/>
    <mergeCell ref="H847:I847"/>
    <mergeCell ref="B849:C849"/>
    <mergeCell ref="K849:L849"/>
    <mergeCell ref="B850:C850"/>
    <mergeCell ref="K850:L850"/>
    <mergeCell ref="B851:C851"/>
    <mergeCell ref="K851:L851"/>
    <mergeCell ref="B852:C852"/>
    <mergeCell ref="K852:L852"/>
    <mergeCell ref="B853:C853"/>
    <mergeCell ref="K853:L853"/>
    <mergeCell ref="B854:C854"/>
    <mergeCell ref="E854:F854"/>
    <mergeCell ref="K854:L854"/>
    <mergeCell ref="J847:K847"/>
    <mergeCell ref="A857:A861"/>
    <mergeCell ref="B857:G857"/>
    <mergeCell ref="H857:N857"/>
    <mergeCell ref="P857:P861"/>
    <mergeCell ref="B858:B861"/>
    <mergeCell ref="D858:D860"/>
    <mergeCell ref="E858:E860"/>
    <mergeCell ref="G858:G861"/>
    <mergeCell ref="H858:H859"/>
    <mergeCell ref="I858:I859"/>
    <mergeCell ref="J858:J859"/>
    <mergeCell ref="K858:K859"/>
    <mergeCell ref="L858:L859"/>
    <mergeCell ref="M858:M859"/>
    <mergeCell ref="N858:N859"/>
    <mergeCell ref="O858:O860"/>
    <mergeCell ref="F859:F861"/>
    <mergeCell ref="A876:C876"/>
    <mergeCell ref="D876:E876"/>
    <mergeCell ref="M876:O876"/>
    <mergeCell ref="A877:C877"/>
    <mergeCell ref="M877:O877"/>
    <mergeCell ref="A878:C878"/>
    <mergeCell ref="D878:E878"/>
    <mergeCell ref="F878:G878"/>
    <mergeCell ref="M878:O878"/>
    <mergeCell ref="M879:O879"/>
    <mergeCell ref="A880:B880"/>
    <mergeCell ref="E880:F880"/>
    <mergeCell ref="I880:J880"/>
    <mergeCell ref="A881:C881"/>
    <mergeCell ref="D881:N881"/>
    <mergeCell ref="A882:C882"/>
    <mergeCell ref="D882:N882"/>
    <mergeCell ref="A883:C883"/>
    <mergeCell ref="D883:J883"/>
    <mergeCell ref="K883:M883"/>
    <mergeCell ref="A884:C884"/>
    <mergeCell ref="D884:J884"/>
    <mergeCell ref="A885:J885"/>
    <mergeCell ref="J886:K886"/>
    <mergeCell ref="A887:C887"/>
    <mergeCell ref="D887:I887"/>
    <mergeCell ref="J887:K887"/>
    <mergeCell ref="A888:C888"/>
    <mergeCell ref="D888:I888"/>
    <mergeCell ref="J888:K888"/>
    <mergeCell ref="A889:C889"/>
    <mergeCell ref="D889:I889"/>
    <mergeCell ref="J889:K889"/>
    <mergeCell ref="D890:I890"/>
    <mergeCell ref="J890:K890"/>
    <mergeCell ref="D891:E891"/>
    <mergeCell ref="F891:G891"/>
    <mergeCell ref="H891:I891"/>
    <mergeCell ref="B893:C893"/>
    <mergeCell ref="K893:L893"/>
    <mergeCell ref="B894:C894"/>
    <mergeCell ref="K894:L894"/>
    <mergeCell ref="B895:C895"/>
    <mergeCell ref="K895:L895"/>
    <mergeCell ref="B896:C896"/>
    <mergeCell ref="K896:L896"/>
    <mergeCell ref="B897:C897"/>
    <mergeCell ref="K897:L897"/>
    <mergeCell ref="B898:C898"/>
    <mergeCell ref="E898:F898"/>
    <mergeCell ref="K898:L898"/>
    <mergeCell ref="A901:A905"/>
    <mergeCell ref="B901:G901"/>
    <mergeCell ref="H901:N901"/>
    <mergeCell ref="J891:K891"/>
    <mergeCell ref="P901:P905"/>
    <mergeCell ref="B902:B905"/>
    <mergeCell ref="D902:D904"/>
    <mergeCell ref="E902:E904"/>
    <mergeCell ref="G902:G905"/>
    <mergeCell ref="H902:H903"/>
    <mergeCell ref="I902:I903"/>
    <mergeCell ref="J902:J903"/>
    <mergeCell ref="K902:K903"/>
    <mergeCell ref="L902:L903"/>
    <mergeCell ref="M902:M903"/>
    <mergeCell ref="N902:N903"/>
    <mergeCell ref="O902:O904"/>
    <mergeCell ref="F903:F905"/>
    <mergeCell ref="H918:N918"/>
    <mergeCell ref="A920:C920"/>
    <mergeCell ref="D920:E920"/>
    <mergeCell ref="M920:O920"/>
    <mergeCell ref="A921:C921"/>
    <mergeCell ref="M921:O921"/>
    <mergeCell ref="A922:C922"/>
    <mergeCell ref="D922:E922"/>
    <mergeCell ref="F922:G922"/>
    <mergeCell ref="M922:O922"/>
    <mergeCell ref="M923:O923"/>
    <mergeCell ref="A924:B924"/>
    <mergeCell ref="E924:F924"/>
    <mergeCell ref="I924:J924"/>
    <mergeCell ref="A925:C925"/>
    <mergeCell ref="D925:N925"/>
    <mergeCell ref="A926:C926"/>
    <mergeCell ref="D926:N926"/>
    <mergeCell ref="D927:J927"/>
    <mergeCell ref="K927:M927"/>
    <mergeCell ref="D928:J928"/>
    <mergeCell ref="A927:C927"/>
    <mergeCell ref="A928:C928"/>
    <mergeCell ref="A929:J929"/>
    <mergeCell ref="J930:K930"/>
    <mergeCell ref="A931:C931"/>
    <mergeCell ref="D931:I931"/>
    <mergeCell ref="J931:K931"/>
    <mergeCell ref="A932:C932"/>
    <mergeCell ref="D932:I932"/>
    <mergeCell ref="J932:K932"/>
    <mergeCell ref="D933:I933"/>
    <mergeCell ref="J933:K933"/>
    <mergeCell ref="D934:I934"/>
    <mergeCell ref="J934:K934"/>
    <mergeCell ref="D935:E935"/>
    <mergeCell ref="F935:G935"/>
    <mergeCell ref="H935:I935"/>
    <mergeCell ref="B937:C937"/>
    <mergeCell ref="K937:L937"/>
    <mergeCell ref="A933:C933"/>
    <mergeCell ref="A934:C934"/>
    <mergeCell ref="J935:K935"/>
    <mergeCell ref="B938:C938"/>
    <mergeCell ref="K938:L938"/>
    <mergeCell ref="B939:C939"/>
    <mergeCell ref="K939:L939"/>
    <mergeCell ref="B940:C940"/>
    <mergeCell ref="K940:L940"/>
    <mergeCell ref="B941:C941"/>
    <mergeCell ref="K941:L941"/>
    <mergeCell ref="B942:C942"/>
    <mergeCell ref="E942:F942"/>
    <mergeCell ref="K942:L942"/>
    <mergeCell ref="D946:D948"/>
    <mergeCell ref="E946:E948"/>
    <mergeCell ref="F947:F949"/>
    <mergeCell ref="M965:O965"/>
    <mergeCell ref="M966:O966"/>
    <mergeCell ref="A969:C969"/>
    <mergeCell ref="D969:N969"/>
    <mergeCell ref="M967:O967"/>
    <mergeCell ref="D964:E964"/>
    <mergeCell ref="M964:O964"/>
    <mergeCell ref="H962:N962"/>
    <mergeCell ref="A964:C964"/>
    <mergeCell ref="A965:C965"/>
    <mergeCell ref="A966:C966"/>
    <mergeCell ref="D966:E966"/>
    <mergeCell ref="F966:G966"/>
    <mergeCell ref="P989:P993"/>
    <mergeCell ref="B990:B993"/>
    <mergeCell ref="D990:D992"/>
    <mergeCell ref="E990:E992"/>
    <mergeCell ref="G990:G993"/>
    <mergeCell ref="H990:H991"/>
    <mergeCell ref="I990:I991"/>
    <mergeCell ref="J990:J991"/>
    <mergeCell ref="K990:K991"/>
    <mergeCell ref="L990:L991"/>
    <mergeCell ref="M990:M991"/>
    <mergeCell ref="N990:N991"/>
    <mergeCell ref="O990:O992"/>
    <mergeCell ref="F991:F993"/>
    <mergeCell ref="P1033:P1037"/>
    <mergeCell ref="B1034:B1037"/>
    <mergeCell ref="D1034:D1036"/>
    <mergeCell ref="E1034:E1036"/>
    <mergeCell ref="G1034:G1037"/>
    <mergeCell ref="H1034:H1035"/>
    <mergeCell ref="I1034:I1035"/>
    <mergeCell ref="J1034:J1035"/>
    <mergeCell ref="K1034:K1035"/>
    <mergeCell ref="L1034:L1035"/>
    <mergeCell ref="M1034:M1035"/>
    <mergeCell ref="N1034:N1035"/>
    <mergeCell ref="O1034:O1036"/>
    <mergeCell ref="F1035:F1037"/>
    <mergeCell ref="A1016:C1016"/>
    <mergeCell ref="D1016:J1016"/>
    <mergeCell ref="A1017:J1017"/>
    <mergeCell ref="J1018:K1018"/>
    <mergeCell ref="K1071:L1071"/>
    <mergeCell ref="B1072:C1072"/>
    <mergeCell ref="K1072:L1072"/>
    <mergeCell ref="B1073:C1073"/>
    <mergeCell ref="K1073:L1073"/>
    <mergeCell ref="B1074:C1074"/>
    <mergeCell ref="E1074:F1074"/>
    <mergeCell ref="K1074:L1074"/>
    <mergeCell ref="P1077:P1081"/>
    <mergeCell ref="B1078:B1081"/>
    <mergeCell ref="D1078:D1080"/>
    <mergeCell ref="E1078:E1080"/>
    <mergeCell ref="G1078:G1081"/>
    <mergeCell ref="H1078:H1079"/>
    <mergeCell ref="I1078:I1079"/>
    <mergeCell ref="J1078:J1079"/>
    <mergeCell ref="K1078:K1079"/>
    <mergeCell ref="L1078:L1079"/>
    <mergeCell ref="M1078:M1079"/>
    <mergeCell ref="N1078:N1079"/>
    <mergeCell ref="O1078:O1080"/>
    <mergeCell ref="F1079:F1081"/>
    <mergeCell ref="H1094:N1094"/>
    <mergeCell ref="A1096:C1096"/>
    <mergeCell ref="D1096:E1096"/>
    <mergeCell ref="M1096:O1096"/>
    <mergeCell ref="A1101:C1101"/>
    <mergeCell ref="D1101:N1101"/>
    <mergeCell ref="A1102:C1102"/>
    <mergeCell ref="D1102:N1102"/>
    <mergeCell ref="A1103:C1103"/>
    <mergeCell ref="D1103:J1103"/>
    <mergeCell ref="K1103:M1103"/>
    <mergeCell ref="A1104:C1104"/>
    <mergeCell ref="D1104:J1104"/>
    <mergeCell ref="A1105:J1105"/>
    <mergeCell ref="J1106:K1106"/>
    <mergeCell ref="A1107:C1107"/>
    <mergeCell ref="D1107:I1107"/>
    <mergeCell ref="J1107:K1107"/>
    <mergeCell ref="A1108:C1108"/>
    <mergeCell ref="D1108:I1108"/>
    <mergeCell ref="J1108:K1108"/>
    <mergeCell ref="A1109:C1109"/>
    <mergeCell ref="D1109:I1109"/>
    <mergeCell ref="J1109:K1109"/>
    <mergeCell ref="A1110:C1110"/>
    <mergeCell ref="D1110:I1110"/>
    <mergeCell ref="J1110:K1110"/>
    <mergeCell ref="D1111:E1111"/>
    <mergeCell ref="F1111:G1111"/>
    <mergeCell ref="H1111:I1111"/>
    <mergeCell ref="B1113:C1113"/>
    <mergeCell ref="K1113:L1113"/>
    <mergeCell ref="B1114:C1114"/>
    <mergeCell ref="K1114:L1114"/>
    <mergeCell ref="B1115:C1115"/>
    <mergeCell ref="K1115:L1115"/>
    <mergeCell ref="B1116:C1116"/>
    <mergeCell ref="K1116:L1116"/>
    <mergeCell ref="N1122:N1123"/>
    <mergeCell ref="O1122:O1124"/>
    <mergeCell ref="F1123:F1125"/>
    <mergeCell ref="H1138:N1138"/>
    <mergeCell ref="A1140:C1140"/>
    <mergeCell ref="D1140:E1140"/>
    <mergeCell ref="M1140:O1140"/>
    <mergeCell ref="A1141:C1141"/>
    <mergeCell ref="M1141:O1141"/>
    <mergeCell ref="A1142:C1142"/>
    <mergeCell ref="D1142:E1142"/>
    <mergeCell ref="F1142:G1142"/>
    <mergeCell ref="M1142:O1142"/>
    <mergeCell ref="M1143:O1143"/>
    <mergeCell ref="A1144:B1144"/>
    <mergeCell ref="E1144:F1144"/>
    <mergeCell ref="I1144:J1144"/>
    <mergeCell ref="B1117:C1117"/>
    <mergeCell ref="K1117:L1117"/>
    <mergeCell ref="B1118:C1118"/>
    <mergeCell ref="E1118:F1118"/>
    <mergeCell ref="K1118:L1118"/>
    <mergeCell ref="A1121:A1125"/>
    <mergeCell ref="B1121:G1121"/>
    <mergeCell ref="H1121:N1121"/>
    <mergeCell ref="E1122:E1124"/>
    <mergeCell ref="G1122:G1125"/>
    <mergeCell ref="H1122:H1123"/>
    <mergeCell ref="I1122:I1123"/>
    <mergeCell ref="J1122:J1123"/>
    <mergeCell ref="A1145:C1145"/>
    <mergeCell ref="D1145:N1145"/>
    <mergeCell ref="A1146:C1146"/>
    <mergeCell ref="D1146:N1146"/>
    <mergeCell ref="A1147:C1147"/>
    <mergeCell ref="D1147:J1147"/>
    <mergeCell ref="K1147:M1147"/>
    <mergeCell ref="A1148:C1148"/>
    <mergeCell ref="D1148:J1148"/>
    <mergeCell ref="A1149:J1149"/>
    <mergeCell ref="J1150:K1150"/>
    <mergeCell ref="D1151:I1151"/>
    <mergeCell ref="J1151:K1151"/>
    <mergeCell ref="A1152:C1152"/>
    <mergeCell ref="D1152:I1152"/>
    <mergeCell ref="J1152:K1152"/>
    <mergeCell ref="A1153:C1153"/>
    <mergeCell ref="D1153:I1153"/>
    <mergeCell ref="J1153:K1153"/>
    <mergeCell ref="A1151:C1151"/>
    <mergeCell ref="A1154:C1154"/>
    <mergeCell ref="D1154:I1154"/>
    <mergeCell ref="J1154:K1154"/>
    <mergeCell ref="D1155:E1155"/>
    <mergeCell ref="F1155:G1155"/>
    <mergeCell ref="H1155:I1155"/>
    <mergeCell ref="B1157:C1157"/>
    <mergeCell ref="K1157:L1157"/>
    <mergeCell ref="B1158:C1158"/>
    <mergeCell ref="K1158:L1158"/>
    <mergeCell ref="B1159:C1159"/>
    <mergeCell ref="K1159:L1159"/>
    <mergeCell ref="B1160:C1160"/>
    <mergeCell ref="K1160:L1160"/>
    <mergeCell ref="B1161:C1161"/>
    <mergeCell ref="K1161:L1161"/>
    <mergeCell ref="B1162:C1162"/>
    <mergeCell ref="E1162:F1162"/>
    <mergeCell ref="K1162:L1162"/>
    <mergeCell ref="A1165:A1169"/>
    <mergeCell ref="B1165:G1165"/>
    <mergeCell ref="H1165:N1165"/>
    <mergeCell ref="P1165:P1169"/>
    <mergeCell ref="B1166:B1169"/>
    <mergeCell ref="D1166:D1168"/>
    <mergeCell ref="E1166:E1168"/>
    <mergeCell ref="G1166:G1169"/>
    <mergeCell ref="H1166:H1167"/>
    <mergeCell ref="I1166:I1167"/>
    <mergeCell ref="J1166:J1167"/>
    <mergeCell ref="K1166:K1167"/>
    <mergeCell ref="L1166:L1167"/>
    <mergeCell ref="M1166:M1167"/>
    <mergeCell ref="N1166:N1167"/>
    <mergeCell ref="O1166:O1168"/>
    <mergeCell ref="F1167:F1169"/>
    <mergeCell ref="H1182:N1182"/>
    <mergeCell ref="A1184:C1184"/>
    <mergeCell ref="D1184:E1184"/>
    <mergeCell ref="M1184:O1184"/>
    <mergeCell ref="A1185:C1185"/>
    <mergeCell ref="M1185:O1185"/>
    <mergeCell ref="A1186:C1186"/>
    <mergeCell ref="D1186:E1186"/>
    <mergeCell ref="F1186:G1186"/>
    <mergeCell ref="M1186:O1186"/>
    <mergeCell ref="M1187:O1187"/>
    <mergeCell ref="A1188:B1188"/>
    <mergeCell ref="E1188:F1188"/>
    <mergeCell ref="I1188:J1188"/>
    <mergeCell ref="A1189:C1189"/>
    <mergeCell ref="D1189:N1189"/>
    <mergeCell ref="A1190:C1190"/>
    <mergeCell ref="D1190:N1190"/>
    <mergeCell ref="A1191:C1191"/>
    <mergeCell ref="D1191:J1191"/>
    <mergeCell ref="K1191:M1191"/>
    <mergeCell ref="A1192:C1192"/>
    <mergeCell ref="D1192:J1192"/>
    <mergeCell ref="A1193:J1193"/>
    <mergeCell ref="J1194:K1194"/>
    <mergeCell ref="A1195:C1195"/>
    <mergeCell ref="D1195:I1195"/>
    <mergeCell ref="J1195:K1195"/>
    <mergeCell ref="A1196:C1196"/>
    <mergeCell ref="D1196:I1196"/>
    <mergeCell ref="J1196:K1196"/>
    <mergeCell ref="A1197:C1197"/>
    <mergeCell ref="D1197:I1197"/>
    <mergeCell ref="J1197:K1197"/>
    <mergeCell ref="A1198:C1198"/>
    <mergeCell ref="D1198:I1198"/>
    <mergeCell ref="J1198:K1198"/>
    <mergeCell ref="D1199:E1199"/>
    <mergeCell ref="F1199:G1199"/>
    <mergeCell ref="H1199:I1199"/>
    <mergeCell ref="B1201:C1201"/>
    <mergeCell ref="K1201:L1201"/>
    <mergeCell ref="B1202:C1202"/>
    <mergeCell ref="K1202:L1202"/>
    <mergeCell ref="B1203:C1203"/>
    <mergeCell ref="K1203:L1203"/>
    <mergeCell ref="B1204:C1204"/>
    <mergeCell ref="K1204:L1204"/>
    <mergeCell ref="B1205:C1205"/>
    <mergeCell ref="K1205:L1205"/>
    <mergeCell ref="B1206:C1206"/>
    <mergeCell ref="E1206:F1206"/>
    <mergeCell ref="K1206:L1206"/>
    <mergeCell ref="A1209:A1213"/>
    <mergeCell ref="B1209:G1209"/>
    <mergeCell ref="H1209:N1209"/>
    <mergeCell ref="P1209:P1213"/>
    <mergeCell ref="B1210:B1213"/>
    <mergeCell ref="D1210:D1212"/>
    <mergeCell ref="E1210:E1212"/>
    <mergeCell ref="G1210:G1213"/>
    <mergeCell ref="H1210:H1211"/>
    <mergeCell ref="I1210:I1211"/>
    <mergeCell ref="J1210:J1211"/>
    <mergeCell ref="K1210:K1211"/>
    <mergeCell ref="L1210:L1211"/>
    <mergeCell ref="M1210:M1211"/>
    <mergeCell ref="N1210:N1211"/>
    <mergeCell ref="O1210:O1212"/>
    <mergeCell ref="F1211:F1213"/>
    <mergeCell ref="H1226:N1226"/>
    <mergeCell ref="A1228:C1228"/>
    <mergeCell ref="D1228:E1228"/>
    <mergeCell ref="M1228:O1228"/>
    <mergeCell ref="A1229:C1229"/>
    <mergeCell ref="M1229:O1229"/>
    <mergeCell ref="A1230:C1230"/>
    <mergeCell ref="D1230:E1230"/>
    <mergeCell ref="F1230:G1230"/>
    <mergeCell ref="M1230:O1230"/>
    <mergeCell ref="M1231:O1231"/>
    <mergeCell ref="A1232:B1232"/>
    <mergeCell ref="E1232:F1232"/>
    <mergeCell ref="I1232:J1232"/>
    <mergeCell ref="A1233:C1233"/>
    <mergeCell ref="D1233:N1233"/>
    <mergeCell ref="A1234:C1234"/>
    <mergeCell ref="D1234:N1234"/>
    <mergeCell ref="A1235:C1235"/>
    <mergeCell ref="D1235:J1235"/>
    <mergeCell ref="K1235:M1235"/>
    <mergeCell ref="A1236:C1236"/>
    <mergeCell ref="D1236:J1236"/>
    <mergeCell ref="A1237:J1237"/>
    <mergeCell ref="J1238:K1238"/>
    <mergeCell ref="A1239:C1239"/>
    <mergeCell ref="D1239:I1239"/>
    <mergeCell ref="J1239:K1239"/>
    <mergeCell ref="A1240:C1240"/>
    <mergeCell ref="D1240:I1240"/>
    <mergeCell ref="J1240:K1240"/>
    <mergeCell ref="A1241:C1241"/>
    <mergeCell ref="D1241:I1241"/>
    <mergeCell ref="J1241:K1241"/>
    <mergeCell ref="A1242:C1242"/>
    <mergeCell ref="D1242:I1242"/>
    <mergeCell ref="J1242:K1242"/>
    <mergeCell ref="D1243:E1243"/>
    <mergeCell ref="F1243:G1243"/>
    <mergeCell ref="H1243:I1243"/>
    <mergeCell ref="B1245:C1245"/>
    <mergeCell ref="K1245:L1245"/>
    <mergeCell ref="B1246:C1246"/>
    <mergeCell ref="K1246:L1246"/>
    <mergeCell ref="B1247:C1247"/>
    <mergeCell ref="K1247:L1247"/>
    <mergeCell ref="B1248:C1248"/>
    <mergeCell ref="K1248:L1248"/>
    <mergeCell ref="B1249:C1249"/>
    <mergeCell ref="K1249:L1249"/>
    <mergeCell ref="B1250:C1250"/>
    <mergeCell ref="E1250:F1250"/>
    <mergeCell ref="K1250:L1250"/>
    <mergeCell ref="A1253:A1257"/>
    <mergeCell ref="B1253:G1253"/>
    <mergeCell ref="H1253:N1253"/>
    <mergeCell ref="P1253:P1257"/>
    <mergeCell ref="B1254:B1257"/>
    <mergeCell ref="D1254:D1256"/>
    <mergeCell ref="E1254:E1256"/>
    <mergeCell ref="G1254:G1257"/>
    <mergeCell ref="H1254:H1255"/>
    <mergeCell ref="I1254:I1255"/>
    <mergeCell ref="J1254:J1255"/>
    <mergeCell ref="K1254:K1255"/>
    <mergeCell ref="L1254:L1255"/>
    <mergeCell ref="M1254:M1255"/>
    <mergeCell ref="N1254:N1255"/>
    <mergeCell ref="O1254:O1256"/>
    <mergeCell ref="F1255:F1257"/>
    <mergeCell ref="H1270:N1270"/>
    <mergeCell ref="A1272:C1272"/>
    <mergeCell ref="D1272:E1272"/>
    <mergeCell ref="M1272:O1272"/>
    <mergeCell ref="A1273:C1273"/>
    <mergeCell ref="M1273:O1273"/>
    <mergeCell ref="A1274:C1274"/>
    <mergeCell ref="D1274:E1274"/>
    <mergeCell ref="F1274:G1274"/>
    <mergeCell ref="M1274:O1274"/>
    <mergeCell ref="M1275:O1275"/>
    <mergeCell ref="A1276:B1276"/>
    <mergeCell ref="E1276:F1276"/>
    <mergeCell ref="I1276:J1276"/>
    <mergeCell ref="A1277:C1277"/>
    <mergeCell ref="D1277:N1277"/>
    <mergeCell ref="A1278:C1278"/>
    <mergeCell ref="D1278:N1278"/>
    <mergeCell ref="A1279:C1279"/>
    <mergeCell ref="D1279:J1279"/>
    <mergeCell ref="K1279:M1279"/>
    <mergeCell ref="A1280:C1280"/>
    <mergeCell ref="D1280:J1280"/>
    <mergeCell ref="A1281:J1281"/>
    <mergeCell ref="J1282:K1282"/>
    <mergeCell ref="A1283:C1283"/>
    <mergeCell ref="D1283:I1283"/>
    <mergeCell ref="J1283:K1283"/>
    <mergeCell ref="A1284:C1284"/>
    <mergeCell ref="D1284:I1284"/>
    <mergeCell ref="J1284:K1284"/>
    <mergeCell ref="A1285:C1285"/>
    <mergeCell ref="D1285:I1285"/>
    <mergeCell ref="J1285:K1285"/>
    <mergeCell ref="A1286:C1286"/>
    <mergeCell ref="D1286:I1286"/>
    <mergeCell ref="J1286:K1286"/>
    <mergeCell ref="D1287:E1287"/>
    <mergeCell ref="F1287:G1287"/>
    <mergeCell ref="H1287:I1287"/>
    <mergeCell ref="B1289:C1289"/>
    <mergeCell ref="K1289:L1289"/>
    <mergeCell ref="B1290:C1290"/>
    <mergeCell ref="K1290:L1290"/>
    <mergeCell ref="B1291:C1291"/>
    <mergeCell ref="K1291:L1291"/>
    <mergeCell ref="B1292:C1292"/>
    <mergeCell ref="K1292:L1292"/>
    <mergeCell ref="B1293:C1293"/>
    <mergeCell ref="K1293:L1293"/>
    <mergeCell ref="B1294:C1294"/>
    <mergeCell ref="E1294:F1294"/>
    <mergeCell ref="K1294:L1294"/>
    <mergeCell ref="A1297:A1301"/>
    <mergeCell ref="B1297:G1297"/>
    <mergeCell ref="H1297:N1297"/>
    <mergeCell ref="P1297:P1301"/>
    <mergeCell ref="B1298:B1301"/>
    <mergeCell ref="D1298:D1300"/>
    <mergeCell ref="E1298:E1300"/>
    <mergeCell ref="G1298:G1301"/>
    <mergeCell ref="H1298:H1299"/>
    <mergeCell ref="I1298:I1299"/>
    <mergeCell ref="J1298:J1299"/>
    <mergeCell ref="K1298:K1299"/>
    <mergeCell ref="L1298:L1299"/>
    <mergeCell ref="M1298:M1299"/>
    <mergeCell ref="N1298:N1299"/>
    <mergeCell ref="O1298:O1300"/>
    <mergeCell ref="F1299:F1301"/>
    <mergeCell ref="H1314:N1314"/>
    <mergeCell ref="A1316:C1316"/>
    <mergeCell ref="D1316:E1316"/>
    <mergeCell ref="M1316:O1316"/>
    <mergeCell ref="H1331:I1331"/>
    <mergeCell ref="A1317:C1317"/>
    <mergeCell ref="M1317:O1317"/>
    <mergeCell ref="A1318:C1318"/>
    <mergeCell ref="D1318:E1318"/>
    <mergeCell ref="F1318:G1318"/>
    <mergeCell ref="M1318:O1318"/>
    <mergeCell ref="M1319:O1319"/>
    <mergeCell ref="A1320:B1320"/>
    <mergeCell ref="E1320:F1320"/>
    <mergeCell ref="I1320:J1320"/>
    <mergeCell ref="A1321:C1321"/>
    <mergeCell ref="D1321:N1321"/>
    <mergeCell ref="A1322:C1322"/>
    <mergeCell ref="D1322:N1322"/>
    <mergeCell ref="A1323:C1323"/>
    <mergeCell ref="D1323:J1323"/>
    <mergeCell ref="K1323:M1323"/>
    <mergeCell ref="P1341:P1345"/>
    <mergeCell ref="B1342:B1345"/>
    <mergeCell ref="D1342:D1344"/>
    <mergeCell ref="E1342:E1344"/>
    <mergeCell ref="G1342:G1345"/>
    <mergeCell ref="H1342:H1343"/>
    <mergeCell ref="I1342:I1343"/>
    <mergeCell ref="J1342:J1343"/>
    <mergeCell ref="K1342:K1343"/>
    <mergeCell ref="L1342:L1343"/>
    <mergeCell ref="M1342:M1343"/>
    <mergeCell ref="N1342:N1343"/>
    <mergeCell ref="O1342:O1344"/>
    <mergeCell ref="F1343:F1345"/>
    <mergeCell ref="A1324:C1324"/>
    <mergeCell ref="D1324:J1324"/>
    <mergeCell ref="A1325:J1325"/>
    <mergeCell ref="J1326:K1326"/>
    <mergeCell ref="A1327:C1327"/>
    <mergeCell ref="D1327:I1327"/>
    <mergeCell ref="J1327:K1327"/>
    <mergeCell ref="A1328:C1328"/>
    <mergeCell ref="D1328:I1328"/>
    <mergeCell ref="J1328:K1328"/>
    <mergeCell ref="A1329:C1329"/>
    <mergeCell ref="D1329:I1329"/>
    <mergeCell ref="J1329:K1329"/>
    <mergeCell ref="A1330:C1330"/>
    <mergeCell ref="D1330:I1330"/>
    <mergeCell ref="J1330:K1330"/>
    <mergeCell ref="D1331:E1331"/>
    <mergeCell ref="F1331:G1331"/>
    <mergeCell ref="H1358:N1358"/>
    <mergeCell ref="A1360:C1360"/>
    <mergeCell ref="D1360:E1360"/>
    <mergeCell ref="M1360:O1360"/>
    <mergeCell ref="A1361:C1361"/>
    <mergeCell ref="M1361:O1361"/>
    <mergeCell ref="A1362:C1362"/>
    <mergeCell ref="D1362:E1362"/>
    <mergeCell ref="F1362:G1362"/>
    <mergeCell ref="M1362:O1362"/>
    <mergeCell ref="M1363:O1363"/>
    <mergeCell ref="A1364:B1364"/>
    <mergeCell ref="E1364:F1364"/>
    <mergeCell ref="I1364:J1364"/>
    <mergeCell ref="B1333:C1333"/>
    <mergeCell ref="K1333:L1333"/>
    <mergeCell ref="B1334:C1334"/>
    <mergeCell ref="K1334:L1334"/>
    <mergeCell ref="B1335:C1335"/>
    <mergeCell ref="K1335:L1335"/>
    <mergeCell ref="B1336:C1336"/>
    <mergeCell ref="K1336:L1336"/>
    <mergeCell ref="B1337:C1337"/>
    <mergeCell ref="K1337:L1337"/>
    <mergeCell ref="B1338:C1338"/>
    <mergeCell ref="E1338:F1338"/>
    <mergeCell ref="K1338:L1338"/>
    <mergeCell ref="A1341:A1345"/>
    <mergeCell ref="B1341:G1341"/>
    <mergeCell ref="H1341:N1341"/>
  </mergeCells>
  <dataValidations count="1">
    <dataValidation type="list" allowBlank="1" showInputMessage="1" showErrorMessage="1" sqref="E459 B19 B1515 B459 B63 E63 B327 B107 E107 E415 B151 E151 B415 B195 E195 E327 B239 E239 E371 B283 E283 B371 E503 B503 E547 B547 E591 B591 E635 B635 E679 B679 E723 B723 E767 B767 E811 B811 E855 B855 E899 B899 E943 B943 E987 B987 E1031 B1031 E1075 B1075 E1119 B1119 E1163 B1163 E1207 B1207 E1251 B1251 E1295 B1295 E1339 B1339 E1383 B1383 E1427 B1427 E1471 B1471 E1515 E19">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-&amp;K01+000 &amp;KFF0000Erziehertätigkeiten&amp;R&amp;G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A191:A193 A147:A149 A235:A237 A279:A281 A323:A325 A367:A369 A59:A61 A455:A457 A499:A501 A543:A545 A587:A589 A631:A633 A675:A677 A719:A721 A763:A765 A807:A809 A851:A853 A103:A105 A939:A941 A983:A985 A1027:A1029 A1071:A1073 A1115:A1117 A1159:A1161 A1203:A1205 A1247:A1249 A1291:A1293 A411:A413 A1379:A1381 A1423:A1425 A1467:A1469 A1511:A1513 A895:A897 A1335:A1337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3" tint="0.39997558519241921"/>
  </sheetPr>
  <dimension ref="A1:P352"/>
  <sheetViews>
    <sheetView showGridLines="0" view="pageLayout" zoomScaleNormal="100" workbookViewId="0">
      <selection activeCell="D7" sqref="D7:I7"/>
    </sheetView>
  </sheetViews>
  <sheetFormatPr baseColWidth="10" defaultRowHeight="14.25" x14ac:dyDescent="0.2"/>
  <cols>
    <col min="1" max="1" width="9.42578125" style="16" customWidth="1"/>
    <col min="2" max="2" width="12.7109375" style="16" customWidth="1"/>
    <col min="3" max="3" width="11.42578125" style="16"/>
    <col min="4" max="4" width="10.5703125" style="16" customWidth="1"/>
    <col min="5" max="5" width="11.140625" style="16" customWidth="1"/>
    <col min="6" max="6" width="11.42578125" style="16" customWidth="1"/>
    <col min="7" max="7" width="10.140625" style="16" customWidth="1"/>
    <col min="8" max="8" width="11.5703125" style="16" customWidth="1"/>
    <col min="9" max="12" width="11.42578125" style="16"/>
    <col min="13" max="13" width="10.28515625" style="16" customWidth="1"/>
    <col min="14" max="14" width="11.140625" style="16" customWidth="1"/>
    <col min="15" max="15" width="11.5703125" style="16" customWidth="1"/>
    <col min="16" max="16" width="10.85546875" style="16" customWidth="1"/>
    <col min="17" max="16384" width="11.42578125" style="1"/>
  </cols>
  <sheetData>
    <row r="1" spans="1:16" s="12" customFormat="1" ht="13.5" customHeight="1" x14ac:dyDescent="0.2">
      <c r="A1" s="1178" t="s">
        <v>18</v>
      </c>
      <c r="B1" s="1178"/>
      <c r="C1" s="1178"/>
      <c r="D1" s="1179" t="str">
        <f>IF('päd.Personal - Leitung'!D1="","",'päd.Personal - Leitung'!D1)</f>
        <v/>
      </c>
      <c r="E1" s="1179"/>
      <c r="F1" s="1179"/>
      <c r="G1" s="1179"/>
      <c r="H1" s="1179"/>
      <c r="I1" s="1179"/>
      <c r="J1" s="1179"/>
      <c r="K1" s="1179"/>
      <c r="L1" s="1179"/>
      <c r="M1" s="1179"/>
      <c r="N1" s="1179"/>
    </row>
    <row r="2" spans="1:16" s="12" customFormat="1" ht="15" customHeight="1" x14ac:dyDescent="0.2">
      <c r="A2" s="1178" t="s">
        <v>17</v>
      </c>
      <c r="B2" s="1178"/>
      <c r="C2" s="1178" t="s">
        <v>15</v>
      </c>
      <c r="D2" s="1179" t="str">
        <f>IF('päd.Personal - Leitung'!D2="","",'päd.Personal - Leitung'!D2)</f>
        <v/>
      </c>
      <c r="E2" s="1179"/>
      <c r="F2" s="1179"/>
      <c r="G2" s="1179"/>
      <c r="H2" s="1179"/>
      <c r="I2" s="1179"/>
      <c r="J2" s="1179"/>
      <c r="K2" s="1179"/>
      <c r="L2" s="1179"/>
      <c r="M2" s="1179"/>
      <c r="N2" s="1179"/>
    </row>
    <row r="3" spans="1:16" s="12" customFormat="1" ht="15" customHeight="1" x14ac:dyDescent="0.2">
      <c r="A3" s="1178" t="s">
        <v>16</v>
      </c>
      <c r="B3" s="1178"/>
      <c r="C3" s="1178" t="s">
        <v>15</v>
      </c>
      <c r="D3" s="1179" t="str">
        <f>IF('päd.Personal - Leitung'!D3="","",'päd.Personal - Leitung'!D3)</f>
        <v/>
      </c>
      <c r="E3" s="1179"/>
      <c r="F3" s="1179"/>
      <c r="G3" s="1179"/>
      <c r="H3" s="1179"/>
      <c r="I3" s="1179"/>
      <c r="J3" s="1179"/>
      <c r="K3" s="1178" t="s">
        <v>103</v>
      </c>
      <c r="L3" s="1178"/>
      <c r="M3" s="1178"/>
      <c r="N3" s="41" t="str">
        <f>IF('päd.Personal - Leitung'!N3="","",'päd.Personal - Leitung'!N3)</f>
        <v/>
      </c>
    </row>
    <row r="4" spans="1:16" s="13" customFormat="1" ht="11.25" x14ac:dyDescent="0.2">
      <c r="A4" s="1182"/>
      <c r="B4" s="1182"/>
      <c r="C4" s="1182"/>
      <c r="D4" s="1183"/>
      <c r="E4" s="1183"/>
      <c r="F4" s="1183"/>
      <c r="G4" s="1183"/>
      <c r="H4" s="1183"/>
      <c r="I4" s="1183"/>
      <c r="J4" s="1183"/>
      <c r="K4" s="11"/>
      <c r="L4" s="11"/>
      <c r="M4" s="11"/>
      <c r="N4" s="11"/>
      <c r="O4" s="11"/>
      <c r="P4" s="11"/>
    </row>
    <row r="5" spans="1:16" s="15" customFormat="1" ht="13.5" customHeight="1" x14ac:dyDescent="0.2">
      <c r="A5" s="1177" t="s">
        <v>174</v>
      </c>
      <c r="B5" s="1177"/>
      <c r="C5" s="1177"/>
      <c r="D5" s="1177"/>
      <c r="E5" s="1177"/>
      <c r="F5" s="1177"/>
      <c r="G5" s="1177"/>
      <c r="H5" s="1177"/>
      <c r="I5" s="1177"/>
      <c r="J5" s="1177"/>
      <c r="K5" s="9"/>
      <c r="L5" s="9"/>
      <c r="M5" s="9"/>
      <c r="N5" s="59" t="s">
        <v>154</v>
      </c>
      <c r="O5" s="191">
        <f>'päd.Personal - Leitung'!$O$5</f>
        <v>2022</v>
      </c>
      <c r="P5" s="59" t="s">
        <v>154</v>
      </c>
    </row>
    <row r="6" spans="1:16" s="10" customFormat="1" ht="13.5" customHeight="1" x14ac:dyDescent="0.25">
      <c r="B6" s="32"/>
      <c r="C6" s="32"/>
      <c r="D6" s="5" t="s">
        <v>22</v>
      </c>
      <c r="E6" s="31"/>
      <c r="F6" s="31"/>
      <c r="G6" s="31"/>
      <c r="H6" s="31"/>
      <c r="I6" s="26"/>
      <c r="J6" s="1174" t="s">
        <v>14</v>
      </c>
      <c r="K6" s="1174"/>
      <c r="L6" s="180"/>
      <c r="N6" s="84">
        <f>IF(L8="","",L8)</f>
        <v>0</v>
      </c>
      <c r="O6" s="58" t="str">
        <f>'päd.Personal - Leitung'!$O$6</f>
        <v>Jan                Jul</v>
      </c>
      <c r="P6" s="85">
        <f>IF(N11="","",N11)</f>
        <v>0</v>
      </c>
    </row>
    <row r="7" spans="1:16" s="7" customFormat="1" ht="13.5" customHeight="1" x14ac:dyDescent="0.25">
      <c r="A7" s="1180" t="s">
        <v>71</v>
      </c>
      <c r="B7" s="1180"/>
      <c r="C7" s="1180"/>
      <c r="D7" s="1184"/>
      <c r="E7" s="1184"/>
      <c r="F7" s="1184"/>
      <c r="G7" s="1184"/>
      <c r="H7" s="1184"/>
      <c r="I7" s="1184"/>
      <c r="J7" s="1174" t="s">
        <v>104</v>
      </c>
      <c r="K7" s="1174"/>
      <c r="L7" s="123"/>
      <c r="N7" s="85">
        <f>IF(N6="","",N6)</f>
        <v>0</v>
      </c>
      <c r="O7" s="58" t="str">
        <f>'päd.Personal - Leitung'!$O$7</f>
        <v>Feb              Aug</v>
      </c>
      <c r="P7" s="85">
        <f>IF(P6="","",P6)</f>
        <v>0</v>
      </c>
    </row>
    <row r="8" spans="1:16" ht="13.5" customHeight="1" x14ac:dyDescent="0.2">
      <c r="A8" s="1180" t="s">
        <v>13</v>
      </c>
      <c r="B8" s="1180"/>
      <c r="C8" s="1180"/>
      <c r="D8" s="1181"/>
      <c r="E8" s="1181"/>
      <c r="F8" s="1181"/>
      <c r="G8" s="1181"/>
      <c r="H8" s="1181"/>
      <c r="I8" s="1181"/>
      <c r="J8" s="1174" t="s">
        <v>164</v>
      </c>
      <c r="K8" s="1174"/>
      <c r="L8" s="123">
        <f>IF((L9+L10)&gt;L7,0,L7-L9-L10)</f>
        <v>0</v>
      </c>
      <c r="M8" s="1"/>
      <c r="N8" s="85">
        <f>IF(N7="","",N7)</f>
        <v>0</v>
      </c>
      <c r="O8" s="58" t="str">
        <f>'päd.Personal - Leitung'!$O$8</f>
        <v>Mrz              Sep</v>
      </c>
      <c r="P8" s="85">
        <f>IF(P7="","",P7)</f>
        <v>0</v>
      </c>
    </row>
    <row r="9" spans="1:16" ht="13.5" customHeight="1" x14ac:dyDescent="0.2">
      <c r="A9" s="1180" t="s">
        <v>12</v>
      </c>
      <c r="B9" s="1180"/>
      <c r="C9" s="1180"/>
      <c r="D9" s="1181"/>
      <c r="E9" s="1181"/>
      <c r="F9" s="1181"/>
      <c r="G9" s="1181"/>
      <c r="H9" s="1181"/>
      <c r="I9" s="1181"/>
      <c r="J9" s="1174" t="s">
        <v>165</v>
      </c>
      <c r="K9" s="1174"/>
      <c r="L9" s="123"/>
      <c r="M9" s="1"/>
      <c r="N9" s="85">
        <f>IF(N8="","",N8)</f>
        <v>0</v>
      </c>
      <c r="O9" s="58" t="str">
        <f>'päd.Personal - Leitung'!$O$9</f>
        <v>Apr               Okt</v>
      </c>
      <c r="P9" s="85">
        <f t="shared" ref="P9:P11" si="0">IF(P8="","",P8)</f>
        <v>0</v>
      </c>
    </row>
    <row r="10" spans="1:16" ht="13.5" customHeight="1" x14ac:dyDescent="0.2">
      <c r="A10" s="1180" t="s">
        <v>19</v>
      </c>
      <c r="B10" s="1180"/>
      <c r="C10" s="1180"/>
      <c r="D10" s="1181"/>
      <c r="E10" s="1181"/>
      <c r="F10" s="1181"/>
      <c r="G10" s="1181"/>
      <c r="H10" s="1181"/>
      <c r="I10" s="1181"/>
      <c r="J10" s="1174" t="s">
        <v>252</v>
      </c>
      <c r="K10" s="1174"/>
      <c r="L10" s="145"/>
      <c r="M10" s="92"/>
      <c r="N10" s="85">
        <f>IF(N9="","",N9)</f>
        <v>0</v>
      </c>
      <c r="O10" s="58" t="str">
        <f>'päd.Personal - Leitung'!$O$10</f>
        <v>Mai               Nov</v>
      </c>
      <c r="P10" s="85">
        <f t="shared" si="0"/>
        <v>0</v>
      </c>
    </row>
    <row r="11" spans="1:16" ht="13.5" customHeight="1" x14ac:dyDescent="0.2">
      <c r="A11" s="1"/>
      <c r="B11" s="8"/>
      <c r="C11" s="121" t="s">
        <v>162</v>
      </c>
      <c r="D11" s="1175"/>
      <c r="E11" s="1175"/>
      <c r="F11" s="1176" t="s">
        <v>106</v>
      </c>
      <c r="G11" s="1176"/>
      <c r="H11" s="1186"/>
      <c r="I11" s="1186"/>
      <c r="J11" s="1174" t="s">
        <v>97</v>
      </c>
      <c r="K11" s="1174"/>
      <c r="L11" s="17" t="str">
        <f>IF(IF((COUNTIF(B26:B37,"&gt;0"))=0,0,(COUNTIF(B26:B37,"&gt;0")))&gt;Grundlagen!$C$24,Grundlagen!$C$24,IF((COUNTIF(B26:B37,"&gt;0"))=0,"",(COUNTIF(B26:B37,"&gt;0"))))</f>
        <v/>
      </c>
      <c r="M11" s="1"/>
      <c r="N11" s="85">
        <f>IF(N10="","",N10)</f>
        <v>0</v>
      </c>
      <c r="O11" s="58" t="str">
        <f>'päd.Personal - Leitung'!$O$11</f>
        <v>Jun               Dez</v>
      </c>
      <c r="P11" s="85">
        <f t="shared" si="0"/>
        <v>0</v>
      </c>
    </row>
    <row r="12" spans="1:16" ht="13.5" customHeight="1" x14ac:dyDescent="0.2">
      <c r="A12" s="1"/>
      <c r="B12" s="1"/>
      <c r="C12" s="1"/>
      <c r="D12" s="1"/>
      <c r="E12" s="1"/>
      <c r="F12" s="1"/>
      <c r="G12" s="1"/>
      <c r="H12" s="1"/>
      <c r="I12" s="6"/>
      <c r="J12" s="1"/>
      <c r="K12" s="1"/>
      <c r="L12" s="125" t="str">
        <f>IF((SUM(F14:F17))=0,"",IF(P12&gt;L8,L8,IF(L8="","",IF(L11="","",P12))))</f>
        <v/>
      </c>
      <c r="M12" s="1"/>
      <c r="N12" s="1"/>
      <c r="O12" s="174" t="s">
        <v>251</v>
      </c>
      <c r="P12" s="175">
        <f>IF(L11="",0,((IF(SUMIF(B26,"&gt;0"),N6,0))+(IF(SUMIF(B27,"&gt;0"),N7,0))+(IF(SUMIF(B28,"&gt;0"),N8,0))+(IF(SUMIF(B29,"&gt;0"),N9,0))+(IF(SUMIF(B30,"&gt;0"),N10,0))+(IF(SUMIF(B31,"&gt;0"),N11,0))+(IF(SUMIF(B32,"&gt;0"),P6,0))+(IF(SUMIF(B33,"&gt;0"),P7,0))+(IF(SUMIF(B34,"&gt;0"),P8,0))+(IF(SUMIF(B35,"&gt;0"),P9,0))+(IF(SUMIF(B36,"&gt;0"),P10,0))+(IF(SUMIF(B37,"&gt;0"),P11,0)))/Grundlagen!$C$24)</f>
        <v>0</v>
      </c>
    </row>
    <row r="13" spans="1:16" s="52" customFormat="1" ht="13.5" customHeight="1" x14ac:dyDescent="0.2">
      <c r="A13" s="61" t="s">
        <v>148</v>
      </c>
      <c r="B13" s="1168" t="s">
        <v>149</v>
      </c>
      <c r="C13" s="1168"/>
      <c r="D13" s="62" t="s">
        <v>150</v>
      </c>
      <c r="E13" s="63" t="s">
        <v>151</v>
      </c>
      <c r="F13" s="64" t="str">
        <f>CONCATENATE("Entg. ",N3," h/Wo")</f>
        <v>Entg.  h/Wo</v>
      </c>
      <c r="G13" s="65" t="s">
        <v>152</v>
      </c>
      <c r="H13" s="65" t="s">
        <v>153</v>
      </c>
      <c r="K13" s="1169" t="str">
        <f>CONCATENATE("Zuschläge / Zulagen für ",N3,"h/Wo")</f>
        <v>Zuschläge / Zulagen für h/Wo</v>
      </c>
      <c r="L13" s="1169"/>
      <c r="M13" s="66" t="str">
        <f>IF(A14="","",A14)</f>
        <v>Jan 2022</v>
      </c>
      <c r="N13" s="66" t="str">
        <f>IF(A15="","",A15)</f>
        <v/>
      </c>
      <c r="O13" s="66" t="str">
        <f>IF(A16="","",A16)</f>
        <v/>
      </c>
      <c r="P13" s="66" t="str">
        <f>IF(A17="","",A17)</f>
        <v/>
      </c>
    </row>
    <row r="14" spans="1:16" s="52" customFormat="1" ht="13.5" customHeight="1" x14ac:dyDescent="0.25">
      <c r="A14" s="54" t="str">
        <f>A26</f>
        <v>Jan 2022</v>
      </c>
      <c r="B14" s="1170" t="str">
        <f>IF($D$3="","",$D$3)</f>
        <v/>
      </c>
      <c r="C14" s="1171"/>
      <c r="D14" s="181"/>
      <c r="E14" s="181"/>
      <c r="F14" s="87"/>
      <c r="G14" s="56">
        <f>IF(N3="",0,F14/N3/4.348)</f>
        <v>0</v>
      </c>
      <c r="H14" s="53">
        <f>IF(G14=0,0,M19)</f>
        <v>0</v>
      </c>
      <c r="K14" s="1146"/>
      <c r="L14" s="1146"/>
      <c r="M14" s="86"/>
      <c r="N14" s="86"/>
      <c r="O14" s="86"/>
      <c r="P14" s="86"/>
    </row>
    <row r="15" spans="1:16" s="52" customFormat="1" ht="13.5" customHeight="1" x14ac:dyDescent="0.25">
      <c r="A15" s="55"/>
      <c r="B15" s="1172" t="str">
        <f>IF(A15="","",B14)</f>
        <v/>
      </c>
      <c r="C15" s="1173"/>
      <c r="D15" s="181"/>
      <c r="E15" s="181"/>
      <c r="F15" s="87"/>
      <c r="G15" s="56">
        <f>IF(N3="",0,F15/N3/4.348)</f>
        <v>0</v>
      </c>
      <c r="H15" s="53">
        <f>IF(G15=0,0,N19)</f>
        <v>0</v>
      </c>
      <c r="K15" s="1146"/>
      <c r="L15" s="1146"/>
      <c r="M15" s="86"/>
      <c r="N15" s="86"/>
      <c r="O15" s="86"/>
      <c r="P15" s="86"/>
    </row>
    <row r="16" spans="1:16" s="52" customFormat="1" ht="13.5" customHeight="1" x14ac:dyDescent="0.25">
      <c r="A16" s="55"/>
      <c r="B16" s="1172" t="str">
        <f>IF(A16="","",B15)</f>
        <v/>
      </c>
      <c r="C16" s="1173"/>
      <c r="D16" s="181"/>
      <c r="E16" s="181"/>
      <c r="F16" s="87"/>
      <c r="G16" s="56">
        <f>IF(N3="",0,F16/N3/4.348)</f>
        <v>0</v>
      </c>
      <c r="H16" s="53">
        <f>IF(G16=0,0,O19)</f>
        <v>0</v>
      </c>
      <c r="K16" s="1146"/>
      <c r="L16" s="1146"/>
      <c r="M16" s="86"/>
      <c r="N16" s="86"/>
      <c r="O16" s="86"/>
      <c r="P16" s="86"/>
    </row>
    <row r="17" spans="1:16" s="52" customFormat="1" ht="13.5" customHeight="1" x14ac:dyDescent="0.25">
      <c r="A17" s="55"/>
      <c r="B17" s="1172" t="str">
        <f>IF(A17="","",B16)</f>
        <v/>
      </c>
      <c r="C17" s="1173"/>
      <c r="D17" s="181"/>
      <c r="E17" s="181"/>
      <c r="F17" s="87"/>
      <c r="G17" s="56">
        <f>IF(N3="",0,F17/N3/4.348)</f>
        <v>0</v>
      </c>
      <c r="H17" s="53">
        <f>IF(G17=0,0,P19)</f>
        <v>0</v>
      </c>
      <c r="K17" s="1146"/>
      <c r="L17" s="1146"/>
      <c r="M17" s="86"/>
      <c r="N17" s="86"/>
      <c r="O17" s="86"/>
      <c r="P17" s="86"/>
    </row>
    <row r="18" spans="1:16" s="52" customFormat="1" ht="13.5" customHeight="1" x14ac:dyDescent="0.25">
      <c r="B18" s="1167" t="s">
        <v>157</v>
      </c>
      <c r="C18" s="1167"/>
      <c r="E18" s="1167" t="s">
        <v>156</v>
      </c>
      <c r="F18" s="1167"/>
      <c r="J18" s="69"/>
      <c r="K18" s="1146"/>
      <c r="L18" s="1146"/>
      <c r="M18" s="86"/>
      <c r="N18" s="86"/>
      <c r="O18" s="86"/>
      <c r="P18" s="86"/>
    </row>
    <row r="19" spans="1:16" s="52" customFormat="1" ht="13.5" customHeight="1" x14ac:dyDescent="0.25">
      <c r="A19" s="70" t="s">
        <v>167</v>
      </c>
      <c r="B19" s="67"/>
      <c r="C19" s="99"/>
      <c r="D19" s="70" t="s">
        <v>167</v>
      </c>
      <c r="E19" s="67"/>
      <c r="F19" s="99"/>
      <c r="J19" s="68"/>
      <c r="M19" s="57">
        <f>SUM(M14:M18)</f>
        <v>0</v>
      </c>
      <c r="N19" s="57">
        <f t="shared" ref="N19:P19" si="1">SUM(N14:N18)</f>
        <v>0</v>
      </c>
      <c r="O19" s="57">
        <f t="shared" si="1"/>
        <v>0</v>
      </c>
      <c r="P19" s="57">
        <f t="shared" si="1"/>
        <v>0</v>
      </c>
    </row>
    <row r="20" spans="1:16" s="52" customFormat="1" ht="13.5" customHeight="1" x14ac:dyDescent="0.2">
      <c r="A20" s="60" t="s">
        <v>155</v>
      </c>
    </row>
    <row r="21" spans="1:16" ht="14.25" customHeight="1" x14ac:dyDescent="0.2">
      <c r="A21" s="1147"/>
      <c r="B21" s="1149" t="s">
        <v>9</v>
      </c>
      <c r="C21" s="1150"/>
      <c r="D21" s="1150"/>
      <c r="E21" s="1150"/>
      <c r="F21" s="1150"/>
      <c r="G21" s="1151"/>
      <c r="H21" s="1152" t="s">
        <v>119</v>
      </c>
      <c r="I21" s="1153"/>
      <c r="J21" s="1153"/>
      <c r="K21" s="1153"/>
      <c r="L21" s="1153"/>
      <c r="M21" s="1153"/>
      <c r="N21" s="1153"/>
      <c r="O21" s="33"/>
      <c r="P21" s="1154" t="s">
        <v>0</v>
      </c>
    </row>
    <row r="22" spans="1:16" ht="14.25" customHeight="1" x14ac:dyDescent="0.2">
      <c r="A22" s="1148"/>
      <c r="B22" s="1157" t="s">
        <v>117</v>
      </c>
      <c r="C22" s="124" t="s">
        <v>115</v>
      </c>
      <c r="D22" s="1159" t="s">
        <v>277</v>
      </c>
      <c r="E22" s="1161" t="s">
        <v>147</v>
      </c>
      <c r="F22" s="127" t="s">
        <v>7</v>
      </c>
      <c r="G22" s="1162" t="s">
        <v>6</v>
      </c>
      <c r="H22" s="1161" t="s">
        <v>129</v>
      </c>
      <c r="I22" s="1161" t="s">
        <v>5</v>
      </c>
      <c r="J22" s="1161" t="s">
        <v>4</v>
      </c>
      <c r="K22" s="1161" t="s">
        <v>3</v>
      </c>
      <c r="L22" s="1161" t="s">
        <v>121</v>
      </c>
      <c r="M22" s="1161" t="s">
        <v>122</v>
      </c>
      <c r="N22" s="1161" t="s">
        <v>123</v>
      </c>
      <c r="O22" s="1160" t="s">
        <v>114</v>
      </c>
      <c r="P22" s="1155"/>
    </row>
    <row r="23" spans="1:16" ht="14.25" customHeight="1" x14ac:dyDescent="0.2">
      <c r="A23" s="1148"/>
      <c r="B23" s="1157"/>
      <c r="C23" s="21" t="str">
        <f>IF(C19="","",C19)</f>
        <v/>
      </c>
      <c r="D23" s="1160"/>
      <c r="E23" s="1161"/>
      <c r="F23" s="1165" t="str">
        <f>IF(H14=0,"","siehe Zuschläge / Zulagen")</f>
        <v/>
      </c>
      <c r="G23" s="1162"/>
      <c r="H23" s="1164" t="s">
        <v>127</v>
      </c>
      <c r="I23" s="1164"/>
      <c r="J23" s="1164"/>
      <c r="K23" s="1164"/>
      <c r="L23" s="1164"/>
      <c r="M23" s="1164"/>
      <c r="N23" s="1164"/>
      <c r="O23" s="1160"/>
      <c r="P23" s="1155"/>
    </row>
    <row r="24" spans="1:16" x14ac:dyDescent="0.2">
      <c r="A24" s="1148"/>
      <c r="B24" s="1157"/>
      <c r="C24" s="122" t="s">
        <v>70</v>
      </c>
      <c r="D24" s="1160"/>
      <c r="E24" s="1161"/>
      <c r="F24" s="1165"/>
      <c r="G24" s="1162"/>
      <c r="H24" s="43" t="s">
        <v>128</v>
      </c>
      <c r="I24" s="43" t="s">
        <v>255</v>
      </c>
      <c r="J24" s="43" t="s">
        <v>256</v>
      </c>
      <c r="K24" s="43" t="s">
        <v>257</v>
      </c>
      <c r="L24" s="43"/>
      <c r="M24" s="43"/>
      <c r="N24" s="43" t="s">
        <v>254</v>
      </c>
      <c r="O24" s="1160"/>
      <c r="P24" s="1155"/>
    </row>
    <row r="25" spans="1:16" x14ac:dyDescent="0.2">
      <c r="A25" s="1148"/>
      <c r="B25" s="1158"/>
      <c r="C25" s="21" t="str">
        <f>IF(F19="","",F19)</f>
        <v/>
      </c>
      <c r="D25" s="51"/>
      <c r="E25" s="51"/>
      <c r="F25" s="1166"/>
      <c r="G25" s="1163"/>
      <c r="H25" s="93"/>
      <c r="I25" s="139">
        <f>'päd.Personal - Leitung'!$I$69</f>
        <v>0</v>
      </c>
      <c r="J25" s="139">
        <f>'päd.Personal - Leitung'!$J$69</f>
        <v>0</v>
      </c>
      <c r="K25" s="44">
        <f>'päd.Personal - Leitung'!$K$69</f>
        <v>0</v>
      </c>
      <c r="L25" s="21"/>
      <c r="M25" s="21"/>
      <c r="N25" s="139">
        <f>'päd.Personal - Leitung'!$N$69</f>
        <v>0</v>
      </c>
      <c r="O25" s="21">
        <f>'päd.Personal - Leitung'!$O$69</f>
        <v>0</v>
      </c>
      <c r="P25" s="1156"/>
    </row>
    <row r="26" spans="1:16" x14ac:dyDescent="0.2">
      <c r="A26" s="100" t="str">
        <f>'päd.Personal - Leitung'!$A$26</f>
        <v>Jan 2022</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76">
        <f>ROUND(IF((SUM(B26:F26))&gt;L41,L41*H25,SUM(B26:F26)*H25),2)</f>
        <v>0</v>
      </c>
      <c r="I26" s="76">
        <f>ROUND(IF((SUM(B26:F26))&gt;L42,L42*I25,SUM(B26:F26)*I25),2)</f>
        <v>0</v>
      </c>
      <c r="J26" s="76">
        <f>ROUND(IF((SUM(B26:F26))&gt;L42,L42*J25,SUM(B26:F26)*J25),2)</f>
        <v>0</v>
      </c>
      <c r="K26" s="76">
        <f>ROUND(IF((SUM(B26:F26))&gt;L41,L41*K25,SUM(B26:F26)*K25),2)</f>
        <v>0</v>
      </c>
      <c r="L26" s="76">
        <f>ROUND(IF((SUM(B26:F26))&gt;L42,L42*L25,(SUM(B26:F26)-C26)*L25),2)</f>
        <v>0</v>
      </c>
      <c r="M26" s="76">
        <f>ROUND(IF((SUM(B26:F26))&gt;L42,L42*M25,(SUM(B26:F26)-C26)*M25),2)</f>
        <v>0</v>
      </c>
      <c r="N26" s="76">
        <f>ROUND(IF((SUM(B26:F26))&gt;L42,L42*N25,SUM(B26:F26)*N25),2)</f>
        <v>0</v>
      </c>
      <c r="O26" s="23">
        <f>ROUND(SUM(B26+C26+F26)*O25,2)</f>
        <v>0</v>
      </c>
      <c r="P26" s="27">
        <f>SUM(G26:O26)</f>
        <v>0</v>
      </c>
    </row>
    <row r="27" spans="1:16" x14ac:dyDescent="0.2">
      <c r="A27" s="100" t="str">
        <f>'päd.Personal - Leitung'!$A$27</f>
        <v>Feb 2022</v>
      </c>
      <c r="B27" s="24">
        <f>ROUND(IF(N7=0,0,IFERROR(((LOOKUP(2,1/(A14:A17=A27),G14:G17))*N7*4.348),B26/N7*N7)),2)</f>
        <v>0</v>
      </c>
      <c r="C27" s="23">
        <f>ROUND(IFERROR(((LOOKUP(2,1/(B19=A27),((SUM(B32:B34)+SUM(F32:F34))/3)*C19))),0)+IFERROR(((LOOKUP(2,1/(E19=A27),(B38+F38)*F19))),0),2)</f>
        <v>0</v>
      </c>
      <c r="D27" s="23">
        <f>ROUND(IF(B27=0,0,D25/L7*N7),2)</f>
        <v>0</v>
      </c>
      <c r="E27" s="23">
        <f>ROUND(IF(B27=0,0,E25/N3*N7),2)</f>
        <v>0</v>
      </c>
      <c r="F27" s="24">
        <f>ROUND(IF(N7=0,0,IFERROR(((LOOKUP(2,1/(A14:A17=A27),H14:H17))/N3*N7),F26/N7*N7)),2)</f>
        <v>0</v>
      </c>
      <c r="G27" s="27">
        <f t="shared" ref="G27:G37" si="2">SUM(B27+C27+E27+F27)</f>
        <v>0</v>
      </c>
      <c r="H27" s="76">
        <f>ROUND(IF(SUM(B26:F26)&lt;(L41*1),IF((SUM(B26:F27))&gt;(L41*2),(((L41*2)-(SUM(B26:F27)-C26))*H25)+((SUM(B27:F27)-C26)*H25),SUM(B27:F27)*H25),IF(SUM(B26:F27)&gt;(L41*2),L41*H25,SUM(B27:F27)*H25)),2)</f>
        <v>0</v>
      </c>
      <c r="I27" s="76">
        <f>ROUND(IF(SUM(B26:F26)&lt;(L42*1),IF((SUM(B26:F27))&gt;(L42*2),(((L42*2)-(SUM(B26:F27)-C26))*I25)+((SUM(B27:F27)-C26)*I25),SUM(B27:F27)*I25),IF(SUM(B26:F27)&gt;(L42*2),L42*I25,SUM(B27:F27)*I25)),2)</f>
        <v>0</v>
      </c>
      <c r="J27" s="76">
        <f>ROUND(IF(SUM(B26:F26)&lt;(L42*1),IF((SUM(B26:F27))&gt;(L42*2),(((L42*2)-(SUM(B26:F27)-C26))*J25)+((SUM(B27:F27)-C26)*J25),SUM(B27:F27)*J25),IF(SUM(B26:F27)&gt;(L42*2),L42*J25,SUM(B27:F27)*J25)),2)</f>
        <v>0</v>
      </c>
      <c r="K27" s="76">
        <f>ROUND(IF(SUM(B26:F26)&lt;(L41*1),IF((SUM(B26:F27))&gt;(L41*2),(((L41*2)-(SUM(B26:F27)-C26))*K25)+((SUM(B27:F27)-C26)*K25),SUM(B27:F27)*K25),IF(SUM(B26:F27)&gt;(L41*2),L41*K25,SUM(B27:F27)*K25)),2)</f>
        <v>0</v>
      </c>
      <c r="L27" s="76">
        <f>ROUND(IF(SUM(B26:F26)&lt;(L42*1),IF((SUM(B26:F27))&gt;(L42*2),(((L42*2)-(SUM(B26:F27)-C27))*L25)+((SUM(B27:F27)-C27)*L25),(SUM(B27:F27)-C27)*L25),IF(SUM(B26:F27)&gt;(L42*2),L42*L25,SUM(B27:F27)*L25)),2)</f>
        <v>0</v>
      </c>
      <c r="M27" s="76">
        <f>ROUND(IF(SUM(B26:F26)&lt;(L42*1),IF((SUM(B26:F27))&gt;(L42*2),(((L42*2)-(SUM(B26:F27)-C27))*M25)+((SUM(B27:F27)-C27)*M25),(SUM(B27:F27)-C27)*M25),IF(SUM(B26:F27)&gt;(L42*2),L42*M25,SUM(B27:F27)*M25)),2)</f>
        <v>0</v>
      </c>
      <c r="N27" s="76">
        <f>ROUND(IF(SUM(B26:F26)&lt;(L42*1),IF((SUM(B26:F27))&gt;(L42*2),(((L42*2)-(SUM(B26:F27)-C26))*N25)+((SUM(B27:F27)-C26)*N25),SUM(B27:F27)*N25),IF(SUM(B26:F27)&gt;(L42*2),L42*N25,SUM(B27:F27)*N25)),2)</f>
        <v>0</v>
      </c>
      <c r="O27" s="23">
        <f>ROUND(SUM(B27+C27+F27)*O25,2)</f>
        <v>0</v>
      </c>
      <c r="P27" s="27">
        <f>SUM(G27:O27)</f>
        <v>0</v>
      </c>
    </row>
    <row r="28" spans="1:16" x14ac:dyDescent="0.2">
      <c r="A28" s="100" t="str">
        <f>'päd.Personal - Leitung'!$A$28</f>
        <v>Mrz 2022</v>
      </c>
      <c r="B28" s="24">
        <f>ROUND(IF(N8=0,0,IFERROR(((LOOKUP(2,1/(A14:A17=A28),G14:G17))*N8*4.348),B27/N8*N8)),2)</f>
        <v>0</v>
      </c>
      <c r="C28" s="23">
        <f>ROUND(IFERROR(((LOOKUP(2,1/(B19=A28),((SUM(B32:B34)+SUM(F32:F34))/3)*C19))),0)+IFERROR(((LOOKUP(2,1/(E19=A28),(B38+F38)*F19))),0),2)</f>
        <v>0</v>
      </c>
      <c r="D28" s="23">
        <f>ROUND(IF(B28=0,0,D25/L7*N8),2)</f>
        <v>0</v>
      </c>
      <c r="E28" s="23">
        <f>ROUND(IF(B28=0,0,E25/N3*N8),2)</f>
        <v>0</v>
      </c>
      <c r="F28" s="24">
        <f>ROUND(IF(N8=0,0,IFERROR(((LOOKUP(2,1/(A14:A17=A28),H14:H17))/N3*N8),F27/N8*N8)),2)</f>
        <v>0</v>
      </c>
      <c r="G28" s="27">
        <f t="shared" si="2"/>
        <v>0</v>
      </c>
      <c r="H28" s="76">
        <f>ROUND(IF(SUM(B26:F27)&lt;(L41*2),IF((SUM(B26:F28))&gt;(L41*3),(((L41*3)-(SUM(B26:F28)-C27))*H25)+((SUM(B28:F28)-C27)*H25),SUM(B28:F28)*H25),IF(SUM(B26:F28)&gt;(L41*3),L41*H25,SUM(B28:F28)*H25)),2)</f>
        <v>0</v>
      </c>
      <c r="I28" s="76">
        <f>ROUND(IF(SUM(B26:F27)&lt;(L42*2),IF((SUM(B26:F28))&gt;(L42*3),(((L42*3)-(SUM(B26:F28)-C27))*I25)+((SUM(B28:F28)-C27)*I25),SUM(B28:F28)*I25),IF(SUM(B26:F28)&gt;(L42*3),L42*I25,SUM(B28:F28)*I25)),2)</f>
        <v>0</v>
      </c>
      <c r="J28" s="76">
        <f>ROUND(IF(SUM(B26:F27)&lt;(L42*2),IF((SUM(B26:F28))&gt;(L42*3),(((L42*3)-(SUM(B26:F28)-C27))*J25)+((SUM(B28:F28)-C27)*J25),SUM(B28:F28)*J25),IF(SUM(B26:F28)&gt;(L42*3),L42*J25,SUM(B28:F28)*J25)),2)</f>
        <v>0</v>
      </c>
      <c r="K28" s="76">
        <f>ROUND(IF(SUM(B26:F27)&lt;(L41*2),IF((SUM(B26:F28))&gt;(L41*3),(((L41*3)-(SUM(B26:F28)-C27))*K25)+((SUM(B28:F28)-C27)*K25),SUM(B28:F28)*K25),IF(SUM(B26:F28)&gt;(L41*3),L41*K25,SUM(B28:F28)*K25)),2)</f>
        <v>0</v>
      </c>
      <c r="L28" s="76">
        <f>ROUND(IF(SUM(B26:F27)&lt;(L42*2),IF((SUM(B26:F28))&gt;(L42*3),(((L42*3)-(SUM(B26:F28)-C28))*L25)+((SUM(B28:F28)-C28)*L25),(SUM(B28:F28)-C28)*L25),IF(SUM(B26:F28)&gt;(L42*3),L42*L25,SUM(B28:F28)*L25)),2)</f>
        <v>0</v>
      </c>
      <c r="M28" s="76">
        <f>ROUND(IF(SUM(B26:F27)&lt;(L42*2),IF((SUM(B26:F28))&gt;(L42*3),(((L42*3)-(SUM(B26:F28)-C28))*M25)+((SUM(B28:F28)-C28)*M25),(SUM(B28:F28)-C28)*M25),IF(SUM(B26:F28)&gt;(L42*3),L42*M25,SUM(B28:F28)*M25)),2)</f>
        <v>0</v>
      </c>
      <c r="N28" s="76">
        <f>ROUND(IF(SUM(B26:F27)&lt;(L42*2),IF((SUM(B26:F28))&gt;(L42*3),(((L42*3)-(SUM(B26:F28)-C27))*N25)+((SUM(B28:F28)-C27)*N25),SUM(B28:F28)*N25),IF(SUM(B26:F28)&gt;(L42*3),L42*N25,SUM(B28:F28)*N25)),2)</f>
        <v>0</v>
      </c>
      <c r="O28" s="23">
        <f>ROUND(SUM(B28+C28+F28)*O25,2)</f>
        <v>0</v>
      </c>
      <c r="P28" s="27">
        <f t="shared" ref="P28:P37" si="3">SUM(G28:O28)</f>
        <v>0</v>
      </c>
    </row>
    <row r="29" spans="1:16" x14ac:dyDescent="0.2">
      <c r="A29" s="100" t="str">
        <f>'päd.Personal - Leitung'!$A$29</f>
        <v>Apr 2022</v>
      </c>
      <c r="B29" s="24">
        <f>ROUND(IF(N9=0,0,IFERROR(((LOOKUP(2,1/(A14:A17=A29),G14:G17))*N9*4.348),B28/N9*N9)),2)</f>
        <v>0</v>
      </c>
      <c r="C29" s="23">
        <f>ROUND(IFERROR(((LOOKUP(2,1/(B19=A29),((SUM(B32:B34)+SUM(F32:F34))/3)*C19))),0)+IFERROR(((LOOKUP(2,1/(E19=A29),(B38+F38)*F19))),0),2)</f>
        <v>0</v>
      </c>
      <c r="D29" s="23">
        <f>ROUND(IF(B29=0,0,D25/L7*N9),2)</f>
        <v>0</v>
      </c>
      <c r="E29" s="23">
        <f>ROUND(IF(B29=0,0,E25/N3*N9),2)</f>
        <v>0</v>
      </c>
      <c r="F29" s="24">
        <f>ROUND(IF(N9=0,0,IFERROR(((LOOKUP(2,1/(A14:A17=A29),H14:H17))/N3*N9),F28/N9*N9)),2)</f>
        <v>0</v>
      </c>
      <c r="G29" s="27">
        <f t="shared" si="2"/>
        <v>0</v>
      </c>
      <c r="H29" s="76">
        <f>ROUND(IF(SUM(B26:F28)&lt;(L41*3),IF((SUM(B26:F29))&gt;(L41*4),(((L41*4)-(SUM(B26:F29)-C28))*H25)+((SUM(B29:F29)-C28)*H25),SUM(B29:F29)*H25),IF(SUM(B26:F29)&gt;(L41*4),L41*H25,SUM(B29:F29)*H25)),2)</f>
        <v>0</v>
      </c>
      <c r="I29" s="76">
        <f>ROUND(IF(SUM(B26:F28)&lt;(L42*3),IF((SUM(B26:F29))&gt;(L42*4),(((L42*4)-(SUM(B26:F29)-C28))*I25)+((SUM(B29:F29)-C28)*I25),SUM(B29:F29)*I25),IF(SUM(B26:F29)&gt;(L42*4),L42*I25,SUM(B29:F29)*I25)),2)</f>
        <v>0</v>
      </c>
      <c r="J29" s="76">
        <f>ROUND(IF(SUM(B26:F28)&lt;(L42*3),IF((SUM(B26:F29))&gt;(L42*4),(((L42*4)-(SUM(B26:F29)-C28))*J25)+((SUM(B29:F29)-C28)*J25),SUM(B29:F29)*J25),IF(SUM(B26:F29)&gt;(L42*4),L42*J25,SUM(B29:F29)*J25)),2)</f>
        <v>0</v>
      </c>
      <c r="K29" s="76">
        <f>ROUND(IF(SUM(B26:F28)&lt;(L41*3),IF((SUM(B26:F29))&gt;(L41*4),(((L41*4)-(SUM(B26:F29)-C28))*K25)+((SUM(B29:F29)-C28)*K25),SUM(B29:F29)*K25),IF(SUM(B26:F29)&gt;(L41*4),L41*K25,SUM(B29:F29)*K25)),2)</f>
        <v>0</v>
      </c>
      <c r="L29" s="76">
        <f>ROUND(IF(SUM(B26:F28)&lt;(L42*3),IF((SUM(B26:F29))&gt;(L42*4),(((L42*4)-(SUM(B26:F29)-C29))*L25)+((SUM(B29:F29)-C29)*L25),(SUM(B29:F29)-C29)*L25),IF(SUM(B26:F29)&gt;(L42*4),L42*L25,SUM(B29:F29)*L25)),2)</f>
        <v>0</v>
      </c>
      <c r="M29" s="76">
        <f>ROUND(IF(SUM(B26:F28)&lt;(L42*3),IF((SUM(B26:F29))&gt;(L42*4),(((L42*4)-(SUM(B26:F29)-C29))*M25)+((SUM(B29:F29)-C29)*M25),(SUM(B29:F29)-C29)*M25),IF(SUM(B26:F29)&gt;(L42*4),L42*M25,SUM(B29:F29)*M25)),2)</f>
        <v>0</v>
      </c>
      <c r="N29" s="76">
        <f>ROUND(IF(SUM(B26:F28)&lt;(L42*3),IF((SUM(B26:F29))&gt;(L42*4),(((L42*4)-(SUM(B26:F29)-C28))*N25)+((SUM(B29:F29)-C28)*N25),SUM(B29:F29)*N25),IF(SUM(B26:F29)&gt;(L42*4),L42*N25,SUM(B29:F29)*N25)),2)</f>
        <v>0</v>
      </c>
      <c r="O29" s="23">
        <f>ROUND(SUM(B29+C29+F29)*O25,2)</f>
        <v>0</v>
      </c>
      <c r="P29" s="27">
        <f t="shared" si="3"/>
        <v>0</v>
      </c>
    </row>
    <row r="30" spans="1:16" x14ac:dyDescent="0.2">
      <c r="A30" s="100" t="str">
        <f>'päd.Personal - Leitung'!$A$30</f>
        <v>Mai 2022</v>
      </c>
      <c r="B30" s="24">
        <f>ROUND(IF(N10=0,0,IFERROR(((LOOKUP(2,1/(A14:A17=A30),G14:G17))*N10*4.348),B29/N10*N10)),2)</f>
        <v>0</v>
      </c>
      <c r="C30" s="23">
        <f>ROUND(IFERROR(((LOOKUP(2,1/(B19=A30),((SUM(B32:B34)+SUM(F32:F34))/3)*C19))),0)+IFERROR(((LOOKUP(2,1/(E19=A30),(B38+F38)*F19))),0),2)</f>
        <v>0</v>
      </c>
      <c r="D30" s="23">
        <f>ROUND(IF(B30=0,0,D25/L7*N10),2)</f>
        <v>0</v>
      </c>
      <c r="E30" s="23">
        <f>ROUND(IF(B30=0,0,E25/N3*N10),2)</f>
        <v>0</v>
      </c>
      <c r="F30" s="24">
        <f>ROUND(IF(N10=0,0,IFERROR(((LOOKUP(2,1/(A14:A17=A30),H14:H17))/N3*N10),F29/N10*N10)),2)</f>
        <v>0</v>
      </c>
      <c r="G30" s="27">
        <f t="shared" si="2"/>
        <v>0</v>
      </c>
      <c r="H30" s="76">
        <f>ROUND(IF(SUM(B26:F29)&lt;(L41*4),IF((SUM(B26:F30))&gt;(L41*5),(((L41*5)-(SUM(B26:F30)-C29))*H25)+((SUM(B30:F30)-C29)*H25),SUM(B30:F30)*H25),IF(SUM(B26:F30)&gt;(L41*5),L41*H25,SUM(B30:F30)*H25)),2)</f>
        <v>0</v>
      </c>
      <c r="I30" s="76">
        <f>ROUND(IF(SUM(B26:F29)&lt;(L42*4),IF((SUM(B26:F30))&gt;(L42*5),(((L42*5)-(SUM(B26:F30)-C29))*I25)+((SUM(B30:F30)-C29)*I25),SUM(B30:F30)*I25),IF(SUM(B26:F30)&gt;(L42*5),L42*I25,SUM(B30:F30)*I25)),2)</f>
        <v>0</v>
      </c>
      <c r="J30" s="76">
        <f>ROUND(IF(SUM(B26:F29)&lt;(L42*4),IF((SUM(B26:F30))&gt;(L42*5),(((L42*5)-(SUM(B26:F30)-C29))*J25)+((SUM(B30:F30)-C29)*J25),SUM(B30:F30)*J25),IF(SUM(B26:F30)&gt;(L42*5),L42*J25,SUM(B30:F30)*J25)),2)</f>
        <v>0</v>
      </c>
      <c r="K30" s="76">
        <f>ROUND(IF(SUM(B26:F29)&lt;(L41*4),IF((SUM(B26:F30))&gt;(L41*5),(((L41*5)-(SUM(B26:F30)-C29))*K25)+((SUM(B30:F30)-C29)*K25),SUM(B30:F30)*K25),IF(SUM(B26:F30)&gt;(L41*5),L41*K25,SUM(B30:F30)*K25)),2)</f>
        <v>0</v>
      </c>
      <c r="L30" s="76">
        <f>ROUND(IF(SUM(B26:F29)&lt;(L42*4),IF((SUM(B26:F30))&gt;(L42*5),(((L42*5)-(SUM(B26:F30)-C30))*L25)+((SUM(B30:F30)-C30)*L25),(SUM(B30:F30)-C30)*L25),IF(SUM(B26:F30)&gt;(L42*5),L42*L25,SUM(B30:F30)*L25)),2)</f>
        <v>0</v>
      </c>
      <c r="M30" s="76">
        <f>ROUND(IF(SUM(B26:F29)&lt;(L42*4),IF((SUM(B26:F30))&gt;(L42*5),(((L42*5)-(SUM(B26:F30)-C30))*M25)+((SUM(B30:F30)-C30)*M25),(SUM(B30:F30)-C30)*M25),IF(SUM(B26:F30)&gt;(L42*5),L42*M25,SUM(B30:F30)*M25)),2)</f>
        <v>0</v>
      </c>
      <c r="N30" s="76">
        <f>ROUND(IF(SUM(B26:F29)&lt;(L42*4),IF((SUM(B26:F30))&gt;(L42*5),(((L42*5)-(SUM(B26:F30)-C29))*N25)+((SUM(B30:F30)-C29)*N25),SUM(B30:F30)*N25),IF(SUM(B26:F30)&gt;(L42*5),L42*N25,SUM(B30:F30)*N25)),2)</f>
        <v>0</v>
      </c>
      <c r="O30" s="23">
        <f>ROUND(SUM(B30+C30+F30)*O25,2)</f>
        <v>0</v>
      </c>
      <c r="P30" s="27">
        <f t="shared" si="3"/>
        <v>0</v>
      </c>
    </row>
    <row r="31" spans="1:16" x14ac:dyDescent="0.2">
      <c r="A31" s="100" t="str">
        <f>'päd.Personal - Leitung'!$A$31</f>
        <v>Jun 2022</v>
      </c>
      <c r="B31" s="24">
        <f>ROUND(IF(N11=0,0,IFERROR(((LOOKUP(2,1/(A14:A17=A31),G14:G17))*N11*4.348),B30/N11*N11)),2)</f>
        <v>0</v>
      </c>
      <c r="C31" s="23">
        <f>ROUND(IFERROR(((LOOKUP(2,1/(B19=A31),((SUM(B32:B34)+SUM(F32:F34))/3)*C19))),0)+IFERROR(((LOOKUP(2,1/(E19=A31),(B38+F38)*F19))),0),2)</f>
        <v>0</v>
      </c>
      <c r="D31" s="23">
        <f>ROUND(IF(B31=0,0,D25/L7*N11),2)</f>
        <v>0</v>
      </c>
      <c r="E31" s="23">
        <f>ROUND(IF(B31=0,0,E25/N3*N11),2)</f>
        <v>0</v>
      </c>
      <c r="F31" s="24">
        <f>ROUND(IF(N11=0,0,IFERROR(((LOOKUP(2,1/(A14:A17=A31),H14:H17))/N3*N11),F30/N11*N11)),2)</f>
        <v>0</v>
      </c>
      <c r="G31" s="27">
        <f t="shared" si="2"/>
        <v>0</v>
      </c>
      <c r="H31" s="76">
        <f>ROUND(IF(SUM(B26:F30)&lt;(L41*5),IF((SUM(B26:F31))&gt;(L41*6),(((L41*6)-(SUM(B26:F31)-C30))*H25)+((SUM(B31:F31)-C30)*H25),SUM(B31:F31)*H25),IF(SUM(B26:F31)&gt;(L41*6),L41*H25,SUM(B31:F31)*H25)),2)</f>
        <v>0</v>
      </c>
      <c r="I31" s="76">
        <f>ROUND(IF(SUM(B26:F30)&lt;(L42*5),IF((SUM(B26:F31))&gt;(L42*6),(((L42*6)-(SUM(B26:F31)-C30))*I25)+((SUM(B31:F31)-C30)*I25),SUM(B31:F31)*I25),IF(SUM(B26:F31)&gt;(L42*6),L42*I25,SUM(B31:F31)*I25)),2)</f>
        <v>0</v>
      </c>
      <c r="J31" s="76">
        <f>ROUND(IF(SUM(B26:F30)&lt;(L42*5),IF((SUM(B26:F31))&gt;(L42*6),(((L42*6)-(SUM(B26:F31)-C30))*J25)+((SUM(B31:F31)-C30)*J25),SUM(B31:F31)*J25),IF(SUM(B26:F31)&gt;(L42*6),L42*J25,SUM(B31:F31)*J25)),2)</f>
        <v>0</v>
      </c>
      <c r="K31" s="76">
        <f>ROUND(IF(SUM(B26:F30)&lt;(L41*5),IF((SUM(B26:F31))&gt;(L41*6),(((L41*6)-(SUM(B26:F31)-C30))*K25)+((SUM(B31:F31)-C30)*K25),SUM(B31:F31)*K25),IF(SUM(B26:F31)&gt;(L41*6),L41*K25,SUM(B31:F31)*K25)),2)</f>
        <v>0</v>
      </c>
      <c r="L31" s="76">
        <f>ROUND(IF(SUM(B26:F30)&lt;(L42*5),IF((SUM(B26:F31))&gt;(L42*6),(((L42*6)-(SUM(B26:F31)-C31))*L25)+((SUM(B31:F31)-C31)*L25),(SUM(B31:F31)-C31)*L25),IF(SUM(B26:F31)&gt;(L42*6),L42*L25,SUM(B31:F31)*L25)),2)</f>
        <v>0</v>
      </c>
      <c r="M31" s="76">
        <f>ROUND(IF(SUM(B26:F30)&lt;(L42*5),IF((SUM(B26:F31))&gt;(L42*6),(((L42*6)-(SUM(B26:F31)-C31))*M25)+((SUM(B31:F31)-C31)*M25),(SUM(B31:F31)-C31)*M25),IF(SUM(B26:F31)&gt;(L42*6),L42*M25,SUM(B31:F31)*M25)),2)</f>
        <v>0</v>
      </c>
      <c r="N31" s="76">
        <f>ROUND(IF(SUM(B26:F30)&lt;(L42*5),IF((SUM(B26:F31))&gt;(L42*6),(((L42*6)-(SUM(B26:F31)-C30))*N25)+((SUM(B31:F31)-C30)*N25),SUM(B31:F31)*N25),IF(SUM(B26:F31)&gt;(L42*6),L42*N25,SUM(B31:F31)*N25)),2)</f>
        <v>0</v>
      </c>
      <c r="O31" s="23">
        <f>ROUND(SUM(B31+C31+F31)*O25,2)</f>
        <v>0</v>
      </c>
      <c r="P31" s="27">
        <f t="shared" si="3"/>
        <v>0</v>
      </c>
    </row>
    <row r="32" spans="1:16" x14ac:dyDescent="0.2">
      <c r="A32" s="100" t="str">
        <f>'päd.Personal - Leitung'!$A$32</f>
        <v>Jul 2022</v>
      </c>
      <c r="B32" s="24">
        <f>ROUND(IF(P6=0,0,IFERROR(((LOOKUP(2,1/(A14:A17=A32),G14:G17))*P6*4.348),B31/P6*P6)),2)</f>
        <v>0</v>
      </c>
      <c r="C32" s="23">
        <f>ROUND(IFERROR(((LOOKUP(2,1/(B19=A32),((SUM(B32:B34)+SUM(F32:F34))/3)*C19))),0)+IFERROR(((LOOKUP(2,1/(E19=A32),(B38+F38)*F19))),0),2)</f>
        <v>0</v>
      </c>
      <c r="D32" s="23">
        <f>ROUND(IF(B32=0,0,D25/L7*P6),2)</f>
        <v>0</v>
      </c>
      <c r="E32" s="23">
        <f>ROUND(IF(B32=0,0,E25/N3*P6),2)</f>
        <v>0</v>
      </c>
      <c r="F32" s="24">
        <f>ROUND(IF(P6=0,0,IFERROR(((LOOKUP(2,1/(A14:A17=A32),H14:H17))/N3*P6),F31/P6*P6)),2)</f>
        <v>0</v>
      </c>
      <c r="G32" s="27">
        <f t="shared" si="2"/>
        <v>0</v>
      </c>
      <c r="H32" s="76">
        <f>ROUND(IF(SUM(B26:F31)&lt;(L41*6),IF((SUM(B26:F32))&gt;(L41*7),(((L41*7)-(SUM(B26:F32)-C31))*H25)+((SUM(B32:F32)-C31)*H25),SUM(B32:F32)*H25),IF(SUM(B26:F32)&gt;(L41*7),L41*H25,SUM(B32:F32)*H25)),2)</f>
        <v>0</v>
      </c>
      <c r="I32" s="76">
        <f>ROUND(IF(SUM(B26:F31)&lt;(L42*6),IF((SUM(B26:F32))&gt;(L42*7),(((L42*7)-(SUM(B26:F32)-C31))*I25)+((SUM(B32:F32)-C31)*I25),SUM(B32:F32)*I25),IF(SUM(B26:F32)&gt;(L42*7),L42*I25,SUM(B32:F32)*I25)),2)</f>
        <v>0</v>
      </c>
      <c r="J32" s="76">
        <f>ROUND(IF(SUM(B26:F31)&lt;(L42*6),IF((SUM(B26:F32))&gt;(L42*7),(((L42*7)-(SUM(B26:F32)-C31))*J25)+((SUM(B32:F32)-C31)*J25),SUM(B32:F32)*J25),IF(SUM(B26:F32)&gt;(L42*7),L42*J25,SUM(B32:F32)*J25)),2)</f>
        <v>0</v>
      </c>
      <c r="K32" s="76">
        <f>ROUND(IF(SUM(B26:F31)&lt;(L41*6),IF((SUM(B26:F32))&gt;(L41*7),(((L41*7)-(SUM(B26:F32)-C31))*K25)+((SUM(B32:F32)-C31)*K25),SUM(B32:F32)*K25),IF(SUM(B26:F32)&gt;(L41*7),L41*K25,SUM(B32:F32)*K25)),2)</f>
        <v>0</v>
      </c>
      <c r="L32" s="76">
        <f>ROUND(IF(SUM(B26:F31)&lt;(L42*6),IF((SUM(B26:F32))&gt;(L42*7),(((L42*7)-(SUM(B26:F32)-C32))*L25)+((SUM(B32:F32)-C32)*L25),(SUM(B32:F32)-C32)*L25),IF(SUM(B26:F32)&gt;(L42*7),L42*L25,SUM(B32:F32)*L25)),2)</f>
        <v>0</v>
      </c>
      <c r="M32" s="76">
        <f>ROUND(IF(SUM(B26:F31)&lt;(L42*6),IF((SUM(B26:F32))&gt;(L42*7),(((L42*7)-(SUM(B26:F32)-C32))*M25)+((SUM(B32:F32)-C32)*M25),(SUM(B32:F32)-C32)*M25),IF(SUM(B26:F32)&gt;(L42*7),L42*M25,SUM(B32:F32)*M25)),2)</f>
        <v>0</v>
      </c>
      <c r="N32" s="76">
        <f>ROUND(IF(SUM(B26:F31)&lt;(L42*6),IF((SUM(B26:F32))&gt;(L42*7),(((L42*7)-(SUM(B26:F32)-C31))*N25)+((SUM(B32:F32)-C31)*N25),SUM(B32:F32)*N25),IF(SUM(B26:F32)&gt;(L42*7),L42*N25,SUM(B32:F32)*N25)),2)</f>
        <v>0</v>
      </c>
      <c r="O32" s="23">
        <f>ROUND(SUM(B32+C32+F32)*O25,2)</f>
        <v>0</v>
      </c>
      <c r="P32" s="27">
        <f t="shared" si="3"/>
        <v>0</v>
      </c>
    </row>
    <row r="33" spans="1:16" x14ac:dyDescent="0.2">
      <c r="A33" s="100" t="str">
        <f>'päd.Personal - Leitung'!$A$33</f>
        <v>Aug 2022</v>
      </c>
      <c r="B33" s="24">
        <f>ROUND(IF(P7=0,0,IFERROR(((LOOKUP(2,1/(A14:A17=A33),G14:G17))*P7*4.348),B32/P7*P7)),2)</f>
        <v>0</v>
      </c>
      <c r="C33" s="23">
        <f>ROUND(IFERROR(((LOOKUP(2,1/(B19=A33),((SUM(B32:B34)+SUM(F32:F34))/3)*C19))),0)+IFERROR(((LOOKUP(2,1/(E19=A33),(B38+F38)*F19))),0),2)</f>
        <v>0</v>
      </c>
      <c r="D33" s="23">
        <f>ROUND(IF(B33=0,0,D25/L7*P7),2)</f>
        <v>0</v>
      </c>
      <c r="E33" s="23">
        <f>ROUND(IF(B33=0,0,E25/N3*P7),2)</f>
        <v>0</v>
      </c>
      <c r="F33" s="24">
        <f>ROUND(IF(P7=0,0,IFERROR(((LOOKUP(2,1/(A14:A17=A33),H14:H17))/N3*P7),F32/P7*P7)),2)</f>
        <v>0</v>
      </c>
      <c r="G33" s="27">
        <f t="shared" si="2"/>
        <v>0</v>
      </c>
      <c r="H33" s="76">
        <f>ROUND(IF(SUM(B26:F32)&lt;(L41*7),IF((SUM(B26:F33))&gt;(L41*8),(((L41*8)-(SUM(B26:F33)-C32))*H25)+((SUM(B33:F33)-C32)*H25),SUM(B33:F33)*H25),IF(SUM(B26:F33)&gt;(L41*8),L41*H25,SUM(B33:F33)*H25)),2)</f>
        <v>0</v>
      </c>
      <c r="I33" s="76">
        <f>ROUND(IF(SUM(B26:F32)&lt;(L42*7),IF((SUM(B26:F33))&gt;(L42*8),(((L42*8)-(SUM(B26:F33)-C32))*I25)+((SUM(B33:F33)-C32)*I25),SUM(B33:F33)*I25),IF(SUM(B26:F33)&gt;(L42*8),L42*I25,SUM(B33:F33)*I25)),2)</f>
        <v>0</v>
      </c>
      <c r="J33" s="76">
        <f>ROUND(IF(SUM(B26:F32)&lt;(L42*7),IF((SUM(B26:F33))&gt;(L42*8),(((L42*8)-(SUM(B26:F33)-C32))*J25)+((SUM(B33:F33)-C32)*J25),SUM(B33:F33)*J25),IF(SUM(B26:F33)&gt;(L42*8),L42*J25,SUM(B33:F33)*J25)),2)</f>
        <v>0</v>
      </c>
      <c r="K33" s="76">
        <f>ROUND(IF(SUM(B26:F32)&lt;(L41*7),IF((SUM(B26:F33))&gt;(L41*8),(((L41*8)-(SUM(B26:F33)-C32))*K25)+((SUM(B33:F33)-C32)*K25),SUM(B33:F33)*K25),IF(SUM(B26:F33)&gt;(L41*8),L41*K25,SUM(B33:F33)*K25)),2)</f>
        <v>0</v>
      </c>
      <c r="L33" s="76">
        <f>ROUND(IF(SUM(B26:F32)&lt;(L42*7),IF((SUM(B26:F33))&gt;(L42*8),(((L42*8)-(SUM(B26:F33)-C33))*L25)+((SUM(B33:F33)-C33)*L25),(SUM(B33:F33)-C33)*L25),IF(SUM(B26:F33)&gt;(L42*8),L42*L25,SUM(B33:F33)*L25)),2)</f>
        <v>0</v>
      </c>
      <c r="M33" s="76">
        <f>ROUND(IF(SUM(B26:F32)&lt;(L42*7),IF((SUM(B26:F33))&gt;(L42*8),(((L42*8)-(SUM(B26:F33)-C33))*M25)+((SUM(B33:F33)-C33)*M25),(SUM(B33:F33)-C33)*M25),IF(SUM(B26:F33)&gt;(L42*8),L42*M25,SUM(B33:F33)*M25)),2)</f>
        <v>0</v>
      </c>
      <c r="N33" s="76">
        <f>ROUND(IF(SUM(B26:F32)&lt;(L42*7),IF((SUM(B26:F33))&gt;(L42*8),(((L42*8)-(SUM(B26:F33)-C32))*N25)+((SUM(B33:F33)-C32)*N25),SUM(B33:F33)*N25),IF(SUM(B26:F33)&gt;(L42*8),L42*N25,SUM(B33:F33)*N25)),2)</f>
        <v>0</v>
      </c>
      <c r="O33" s="23">
        <f>ROUND(SUM(B33+C33+F33)*O25,2)</f>
        <v>0</v>
      </c>
      <c r="P33" s="27">
        <f t="shared" si="3"/>
        <v>0</v>
      </c>
    </row>
    <row r="34" spans="1:16" x14ac:dyDescent="0.2">
      <c r="A34" s="100" t="str">
        <f>'päd.Personal - Leitung'!$A$34</f>
        <v>Sep 2022</v>
      </c>
      <c r="B34" s="24">
        <f>ROUND(IF(P8=0,0,IFERROR(((LOOKUP(2,1/(A14:A17=A34),G14:G17))*P8*4.348),B33/P8*P8)),2)</f>
        <v>0</v>
      </c>
      <c r="C34" s="23">
        <f>ROUND(IFERROR(((LOOKUP(2,1/(B19=A34),((SUM(B32:B34)+SUM(F32:F34))/3)*C19))),0)+IFERROR(((LOOKUP(2,1/(E19=A34),(B38+F38)*F19))),0),2)</f>
        <v>0</v>
      </c>
      <c r="D34" s="23">
        <f>ROUND(IF(B34=0,0,D25/L7*P8),2)</f>
        <v>0</v>
      </c>
      <c r="E34" s="23">
        <f>ROUND(IF(B34=0,0,E25/N3*P8),2)</f>
        <v>0</v>
      </c>
      <c r="F34" s="24">
        <f>ROUND(IF(P8=0,0,IFERROR(((LOOKUP(2,1/(A14:A17=A34),H14:H17))/N3*P8),F33/P8*P8)),2)</f>
        <v>0</v>
      </c>
      <c r="G34" s="27">
        <f t="shared" si="2"/>
        <v>0</v>
      </c>
      <c r="H34" s="76">
        <f>ROUND(IF(SUM(B26:F33)&lt;(L41*8),IF((SUM(B26:F34))&gt;(L41*9),(((L41*9)-(SUM(B26:F34)-C33))*H25)+((SUM(B34:F34)-C33)*H25),SUM(B34:F34)*H25),IF(SUM(B26:F34)&gt;(L41*9),L41*H25,SUM(B34:F34)*H25)),2)</f>
        <v>0</v>
      </c>
      <c r="I34" s="76">
        <f>ROUND(IF(SUM(B26:F33)&lt;(L42*8),IF((SUM(B26:F34))&gt;(L42*9),(((L42*9)-(SUM(B26:F34)-C33))*I25)+((SUM(B34:F34)-C33)*I25),SUM(B34:F34)*I25),IF(SUM(B26:F34)&gt;(L42*9),L42*I25,SUM(B34:F34)*I25)),2)</f>
        <v>0</v>
      </c>
      <c r="J34" s="76">
        <f>ROUND(IF(SUM(B26:F33)&lt;(L42*8),IF((SUM(B26:F34))&gt;(L42*9),(((L42*9)-(SUM(B26:F34)-C33))*J25)+((SUM(B34:F34)-C33)*J25),SUM(B34:F34)*J25),IF(SUM(B26:F34)&gt;(L42*9),L42*J25,SUM(B34:F34)*J25)),2)</f>
        <v>0</v>
      </c>
      <c r="K34" s="76">
        <f>ROUND(IF(SUM(B26:F33)&lt;(L41*8),IF((SUM(B26:F34))&gt;(L41*9),(((L41*9)-(SUM(B26:F34)-C33))*K25)+((SUM(B34:F34)-C33)*K25),SUM(B34:F34)*K25),IF(SUM(B26:F34)&gt;(L41*9),L41*K25,SUM(B34:F34)*K25)),2)</f>
        <v>0</v>
      </c>
      <c r="L34" s="76">
        <f>ROUND(IF(SUM(B26:F33)&lt;(L42*8),IF((SUM(B26:F34))&gt;(L42*9),(((L42*9)-(SUM(B26:F34)-C34))*L25)+((SUM(B34:F34)-C34)*L25),(SUM(B34:F34)-C34)*L25),IF(SUM(B26:F34)&gt;(L42*9),L42*L25,SUM(B34:F34)*L25)),2)</f>
        <v>0</v>
      </c>
      <c r="M34" s="76">
        <f>ROUND(IF(SUM(B26:F33)&lt;(L42*8),IF((SUM(B26:F34))&gt;(L42*9),(((L42*9)-(SUM(B26:F34)-C34))*M25)+((SUM(B34:F34)-C34)*M25),(SUM(B34:F34)-C34)*M25),IF(SUM(B26:F34)&gt;(L42*9),L42*M25,SUM(B34:F34)*M25)),2)</f>
        <v>0</v>
      </c>
      <c r="N34" s="76">
        <f>ROUND(IF(SUM(B26:F33)&lt;(L42*8),IF((SUM(B26:F34))&gt;(L42*9),(((L42*9)-(SUM(B26:F34)-C33))*N25)+((SUM(B34:F34)-C33)*N25),SUM(B34:F34)*N25),IF(SUM(B26:F34)&gt;(L42*9),L42*N25,SUM(B34:F34)*N25)),2)</f>
        <v>0</v>
      </c>
      <c r="O34" s="23">
        <f>ROUND(SUM(B34+C34+F34)*O25,2)</f>
        <v>0</v>
      </c>
      <c r="P34" s="27">
        <f t="shared" si="3"/>
        <v>0</v>
      </c>
    </row>
    <row r="35" spans="1:16" x14ac:dyDescent="0.2">
      <c r="A35" s="100" t="str">
        <f>'päd.Personal - Leitung'!$A$35</f>
        <v>Okt 2022</v>
      </c>
      <c r="B35" s="24">
        <f>ROUND(IF(P9=0,0,IFERROR(((LOOKUP(2,1/(A14:A17=A35),G14:G17))*P9*4.348),B34/P9*P9)),2)</f>
        <v>0</v>
      </c>
      <c r="C35" s="23">
        <f>ROUND(IFERROR(((LOOKUP(2,1/(B19=A35),((SUM(B32:B34)+SUM(F32:F34))/3)*C19))),0)+IFERROR(((LOOKUP(2,1/(E19=A35),(B38+F38)*F19))),0),2)</f>
        <v>0</v>
      </c>
      <c r="D35" s="23">
        <f>ROUND(IF(B35=0,0,D25/L7*P9),2)</f>
        <v>0</v>
      </c>
      <c r="E35" s="23">
        <f>ROUND(IF(B35=0,0,E25/N3*P9),2)</f>
        <v>0</v>
      </c>
      <c r="F35" s="24">
        <f>ROUND(IF(P9=0,0,IFERROR(((LOOKUP(2,1/(A14:A17=A35),H14:H17))/N3*P9),F34/P9*P9)),2)</f>
        <v>0</v>
      </c>
      <c r="G35" s="27">
        <f t="shared" si="2"/>
        <v>0</v>
      </c>
      <c r="H35" s="76">
        <f>ROUND(IF(SUM(B26:F34)&lt;(L41*9),IF((SUM(B26:F35))&gt;(L41*10),(((L41*10)-(SUM(B26:F35)-C34))*H25)+((SUM(B35:F35)-C34)*H25),SUM(B35:F35)*H25),IF(SUM(B26:F35)&gt;(L41*10),L41*H25,SUM(B35:F35)*H25)),2)</f>
        <v>0</v>
      </c>
      <c r="I35" s="76">
        <f>ROUND(IF(SUM(B26:F34)&lt;(L42*9),IF((SUM(B26:F35))&gt;(L42*10),(((L42*10)-(SUM(B26:F35)-C34))*I25)+((SUM(B35:F35)-C34)*I25),SUM(B35:F35)*I25),IF(SUM(B26:F35)&gt;(L42*10),L42*I25,SUM(B35:F35)*I25)),2)</f>
        <v>0</v>
      </c>
      <c r="J35" s="76">
        <f>ROUND(IF(SUM(B26:F34)&lt;(L42*9),IF((SUM(B26:F35))&gt;(L42*10),(((L42*10)-(SUM(B26:F35)-C34))*J25)+((SUM(B35:F35)-C34)*J25),SUM(B35:F35)*J25),IF(SUM(B26:F35)&gt;(L42*10),L42*J25,SUM(B35:F35)*J25)),2)</f>
        <v>0</v>
      </c>
      <c r="K35" s="76">
        <f>ROUND(IF(SUM(B26:F34)&lt;(L41*9),IF((SUM(B26:F35))&gt;(L41*10),(((L41*10)-(SUM(B26:F35)-C34))*K25)+((SUM(B35:F35)-C34)*K25),SUM(B35:F35)*K25),IF(SUM(B26:F35)&gt;(L41*10),L41*K25,SUM(B35:F35)*K25)),2)</f>
        <v>0</v>
      </c>
      <c r="L35" s="76">
        <f>ROUND(IF(SUM(B26:F34)&lt;(L42*9),IF((SUM(B26:F35))&gt;(L42*10),(((L42*10)-(SUM(B26:F35)-C35))*L25)+((SUM(B35:F35)-C35)*L25),(SUM(B35:F35)-C35)*L25),IF(SUM(B26:F35)&gt;(L42*10),L42*L25,SUM(B35:F35)*L25)),2)</f>
        <v>0</v>
      </c>
      <c r="M35" s="76">
        <f>ROUND(IF(SUM(B26:F34)&lt;(L42*9),IF((SUM(B26:F35))&gt;(L42*10),(((L42*10)-(SUM(B26:F35)-C35))*M25)+((SUM(B35:F35)-C35)*M25),(SUM(B35:F35)-C35)*M25),IF(SUM(B26:F35)&gt;(L42*10),L42*M25,SUM(B35:F35)*M25)),2)</f>
        <v>0</v>
      </c>
      <c r="N35" s="76">
        <f>ROUND(IF(SUM(B26:F34)&lt;(L42*9),IF((SUM(B26:F35))&gt;(L42*10),(((L42*10)-(SUM(B26:F35)-C34))*N25)+((SUM(B35:F35)-C34)*N25),SUM(B35:F35)*N25),IF(SUM(B26:F35)&gt;(L42*10),L42*N25,SUM(B35:F35)*N25)),2)</f>
        <v>0</v>
      </c>
      <c r="O35" s="23">
        <f>ROUND(SUM(B35+C35+F35)*O25,2)</f>
        <v>0</v>
      </c>
      <c r="P35" s="27">
        <f t="shared" si="3"/>
        <v>0</v>
      </c>
    </row>
    <row r="36" spans="1:16" x14ac:dyDescent="0.2">
      <c r="A36" s="100" t="str">
        <f>'päd.Personal - Leitung'!$A$36</f>
        <v>Nov 2022</v>
      </c>
      <c r="B36" s="24">
        <f>ROUND(IF(P10=0,0,IFERROR(((LOOKUP(2,1/(A14:A17=A36),G14:G17))*P10*4.348),B35/P10*P10)),2)</f>
        <v>0</v>
      </c>
      <c r="C36" s="23">
        <f>ROUND(IFERROR(((LOOKUP(2,1/(B19=A36),((SUM(B32:B34)+SUM(F32:F34))/3)*C19))),0)+IFERROR(((LOOKUP(2,1/(E19=A36),(B38+F38)*F19))),0),2)</f>
        <v>0</v>
      </c>
      <c r="D36" s="23">
        <f>ROUND(IF(B36=0,0,D25/L7*P10),2)</f>
        <v>0</v>
      </c>
      <c r="E36" s="23">
        <f>ROUND(IF(B36=0,0,E25/N3*P10),2)</f>
        <v>0</v>
      </c>
      <c r="F36" s="24">
        <f>ROUND(IF(P10=0,0,IFERROR(((LOOKUP(2,1/(A14:A17=A36),H14:H17))/N3*P10),F35/P10*P10)),2)</f>
        <v>0</v>
      </c>
      <c r="G36" s="27">
        <f t="shared" si="2"/>
        <v>0</v>
      </c>
      <c r="H36" s="76">
        <f>ROUND(IF(SUM(B26:F35)&lt;(L41*10),IF((SUM(B26:F36))&gt;(L41*11),(((L41*11)-(SUM(B26:F36)-C35))*H25)+((SUM(B36:F36)-C35)*H25),SUM(B36:F36)*H25),IF(SUM(B26:F36)&gt;(L41*11),L41*H25,SUM(B36:F36)*H25)),2)</f>
        <v>0</v>
      </c>
      <c r="I36" s="76">
        <f>ROUND(IF(SUM(B26:F35)&lt;(L42*10),IF((SUM(B26:F36))&gt;(L42*11),(((L42*11)-(SUM(B26:F36)-C35))*I25)+((SUM(B36:F36)-C35)*I25),SUM(B36:F36)*I25),IF(SUM(B26:F36)&gt;(L42*11),L42*I25,SUM(B36:F36)*I25)),2)</f>
        <v>0</v>
      </c>
      <c r="J36" s="76">
        <f>ROUND(IF(SUM(B26:F35)&lt;(L42*10),IF((SUM(B26:F36))&gt;(L42*11),(((L42*11)-(SUM(B26:F36)-C35))*J25)+((SUM(B36:F36)-C35)*J25),SUM(B36:F36)*J25),IF(SUM(B26:F36)&gt;(L42*11),L42*J25,SUM(B36:F36)*J25)),2)</f>
        <v>0</v>
      </c>
      <c r="K36" s="76">
        <f>ROUND(IF(SUM(B26:F35)&lt;(L41*10),IF((SUM(B26:F36))&gt;(L41*11),(((L41*11)-(SUM(B26:F36)-C35))*K25)+((SUM(B36:F36)-C35)*K25),SUM(B36:F36)*K25),IF(SUM(B26:F36)&gt;(L41*11),L41*K25,SUM(B36:F36)*K25)),2)</f>
        <v>0</v>
      </c>
      <c r="L36" s="76">
        <f>ROUND(IF(SUM(B26:F35)&lt;(L42*10),IF((SUM(B26:F36))&gt;(L42*11),(((L42*11)-(SUM(B26:F36)-C36))*L25)+((SUM(B36:F36)-C36)*L25),(SUM(B36:F36)-C36)*L25),IF(SUM(B26:F36)&gt;(L42*11),L42*L25,SUM(B36:F36)*L25)),2)</f>
        <v>0</v>
      </c>
      <c r="M36" s="76">
        <f>ROUND(IF(SUM(B26:F35)&lt;(L42*10),IF((SUM(B26:F36))&gt;(L42*11),(((L42*11)-(SUM(B26:F36)-C36))*M25)+((SUM(B36:F36)-C36)*M25),(SUM(B36:F36)-C36)*M25),IF(SUM(B26:F36)&gt;(L42*11),L42*M25,SUM(B36:F36)*M25)),2)</f>
        <v>0</v>
      </c>
      <c r="N36" s="76">
        <f>ROUND(IF(SUM(B26:F35)&lt;(L42*10),IF((SUM(B26:F36))&gt;(L42*11),(((L42*11)-(SUM(B26:F36)-C35))*N25)+((SUM(B36:F36)-C35)*N25),SUM(B36:F36)*N25),IF(SUM(B26:F36)&gt;(L42*11),L42*N25,SUM(B36:F36)*N25)),2)</f>
        <v>0</v>
      </c>
      <c r="O36" s="23">
        <f>ROUND(SUM(B36+C36+F36)*O25,2)</f>
        <v>0</v>
      </c>
      <c r="P36" s="27">
        <f t="shared" si="3"/>
        <v>0</v>
      </c>
    </row>
    <row r="37" spans="1:16" x14ac:dyDescent="0.2">
      <c r="A37" s="100" t="str">
        <f>'päd.Personal - Leitung'!$A$37</f>
        <v>Dez 2022</v>
      </c>
      <c r="B37" s="24">
        <f>ROUND(IF(P11=0,0,IFERROR(((LOOKUP(2,1/(A14:A17=A37),G14:G17))*P11*4.348),B36/P11*P11)),2)</f>
        <v>0</v>
      </c>
      <c r="C37" s="23">
        <f>ROUND(IFERROR(((LOOKUP(2,1/(B19=A37),((SUM(B32:B34)+SUM(F32:F34))/3)*C19))),0)+IFERROR(((LOOKUP(2,1/(E19=A37),(B38+F38)*F19))),0),2)</f>
        <v>0</v>
      </c>
      <c r="D37" s="23">
        <f>ROUND(IF(B37=0,0,D25/L7*P11),2)</f>
        <v>0</v>
      </c>
      <c r="E37" s="23">
        <f>ROUND(IF(B37=0,0,E25/N3*P11),2)</f>
        <v>0</v>
      </c>
      <c r="F37" s="24">
        <f>ROUND(IF(P11=0,0,IFERROR(((LOOKUP(2,1/(A14:A17=A37),H14:H17))/N3*P11),F36/P11*P11)),2)</f>
        <v>0</v>
      </c>
      <c r="G37" s="27">
        <f t="shared" si="2"/>
        <v>0</v>
      </c>
      <c r="H37" s="76">
        <f>ROUND(IF(SUM(B26:F36)&lt;(L41*11),IF((SUM(B26:F37))&gt;(L41*12),(((L41*12)-(SUM(B26:F37)-C36))*H25)+((SUM(B37:F37)-C36)*H25),SUM(B37:F37)*H25),IF(SUM(B26:F37)&gt;(L41*12),L41*H25,SUM(B37:F37)*H25)),2)</f>
        <v>0</v>
      </c>
      <c r="I37" s="76">
        <f>ROUND(IF(SUM(B26:F36)&lt;(L42*11),IF((SUM(B26:F37))&gt;(L42*12),(((L42*12)-(SUM(B26:F37)-C36))*I25)+((SUM(B37:F37)-C36)*I25),SUM(B37:F37)*I25),IF(SUM(B26:F37)&gt;(L42*12),L42*I25,SUM(B37:F37)*I25)),2)</f>
        <v>0</v>
      </c>
      <c r="J37" s="76">
        <f>ROUND(IF(SUM(B26:F36)&lt;(L42*11),IF((SUM(B26:F37))&gt;(L42*12),(((L42*12)-(SUM(B26:F37)-C36))*J25)+((SUM(B37:F37)-C36)*J25),SUM(B37:F37)*J25),IF(SUM(B26:F37)&gt;(L42*12),L42*J25,SUM(B37:F37)*J25)),2)</f>
        <v>0</v>
      </c>
      <c r="K37" s="76">
        <f>ROUND(IF(SUM(B26:F36)&lt;(L41*11),IF((SUM(B26:F37))&gt;(L41*12),(((L41*12)-(SUM(B26:F37)-C36))*K25)+((SUM(B37:F37)-C36)*K25),SUM(B37:F37)*K25),IF(SUM(B26:F37)&gt;(L41*12),L41*K25,SUM(B37:F37)*K25)),2)</f>
        <v>0</v>
      </c>
      <c r="L37" s="76">
        <f>ROUND(IF(SUM(B26:F36)&lt;(L42*11),IF((SUM(B26:F37))&gt;(L42*12),(((L42*12)-(SUM(B26:F37)-C37))*L25)+((SUM(B37:F37)-C37)*L25),(SUM(B37:F37)-C37)*L25),IF(SUM(B26:F37)&gt;(L42*12),L42*L25,SUM(B37:F37)*L25)),2)</f>
        <v>0</v>
      </c>
      <c r="M37" s="76">
        <f>ROUND(IF(SUM(B26:F36)&lt;(L42*11),IF((SUM(B26:F37))&gt;(L42*12),(((L42*12)-(SUM(B26:F37)-C37))*M25)+((SUM(B37:F37)-C37)*M25),(SUM(B37:F37)-C37)*M25),IF(SUM(B26:F37)&gt;(L42*12),L42*M25,SUM(B37:F37)*M25)),2)</f>
        <v>0</v>
      </c>
      <c r="N37" s="76">
        <f>ROUND(IF(SUM(B26:F36)&lt;(L42*11),IF((SUM(B26:F37))&gt;(L42*12),(((L42*12)-(SUM(B26:F37)-C36))*N25)+((SUM(B37:F37)-C36)*N25),SUM(B37:F37)*N25),IF(SUM(B26:F37)&gt;(L42*12),L42*N25,SUM(B37:F37)*N25)),2)</f>
        <v>0</v>
      </c>
      <c r="O37" s="23">
        <f>ROUND(SUM(B37+C37+F37)*O25,2)</f>
        <v>0</v>
      </c>
      <c r="P37" s="27">
        <f t="shared" si="3"/>
        <v>0</v>
      </c>
    </row>
    <row r="38" spans="1:16" s="14" customFormat="1" ht="15" x14ac:dyDescent="0.25">
      <c r="A38" s="4" t="s">
        <v>2</v>
      </c>
      <c r="B38" s="27">
        <f>SUM(B26:B37)</f>
        <v>0</v>
      </c>
      <c r="C38" s="27">
        <f t="shared" ref="C38:D38" si="4">SUM(C26:C37)</f>
        <v>0</v>
      </c>
      <c r="D38" s="27">
        <f t="shared" si="4"/>
        <v>0</v>
      </c>
      <c r="E38" s="27">
        <f>SUM(E26:E37)</f>
        <v>0</v>
      </c>
      <c r="F38" s="27">
        <f>SUM(F26:F37)</f>
        <v>0</v>
      </c>
      <c r="G38" s="27">
        <f>SUM(G26:G37)</f>
        <v>0</v>
      </c>
      <c r="H38" s="1133">
        <f>SUM(H26:N37)</f>
        <v>0</v>
      </c>
      <c r="I38" s="1134"/>
      <c r="J38" s="1134"/>
      <c r="K38" s="1134"/>
      <c r="L38" s="1134"/>
      <c r="M38" s="1134"/>
      <c r="N38" s="1135"/>
      <c r="O38" s="27">
        <f>SUM(O26:O37)</f>
        <v>0</v>
      </c>
      <c r="P38" s="27">
        <f>SUM(P26:P37)</f>
        <v>0</v>
      </c>
    </row>
    <row r="39" spans="1:16" s="13" customFormat="1" ht="11.25" x14ac:dyDescent="0.2">
      <c r="A39" s="3" t="s">
        <v>1</v>
      </c>
      <c r="B39" s="2"/>
      <c r="C39" s="2"/>
      <c r="D39" s="2"/>
      <c r="E39" s="2"/>
      <c r="F39" s="2"/>
      <c r="G39" s="2"/>
      <c r="H39" s="2"/>
      <c r="I39" s="2"/>
      <c r="J39" s="2"/>
      <c r="K39" s="2"/>
      <c r="L39" s="2"/>
      <c r="M39" s="2"/>
      <c r="N39" s="2"/>
      <c r="O39" s="2"/>
      <c r="P39" s="2"/>
    </row>
    <row r="40" spans="1:16" ht="14.25" customHeight="1" x14ac:dyDescent="0.2">
      <c r="A40" s="1136" t="s">
        <v>133</v>
      </c>
      <c r="B40" s="1137"/>
      <c r="C40" s="1137"/>
      <c r="D40" s="1137" t="s">
        <v>134</v>
      </c>
      <c r="E40" s="1137"/>
      <c r="F40" s="94" t="str">
        <f>IF(IF(G38=0,"",'päd.Personal - Leitung'!$F$40)=0,"",IF(G38=0,"",'päd.Personal - Leitung'!$F$40))</f>
        <v/>
      </c>
      <c r="G40" s="77" t="s">
        <v>135</v>
      </c>
      <c r="H40" s="96" t="str">
        <f>IF(IF(G38=0,"",'päd.Personal - Leitung'!$H$40)=0,"",IF(G38=0,"",'päd.Personal - Leitung'!$H$40))</f>
        <v/>
      </c>
      <c r="I40" s="73"/>
      <c r="J40" s="194" t="s">
        <v>160</v>
      </c>
      <c r="K40" s="194" t="str">
        <f>'päd.Personal - Leitung'!$K$40</f>
        <v>2021</v>
      </c>
      <c r="L40" s="194" t="str">
        <f>'päd.Personal - Leitung'!$L$40</f>
        <v>anteilig 2021</v>
      </c>
      <c r="M40" s="1138" t="s">
        <v>140</v>
      </c>
      <c r="N40" s="1138"/>
      <c r="O40" s="1139"/>
      <c r="P40" s="27">
        <f>ROUND(IF(F40="",IF(E44="",0,(E44*H44/K44)/L7*L8),G38*F40*H40/1000),2)</f>
        <v>0</v>
      </c>
    </row>
    <row r="41" spans="1:16" ht="15" customHeight="1" x14ac:dyDescent="0.2">
      <c r="A41" s="1140" t="s">
        <v>145</v>
      </c>
      <c r="B41" s="1141"/>
      <c r="C41" s="1141"/>
      <c r="D41" s="18"/>
      <c r="E41" s="107" t="s">
        <v>135</v>
      </c>
      <c r="F41" s="95" t="str">
        <f>IF(IF(G38=0,"",'päd.Personal - Leitung'!$F$41)=0,"",IF(G38=0,"",'päd.Personal - Leitung'!$F$41))</f>
        <v/>
      </c>
      <c r="G41" s="48"/>
      <c r="H41" s="47"/>
      <c r="I41" s="48"/>
      <c r="J41" s="195" t="s">
        <v>158</v>
      </c>
      <c r="K41" s="198">
        <f>'päd.Personal - Leitung'!$K$41</f>
        <v>4837.5</v>
      </c>
      <c r="L41" s="197">
        <f>IF(L7="",K41,K41/L7*L8)</f>
        <v>4837.5</v>
      </c>
      <c r="M41" s="1138" t="s">
        <v>139</v>
      </c>
      <c r="N41" s="1138"/>
      <c r="O41" s="1139"/>
      <c r="P41" s="27">
        <f>ROUND(IF(F41="",0,G38*F41/1000),2)</f>
        <v>0</v>
      </c>
    </row>
    <row r="42" spans="1:16" ht="15.75" customHeight="1" x14ac:dyDescent="0.2">
      <c r="A42" s="1142" t="s">
        <v>141</v>
      </c>
      <c r="B42" s="1143"/>
      <c r="C42" s="1143"/>
      <c r="D42" s="1144" t="s">
        <v>143</v>
      </c>
      <c r="E42" s="1144"/>
      <c r="F42" s="1145" t="str">
        <f>IF(IF(G38=0,"",'päd.Personal - Leitung'!$F$42)=0,"",IF(G38=0,"",'päd.Personal - Leitung'!$F$42))</f>
        <v/>
      </c>
      <c r="G42" s="1145"/>
      <c r="H42" s="72"/>
      <c r="I42" s="18"/>
      <c r="J42" s="195" t="s">
        <v>159</v>
      </c>
      <c r="K42" s="198">
        <f>'päd.Personal - Leitung'!$K$42</f>
        <v>6700</v>
      </c>
      <c r="L42" s="197">
        <f>IF(L7="",K42,K42/L7*L8)</f>
        <v>6700</v>
      </c>
      <c r="M42" s="1138" t="s">
        <v>141</v>
      </c>
      <c r="N42" s="1138"/>
      <c r="O42" s="1139"/>
      <c r="P42" s="23">
        <f>ROUND(IF(F42="",0,IF(G38=0,0,F42/L7*L8)),2)</f>
        <v>0</v>
      </c>
    </row>
    <row r="43" spans="1:16" ht="14.25" customHeight="1" x14ac:dyDescent="0.2">
      <c r="A43" s="18"/>
      <c r="B43" s="18"/>
      <c r="C43" s="18"/>
      <c r="D43" s="18"/>
      <c r="E43" s="18"/>
      <c r="F43" s="18"/>
      <c r="G43" s="18"/>
      <c r="H43" s="18"/>
      <c r="I43" s="18"/>
      <c r="J43" s="18"/>
      <c r="K43" s="74"/>
      <c r="L43" s="82"/>
      <c r="M43" s="1127" t="s">
        <v>146</v>
      </c>
      <c r="N43" s="1127"/>
      <c r="O43" s="1128"/>
      <c r="P43" s="23">
        <f>ROUND(IF(G38=0,0,'päd.Personal - Leitung'!$P$43),2)</f>
        <v>0</v>
      </c>
    </row>
    <row r="44" spans="1:16" ht="14.25" customHeight="1" x14ac:dyDescent="0.2">
      <c r="A44" s="1129" t="s">
        <v>142</v>
      </c>
      <c r="B44" s="1130"/>
      <c r="C44" s="126" t="s">
        <v>136</v>
      </c>
      <c r="D44" s="126" t="s">
        <v>137</v>
      </c>
      <c r="E44" s="1131" t="str">
        <f>IF(IF(G38=0,"",'päd.Personal - Leitung'!$E$44)=0,"",IF(G38=0,"",'päd.Personal - Leitung'!$E$44))</f>
        <v/>
      </c>
      <c r="F44" s="1131"/>
      <c r="G44" s="83" t="s">
        <v>138</v>
      </c>
      <c r="H44" s="97" t="str">
        <f>IF(IF(G38=0,"",'päd.Personal - Leitung'!$H$44)=0,"",IF(G38=0,"",'päd.Personal - Leitung'!$H$44))</f>
        <v/>
      </c>
      <c r="I44" s="1132" t="s">
        <v>144</v>
      </c>
      <c r="J44" s="1132"/>
      <c r="K44" s="98" t="str">
        <f>IF(IF(G38=0,"",'päd.Personal - Leitung'!$K$44)=0,"",IF(G38=0,"",'päd.Personal - Leitung'!$K$44))</f>
        <v/>
      </c>
      <c r="L44" s="29"/>
      <c r="M44" s="29"/>
      <c r="N44" s="29"/>
      <c r="O44" s="28" t="s">
        <v>0</v>
      </c>
      <c r="P44" s="27">
        <f>P38+SUM(P40:P43)</f>
        <v>0</v>
      </c>
    </row>
    <row r="45" spans="1:16" s="12" customFormat="1" ht="13.5" customHeight="1" x14ac:dyDescent="0.2">
      <c r="A45" s="1178" t="s">
        <v>18</v>
      </c>
      <c r="B45" s="1178"/>
      <c r="C45" s="1178"/>
      <c r="D45" s="1179" t="str">
        <f>IF($D$1="","",$D$1)</f>
        <v/>
      </c>
      <c r="E45" s="1179"/>
      <c r="F45" s="1179"/>
      <c r="G45" s="1179"/>
      <c r="H45" s="1179"/>
      <c r="I45" s="1179"/>
      <c r="J45" s="1179"/>
      <c r="K45" s="1179"/>
      <c r="L45" s="1179"/>
      <c r="M45" s="1179"/>
      <c r="N45" s="1179"/>
    </row>
    <row r="46" spans="1:16" s="12" customFormat="1" ht="15" customHeight="1" x14ac:dyDescent="0.2">
      <c r="A46" s="1178" t="s">
        <v>17</v>
      </c>
      <c r="B46" s="1178"/>
      <c r="C46" s="1178" t="s">
        <v>15</v>
      </c>
      <c r="D46" s="1179" t="str">
        <f>IF($D$2="","",$D$2)</f>
        <v/>
      </c>
      <c r="E46" s="1179"/>
      <c r="F46" s="1179"/>
      <c r="G46" s="1179"/>
      <c r="H46" s="1179"/>
      <c r="I46" s="1179"/>
      <c r="J46" s="1179"/>
      <c r="K46" s="1179"/>
      <c r="L46" s="1179"/>
      <c r="M46" s="1179"/>
      <c r="N46" s="1179"/>
    </row>
    <row r="47" spans="1:16" s="12" customFormat="1" ht="15" customHeight="1" x14ac:dyDescent="0.2">
      <c r="A47" s="1178" t="s">
        <v>16</v>
      </c>
      <c r="B47" s="1178"/>
      <c r="C47" s="1178" t="s">
        <v>15</v>
      </c>
      <c r="D47" s="1179" t="str">
        <f>IF($D$3="","",$D$3)</f>
        <v/>
      </c>
      <c r="E47" s="1179"/>
      <c r="F47" s="1179"/>
      <c r="G47" s="1179"/>
      <c r="H47" s="1179"/>
      <c r="I47" s="1179"/>
      <c r="J47" s="1179"/>
      <c r="K47" s="1178" t="s">
        <v>103</v>
      </c>
      <c r="L47" s="1178"/>
      <c r="M47" s="1178"/>
      <c r="N47" s="41" t="str">
        <f>IF($N$3="","",$N$3)</f>
        <v/>
      </c>
    </row>
    <row r="48" spans="1:16" s="13" customFormat="1" ht="11.25" x14ac:dyDescent="0.2">
      <c r="A48" s="1182"/>
      <c r="B48" s="1182"/>
      <c r="C48" s="1182"/>
      <c r="D48" s="1183"/>
      <c r="E48" s="1183"/>
      <c r="F48" s="1183"/>
      <c r="G48" s="1183"/>
      <c r="H48" s="1183"/>
      <c r="I48" s="1183"/>
      <c r="J48" s="1183"/>
      <c r="K48" s="11"/>
      <c r="L48" s="11"/>
      <c r="M48" s="11"/>
      <c r="N48" s="11"/>
      <c r="O48" s="11"/>
      <c r="P48" s="11"/>
    </row>
    <row r="49" spans="1:16" s="15" customFormat="1" ht="13.5" customHeight="1" x14ac:dyDescent="0.2">
      <c r="A49" s="1177" t="s">
        <v>174</v>
      </c>
      <c r="B49" s="1177"/>
      <c r="C49" s="1177"/>
      <c r="D49" s="1177"/>
      <c r="E49" s="1177"/>
      <c r="F49" s="1177"/>
      <c r="G49" s="1177"/>
      <c r="H49" s="1177"/>
      <c r="I49" s="1177"/>
      <c r="J49" s="1177"/>
      <c r="K49" s="9"/>
      <c r="L49" s="9"/>
      <c r="M49" s="9"/>
      <c r="N49" s="59" t="s">
        <v>154</v>
      </c>
      <c r="O49" s="191">
        <f>$O$5</f>
        <v>2022</v>
      </c>
      <c r="P49" s="59" t="s">
        <v>154</v>
      </c>
    </row>
    <row r="50" spans="1:16" s="10" customFormat="1" ht="13.5" customHeight="1" x14ac:dyDescent="0.25">
      <c r="B50" s="32"/>
      <c r="C50" s="32"/>
      <c r="D50" s="5" t="s">
        <v>23</v>
      </c>
      <c r="E50" s="31"/>
      <c r="F50" s="31"/>
      <c r="G50" s="31"/>
      <c r="H50" s="31"/>
      <c r="I50" s="26"/>
      <c r="J50" s="1174" t="s">
        <v>14</v>
      </c>
      <c r="K50" s="1174"/>
      <c r="L50" s="180"/>
      <c r="N50" s="84">
        <f>IF(L52="","",L52)</f>
        <v>0</v>
      </c>
      <c r="O50" s="58" t="str">
        <f>$O$6</f>
        <v>Jan                Jul</v>
      </c>
      <c r="P50" s="85">
        <f>IF(N55="","",N55)</f>
        <v>0</v>
      </c>
    </row>
    <row r="51" spans="1:16" s="7" customFormat="1" ht="13.5" customHeight="1" x14ac:dyDescent="0.25">
      <c r="A51" s="1180" t="s">
        <v>71</v>
      </c>
      <c r="B51" s="1180"/>
      <c r="C51" s="1180"/>
      <c r="D51" s="1184"/>
      <c r="E51" s="1184"/>
      <c r="F51" s="1184"/>
      <c r="G51" s="1184"/>
      <c r="H51" s="1184"/>
      <c r="I51" s="1184"/>
      <c r="J51" s="1174" t="s">
        <v>104</v>
      </c>
      <c r="K51" s="1174"/>
      <c r="L51" s="145"/>
      <c r="N51" s="85">
        <f>IF(N50="","",N50)</f>
        <v>0</v>
      </c>
      <c r="O51" s="58" t="str">
        <f>$O$7</f>
        <v>Feb              Aug</v>
      </c>
      <c r="P51" s="85">
        <f>IF(P50="","",P50)</f>
        <v>0</v>
      </c>
    </row>
    <row r="52" spans="1:16" ht="13.5" customHeight="1" x14ac:dyDescent="0.2">
      <c r="A52" s="1180" t="s">
        <v>13</v>
      </c>
      <c r="B52" s="1180"/>
      <c r="C52" s="1180"/>
      <c r="D52" s="1181"/>
      <c r="E52" s="1181"/>
      <c r="F52" s="1181"/>
      <c r="G52" s="1181"/>
      <c r="H52" s="1181"/>
      <c r="I52" s="1181"/>
      <c r="J52" s="1174" t="s">
        <v>164</v>
      </c>
      <c r="K52" s="1174"/>
      <c r="L52" s="145">
        <f>IF((L53+L54)&gt;L51,0,L51-L53-L54)</f>
        <v>0</v>
      </c>
      <c r="M52" s="1"/>
      <c r="N52" s="85">
        <f>IF(N51="","",N51)</f>
        <v>0</v>
      </c>
      <c r="O52" s="58" t="str">
        <f>$O$8</f>
        <v>Mrz              Sep</v>
      </c>
      <c r="P52" s="85">
        <f>IF(P51="","",P51)</f>
        <v>0</v>
      </c>
    </row>
    <row r="53" spans="1:16" ht="13.5" customHeight="1" x14ac:dyDescent="0.2">
      <c r="A53" s="1180" t="s">
        <v>12</v>
      </c>
      <c r="B53" s="1180"/>
      <c r="C53" s="1180"/>
      <c r="D53" s="1181"/>
      <c r="E53" s="1181"/>
      <c r="F53" s="1181"/>
      <c r="G53" s="1181"/>
      <c r="H53" s="1181"/>
      <c r="I53" s="1181"/>
      <c r="J53" s="1174" t="s">
        <v>165</v>
      </c>
      <c r="K53" s="1174"/>
      <c r="L53" s="145"/>
      <c r="M53" s="1"/>
      <c r="N53" s="85">
        <f>IF(N52="","",N52)</f>
        <v>0</v>
      </c>
      <c r="O53" s="58" t="str">
        <f>$O$9</f>
        <v>Apr               Okt</v>
      </c>
      <c r="P53" s="85">
        <f t="shared" ref="P53:P55" si="5">IF(P52="","",P52)</f>
        <v>0</v>
      </c>
    </row>
    <row r="54" spans="1:16" ht="13.5" customHeight="1" x14ac:dyDescent="0.2">
      <c r="A54" s="1180" t="s">
        <v>19</v>
      </c>
      <c r="B54" s="1180"/>
      <c r="C54" s="1180"/>
      <c r="D54" s="1181"/>
      <c r="E54" s="1181"/>
      <c r="F54" s="1181"/>
      <c r="G54" s="1181"/>
      <c r="H54" s="1181"/>
      <c r="I54" s="1181"/>
      <c r="J54" s="1174" t="s">
        <v>252</v>
      </c>
      <c r="K54" s="1174"/>
      <c r="L54" s="145"/>
      <c r="M54" s="92"/>
      <c r="N54" s="85">
        <f>IF(N53="","",N53)</f>
        <v>0</v>
      </c>
      <c r="O54" s="58" t="str">
        <f>$O$10</f>
        <v>Mai               Nov</v>
      </c>
      <c r="P54" s="85">
        <f t="shared" si="5"/>
        <v>0</v>
      </c>
    </row>
    <row r="55" spans="1:16" ht="13.5" customHeight="1" x14ac:dyDescent="0.2">
      <c r="A55" s="1"/>
      <c r="B55" s="8"/>
      <c r="C55" s="200" t="s">
        <v>162</v>
      </c>
      <c r="D55" s="1175"/>
      <c r="E55" s="1175"/>
      <c r="F55" s="1176" t="s">
        <v>106</v>
      </c>
      <c r="G55" s="1176"/>
      <c r="H55" s="1186"/>
      <c r="I55" s="1186"/>
      <c r="J55" s="1174" t="s">
        <v>97</v>
      </c>
      <c r="K55" s="1174"/>
      <c r="L55" s="17" t="str">
        <f>IF(IF((COUNTIF(B70:B81,"&gt;0"))=0,0,(COUNTIF(B70:B81,"&gt;0")))&gt;Grundlagen!$C$24,Grundlagen!$C$24,IF((COUNTIF(B70:B81,"&gt;0"))=0,"",(COUNTIF(B70:B81,"&gt;0"))))</f>
        <v/>
      </c>
      <c r="M55" s="1"/>
      <c r="N55" s="85">
        <f>IF(N54="","",N54)</f>
        <v>0</v>
      </c>
      <c r="O55" s="58" t="str">
        <f>'päd.Personal - Leitung'!$O$11</f>
        <v>Jun               Dez</v>
      </c>
      <c r="P55" s="85">
        <f t="shared" si="5"/>
        <v>0</v>
      </c>
    </row>
    <row r="56" spans="1:16" ht="13.5" customHeight="1" x14ac:dyDescent="0.2">
      <c r="A56" s="1"/>
      <c r="B56" s="1"/>
      <c r="C56" s="1"/>
      <c r="D56" s="1"/>
      <c r="E56" s="1"/>
      <c r="F56" s="1"/>
      <c r="G56" s="1"/>
      <c r="H56" s="1"/>
      <c r="I56" s="6"/>
      <c r="J56" s="1"/>
      <c r="K56" s="1"/>
      <c r="L56" s="147" t="str">
        <f>IF((SUM(F58:F61))=0,"",IF(P56&gt;L52,L52,IF(L52="","",IF(L55="","",P56))))</f>
        <v/>
      </c>
      <c r="M56" s="1"/>
      <c r="N56" s="1"/>
      <c r="O56" s="174" t="s">
        <v>251</v>
      </c>
      <c r="P56" s="175">
        <f>IF(L55="",0,((IF(SUMIF(B70,"&gt;0"),N50,0))+(IF(SUMIF(B71,"&gt;0"),N51,0))+(IF(SUMIF(B72,"&gt;0"),N52,0))+(IF(SUMIF(B73,"&gt;0"),N53,0))+(IF(SUMIF(B74,"&gt;0"),N54,0))+(IF(SUMIF(B75,"&gt;0"),N55,0))+(IF(SUMIF(B76,"&gt;0"),P50,0))+(IF(SUMIF(B77,"&gt;0"),P51,0))+(IF(SUMIF(B78,"&gt;0"),P52,0))+(IF(SUMIF(B79,"&gt;0"),P53,0))+(IF(SUMIF(B80,"&gt;0"),P54,0))+(IF(SUMIF(B81,"&gt;0"),P55,0)))/Grundlagen!$C$24)</f>
        <v>0</v>
      </c>
    </row>
    <row r="57" spans="1:16" s="52" customFormat="1" ht="13.5" customHeight="1" x14ac:dyDescent="0.2">
      <c r="A57" s="61" t="s">
        <v>148</v>
      </c>
      <c r="B57" s="1168" t="s">
        <v>149</v>
      </c>
      <c r="C57" s="1168"/>
      <c r="D57" s="62" t="s">
        <v>150</v>
      </c>
      <c r="E57" s="63" t="s">
        <v>151</v>
      </c>
      <c r="F57" s="64" t="str">
        <f>CONCATENATE("Entg. ",N47," h/Wo")</f>
        <v>Entg.  h/Wo</v>
      </c>
      <c r="G57" s="65" t="s">
        <v>152</v>
      </c>
      <c r="H57" s="65" t="s">
        <v>153</v>
      </c>
      <c r="K57" s="1169" t="str">
        <f>CONCATENATE("Zuschläge / Zulagen für ",N47,"h/Wo")</f>
        <v>Zuschläge / Zulagen für h/Wo</v>
      </c>
      <c r="L57" s="1169"/>
      <c r="M57" s="66" t="str">
        <f>IF(A58="","",A58)</f>
        <v>Jan 2022</v>
      </c>
      <c r="N57" s="66" t="str">
        <f>IF(A59="","",A59)</f>
        <v/>
      </c>
      <c r="O57" s="66" t="str">
        <f>IF(A60="","",A60)</f>
        <v/>
      </c>
      <c r="P57" s="66" t="str">
        <f>IF(A61="","",A61)</f>
        <v/>
      </c>
    </row>
    <row r="58" spans="1:16" s="52" customFormat="1" ht="13.5" customHeight="1" x14ac:dyDescent="0.25">
      <c r="A58" s="54" t="str">
        <f>A70</f>
        <v>Jan 2022</v>
      </c>
      <c r="B58" s="1170" t="str">
        <f>IF($D$3="","",$D$3)</f>
        <v/>
      </c>
      <c r="C58" s="1171"/>
      <c r="D58" s="181"/>
      <c r="E58" s="181"/>
      <c r="F58" s="87"/>
      <c r="G58" s="56">
        <f>IF(N47="",0,F58/N47/4.348)</f>
        <v>0</v>
      </c>
      <c r="H58" s="53">
        <f>IF(G58=0,0,M63)</f>
        <v>0</v>
      </c>
      <c r="K58" s="1146"/>
      <c r="L58" s="1146"/>
      <c r="M58" s="86"/>
      <c r="N58" s="86"/>
      <c r="O58" s="86"/>
      <c r="P58" s="86"/>
    </row>
    <row r="59" spans="1:16" s="52" customFormat="1" ht="13.5" customHeight="1" x14ac:dyDescent="0.25">
      <c r="A59" s="55"/>
      <c r="B59" s="1172" t="str">
        <f>IF(A59="","",B58)</f>
        <v/>
      </c>
      <c r="C59" s="1173"/>
      <c r="D59" s="181"/>
      <c r="E59" s="181"/>
      <c r="F59" s="87"/>
      <c r="G59" s="56">
        <f>IF(N47="",0,F59/N47/4.348)</f>
        <v>0</v>
      </c>
      <c r="H59" s="53">
        <f>IF(G59=0,0,N63)</f>
        <v>0</v>
      </c>
      <c r="K59" s="1146"/>
      <c r="L59" s="1146"/>
      <c r="M59" s="86"/>
      <c r="N59" s="86"/>
      <c r="O59" s="86"/>
      <c r="P59" s="86"/>
    </row>
    <row r="60" spans="1:16" s="52" customFormat="1" ht="13.5" customHeight="1" x14ac:dyDescent="0.25">
      <c r="A60" s="55"/>
      <c r="B60" s="1172" t="str">
        <f>IF(A60="","",B59)</f>
        <v/>
      </c>
      <c r="C60" s="1173"/>
      <c r="D60" s="181"/>
      <c r="E60" s="181"/>
      <c r="F60" s="87"/>
      <c r="G60" s="56">
        <f>IF(N47="",0,F60/N47/4.348)</f>
        <v>0</v>
      </c>
      <c r="H60" s="53">
        <f>IF(G60=0,0,O63)</f>
        <v>0</v>
      </c>
      <c r="K60" s="1146"/>
      <c r="L60" s="1146"/>
      <c r="M60" s="86"/>
      <c r="N60" s="86"/>
      <c r="O60" s="86"/>
      <c r="P60" s="86"/>
    </row>
    <row r="61" spans="1:16" s="52" customFormat="1" ht="13.5" customHeight="1" x14ac:dyDescent="0.25">
      <c r="A61" s="55"/>
      <c r="B61" s="1172" t="str">
        <f>IF(A61="","",B60)</f>
        <v/>
      </c>
      <c r="C61" s="1173"/>
      <c r="D61" s="181"/>
      <c r="E61" s="181"/>
      <c r="F61" s="87"/>
      <c r="G61" s="56">
        <f>IF(N47="",0,F61/N47/4.348)</f>
        <v>0</v>
      </c>
      <c r="H61" s="53">
        <f>IF(G61=0,0,P63)</f>
        <v>0</v>
      </c>
      <c r="K61" s="1146"/>
      <c r="L61" s="1146"/>
      <c r="M61" s="86"/>
      <c r="N61" s="86"/>
      <c r="O61" s="86"/>
      <c r="P61" s="86"/>
    </row>
    <row r="62" spans="1:16" s="52" customFormat="1" ht="13.5" customHeight="1" x14ac:dyDescent="0.25">
      <c r="B62" s="1167" t="s">
        <v>157</v>
      </c>
      <c r="C62" s="1167"/>
      <c r="E62" s="1167" t="s">
        <v>156</v>
      </c>
      <c r="F62" s="1167"/>
      <c r="J62" s="69"/>
      <c r="K62" s="1146"/>
      <c r="L62" s="1146"/>
      <c r="M62" s="86"/>
      <c r="N62" s="86"/>
      <c r="O62" s="86"/>
      <c r="P62" s="86"/>
    </row>
    <row r="63" spans="1:16" s="52" customFormat="1" ht="13.5" customHeight="1" x14ac:dyDescent="0.25">
      <c r="A63" s="70" t="s">
        <v>167</v>
      </c>
      <c r="B63" s="67"/>
      <c r="C63" s="99" t="str">
        <f>IF(C19="","",C19)</f>
        <v/>
      </c>
      <c r="D63" s="70" t="s">
        <v>167</v>
      </c>
      <c r="E63" s="67"/>
      <c r="F63" s="99" t="str">
        <f>IF(F19="","",F19)</f>
        <v/>
      </c>
      <c r="J63" s="68"/>
      <c r="M63" s="57">
        <f>SUM(M58:M62)</f>
        <v>0</v>
      </c>
      <c r="N63" s="57">
        <f t="shared" ref="N63:P63" si="6">SUM(N58:N62)</f>
        <v>0</v>
      </c>
      <c r="O63" s="57">
        <f t="shared" si="6"/>
        <v>0</v>
      </c>
      <c r="P63" s="57">
        <f t="shared" si="6"/>
        <v>0</v>
      </c>
    </row>
    <row r="64" spans="1:16" s="52" customFormat="1" ht="13.5" customHeight="1" x14ac:dyDescent="0.2">
      <c r="A64" s="60" t="s">
        <v>155</v>
      </c>
    </row>
    <row r="65" spans="1:16" ht="14.25" customHeight="1" x14ac:dyDescent="0.2">
      <c r="A65" s="1147"/>
      <c r="B65" s="1149" t="s">
        <v>9</v>
      </c>
      <c r="C65" s="1150"/>
      <c r="D65" s="1150"/>
      <c r="E65" s="1150"/>
      <c r="F65" s="1150"/>
      <c r="G65" s="1151"/>
      <c r="H65" s="1152" t="s">
        <v>119</v>
      </c>
      <c r="I65" s="1153"/>
      <c r="J65" s="1153"/>
      <c r="K65" s="1153"/>
      <c r="L65" s="1153"/>
      <c r="M65" s="1153"/>
      <c r="N65" s="1153"/>
      <c r="O65" s="33"/>
      <c r="P65" s="1154" t="s">
        <v>0</v>
      </c>
    </row>
    <row r="66" spans="1:16" ht="14.25" customHeight="1" x14ac:dyDescent="0.2">
      <c r="A66" s="1148"/>
      <c r="B66" s="1157" t="s">
        <v>117</v>
      </c>
      <c r="C66" s="124" t="s">
        <v>115</v>
      </c>
      <c r="D66" s="1159" t="s">
        <v>277</v>
      </c>
      <c r="E66" s="1161" t="s">
        <v>147</v>
      </c>
      <c r="F66" s="127" t="s">
        <v>7</v>
      </c>
      <c r="G66" s="1162" t="s">
        <v>6</v>
      </c>
      <c r="H66" s="1161" t="s">
        <v>129</v>
      </c>
      <c r="I66" s="1161" t="s">
        <v>5</v>
      </c>
      <c r="J66" s="1161" t="s">
        <v>4</v>
      </c>
      <c r="K66" s="1161" t="s">
        <v>3</v>
      </c>
      <c r="L66" s="1161" t="s">
        <v>121</v>
      </c>
      <c r="M66" s="1161" t="s">
        <v>122</v>
      </c>
      <c r="N66" s="1161" t="s">
        <v>123</v>
      </c>
      <c r="O66" s="1160" t="s">
        <v>114</v>
      </c>
      <c r="P66" s="1155"/>
    </row>
    <row r="67" spans="1:16" ht="14.25" customHeight="1" x14ac:dyDescent="0.2">
      <c r="A67" s="1148"/>
      <c r="B67" s="1157"/>
      <c r="C67" s="21" t="str">
        <f>IF(C63="","",C63)</f>
        <v/>
      </c>
      <c r="D67" s="1160"/>
      <c r="E67" s="1161"/>
      <c r="F67" s="1165" t="str">
        <f>IF(H58=0,"","siehe Zuschläge / Zulagen")</f>
        <v/>
      </c>
      <c r="G67" s="1162"/>
      <c r="H67" s="1164" t="s">
        <v>127</v>
      </c>
      <c r="I67" s="1164"/>
      <c r="J67" s="1164"/>
      <c r="K67" s="1164"/>
      <c r="L67" s="1164"/>
      <c r="M67" s="1164"/>
      <c r="N67" s="1164"/>
      <c r="O67" s="1160"/>
      <c r="P67" s="1155"/>
    </row>
    <row r="68" spans="1:16" x14ac:dyDescent="0.2">
      <c r="A68" s="1148"/>
      <c r="B68" s="1157"/>
      <c r="C68" s="122" t="s">
        <v>70</v>
      </c>
      <c r="D68" s="1160"/>
      <c r="E68" s="1161"/>
      <c r="F68" s="1165"/>
      <c r="G68" s="1162"/>
      <c r="H68" s="43" t="s">
        <v>128</v>
      </c>
      <c r="I68" s="43" t="s">
        <v>255</v>
      </c>
      <c r="J68" s="43" t="s">
        <v>256</v>
      </c>
      <c r="K68" s="43" t="s">
        <v>257</v>
      </c>
      <c r="L68" s="43"/>
      <c r="M68" s="43"/>
      <c r="N68" s="43" t="s">
        <v>254</v>
      </c>
      <c r="O68" s="1160"/>
      <c r="P68" s="1155"/>
    </row>
    <row r="69" spans="1:16" x14ac:dyDescent="0.2">
      <c r="A69" s="1148"/>
      <c r="B69" s="1158"/>
      <c r="C69" s="21" t="str">
        <f>IF(F63="","",F63)</f>
        <v/>
      </c>
      <c r="D69" s="51"/>
      <c r="E69" s="51"/>
      <c r="F69" s="1166"/>
      <c r="G69" s="1163"/>
      <c r="H69" s="93"/>
      <c r="I69" s="139">
        <f>$I$25</f>
        <v>0</v>
      </c>
      <c r="J69" s="139">
        <f>$J$25</f>
        <v>0</v>
      </c>
      <c r="K69" s="44">
        <f>$K$25</f>
        <v>0</v>
      </c>
      <c r="L69" s="21"/>
      <c r="M69" s="21"/>
      <c r="N69" s="139">
        <f>$N$25</f>
        <v>0</v>
      </c>
      <c r="O69" s="21">
        <f>O25</f>
        <v>0</v>
      </c>
      <c r="P69" s="1156"/>
    </row>
    <row r="70" spans="1:16" x14ac:dyDescent="0.2">
      <c r="A70" s="100" t="str">
        <f>$A$26</f>
        <v>Jan 2022</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76">
        <f>ROUND(IF((SUM(B70:F70))&gt;L85,L85*H69,SUM(B70:F70)*H69),2)</f>
        <v>0</v>
      </c>
      <c r="I70" s="76">
        <f>ROUND(IF((SUM(B70:F70))&gt;L86,L86*I69,SUM(B70:F70)*I69),2)</f>
        <v>0</v>
      </c>
      <c r="J70" s="76">
        <f>ROUND(IF((SUM(B70:F70))&gt;L86,L86*J69,SUM(B70:F70)*J69),2)</f>
        <v>0</v>
      </c>
      <c r="K70" s="76">
        <f>ROUND(IF((SUM(B70:F70))&gt;L85,L85*K69,SUM(B70:F70)*K69),2)</f>
        <v>0</v>
      </c>
      <c r="L70" s="76">
        <f>ROUND(IF((SUM(B70:F70))&gt;L86,L86*L69,(SUM(B70:F70)-C70)*L69),2)</f>
        <v>0</v>
      </c>
      <c r="M70" s="76">
        <f>ROUND(IF((SUM(B70:F70))&gt;L86,L86*M69,(SUM(B70:F70)-C70)*M69),2)</f>
        <v>0</v>
      </c>
      <c r="N70" s="76">
        <f>ROUND(IF((SUM(B70:F70))&gt;L86,L86*N69,SUM(B70:F70)*N69),2)</f>
        <v>0</v>
      </c>
      <c r="O70" s="23">
        <f>ROUND(SUM(B70+C70+F70)*O69,2)</f>
        <v>0</v>
      </c>
      <c r="P70" s="27">
        <f>SUM(G70:O70)</f>
        <v>0</v>
      </c>
    </row>
    <row r="71" spans="1:16" x14ac:dyDescent="0.2">
      <c r="A71" s="100" t="str">
        <f>$A$27</f>
        <v>Feb 2022</v>
      </c>
      <c r="B71" s="24">
        <f>ROUND(IF(N51=0,0,IFERROR(((LOOKUP(2,1/(A58:A61=A71),G58:G61))*N51*4.348),B70/N51*N51)),2)</f>
        <v>0</v>
      </c>
      <c r="C71" s="23">
        <f>ROUND(IFERROR(((LOOKUP(2,1/(B63=A71),((SUM(B76:B78)+SUM(F76:F78))/3)*C63))),0)+IFERROR(((LOOKUP(2,1/(E63=A71),(B82+F82)*F63))),0),2)</f>
        <v>0</v>
      </c>
      <c r="D71" s="23">
        <f>ROUND(IF(B71=0,0,D69/L51*N51),2)</f>
        <v>0</v>
      </c>
      <c r="E71" s="23">
        <f>ROUND(IF(B71=0,0,E69/N47*N51),2)</f>
        <v>0</v>
      </c>
      <c r="F71" s="24">
        <f>ROUND(IF(N51=0,0,IFERROR(((LOOKUP(2,1/(A58:A61=A71),H58:H61))/N47*N51),F70/N51*N51)),2)</f>
        <v>0</v>
      </c>
      <c r="G71" s="27">
        <f t="shared" ref="G71:G81" si="7">SUM(B71+C71+E71+F71)</f>
        <v>0</v>
      </c>
      <c r="H71" s="76">
        <f>ROUND(IF(SUM(B70:F70)&lt;(L85*1),IF((SUM(B70:F71))&gt;(L85*2),(((L85*2)-(SUM(B70:F71)-C70))*H69)+((SUM(B71:F71)-C70)*H69),SUM(B71:F71)*H69),IF(SUM(B70:F71)&gt;(L85*2),L85*H69,SUM(B71:F71)*H69)),2)</f>
        <v>0</v>
      </c>
      <c r="I71" s="76">
        <f>ROUND(IF(SUM(B70:F70)&lt;(L86*1),IF((SUM(B70:F71))&gt;(L86*2),(((L86*2)-(SUM(B70:F71)-C70))*I69)+((SUM(B71:F71)-C70)*I69),SUM(B71:F71)*I69),IF(SUM(B70:F71)&gt;(L86*2),L86*I69,SUM(B71:F71)*I69)),2)</f>
        <v>0</v>
      </c>
      <c r="J71" s="76">
        <f>ROUND(IF(SUM(B70:F70)&lt;(L86*1),IF((SUM(B70:F71))&gt;(L86*2),(((L86*2)-(SUM(B70:F71)-C70))*J69)+((SUM(B71:F71)-C70)*J69),SUM(B71:F71)*J69),IF(SUM(B70:F71)&gt;(L86*2),L86*J69,SUM(B71:F71)*J69)),2)</f>
        <v>0</v>
      </c>
      <c r="K71" s="76">
        <f>ROUND(IF(SUM(B70:F70)&lt;(L85*1),IF((SUM(B70:F71))&gt;(L85*2),(((L85*2)-(SUM(B70:F71)-C70))*K69)+((SUM(B71:F71)-C70)*K69),SUM(B71:F71)*K69),IF(SUM(B70:F71)&gt;(L85*2),L85*K69,SUM(B71:F71)*K69)),2)</f>
        <v>0</v>
      </c>
      <c r="L71" s="76">
        <f>ROUND(IF(SUM(B70:F70)&lt;(L86*1),IF((SUM(B70:F71))&gt;(L86*2),(((L86*2)-(SUM(B70:F71)-C71))*L69)+((SUM(B71:F71)-C71)*L69),(SUM(B71:F71)-C71)*L69),IF(SUM(B70:F71)&gt;(L86*2),L86*L69,SUM(B71:F71)*L69)),2)</f>
        <v>0</v>
      </c>
      <c r="M71" s="76">
        <f>ROUND(IF(SUM(B70:F70)&lt;(L86*1),IF((SUM(B70:F71))&gt;(L86*2),(((L86*2)-(SUM(B70:F71)-C71))*M69)+((SUM(B71:F71)-C71)*M69),(SUM(B71:F71)-C71)*M69),IF(SUM(B70:F71)&gt;(L86*2),L86*M69,SUM(B71:F71)*M69)),2)</f>
        <v>0</v>
      </c>
      <c r="N71" s="76">
        <f>ROUND(IF(SUM(B70:F70)&lt;(L86*1),IF((SUM(B70:F71))&gt;(L86*2),(((L86*2)-(SUM(B70:F71)-C70))*N69)+((SUM(B71:F71)-C70)*N69),SUM(B71:F71)*N69),IF(SUM(B70:F71)&gt;(L86*2),L86*N69,SUM(B71:F71)*N69)),2)</f>
        <v>0</v>
      </c>
      <c r="O71" s="23">
        <f>ROUND(SUM(B71+C71+F71)*O69,2)</f>
        <v>0</v>
      </c>
      <c r="P71" s="27">
        <f>SUM(G71:O71)</f>
        <v>0</v>
      </c>
    </row>
    <row r="72" spans="1:16" x14ac:dyDescent="0.2">
      <c r="A72" s="100" t="str">
        <f>$A$28</f>
        <v>Mrz 2022</v>
      </c>
      <c r="B72" s="24">
        <f>ROUND(IF(N52=0,0,IFERROR(((LOOKUP(2,1/(A58:A61=A72),G58:G61))*N52*4.348),B71/N52*N52)),2)</f>
        <v>0</v>
      </c>
      <c r="C72" s="23">
        <f>ROUND(IFERROR(((LOOKUP(2,1/(B63=A72),((SUM(B76:B78)+SUM(F76:F78))/3)*C63))),0)+IFERROR(((LOOKUP(2,1/(E63=A72),(B82+F82)*F63))),0),2)</f>
        <v>0</v>
      </c>
      <c r="D72" s="23">
        <f>ROUND(IF(B72=0,0,D69/L51*N52),2)</f>
        <v>0</v>
      </c>
      <c r="E72" s="23">
        <f>ROUND(IF(B72=0,0,E69/N47*N52),2)</f>
        <v>0</v>
      </c>
      <c r="F72" s="24">
        <f>ROUND(IF(N52=0,0,IFERROR(((LOOKUP(2,1/(A58:A61=A72),H58:H61))/N47*N52),F71/N52*N52)),2)</f>
        <v>0</v>
      </c>
      <c r="G72" s="27">
        <f t="shared" si="7"/>
        <v>0</v>
      </c>
      <c r="H72" s="76">
        <f>ROUND(IF(SUM(B70:F71)&lt;(L85*2),IF((SUM(B70:F72))&gt;(L85*3),(((L85*3)-(SUM(B70:F72)-C71))*H69)+((SUM(B72:F72)-C71)*H69),SUM(B72:F72)*H69),IF(SUM(B70:F72)&gt;(L85*3),L85*H69,SUM(B72:F72)*H69)),2)</f>
        <v>0</v>
      </c>
      <c r="I72" s="76">
        <f>ROUND(IF(SUM(B70:F71)&lt;(L86*2),IF((SUM(B70:F72))&gt;(L86*3),(((L86*3)-(SUM(B70:F72)-C71))*I69)+((SUM(B72:F72)-C71)*I69),SUM(B72:F72)*I69),IF(SUM(B70:F72)&gt;(L86*3),L86*I69,SUM(B72:F72)*I69)),2)</f>
        <v>0</v>
      </c>
      <c r="J72" s="76">
        <f>ROUND(IF(SUM(B70:F71)&lt;(L86*2),IF((SUM(B70:F72))&gt;(L86*3),(((L86*3)-(SUM(B70:F72)-C71))*J69)+((SUM(B72:F72)-C71)*J69),SUM(B72:F72)*J69),IF(SUM(B70:F72)&gt;(L86*3),L86*J69,SUM(B72:F72)*J69)),2)</f>
        <v>0</v>
      </c>
      <c r="K72" s="76">
        <f>ROUND(IF(SUM(B70:F71)&lt;(L85*2),IF((SUM(B70:F72))&gt;(L85*3),(((L85*3)-(SUM(B70:F72)-C71))*K69)+((SUM(B72:F72)-C71)*K69),SUM(B72:F72)*K69),IF(SUM(B70:F72)&gt;(L85*3),L85*K69,SUM(B72:F72)*K69)),2)</f>
        <v>0</v>
      </c>
      <c r="L72" s="76">
        <f>ROUND(IF(SUM(B70:F71)&lt;(L86*2),IF((SUM(B70:F72))&gt;(L86*3),(((L86*3)-(SUM(B70:F72)-C72))*L69)+((SUM(B72:F72)-C72)*L69),(SUM(B72:F72)-C72)*L69),IF(SUM(B70:F72)&gt;(L86*3),L86*L69,SUM(B72:F72)*L69)),2)</f>
        <v>0</v>
      </c>
      <c r="M72" s="76">
        <f>ROUND(IF(SUM(B70:F71)&lt;(L86*2),IF((SUM(B70:F72))&gt;(L86*3),(((L86*3)-(SUM(B70:F72)-C72))*M69)+((SUM(B72:F72)-C72)*M69),(SUM(B72:F72)-C72)*M69),IF(SUM(B70:F72)&gt;(L86*3),L86*M69,SUM(B72:F72)*M69)),2)</f>
        <v>0</v>
      </c>
      <c r="N72" s="76">
        <f>ROUND(IF(SUM(B70:F71)&lt;(L86*2),IF((SUM(B70:F72))&gt;(L86*3),(((L86*3)-(SUM(B70:F72)-C71))*N69)+((SUM(B72:F72)-C71)*N69),SUM(B72:F72)*N69),IF(SUM(B70:F72)&gt;(L86*3),L86*N69,SUM(B72:F72)*N69)),2)</f>
        <v>0</v>
      </c>
      <c r="O72" s="23">
        <f>ROUND(SUM(B72+C72+F72)*O69,2)</f>
        <v>0</v>
      </c>
      <c r="P72" s="27">
        <f t="shared" ref="P72:P81" si="8">SUM(G72:O72)</f>
        <v>0</v>
      </c>
    </row>
    <row r="73" spans="1:16" x14ac:dyDescent="0.2">
      <c r="A73" s="100" t="str">
        <f>$A$29</f>
        <v>Apr 2022</v>
      </c>
      <c r="B73" s="24">
        <f>ROUND(IF(N53=0,0,IFERROR(((LOOKUP(2,1/(A58:A61=A73),G58:G61))*N53*4.348),B72/N53*N53)),2)</f>
        <v>0</v>
      </c>
      <c r="C73" s="23">
        <f>ROUND(IFERROR(((LOOKUP(2,1/(B63=A73),((SUM(B76:B78)+SUM(F76:F78))/3)*C63))),0)+IFERROR(((LOOKUP(2,1/(E63=A73),(B82+F82)*F63))),0),2)</f>
        <v>0</v>
      </c>
      <c r="D73" s="23">
        <f>ROUND(IF(B73=0,0,D69/L51*N53),2)</f>
        <v>0</v>
      </c>
      <c r="E73" s="23">
        <f>ROUND(IF(B73=0,0,E69/N47*N53),2)</f>
        <v>0</v>
      </c>
      <c r="F73" s="24">
        <f>ROUND(IF(N53=0,0,IFERROR(((LOOKUP(2,1/(A58:A61=A73),H58:H61))/N47*N53),F72/N53*N53)),2)</f>
        <v>0</v>
      </c>
      <c r="G73" s="27">
        <f t="shared" si="7"/>
        <v>0</v>
      </c>
      <c r="H73" s="76">
        <f>ROUND(IF(SUM(B70:F72)&lt;(L85*3),IF((SUM(B70:F73))&gt;(L85*4),(((L85*4)-(SUM(B70:F73)-C72))*H69)+((SUM(B73:F73)-C72)*H69),SUM(B73:F73)*H69),IF(SUM(B70:F73)&gt;(L85*4),L85*H69,SUM(B73:F73)*H69)),2)</f>
        <v>0</v>
      </c>
      <c r="I73" s="76">
        <f>ROUND(IF(SUM(B70:F72)&lt;(L86*3),IF((SUM(B70:F73))&gt;(L86*4),(((L86*4)-(SUM(B70:F73)-C72))*I69)+((SUM(B73:F73)-C72)*I69),SUM(B73:F73)*I69),IF(SUM(B70:F73)&gt;(L86*4),L86*I69,SUM(B73:F73)*I69)),2)</f>
        <v>0</v>
      </c>
      <c r="J73" s="76">
        <f>ROUND(IF(SUM(B70:F72)&lt;(L86*3),IF((SUM(B70:F73))&gt;(L86*4),(((L86*4)-(SUM(B70:F73)-C72))*J69)+((SUM(B73:F73)-C72)*J69),SUM(B73:F73)*J69),IF(SUM(B70:F73)&gt;(L86*4),L86*J69,SUM(B73:F73)*J69)),2)</f>
        <v>0</v>
      </c>
      <c r="K73" s="76">
        <f>ROUND(IF(SUM(B70:F72)&lt;(L85*3),IF((SUM(B70:F73))&gt;(L85*4),(((L85*4)-(SUM(B70:F73)-C72))*K69)+((SUM(B73:F73)-C72)*K69),SUM(B73:F73)*K69),IF(SUM(B70:F73)&gt;(L85*4),L85*K69,SUM(B73:F73)*K69)),2)</f>
        <v>0</v>
      </c>
      <c r="L73" s="76">
        <f>ROUND(IF(SUM(B70:F72)&lt;(L86*3),IF((SUM(B70:F73))&gt;(L86*4),(((L86*4)-(SUM(B70:F73)-C73))*L69)+((SUM(B73:F73)-C73)*L69),(SUM(B73:F73)-C73)*L69),IF(SUM(B70:F73)&gt;(L86*4),L86*L69,SUM(B73:F73)*L69)),2)</f>
        <v>0</v>
      </c>
      <c r="M73" s="76">
        <f>ROUND(IF(SUM(B70:F72)&lt;(L86*3),IF((SUM(B70:F73))&gt;(L86*4),(((L86*4)-(SUM(B70:F73)-C73))*M69)+((SUM(B73:F73)-C73)*M69),(SUM(B73:F73)-C73)*M69),IF(SUM(B70:F73)&gt;(L86*4),L86*M69,SUM(B73:F73)*M69)),2)</f>
        <v>0</v>
      </c>
      <c r="N73" s="76">
        <f>ROUND(IF(SUM(B70:F72)&lt;(L86*3),IF((SUM(B70:F73))&gt;(L86*4),(((L86*4)-(SUM(B70:F73)-C72))*N69)+((SUM(B73:F73)-C72)*N69),SUM(B73:F73)*N69),IF(SUM(B70:F73)&gt;(L86*4),L86*N69,SUM(B73:F73)*N69)),2)</f>
        <v>0</v>
      </c>
      <c r="O73" s="23">
        <f>ROUND(SUM(B73+C73+F73)*O69,2)</f>
        <v>0</v>
      </c>
      <c r="P73" s="27">
        <f t="shared" si="8"/>
        <v>0</v>
      </c>
    </row>
    <row r="74" spans="1:16" x14ac:dyDescent="0.2">
      <c r="A74" s="100" t="str">
        <f>$A$30</f>
        <v>Mai 2022</v>
      </c>
      <c r="B74" s="24">
        <f>ROUND(IF(N54=0,0,IFERROR(((LOOKUP(2,1/(A58:A61=A74),G58:G61))*N54*4.348),B73/N54*N54)),2)</f>
        <v>0</v>
      </c>
      <c r="C74" s="23">
        <f>ROUND(IFERROR(((LOOKUP(2,1/(B63=A74),((SUM(B76:B78)+SUM(F76:F78))/3)*C63))),0)+IFERROR(((LOOKUP(2,1/(E63=A74),(B82+F82)*F63))),0),2)</f>
        <v>0</v>
      </c>
      <c r="D74" s="23">
        <f>ROUND(IF(B74=0,0,D69/L51*N54),2)</f>
        <v>0</v>
      </c>
      <c r="E74" s="23">
        <f>ROUND(IF(B74=0,0,E69/N47*N54),2)</f>
        <v>0</v>
      </c>
      <c r="F74" s="24">
        <f>ROUND(IF(N54=0,0,IFERROR(((LOOKUP(2,1/(A58:A61=A74),H58:H61))/N47*N54),F73/N54*N54)),2)</f>
        <v>0</v>
      </c>
      <c r="G74" s="27">
        <f t="shared" si="7"/>
        <v>0</v>
      </c>
      <c r="H74" s="76">
        <f>ROUND(IF(SUM(B70:F73)&lt;(L85*4),IF((SUM(B70:F74))&gt;(L85*5),(((L85*5)-(SUM(B70:F74)-C73))*H69)+((SUM(B74:F74)-C73)*H69),SUM(B74:F74)*H69),IF(SUM(B70:F74)&gt;(L85*5),L85*H69,SUM(B74:F74)*H69)),2)</f>
        <v>0</v>
      </c>
      <c r="I74" s="76">
        <f>ROUND(IF(SUM(B70:F73)&lt;(L86*4),IF((SUM(B70:F74))&gt;(L86*5),(((L86*5)-(SUM(B70:F74)-C73))*I69)+((SUM(B74:F74)-C73)*I69),SUM(B74:F74)*I69),IF(SUM(B70:F74)&gt;(L86*5),L86*I69,SUM(B74:F74)*I69)),2)</f>
        <v>0</v>
      </c>
      <c r="J74" s="76">
        <f>ROUND(IF(SUM(B70:F73)&lt;(L86*4),IF((SUM(B70:F74))&gt;(L86*5),(((L86*5)-(SUM(B70:F74)-C73))*J69)+((SUM(B74:F74)-C73)*J69),SUM(B74:F74)*J69),IF(SUM(B70:F74)&gt;(L86*5),L86*J69,SUM(B74:F74)*J69)),2)</f>
        <v>0</v>
      </c>
      <c r="K74" s="76">
        <f>ROUND(IF(SUM(B70:F73)&lt;(L85*4),IF((SUM(B70:F74))&gt;(L85*5),(((L85*5)-(SUM(B70:F74)-C73))*K69)+((SUM(B74:F74)-C73)*K69),SUM(B74:F74)*K69),IF(SUM(B70:F74)&gt;(L85*5),L85*K69,SUM(B74:F74)*K69)),2)</f>
        <v>0</v>
      </c>
      <c r="L74" s="76">
        <f>ROUND(IF(SUM(B70:F73)&lt;(L86*4),IF((SUM(B70:F74))&gt;(L86*5),(((L86*5)-(SUM(B70:F74)-C74))*L69)+((SUM(B74:F74)-C74)*L69),(SUM(B74:F74)-C74)*L69),IF(SUM(B70:F74)&gt;(L86*5),L86*L69,SUM(B74:F74)*L69)),2)</f>
        <v>0</v>
      </c>
      <c r="M74" s="76">
        <f>ROUND(IF(SUM(B70:F73)&lt;(L86*4),IF((SUM(B70:F74))&gt;(L86*5),(((L86*5)-(SUM(B70:F74)-C74))*M69)+((SUM(B74:F74)-C74)*M69),(SUM(B74:F74)-C74)*M69),IF(SUM(B70:F74)&gt;(L86*5),L86*M69,SUM(B74:F74)*M69)),2)</f>
        <v>0</v>
      </c>
      <c r="N74" s="76">
        <f>ROUND(IF(SUM(B70:F73)&lt;(L86*4),IF((SUM(B70:F74))&gt;(L86*5),(((L86*5)-(SUM(B70:F74)-C73))*N69)+((SUM(B74:F74)-C73)*N69),SUM(B74:F74)*N69),IF(SUM(B70:F74)&gt;(L86*5),L86*N69,SUM(B74:F74)*N69)),2)</f>
        <v>0</v>
      </c>
      <c r="O74" s="23">
        <f>ROUND(SUM(B74+C74+F74)*O69,2)</f>
        <v>0</v>
      </c>
      <c r="P74" s="27">
        <f t="shared" si="8"/>
        <v>0</v>
      </c>
    </row>
    <row r="75" spans="1:16" x14ac:dyDescent="0.2">
      <c r="A75" s="100" t="str">
        <f>$A$31</f>
        <v>Jun 2022</v>
      </c>
      <c r="B75" s="24">
        <f>ROUND(IF(N55=0,0,IFERROR(((LOOKUP(2,1/(A58:A61=A75),G58:G61))*N55*4.348),B74/N55*N55)),2)</f>
        <v>0</v>
      </c>
      <c r="C75" s="23">
        <f>ROUND(IFERROR(((LOOKUP(2,1/(B63=A75),((SUM(B76:B78)+SUM(F76:F78))/3)*C63))),0)+IFERROR(((LOOKUP(2,1/(E63=A75),(B82+F82)*F63))),0),2)</f>
        <v>0</v>
      </c>
      <c r="D75" s="23">
        <f>ROUND(IF(B75=0,0,D69/L51*N55),2)</f>
        <v>0</v>
      </c>
      <c r="E75" s="23">
        <f>ROUND(IF(B75=0,0,E69/N47*N55),2)</f>
        <v>0</v>
      </c>
      <c r="F75" s="24">
        <f>ROUND(IF(N55=0,0,IFERROR(((LOOKUP(2,1/(A58:A61=A75),H58:H61))/N47*N55),F74/N55*N55)),2)</f>
        <v>0</v>
      </c>
      <c r="G75" s="27">
        <f t="shared" si="7"/>
        <v>0</v>
      </c>
      <c r="H75" s="76">
        <f>ROUND(IF(SUM(B70:F74)&lt;(L85*5),IF((SUM(B70:F75))&gt;(L85*6),(((L85*6)-(SUM(B70:F75)-C74))*H69)+((SUM(B75:F75)-C74)*H69),SUM(B75:F75)*H69),IF(SUM(B70:F75)&gt;(L85*6),L85*H69,SUM(B75:F75)*H69)),2)</f>
        <v>0</v>
      </c>
      <c r="I75" s="76">
        <f>ROUND(IF(SUM(B70:F74)&lt;(L86*5),IF((SUM(B70:F75))&gt;(L86*6),(((L86*6)-(SUM(B70:F75)-C74))*I69)+((SUM(B75:F75)-C74)*I69),SUM(B75:F75)*I69),IF(SUM(B70:F75)&gt;(L86*6),L86*I69,SUM(B75:F75)*I69)),2)</f>
        <v>0</v>
      </c>
      <c r="J75" s="76">
        <f>ROUND(IF(SUM(B70:F74)&lt;(L86*5),IF((SUM(B70:F75))&gt;(L86*6),(((L86*6)-(SUM(B70:F75)-C74))*J69)+((SUM(B75:F75)-C74)*J69),SUM(B75:F75)*J69),IF(SUM(B70:F75)&gt;(L86*6),L86*J69,SUM(B75:F75)*J69)),2)</f>
        <v>0</v>
      </c>
      <c r="K75" s="76">
        <f>ROUND(IF(SUM(B70:F74)&lt;(L85*5),IF((SUM(B70:F75))&gt;(L85*6),(((L85*6)-(SUM(B70:F75)-C74))*K69)+((SUM(B75:F75)-C74)*K69),SUM(B75:F75)*K69),IF(SUM(B70:F75)&gt;(L85*6),L85*K69,SUM(B75:F75)*K69)),2)</f>
        <v>0</v>
      </c>
      <c r="L75" s="76">
        <f>ROUND(IF(SUM(B70:F74)&lt;(L86*5),IF((SUM(B70:F75))&gt;(L86*6),(((L86*6)-(SUM(B70:F75)-C75))*L69)+((SUM(B75:F75)-C75)*L69),(SUM(B75:F75)-C75)*L69),IF(SUM(B70:F75)&gt;(L86*6),L86*L69,SUM(B75:F75)*L69)),2)</f>
        <v>0</v>
      </c>
      <c r="M75" s="76">
        <f>ROUND(IF(SUM(B70:F74)&lt;(L86*5),IF((SUM(B70:F75))&gt;(L86*6),(((L86*6)-(SUM(B70:F75)-C75))*M69)+((SUM(B75:F75)-C75)*M69),(SUM(B75:F75)-C75)*M69),IF(SUM(B70:F75)&gt;(L86*6),L86*M69,SUM(B75:F75)*M69)),2)</f>
        <v>0</v>
      </c>
      <c r="N75" s="76">
        <f>ROUND(IF(SUM(B70:F74)&lt;(L86*5),IF((SUM(B70:F75))&gt;(L86*6),(((L86*6)-(SUM(B70:F75)-C74))*N69)+((SUM(B75:F75)-C74)*N69),SUM(B75:F75)*N69),IF(SUM(B70:F75)&gt;(L86*6),L86*N69,SUM(B75:F75)*N69)),2)</f>
        <v>0</v>
      </c>
      <c r="O75" s="23">
        <f>ROUND(SUM(B75+C75+F75)*O69,2)</f>
        <v>0</v>
      </c>
      <c r="P75" s="27">
        <f t="shared" si="8"/>
        <v>0</v>
      </c>
    </row>
    <row r="76" spans="1:16" x14ac:dyDescent="0.2">
      <c r="A76" s="100" t="str">
        <f>$A$32</f>
        <v>Jul 2022</v>
      </c>
      <c r="B76" s="24">
        <f>ROUND(IF(P50=0,0,IFERROR(((LOOKUP(2,1/(A58:A61=A76),G58:G61))*P50*4.348),B75/P50*P50)),2)</f>
        <v>0</v>
      </c>
      <c r="C76" s="23">
        <f>ROUND(IFERROR(((LOOKUP(2,1/(B63=A76),((SUM(B76:B78)+SUM(F76:F78))/3)*C63))),0)+IFERROR(((LOOKUP(2,1/(E63=A76),(B82+F82)*F63))),0),2)</f>
        <v>0</v>
      </c>
      <c r="D76" s="23">
        <f>ROUND(IF(B76=0,0,D69/L51*P50),2)</f>
        <v>0</v>
      </c>
      <c r="E76" s="23">
        <f>ROUND(IF(B76=0,0,E69/N47*P50),2)</f>
        <v>0</v>
      </c>
      <c r="F76" s="24">
        <f>ROUND(IF(P50=0,0,IFERROR(((LOOKUP(2,1/(A58:A61=A76),H58:H61))/N47*P50),F75/P50*P50)),2)</f>
        <v>0</v>
      </c>
      <c r="G76" s="27">
        <f t="shared" si="7"/>
        <v>0</v>
      </c>
      <c r="H76" s="76">
        <f>ROUND(IF(SUM(B70:F75)&lt;(L85*6),IF((SUM(B70:F76))&gt;(L85*7),(((L85*7)-(SUM(B70:F76)-C75))*H69)+((SUM(B76:F76)-C75)*H69),SUM(B76:F76)*H69),IF(SUM(B70:F76)&gt;(L85*7),L85*H69,SUM(B76:F76)*H69)),2)</f>
        <v>0</v>
      </c>
      <c r="I76" s="76">
        <f>ROUND(IF(SUM(B70:F75)&lt;(L86*6),IF((SUM(B70:F76))&gt;(L86*7),(((L86*7)-(SUM(B70:F76)-C75))*I69)+((SUM(B76:F76)-C75)*I69),SUM(B76:F76)*I69),IF(SUM(B70:F76)&gt;(L86*7),L86*I69,SUM(B76:F76)*I69)),2)</f>
        <v>0</v>
      </c>
      <c r="J76" s="76">
        <f>ROUND(IF(SUM(B70:F75)&lt;(L86*6),IF((SUM(B70:F76))&gt;(L86*7),(((L86*7)-(SUM(B70:F76)-C75))*J69)+((SUM(B76:F76)-C75)*J69),SUM(B76:F76)*J69),IF(SUM(B70:F76)&gt;(L86*7),L86*J69,SUM(B76:F76)*J69)),2)</f>
        <v>0</v>
      </c>
      <c r="K76" s="76">
        <f>ROUND(IF(SUM(B70:F75)&lt;(L85*6),IF((SUM(B70:F76))&gt;(L85*7),(((L85*7)-(SUM(B70:F76)-C75))*K69)+((SUM(B76:F76)-C75)*K69),SUM(B76:F76)*K69),IF(SUM(B70:F76)&gt;(L85*7),L85*K69,SUM(B76:F76)*K69)),2)</f>
        <v>0</v>
      </c>
      <c r="L76" s="76">
        <f>ROUND(IF(SUM(B70:F75)&lt;(L86*6),IF((SUM(B70:F76))&gt;(L86*7),(((L86*7)-(SUM(B70:F76)-C76))*L69)+((SUM(B76:F76)-C76)*L69),(SUM(B76:F76)-C76)*L69),IF(SUM(B70:F76)&gt;(L86*7),L86*L69,SUM(B76:F76)*L69)),2)</f>
        <v>0</v>
      </c>
      <c r="M76" s="76">
        <f>ROUND(IF(SUM(B70:F75)&lt;(L86*6),IF((SUM(B70:F76))&gt;(L86*7),(((L86*7)-(SUM(B70:F76)-C76))*M69)+((SUM(B76:F76)-C76)*M69),(SUM(B76:F76)-C76)*M69),IF(SUM(B70:F76)&gt;(L86*7),L86*M69,SUM(B76:F76)*M69)),2)</f>
        <v>0</v>
      </c>
      <c r="N76" s="76">
        <f>ROUND(IF(SUM(B70:F75)&lt;(L86*6),IF((SUM(B70:F76))&gt;(L86*7),(((L86*7)-(SUM(B70:F76)-C75))*N69)+((SUM(B76:F76)-C75)*N69),SUM(B76:F76)*N69),IF(SUM(B70:F76)&gt;(L86*7),L86*N69,SUM(B76:F76)*N69)),2)</f>
        <v>0</v>
      </c>
      <c r="O76" s="23">
        <f>ROUND(SUM(B76+C76+F76)*O69,2)</f>
        <v>0</v>
      </c>
      <c r="P76" s="27">
        <f t="shared" si="8"/>
        <v>0</v>
      </c>
    </row>
    <row r="77" spans="1:16" x14ac:dyDescent="0.2">
      <c r="A77" s="100" t="str">
        <f>$A$33</f>
        <v>Aug 2022</v>
      </c>
      <c r="B77" s="24">
        <f>ROUND(IF(P51=0,0,IFERROR(((LOOKUP(2,1/(A58:A61=A77),G58:G61))*P51*4.348),B76/P51*P51)),2)</f>
        <v>0</v>
      </c>
      <c r="C77" s="23">
        <f>ROUND(IFERROR(((LOOKUP(2,1/(B63=A77),((SUM(B76:B78)+SUM(F76:F78))/3)*C63))),0)+IFERROR(((LOOKUP(2,1/(E63=A77),(B82+F82)*F63))),0),2)</f>
        <v>0</v>
      </c>
      <c r="D77" s="23">
        <f>ROUND(IF(B77=0,0,D69/L51*P51),2)</f>
        <v>0</v>
      </c>
      <c r="E77" s="23">
        <f>ROUND(IF(B77=0,0,E69/N47*P51),2)</f>
        <v>0</v>
      </c>
      <c r="F77" s="24">
        <f>ROUND(IF(P51=0,0,IFERROR(((LOOKUP(2,1/(A58:A61=A77),H58:H61))/N47*P51),F76/P51*P51)),2)</f>
        <v>0</v>
      </c>
      <c r="G77" s="27">
        <f t="shared" si="7"/>
        <v>0</v>
      </c>
      <c r="H77" s="76">
        <f>ROUND(IF(SUM(B70:F76)&lt;(L85*7),IF((SUM(B70:F77))&gt;(L85*8),(((L85*8)-(SUM(B70:F77)-C76))*H69)+((SUM(B77:F77)-C76)*H69),SUM(B77:F77)*H69),IF(SUM(B70:F77)&gt;(L85*8),L85*H69,SUM(B77:F77)*H69)),2)</f>
        <v>0</v>
      </c>
      <c r="I77" s="76">
        <f>ROUND(IF(SUM(B70:F76)&lt;(L86*7),IF((SUM(B70:F77))&gt;(L86*8),(((L86*8)-(SUM(B70:F77)-C76))*I69)+((SUM(B77:F77)-C76)*I69),SUM(B77:F77)*I69),IF(SUM(B70:F77)&gt;(L86*8),L86*I69,SUM(B77:F77)*I69)),2)</f>
        <v>0</v>
      </c>
      <c r="J77" s="76">
        <f>ROUND(IF(SUM(B70:F76)&lt;(L86*7),IF((SUM(B70:F77))&gt;(L86*8),(((L86*8)-(SUM(B70:F77)-C76))*J69)+((SUM(B77:F77)-C76)*J69),SUM(B77:F77)*J69),IF(SUM(B70:F77)&gt;(L86*8),L86*J69,SUM(B77:F77)*J69)),2)</f>
        <v>0</v>
      </c>
      <c r="K77" s="76">
        <f>ROUND(IF(SUM(B70:F76)&lt;(L85*7),IF((SUM(B70:F77))&gt;(L85*8),(((L85*8)-(SUM(B70:F77)-C76))*K69)+((SUM(B77:F77)-C76)*K69),SUM(B77:F77)*K69),IF(SUM(B70:F77)&gt;(L85*8),L85*K69,SUM(B77:F77)*K69)),2)</f>
        <v>0</v>
      </c>
      <c r="L77" s="76">
        <f>ROUND(IF(SUM(B70:F76)&lt;(L86*7),IF((SUM(B70:F77))&gt;(L86*8),(((L86*8)-(SUM(B70:F77)-C77))*L69)+((SUM(B77:F77)-C77)*L69),(SUM(B77:F77)-C77)*L69),IF(SUM(B70:F77)&gt;(L86*8),L86*L69,SUM(B77:F77)*L69)),2)</f>
        <v>0</v>
      </c>
      <c r="M77" s="76">
        <f>ROUND(IF(SUM(B70:F76)&lt;(L86*7),IF((SUM(B70:F77))&gt;(L86*8),(((L86*8)-(SUM(B70:F77)-C77))*M69)+((SUM(B77:F77)-C77)*M69),(SUM(B77:F77)-C77)*M69),IF(SUM(B70:F77)&gt;(L86*8),L86*M69,SUM(B77:F77)*M69)),2)</f>
        <v>0</v>
      </c>
      <c r="N77" s="76">
        <f>ROUND(IF(SUM(B70:F76)&lt;(L86*7),IF((SUM(B70:F77))&gt;(L86*8),(((L86*8)-(SUM(B70:F77)-C76))*N69)+((SUM(B77:F77)-C76)*N69),SUM(B77:F77)*N69),IF(SUM(B70:F77)&gt;(L86*8),L86*N69,SUM(B77:F77)*N69)),2)</f>
        <v>0</v>
      </c>
      <c r="O77" s="23">
        <f>ROUND(SUM(B77+C77+F77)*O69,2)</f>
        <v>0</v>
      </c>
      <c r="P77" s="27">
        <f t="shared" si="8"/>
        <v>0</v>
      </c>
    </row>
    <row r="78" spans="1:16" x14ac:dyDescent="0.2">
      <c r="A78" s="100" t="str">
        <f>$A$34</f>
        <v>Sep 2022</v>
      </c>
      <c r="B78" s="24">
        <f>ROUND(IF(P52=0,0,IFERROR(((LOOKUP(2,1/(A58:A61=A78),G58:G61))*P52*4.348),B77/P52*P52)),2)</f>
        <v>0</v>
      </c>
      <c r="C78" s="23">
        <f>ROUND(IFERROR(((LOOKUP(2,1/(B63=A78),((SUM(B76:B78)+SUM(F76:F78))/3)*C63))),0)+IFERROR(((LOOKUP(2,1/(E63=A78),(B82+F82)*F63))),0),2)</f>
        <v>0</v>
      </c>
      <c r="D78" s="23">
        <f>ROUND(IF(B78=0,0,D69/L51*P52),2)</f>
        <v>0</v>
      </c>
      <c r="E78" s="23">
        <f>ROUND(IF(B78=0,0,E69/N47*P52),2)</f>
        <v>0</v>
      </c>
      <c r="F78" s="24">
        <f>ROUND(IF(P52=0,0,IFERROR(((LOOKUP(2,1/(A58:A61=A78),H58:H61))/N47*P52),F77/P52*P52)),2)</f>
        <v>0</v>
      </c>
      <c r="G78" s="27">
        <f t="shared" si="7"/>
        <v>0</v>
      </c>
      <c r="H78" s="76">
        <f>ROUND(IF(SUM(B70:F77)&lt;(L85*8),IF((SUM(B70:F78))&gt;(L85*9),(((L85*9)-(SUM(B70:F78)-C77))*H69)+((SUM(B78:F78)-C77)*H69),SUM(B78:F78)*H69),IF(SUM(B70:F78)&gt;(L85*9),L85*H69,SUM(B78:F78)*H69)),2)</f>
        <v>0</v>
      </c>
      <c r="I78" s="76">
        <f>ROUND(IF(SUM(B70:F77)&lt;(L86*8),IF((SUM(B70:F78))&gt;(L86*9),(((L86*9)-(SUM(B70:F78)-C77))*I69)+((SUM(B78:F78)-C77)*I69),SUM(B78:F78)*I69),IF(SUM(B70:F78)&gt;(L86*9),L86*I69,SUM(B78:F78)*I69)),2)</f>
        <v>0</v>
      </c>
      <c r="J78" s="76">
        <f>ROUND(IF(SUM(B70:F77)&lt;(L86*8),IF((SUM(B70:F78))&gt;(L86*9),(((L86*9)-(SUM(B70:F78)-C77))*J69)+((SUM(B78:F78)-C77)*J69),SUM(B78:F78)*J69),IF(SUM(B70:F78)&gt;(L86*9),L86*J69,SUM(B78:F78)*J69)),2)</f>
        <v>0</v>
      </c>
      <c r="K78" s="76">
        <f>ROUND(IF(SUM(B70:F77)&lt;(L85*8),IF((SUM(B70:F78))&gt;(L85*9),(((L85*9)-(SUM(B70:F78)-C77))*K69)+((SUM(B78:F78)-C77)*K69),SUM(B78:F78)*K69),IF(SUM(B70:F78)&gt;(L85*9),L85*K69,SUM(B78:F78)*K69)),2)</f>
        <v>0</v>
      </c>
      <c r="L78" s="76">
        <f>ROUND(IF(SUM(B70:F77)&lt;(L86*8),IF((SUM(B70:F78))&gt;(L86*9),(((L86*9)-(SUM(B70:F78)-C78))*L69)+((SUM(B78:F78)-C78)*L69),(SUM(B78:F78)-C78)*L69),IF(SUM(B70:F78)&gt;(L86*9),L86*L69,SUM(B78:F78)*L69)),2)</f>
        <v>0</v>
      </c>
      <c r="M78" s="76">
        <f>ROUND(IF(SUM(B70:F77)&lt;(L86*8),IF((SUM(B70:F78))&gt;(L86*9),(((L86*9)-(SUM(B70:F78)-C78))*M69)+((SUM(B78:F78)-C78)*M69),(SUM(B78:F78)-C78)*M69),IF(SUM(B70:F78)&gt;(L86*9),L86*M69,SUM(B78:F78)*M69)),2)</f>
        <v>0</v>
      </c>
      <c r="N78" s="76">
        <f>ROUND(IF(SUM(B70:F77)&lt;(L86*8),IF((SUM(B70:F78))&gt;(L86*9),(((L86*9)-(SUM(B70:F78)-C77))*N69)+((SUM(B78:F78)-C77)*N69),SUM(B78:F78)*N69),IF(SUM(B70:F78)&gt;(L86*9),L86*N69,SUM(B78:F78)*N69)),2)</f>
        <v>0</v>
      </c>
      <c r="O78" s="23">
        <f>ROUND(SUM(B78+C78+F78)*O69,2)</f>
        <v>0</v>
      </c>
      <c r="P78" s="27">
        <f t="shared" si="8"/>
        <v>0</v>
      </c>
    </row>
    <row r="79" spans="1:16" x14ac:dyDescent="0.2">
      <c r="A79" s="100" t="str">
        <f>$A$35</f>
        <v>Okt 2022</v>
      </c>
      <c r="B79" s="24">
        <f>ROUND(IF(P53=0,0,IFERROR(((LOOKUP(2,1/(A58:A61=A79),G58:G61))*P53*4.348),B78/P53*P53)),2)</f>
        <v>0</v>
      </c>
      <c r="C79" s="23">
        <f>ROUND(IFERROR(((LOOKUP(2,1/(B63=A79),((SUM(B76:B78)+SUM(F76:F78))/3)*C63))),0)+IFERROR(((LOOKUP(2,1/(E63=A79),(B82+F82)*F63))),0),2)</f>
        <v>0</v>
      </c>
      <c r="D79" s="23">
        <f>ROUND(IF(B79=0,0,D69/L51*P53),2)</f>
        <v>0</v>
      </c>
      <c r="E79" s="23">
        <f>ROUND(IF(B79=0,0,E69/N47*P53),2)</f>
        <v>0</v>
      </c>
      <c r="F79" s="24">
        <f>ROUND(IF(P53=0,0,IFERROR(((LOOKUP(2,1/(A58:A61=A79),H58:H61))/N47*P53),F78/P53*P53)),2)</f>
        <v>0</v>
      </c>
      <c r="G79" s="27">
        <f t="shared" si="7"/>
        <v>0</v>
      </c>
      <c r="H79" s="76">
        <f>ROUND(IF(SUM(B70:F78)&lt;(L85*9),IF((SUM(B70:F79))&gt;(L85*10),(((L85*10)-(SUM(B70:F79)-C78))*H69)+((SUM(B79:F79)-C78)*H69),SUM(B79:F79)*H69),IF(SUM(B70:F79)&gt;(L85*10),L85*H69,SUM(B79:F79)*H69)),2)</f>
        <v>0</v>
      </c>
      <c r="I79" s="76">
        <f>ROUND(IF(SUM(B70:F78)&lt;(L86*9),IF((SUM(B70:F79))&gt;(L86*10),(((L86*10)-(SUM(B70:F79)-C78))*I69)+((SUM(B79:F79)-C78)*I69),SUM(B79:F79)*I69),IF(SUM(B70:F79)&gt;(L86*10),L86*I69,SUM(B79:F79)*I69)),2)</f>
        <v>0</v>
      </c>
      <c r="J79" s="76">
        <f>ROUND(IF(SUM(B70:F78)&lt;(L86*9),IF((SUM(B70:F79))&gt;(L86*10),(((L86*10)-(SUM(B70:F79)-C78))*J69)+((SUM(B79:F79)-C78)*J69),SUM(B79:F79)*J69),IF(SUM(B70:F79)&gt;(L86*10),L86*J69,SUM(B79:F79)*J69)),2)</f>
        <v>0</v>
      </c>
      <c r="K79" s="76">
        <f>ROUND(IF(SUM(B70:F78)&lt;(L85*9),IF((SUM(B70:F79))&gt;(L85*10),(((L85*10)-(SUM(B70:F79)-C78))*K69)+((SUM(B79:F79)-C78)*K69),SUM(B79:F79)*K69),IF(SUM(B70:F79)&gt;(L85*10),L85*K69,SUM(B79:F79)*K69)),2)</f>
        <v>0</v>
      </c>
      <c r="L79" s="76">
        <f>ROUND(IF(SUM(B70:F78)&lt;(L86*9),IF((SUM(B70:F79))&gt;(L86*10),(((L86*10)-(SUM(B70:F79)-C79))*L69)+((SUM(B79:F79)-C79)*L69),(SUM(B79:F79)-C79)*L69),IF(SUM(B70:F79)&gt;(L86*10),L86*L69,SUM(B79:F79)*L69)),2)</f>
        <v>0</v>
      </c>
      <c r="M79" s="76">
        <f>ROUND(IF(SUM(B70:F78)&lt;(L86*9),IF((SUM(B70:F79))&gt;(L86*10),(((L86*10)-(SUM(B70:F79)-C79))*M69)+((SUM(B79:F79)-C79)*M69),(SUM(B79:F79)-C79)*M69),IF(SUM(B70:F79)&gt;(L86*10),L86*M69,SUM(B79:F79)*M69)),2)</f>
        <v>0</v>
      </c>
      <c r="N79" s="76">
        <f>ROUND(IF(SUM(B70:F78)&lt;(L86*9),IF((SUM(B70:F79))&gt;(L86*10),(((L86*10)-(SUM(B70:F79)-C78))*N69)+((SUM(B79:F79)-C78)*N69),SUM(B79:F79)*N69),IF(SUM(B70:F79)&gt;(L86*10),L86*N69,SUM(B79:F79)*N69)),2)</f>
        <v>0</v>
      </c>
      <c r="O79" s="23">
        <f>ROUND(SUM(B79+C79+F79)*O69,2)</f>
        <v>0</v>
      </c>
      <c r="P79" s="27">
        <f t="shared" si="8"/>
        <v>0</v>
      </c>
    </row>
    <row r="80" spans="1:16" x14ac:dyDescent="0.2">
      <c r="A80" s="100" t="str">
        <f>$A$36</f>
        <v>Nov 2022</v>
      </c>
      <c r="B80" s="24">
        <f>ROUND(IF(P54=0,0,IFERROR(((LOOKUP(2,1/(A58:A61=A80),G58:G61))*P54*4.348),B79/P54*P54)),2)</f>
        <v>0</v>
      </c>
      <c r="C80" s="23">
        <f>ROUND(IFERROR(((LOOKUP(2,1/(B63=A80),((SUM(B76:B78)+SUM(F76:F78))/3)*C63))),0)+IFERROR(((LOOKUP(2,1/(E63=A80),(B82+F82)*F63))),0),2)</f>
        <v>0</v>
      </c>
      <c r="D80" s="23">
        <f>ROUND(IF(B80=0,0,D69/L51*P54),2)</f>
        <v>0</v>
      </c>
      <c r="E80" s="23">
        <f>ROUND(IF(B80=0,0,E69/N47*P54),2)</f>
        <v>0</v>
      </c>
      <c r="F80" s="24">
        <f>ROUND(IF(P54=0,0,IFERROR(((LOOKUP(2,1/(A58:A61=A80),H58:H61))/N47*P54),F79/P54*P54)),2)</f>
        <v>0</v>
      </c>
      <c r="G80" s="27">
        <f t="shared" si="7"/>
        <v>0</v>
      </c>
      <c r="H80" s="76">
        <f>ROUND(IF(SUM(B70:F79)&lt;(L85*10),IF((SUM(B70:F80))&gt;(L85*11),(((L85*11)-(SUM(B70:F80)-C79))*H69)+((SUM(B80:F80)-C79)*H69),SUM(B80:F80)*H69),IF(SUM(B70:F80)&gt;(L85*11),L85*H69,SUM(B80:F80)*H69)),2)</f>
        <v>0</v>
      </c>
      <c r="I80" s="76">
        <f>ROUND(IF(SUM(B70:F79)&lt;(L86*10),IF((SUM(B70:F80))&gt;(L86*11),(((L86*11)-(SUM(B70:F80)-C79))*I69)+((SUM(B80:F80)-C79)*I69),SUM(B80:F80)*I69),IF(SUM(B70:F80)&gt;(L86*11),L86*I69,SUM(B80:F80)*I69)),2)</f>
        <v>0</v>
      </c>
      <c r="J80" s="76">
        <f>ROUND(IF(SUM(B70:F79)&lt;(L86*10),IF((SUM(B70:F80))&gt;(L86*11),(((L86*11)-(SUM(B70:F80)-C79))*J69)+((SUM(B80:F80)-C79)*J69),SUM(B80:F80)*J69),IF(SUM(B70:F80)&gt;(L86*11),L86*J69,SUM(B80:F80)*J69)),2)</f>
        <v>0</v>
      </c>
      <c r="K80" s="76">
        <f>ROUND(IF(SUM(B70:F79)&lt;(L85*10),IF((SUM(B70:F80))&gt;(L85*11),(((L85*11)-(SUM(B70:F80)-C79))*K69)+((SUM(B80:F80)-C79)*K69),SUM(B80:F80)*K69),IF(SUM(B70:F80)&gt;(L85*11),L85*K69,SUM(B80:F80)*K69)),2)</f>
        <v>0</v>
      </c>
      <c r="L80" s="76">
        <f>ROUND(IF(SUM(B70:F79)&lt;(L86*10),IF((SUM(B70:F80))&gt;(L86*11),(((L86*11)-(SUM(B70:F80)-C80))*L69)+((SUM(B80:F80)-C80)*L69),(SUM(B80:F80)-C80)*L69),IF(SUM(B70:F80)&gt;(L86*11),L86*L69,SUM(B80:F80)*L69)),2)</f>
        <v>0</v>
      </c>
      <c r="M80" s="76">
        <f>ROUND(IF(SUM(B70:F79)&lt;(L86*10),IF((SUM(B70:F80))&gt;(L86*11),(((L86*11)-(SUM(B70:F80)-C80))*M69)+((SUM(B80:F80)-C80)*M69),(SUM(B80:F80)-C80)*M69),IF(SUM(B70:F80)&gt;(L86*11),L86*M69,SUM(B80:F80)*M69)),2)</f>
        <v>0</v>
      </c>
      <c r="N80" s="76">
        <f>ROUND(IF(SUM(B70:F79)&lt;(L86*10),IF((SUM(B70:F80))&gt;(L86*11),(((L86*11)-(SUM(B70:F80)-C79))*N69)+((SUM(B80:F80)-C79)*N69),SUM(B80:F80)*N69),IF(SUM(B70:F80)&gt;(L86*11),L86*N69,SUM(B80:F80)*N69)),2)</f>
        <v>0</v>
      </c>
      <c r="O80" s="23">
        <f>ROUND(SUM(B80+C80+F80)*O69,2)</f>
        <v>0</v>
      </c>
      <c r="P80" s="27">
        <f t="shared" si="8"/>
        <v>0</v>
      </c>
    </row>
    <row r="81" spans="1:16" x14ac:dyDescent="0.2">
      <c r="A81" s="100" t="str">
        <f>$A$37</f>
        <v>Dez 2022</v>
      </c>
      <c r="B81" s="24">
        <f>ROUND(IF(P55=0,0,IFERROR(((LOOKUP(2,1/(A58:A61=A81),G58:G61))*P55*4.348),B80/P55*P55)),2)</f>
        <v>0</v>
      </c>
      <c r="C81" s="23">
        <f>ROUND(IFERROR(((LOOKUP(2,1/(B63=A81),((SUM(B76:B78)+SUM(F76:F78))/3)*C63))),0)+IFERROR(((LOOKUP(2,1/(E63=A81),(B82+F82)*F63))),0),2)</f>
        <v>0</v>
      </c>
      <c r="D81" s="23">
        <f>ROUND(IF(B81=0,0,D69/L51*P55),2)</f>
        <v>0</v>
      </c>
      <c r="E81" s="23">
        <f>ROUND(IF(B81=0,0,E69/N47*P55),2)</f>
        <v>0</v>
      </c>
      <c r="F81" s="24">
        <f>ROUND(IF(P55=0,0,IFERROR(((LOOKUP(2,1/(A58:A61=A81),H58:H61))/N47*P55),F80/P55*P55)),2)</f>
        <v>0</v>
      </c>
      <c r="G81" s="27">
        <f t="shared" si="7"/>
        <v>0</v>
      </c>
      <c r="H81" s="76">
        <f>ROUND(IF(SUM(B70:F80)&lt;(L85*11),IF((SUM(B70:F81))&gt;(L85*12),(((L85*12)-(SUM(B70:F81)-C80))*H69)+((SUM(B81:F81)-C80)*H69),SUM(B81:F81)*H69),IF(SUM(B70:F81)&gt;(L85*12),L85*H69,SUM(B81:F81)*H69)),2)</f>
        <v>0</v>
      </c>
      <c r="I81" s="76">
        <f>ROUND(IF(SUM(B70:F80)&lt;(L86*11),IF((SUM(B70:F81))&gt;(L86*12),(((L86*12)-(SUM(B70:F81)-C80))*I69)+((SUM(B81:F81)-C80)*I69),SUM(B81:F81)*I69),IF(SUM(B70:F81)&gt;(L86*12),L86*I69,SUM(B81:F81)*I69)),2)</f>
        <v>0</v>
      </c>
      <c r="J81" s="76">
        <f>ROUND(IF(SUM(B70:F80)&lt;(L86*11),IF((SUM(B70:F81))&gt;(L86*12),(((L86*12)-(SUM(B70:F81)-C80))*J69)+((SUM(B81:F81)-C80)*J69),SUM(B81:F81)*J69),IF(SUM(B70:F81)&gt;(L86*12),L86*J69,SUM(B81:F81)*J69)),2)</f>
        <v>0</v>
      </c>
      <c r="K81" s="76">
        <f>ROUND(IF(SUM(B70:F80)&lt;(L85*11),IF((SUM(B70:F81))&gt;(L85*12),(((L85*12)-(SUM(B70:F81)-C80))*K69)+((SUM(B81:F81)-C80)*K69),SUM(B81:F81)*K69),IF(SUM(B70:F81)&gt;(L85*12),L85*K69,SUM(B81:F81)*K69)),2)</f>
        <v>0</v>
      </c>
      <c r="L81" s="76">
        <f>ROUND(IF(SUM(B70:F80)&lt;(L86*11),IF((SUM(B70:F81))&gt;(L86*12),(((L86*12)-(SUM(B70:F81)-C81))*L69)+((SUM(B81:F81)-C81)*L69),(SUM(B81:F81)-C81)*L69),IF(SUM(B70:F81)&gt;(L86*12),L86*L69,SUM(B81:F81)*L69)),2)</f>
        <v>0</v>
      </c>
      <c r="M81" s="76">
        <f>ROUND(IF(SUM(B70:F80)&lt;(L86*11),IF((SUM(B70:F81))&gt;(L86*12),(((L86*12)-(SUM(B70:F81)-C81))*M69)+((SUM(B81:F81)-C81)*M69),(SUM(B81:F81)-C81)*M69),IF(SUM(B70:F81)&gt;(L86*12),L86*M69,SUM(B81:F81)*M69)),2)</f>
        <v>0</v>
      </c>
      <c r="N81" s="76">
        <f>ROUND(IF(SUM(B70:F80)&lt;(L86*11),IF((SUM(B70:F81))&gt;(L86*12),(((L86*12)-(SUM(B70:F81)-C80))*N69)+((SUM(B81:F81)-C80)*N69),SUM(B81:F81)*N69),IF(SUM(B70:F81)&gt;(L86*12),L86*N69,SUM(B81:F81)*N69)),2)</f>
        <v>0</v>
      </c>
      <c r="O81" s="23">
        <f>ROUND(SUM(B81+C81+F81)*O69,2)</f>
        <v>0</v>
      </c>
      <c r="P81" s="27">
        <f t="shared" si="8"/>
        <v>0</v>
      </c>
    </row>
    <row r="82" spans="1:16" s="14" customFormat="1" ht="15" x14ac:dyDescent="0.25">
      <c r="A82" s="4" t="s">
        <v>2</v>
      </c>
      <c r="B82" s="27">
        <f>SUM(B70:B81)</f>
        <v>0</v>
      </c>
      <c r="C82" s="27">
        <f t="shared" ref="C82:D82" si="9">SUM(C70:C81)</f>
        <v>0</v>
      </c>
      <c r="D82" s="27">
        <f t="shared" si="9"/>
        <v>0</v>
      </c>
      <c r="E82" s="27">
        <f>SUM(E70:E81)</f>
        <v>0</v>
      </c>
      <c r="F82" s="27">
        <f>SUM(F70:F81)</f>
        <v>0</v>
      </c>
      <c r="G82" s="27">
        <f>SUM(G70:G81)</f>
        <v>0</v>
      </c>
      <c r="H82" s="1133">
        <f>SUM(H70:N81)</f>
        <v>0</v>
      </c>
      <c r="I82" s="1134"/>
      <c r="J82" s="1134"/>
      <c r="K82" s="1134"/>
      <c r="L82" s="1134"/>
      <c r="M82" s="1134"/>
      <c r="N82" s="1135"/>
      <c r="O82" s="27">
        <f>SUM(O70:O81)</f>
        <v>0</v>
      </c>
      <c r="P82" s="27">
        <f>SUM(P70:P81)</f>
        <v>0</v>
      </c>
    </row>
    <row r="83" spans="1:16" s="13" customFormat="1" ht="11.25" x14ac:dyDescent="0.2">
      <c r="A83" s="3" t="s">
        <v>1</v>
      </c>
      <c r="B83" s="2"/>
      <c r="C83" s="2"/>
      <c r="D83" s="2"/>
      <c r="E83" s="2"/>
      <c r="F83" s="2"/>
      <c r="G83" s="2"/>
      <c r="H83" s="2"/>
      <c r="I83" s="2"/>
      <c r="J83" s="2"/>
      <c r="K83" s="2"/>
      <c r="L83" s="2"/>
      <c r="M83" s="2"/>
      <c r="N83" s="2"/>
      <c r="O83" s="2"/>
      <c r="P83" s="2"/>
    </row>
    <row r="84" spans="1:16" ht="14.25" customHeight="1" x14ac:dyDescent="0.2">
      <c r="A84" s="1136" t="s">
        <v>133</v>
      </c>
      <c r="B84" s="1137"/>
      <c r="C84" s="1137"/>
      <c r="D84" s="1137" t="s">
        <v>134</v>
      </c>
      <c r="E84" s="1137"/>
      <c r="F84" s="94" t="str">
        <f>IF(IF(G82=0,"",'päd.Personal - Leitung'!$F$40)=0,"",IF(G82=0,"",'päd.Personal - Leitung'!$F$40))</f>
        <v/>
      </c>
      <c r="G84" s="77" t="s">
        <v>135</v>
      </c>
      <c r="H84" s="96" t="str">
        <f>IF(IF(G82=0,"",'päd.Personal - Leitung'!$H$40)=0,"",IF(G82=0,"",'päd.Personal - Leitung'!$H$40))</f>
        <v/>
      </c>
      <c r="I84" s="73"/>
      <c r="J84" s="194" t="s">
        <v>160</v>
      </c>
      <c r="K84" s="194" t="str">
        <f>$K$40</f>
        <v>2021</v>
      </c>
      <c r="L84" s="194" t="str">
        <f>$L$40</f>
        <v>anteilig 2021</v>
      </c>
      <c r="M84" s="1138" t="s">
        <v>140</v>
      </c>
      <c r="N84" s="1138"/>
      <c r="O84" s="1139"/>
      <c r="P84" s="27">
        <f>ROUND(IF(F84="",IF(E88="",0,(E88*H88/K88)/L51*L52),G82*F84*H84/1000),2)</f>
        <v>0</v>
      </c>
    </row>
    <row r="85" spans="1:16" ht="15" customHeight="1" x14ac:dyDescent="0.2">
      <c r="A85" s="1140" t="s">
        <v>145</v>
      </c>
      <c r="B85" s="1141"/>
      <c r="C85" s="1141"/>
      <c r="D85" s="18"/>
      <c r="E85" s="107" t="s">
        <v>135</v>
      </c>
      <c r="F85" s="95" t="str">
        <f>IF(IF(G82=0,"",'päd.Personal - Leitung'!$F$41)=0,"",IF(G82=0,"",'päd.Personal - Leitung'!$F$41))</f>
        <v/>
      </c>
      <c r="G85" s="48"/>
      <c r="H85" s="47"/>
      <c r="I85" s="48"/>
      <c r="J85" s="195" t="s">
        <v>158</v>
      </c>
      <c r="K85" s="198">
        <f>$K$41</f>
        <v>4837.5</v>
      </c>
      <c r="L85" s="197">
        <f>IF(L51="",K85,K85/L51*L52)</f>
        <v>4837.5</v>
      </c>
      <c r="M85" s="1138" t="s">
        <v>139</v>
      </c>
      <c r="N85" s="1138"/>
      <c r="O85" s="1139"/>
      <c r="P85" s="27">
        <f>ROUND(IF(F85="",0,G82*F85/1000),2)</f>
        <v>0</v>
      </c>
    </row>
    <row r="86" spans="1:16" ht="15.75" customHeight="1" x14ac:dyDescent="0.2">
      <c r="A86" s="1142" t="s">
        <v>141</v>
      </c>
      <c r="B86" s="1143"/>
      <c r="C86" s="1143"/>
      <c r="D86" s="1144" t="s">
        <v>143</v>
      </c>
      <c r="E86" s="1144"/>
      <c r="F86" s="1145" t="str">
        <f>IF(IF(G82=0,"",'päd.Personal - Leitung'!$F$42)=0,"",IF(G82=0,"",'päd.Personal - Leitung'!$F$42))</f>
        <v/>
      </c>
      <c r="G86" s="1145"/>
      <c r="H86" s="72"/>
      <c r="I86" s="18"/>
      <c r="J86" s="195" t="s">
        <v>159</v>
      </c>
      <c r="K86" s="198">
        <f>$K$42</f>
        <v>6700</v>
      </c>
      <c r="L86" s="197">
        <f>IF(L51="",K86,K86/L51*L52)</f>
        <v>6700</v>
      </c>
      <c r="M86" s="1138" t="s">
        <v>141</v>
      </c>
      <c r="N86" s="1138"/>
      <c r="O86" s="1139"/>
      <c r="P86" s="23">
        <f>ROUND(IF(F86="",0,IF(G82=0,0,F86/L51*L52)),2)</f>
        <v>0</v>
      </c>
    </row>
    <row r="87" spans="1:16" ht="14.25" customHeight="1" x14ac:dyDescent="0.2">
      <c r="A87" s="18"/>
      <c r="B87" s="18"/>
      <c r="C87" s="18"/>
      <c r="D87" s="18"/>
      <c r="E87" s="18"/>
      <c r="F87" s="18"/>
      <c r="G87" s="18"/>
      <c r="H87" s="18"/>
      <c r="I87" s="18"/>
      <c r="J87" s="18"/>
      <c r="K87" s="74"/>
      <c r="L87" s="82"/>
      <c r="M87" s="1127" t="s">
        <v>146</v>
      </c>
      <c r="N87" s="1127"/>
      <c r="O87" s="1128"/>
      <c r="P87" s="23">
        <f>ROUND(IF(G82=0,0,$P$43),2)</f>
        <v>0</v>
      </c>
    </row>
    <row r="88" spans="1:16" ht="14.25" customHeight="1" x14ac:dyDescent="0.2">
      <c r="A88" s="1129" t="s">
        <v>142</v>
      </c>
      <c r="B88" s="1130"/>
      <c r="C88" s="126" t="s">
        <v>136</v>
      </c>
      <c r="D88" s="126" t="s">
        <v>137</v>
      </c>
      <c r="E88" s="1131" t="str">
        <f>IF(IF(G82=0,"",'päd.Personal - Leitung'!$E$44)=0,"",IF(G82=0,"",'päd.Personal - Leitung'!$E$44))</f>
        <v/>
      </c>
      <c r="F88" s="1131"/>
      <c r="G88" s="83" t="s">
        <v>138</v>
      </c>
      <c r="H88" s="97" t="str">
        <f>IF(IF(G82=0,"",'päd.Personal - Leitung'!$H$44)=0,"",IF(G82=0,"",'päd.Personal - Leitung'!$H$44))</f>
        <v/>
      </c>
      <c r="I88" s="1132" t="s">
        <v>144</v>
      </c>
      <c r="J88" s="1132"/>
      <c r="K88" s="98" t="str">
        <f>IF(IF(G82=0,"",'päd.Personal - Leitung'!$K$44)=0,"",IF(G82=0,"",'päd.Personal - Leitung'!$K$44))</f>
        <v/>
      </c>
      <c r="L88" s="29"/>
      <c r="M88" s="29"/>
      <c r="N88" s="29"/>
      <c r="O88" s="28" t="s">
        <v>0</v>
      </c>
      <c r="P88" s="27">
        <f>P82+SUM(P84:P87)</f>
        <v>0</v>
      </c>
    </row>
    <row r="89" spans="1:16" s="12" customFormat="1" ht="13.5" customHeight="1" x14ac:dyDescent="0.2">
      <c r="A89" s="1178" t="s">
        <v>18</v>
      </c>
      <c r="B89" s="1178"/>
      <c r="C89" s="1178"/>
      <c r="D89" s="1179" t="str">
        <f>IF($D$1="","",$D$1)</f>
        <v/>
      </c>
      <c r="E89" s="1179"/>
      <c r="F89" s="1179"/>
      <c r="G89" s="1179"/>
      <c r="H89" s="1179"/>
      <c r="I89" s="1179"/>
      <c r="J89" s="1179"/>
      <c r="K89" s="1179"/>
      <c r="L89" s="1179"/>
      <c r="M89" s="1179"/>
      <c r="N89" s="1179"/>
    </row>
    <row r="90" spans="1:16" s="12" customFormat="1" ht="15" customHeight="1" x14ac:dyDescent="0.2">
      <c r="A90" s="1178" t="s">
        <v>17</v>
      </c>
      <c r="B90" s="1178"/>
      <c r="C90" s="1178" t="s">
        <v>15</v>
      </c>
      <c r="D90" s="1179" t="str">
        <f>IF($D$2="","",$D$2)</f>
        <v/>
      </c>
      <c r="E90" s="1179"/>
      <c r="F90" s="1179"/>
      <c r="G90" s="1179"/>
      <c r="H90" s="1179"/>
      <c r="I90" s="1179"/>
      <c r="J90" s="1179"/>
      <c r="K90" s="1179"/>
      <c r="L90" s="1179"/>
      <c r="M90" s="1179"/>
      <c r="N90" s="1179"/>
    </row>
    <row r="91" spans="1:16" s="12" customFormat="1" ht="15" customHeight="1" x14ac:dyDescent="0.2">
      <c r="A91" s="1178" t="s">
        <v>16</v>
      </c>
      <c r="B91" s="1178"/>
      <c r="C91" s="1178" t="s">
        <v>15</v>
      </c>
      <c r="D91" s="1179" t="str">
        <f>IF($D$3="","",$D$3)</f>
        <v/>
      </c>
      <c r="E91" s="1179"/>
      <c r="F91" s="1179"/>
      <c r="G91" s="1179"/>
      <c r="H91" s="1179"/>
      <c r="I91" s="1179"/>
      <c r="J91" s="1179"/>
      <c r="K91" s="1178" t="s">
        <v>103</v>
      </c>
      <c r="L91" s="1178"/>
      <c r="M91" s="1178"/>
      <c r="N91" s="41" t="str">
        <f>IF($N$3="","",$N$3)</f>
        <v/>
      </c>
    </row>
    <row r="92" spans="1:16" s="13" customFormat="1" ht="11.25" x14ac:dyDescent="0.2">
      <c r="A92" s="1182"/>
      <c r="B92" s="1182"/>
      <c r="C92" s="1182"/>
      <c r="D92" s="1183"/>
      <c r="E92" s="1183"/>
      <c r="F92" s="1183"/>
      <c r="G92" s="1183"/>
      <c r="H92" s="1183"/>
      <c r="I92" s="1183"/>
      <c r="J92" s="1183"/>
      <c r="K92" s="11"/>
      <c r="L92" s="11"/>
      <c r="M92" s="11"/>
      <c r="N92" s="11"/>
      <c r="O92" s="11"/>
      <c r="P92" s="11"/>
    </row>
    <row r="93" spans="1:16" s="15" customFormat="1" ht="13.5" customHeight="1" x14ac:dyDescent="0.2">
      <c r="A93" s="1177" t="s">
        <v>174</v>
      </c>
      <c r="B93" s="1177"/>
      <c r="C93" s="1177"/>
      <c r="D93" s="1177"/>
      <c r="E93" s="1177"/>
      <c r="F93" s="1177"/>
      <c r="G93" s="1177"/>
      <c r="H93" s="1177"/>
      <c r="I93" s="1177"/>
      <c r="J93" s="1177"/>
      <c r="K93" s="9"/>
      <c r="L93" s="9"/>
      <c r="M93" s="9"/>
      <c r="N93" s="59" t="s">
        <v>154</v>
      </c>
      <c r="O93" s="191">
        <f>$O$5</f>
        <v>2022</v>
      </c>
      <c r="P93" s="59" t="s">
        <v>154</v>
      </c>
    </row>
    <row r="94" spans="1:16" s="10" customFormat="1" ht="13.5" customHeight="1" x14ac:dyDescent="0.25">
      <c r="B94" s="32"/>
      <c r="C94" s="32"/>
      <c r="D94" s="5" t="s">
        <v>173</v>
      </c>
      <c r="E94" s="31"/>
      <c r="F94" s="31"/>
      <c r="G94" s="31"/>
      <c r="H94" s="31"/>
      <c r="I94" s="26"/>
      <c r="J94" s="1174" t="s">
        <v>14</v>
      </c>
      <c r="K94" s="1174"/>
      <c r="L94" s="180"/>
      <c r="N94" s="84">
        <f>IF(L96="","",L96)</f>
        <v>0</v>
      </c>
      <c r="O94" s="58" t="str">
        <f>$O$6</f>
        <v>Jan                Jul</v>
      </c>
      <c r="P94" s="85">
        <f>IF(N99="","",N99)</f>
        <v>0</v>
      </c>
    </row>
    <row r="95" spans="1:16" s="7" customFormat="1" ht="13.5" customHeight="1" x14ac:dyDescent="0.25">
      <c r="A95" s="1180" t="s">
        <v>71</v>
      </c>
      <c r="B95" s="1180"/>
      <c r="C95" s="1180"/>
      <c r="D95" s="1184"/>
      <c r="E95" s="1184"/>
      <c r="F95" s="1184"/>
      <c r="G95" s="1184"/>
      <c r="H95" s="1184"/>
      <c r="I95" s="1184"/>
      <c r="J95" s="1174" t="s">
        <v>104</v>
      </c>
      <c r="K95" s="1174"/>
      <c r="L95" s="145"/>
      <c r="N95" s="85">
        <f>IF(N94="","",N94)</f>
        <v>0</v>
      </c>
      <c r="O95" s="58" t="str">
        <f>$O$7</f>
        <v>Feb              Aug</v>
      </c>
      <c r="P95" s="85">
        <f>IF(P94="","",P94)</f>
        <v>0</v>
      </c>
    </row>
    <row r="96" spans="1:16" ht="13.5" customHeight="1" x14ac:dyDescent="0.2">
      <c r="A96" s="1180" t="s">
        <v>13</v>
      </c>
      <c r="B96" s="1180"/>
      <c r="C96" s="1180"/>
      <c r="D96" s="1181"/>
      <c r="E96" s="1181"/>
      <c r="F96" s="1181"/>
      <c r="G96" s="1181"/>
      <c r="H96" s="1181"/>
      <c r="I96" s="1181"/>
      <c r="J96" s="1174" t="s">
        <v>164</v>
      </c>
      <c r="K96" s="1174"/>
      <c r="L96" s="145">
        <f>IF((L97+L98)&gt;L95,0,L95-L97-L98)</f>
        <v>0</v>
      </c>
      <c r="M96" s="1"/>
      <c r="N96" s="85">
        <f>IF(N95="","",N95)</f>
        <v>0</v>
      </c>
      <c r="O96" s="58" t="str">
        <f>$O$8</f>
        <v>Mrz              Sep</v>
      </c>
      <c r="P96" s="85">
        <f>IF(P95="","",P95)</f>
        <v>0</v>
      </c>
    </row>
    <row r="97" spans="1:16" ht="13.5" customHeight="1" x14ac:dyDescent="0.2">
      <c r="A97" s="1180" t="s">
        <v>12</v>
      </c>
      <c r="B97" s="1180"/>
      <c r="C97" s="1180"/>
      <c r="D97" s="1181"/>
      <c r="E97" s="1181"/>
      <c r="F97" s="1181"/>
      <c r="G97" s="1181"/>
      <c r="H97" s="1181"/>
      <c r="I97" s="1181"/>
      <c r="J97" s="1174" t="s">
        <v>165</v>
      </c>
      <c r="K97" s="1174"/>
      <c r="L97" s="145"/>
      <c r="M97" s="1"/>
      <c r="N97" s="85">
        <f>IF(N96="","",N96)</f>
        <v>0</v>
      </c>
      <c r="O97" s="58" t="str">
        <f>$O$9</f>
        <v>Apr               Okt</v>
      </c>
      <c r="P97" s="85">
        <f t="shared" ref="P97:P99" si="10">IF(P96="","",P96)</f>
        <v>0</v>
      </c>
    </row>
    <row r="98" spans="1:16" ht="13.5" customHeight="1" x14ac:dyDescent="0.2">
      <c r="A98" s="1180" t="s">
        <v>19</v>
      </c>
      <c r="B98" s="1180"/>
      <c r="C98" s="1180"/>
      <c r="D98" s="1181"/>
      <c r="E98" s="1181"/>
      <c r="F98" s="1181"/>
      <c r="G98" s="1181"/>
      <c r="H98" s="1181"/>
      <c r="I98" s="1181"/>
      <c r="J98" s="1174" t="s">
        <v>252</v>
      </c>
      <c r="K98" s="1174"/>
      <c r="L98" s="145"/>
      <c r="M98" s="92"/>
      <c r="N98" s="85">
        <f>IF(N97="","",N97)</f>
        <v>0</v>
      </c>
      <c r="O98" s="58" t="str">
        <f>$O$10</f>
        <v>Mai               Nov</v>
      </c>
      <c r="P98" s="85">
        <f t="shared" si="10"/>
        <v>0</v>
      </c>
    </row>
    <row r="99" spans="1:16" ht="13.5" customHeight="1" x14ac:dyDescent="0.2">
      <c r="A99" s="1"/>
      <c r="B99" s="8"/>
      <c r="C99" s="200" t="s">
        <v>162</v>
      </c>
      <c r="D99" s="1175"/>
      <c r="E99" s="1175"/>
      <c r="F99" s="1176" t="s">
        <v>106</v>
      </c>
      <c r="G99" s="1176"/>
      <c r="H99" s="1186"/>
      <c r="I99" s="1186"/>
      <c r="J99" s="1174" t="s">
        <v>97</v>
      </c>
      <c r="K99" s="1174"/>
      <c r="L99" s="17" t="str">
        <f>IF(IF((COUNTIF(B114:B125,"&gt;0"))=0,0,(COUNTIF(B114:B125,"&gt;0")))&gt;Grundlagen!$C$24,Grundlagen!$C$24,IF((COUNTIF(B114:B125,"&gt;0"))=0,"",(COUNTIF(B114:B125,"&gt;0"))))</f>
        <v/>
      </c>
      <c r="M99" s="1"/>
      <c r="N99" s="85">
        <f>IF(N98="","",N98)</f>
        <v>0</v>
      </c>
      <c r="O99" s="58" t="str">
        <f>'päd.Personal - Leitung'!$O$11</f>
        <v>Jun               Dez</v>
      </c>
      <c r="P99" s="85">
        <f t="shared" si="10"/>
        <v>0</v>
      </c>
    </row>
    <row r="100" spans="1:16" ht="13.5" customHeight="1" x14ac:dyDescent="0.2">
      <c r="A100" s="1"/>
      <c r="B100" s="1"/>
      <c r="C100" s="1"/>
      <c r="D100" s="1"/>
      <c r="E100" s="1"/>
      <c r="F100" s="1"/>
      <c r="G100" s="1"/>
      <c r="H100" s="1"/>
      <c r="I100" s="6"/>
      <c r="J100" s="1"/>
      <c r="K100" s="1"/>
      <c r="L100" s="147" t="str">
        <f>IF((SUM(F102:F105))=0,"",IF(P100&gt;L96,L96,IF(L96="","",IF(L99="","",P100))))</f>
        <v/>
      </c>
      <c r="M100" s="1"/>
      <c r="N100" s="1"/>
      <c r="O100" s="174" t="s">
        <v>251</v>
      </c>
      <c r="P100" s="175">
        <f>IF(L99="",0,((IF(SUMIF(B114,"&gt;0"),N94,0))+(IF(SUMIF(B115,"&gt;0"),N95,0))+(IF(SUMIF(B116,"&gt;0"),N96,0))+(IF(SUMIF(B117,"&gt;0"),N97,0))+(IF(SUMIF(B118,"&gt;0"),N98,0))+(IF(SUMIF(B119,"&gt;0"),N99,0))+(IF(SUMIF(B120,"&gt;0"),P94,0))+(IF(SUMIF(B121,"&gt;0"),P95,0))+(IF(SUMIF(B122,"&gt;0"),P96,0))+(IF(SUMIF(B123,"&gt;0"),P97,0))+(IF(SUMIF(B124,"&gt;0"),P98,0))+(IF(SUMIF(B125,"&gt;0"),P99,0)))/Grundlagen!$C$24)</f>
        <v>0</v>
      </c>
    </row>
    <row r="101" spans="1:16" s="52" customFormat="1" ht="13.5" customHeight="1" x14ac:dyDescent="0.2">
      <c r="A101" s="61" t="s">
        <v>148</v>
      </c>
      <c r="B101" s="1168" t="s">
        <v>149</v>
      </c>
      <c r="C101" s="1168"/>
      <c r="D101" s="62" t="s">
        <v>150</v>
      </c>
      <c r="E101" s="63" t="s">
        <v>151</v>
      </c>
      <c r="F101" s="64" t="str">
        <f>CONCATENATE("Entg. ",N91," h/Wo")</f>
        <v>Entg.  h/Wo</v>
      </c>
      <c r="G101" s="65" t="s">
        <v>152</v>
      </c>
      <c r="H101" s="65" t="s">
        <v>153</v>
      </c>
      <c r="K101" s="1169" t="str">
        <f>CONCATENATE("Zuschläge / Zulagen für ",N91,"h/Wo")</f>
        <v>Zuschläge / Zulagen für h/Wo</v>
      </c>
      <c r="L101" s="1169"/>
      <c r="M101" s="66" t="str">
        <f>IF(A102="","",A102)</f>
        <v>Jan 2022</v>
      </c>
      <c r="N101" s="66" t="str">
        <f>IF(A103="","",A103)</f>
        <v/>
      </c>
      <c r="O101" s="66" t="str">
        <f>IF(A104="","",A104)</f>
        <v/>
      </c>
      <c r="P101" s="66" t="str">
        <f>IF(A105="","",A105)</f>
        <v/>
      </c>
    </row>
    <row r="102" spans="1:16" s="52" customFormat="1" ht="13.5" customHeight="1" x14ac:dyDescent="0.25">
      <c r="A102" s="54" t="str">
        <f>A114</f>
        <v>Jan 2022</v>
      </c>
      <c r="B102" s="1170" t="str">
        <f>IF($D$3="","",$D$3)</f>
        <v/>
      </c>
      <c r="C102" s="1171"/>
      <c r="D102" s="181"/>
      <c r="E102" s="181"/>
      <c r="F102" s="87"/>
      <c r="G102" s="56">
        <f>IF(N91="",0,F102/N91/4.348)</f>
        <v>0</v>
      </c>
      <c r="H102" s="53">
        <f>IF(G102=0,0,M107)</f>
        <v>0</v>
      </c>
      <c r="K102" s="1146"/>
      <c r="L102" s="1146"/>
      <c r="M102" s="86"/>
      <c r="N102" s="86"/>
      <c r="O102" s="86"/>
      <c r="P102" s="86"/>
    </row>
    <row r="103" spans="1:16" s="52" customFormat="1" ht="13.5" customHeight="1" x14ac:dyDescent="0.25">
      <c r="A103" s="55"/>
      <c r="B103" s="1172" t="str">
        <f>IF(A103="","",B102)</f>
        <v/>
      </c>
      <c r="C103" s="1173"/>
      <c r="D103" s="181"/>
      <c r="E103" s="181"/>
      <c r="F103" s="87"/>
      <c r="G103" s="56">
        <f>IF(N91="",0,F103/N91/4.348)</f>
        <v>0</v>
      </c>
      <c r="H103" s="53">
        <f>IF(G103=0,0,N107)</f>
        <v>0</v>
      </c>
      <c r="K103" s="1146"/>
      <c r="L103" s="1146"/>
      <c r="M103" s="86"/>
      <c r="N103" s="86"/>
      <c r="O103" s="86"/>
      <c r="P103" s="86"/>
    </row>
    <row r="104" spans="1:16" s="52" customFormat="1" ht="13.5" customHeight="1" x14ac:dyDescent="0.25">
      <c r="A104" s="55"/>
      <c r="B104" s="1172" t="str">
        <f>IF(A104="","",B103)</f>
        <v/>
      </c>
      <c r="C104" s="1173"/>
      <c r="D104" s="181"/>
      <c r="E104" s="181"/>
      <c r="F104" s="87"/>
      <c r="G104" s="56">
        <f>IF(N91="",0,F104/N91/4.348)</f>
        <v>0</v>
      </c>
      <c r="H104" s="53">
        <f>IF(G104=0,0,O107)</f>
        <v>0</v>
      </c>
      <c r="K104" s="1146"/>
      <c r="L104" s="1146"/>
      <c r="M104" s="86"/>
      <c r="N104" s="86"/>
      <c r="O104" s="86"/>
      <c r="P104" s="86"/>
    </row>
    <row r="105" spans="1:16" s="52" customFormat="1" ht="13.5" customHeight="1" x14ac:dyDescent="0.25">
      <c r="A105" s="55"/>
      <c r="B105" s="1172" t="str">
        <f>IF(A105="","",B104)</f>
        <v/>
      </c>
      <c r="C105" s="1173"/>
      <c r="D105" s="181"/>
      <c r="E105" s="181"/>
      <c r="F105" s="87"/>
      <c r="G105" s="56">
        <f>IF(N91="",0,F105/N91/4.348)</f>
        <v>0</v>
      </c>
      <c r="H105" s="53">
        <f>IF(G105=0,0,P107)</f>
        <v>0</v>
      </c>
      <c r="K105" s="1146"/>
      <c r="L105" s="1146"/>
      <c r="M105" s="86"/>
      <c r="N105" s="86"/>
      <c r="O105" s="86"/>
      <c r="P105" s="86"/>
    </row>
    <row r="106" spans="1:16" s="52" customFormat="1" ht="13.5" customHeight="1" x14ac:dyDescent="0.25">
      <c r="B106" s="1167" t="s">
        <v>157</v>
      </c>
      <c r="C106" s="1167"/>
      <c r="E106" s="1167" t="s">
        <v>156</v>
      </c>
      <c r="F106" s="1167"/>
      <c r="J106" s="69"/>
      <c r="K106" s="1146"/>
      <c r="L106" s="1146"/>
      <c r="M106" s="86"/>
      <c r="N106" s="86"/>
      <c r="O106" s="86"/>
      <c r="P106" s="86"/>
    </row>
    <row r="107" spans="1:16" s="52" customFormat="1" ht="13.5" customHeight="1" x14ac:dyDescent="0.25">
      <c r="A107" s="70" t="s">
        <v>167</v>
      </c>
      <c r="B107" s="67"/>
      <c r="C107" s="99" t="str">
        <f>IF(C63="","",C63)</f>
        <v/>
      </c>
      <c r="D107" s="70" t="s">
        <v>167</v>
      </c>
      <c r="E107" s="67"/>
      <c r="F107" s="99" t="str">
        <f>IF(F63="","",F63)</f>
        <v/>
      </c>
      <c r="J107" s="68"/>
      <c r="M107" s="57">
        <f>SUM(M102:M106)</f>
        <v>0</v>
      </c>
      <c r="N107" s="57">
        <f t="shared" ref="N107:P107" si="11">SUM(N102:N106)</f>
        <v>0</v>
      </c>
      <c r="O107" s="57">
        <f t="shared" si="11"/>
        <v>0</v>
      </c>
      <c r="P107" s="57">
        <f t="shared" si="11"/>
        <v>0</v>
      </c>
    </row>
    <row r="108" spans="1:16" s="52" customFormat="1" ht="13.5" customHeight="1" x14ac:dyDescent="0.2">
      <c r="A108" s="60" t="s">
        <v>155</v>
      </c>
    </row>
    <row r="109" spans="1:16" ht="14.25" customHeight="1" x14ac:dyDescent="0.2">
      <c r="A109" s="1147"/>
      <c r="B109" s="1149" t="s">
        <v>9</v>
      </c>
      <c r="C109" s="1150"/>
      <c r="D109" s="1150"/>
      <c r="E109" s="1150"/>
      <c r="F109" s="1150"/>
      <c r="G109" s="1151"/>
      <c r="H109" s="1152" t="s">
        <v>119</v>
      </c>
      <c r="I109" s="1153"/>
      <c r="J109" s="1153"/>
      <c r="K109" s="1153"/>
      <c r="L109" s="1153"/>
      <c r="M109" s="1153"/>
      <c r="N109" s="1153"/>
      <c r="O109" s="33"/>
      <c r="P109" s="1154" t="s">
        <v>0</v>
      </c>
    </row>
    <row r="110" spans="1:16" ht="14.25" customHeight="1" x14ac:dyDescent="0.2">
      <c r="A110" s="1148"/>
      <c r="B110" s="1157" t="s">
        <v>117</v>
      </c>
      <c r="C110" s="124" t="s">
        <v>115</v>
      </c>
      <c r="D110" s="1159" t="s">
        <v>277</v>
      </c>
      <c r="E110" s="1161" t="s">
        <v>147</v>
      </c>
      <c r="F110" s="127" t="s">
        <v>7</v>
      </c>
      <c r="G110" s="1162" t="s">
        <v>6</v>
      </c>
      <c r="H110" s="1161" t="s">
        <v>129</v>
      </c>
      <c r="I110" s="1161" t="s">
        <v>5</v>
      </c>
      <c r="J110" s="1161" t="s">
        <v>4</v>
      </c>
      <c r="K110" s="1161" t="s">
        <v>3</v>
      </c>
      <c r="L110" s="1161" t="s">
        <v>121</v>
      </c>
      <c r="M110" s="1161" t="s">
        <v>122</v>
      </c>
      <c r="N110" s="1161" t="s">
        <v>123</v>
      </c>
      <c r="O110" s="1160" t="s">
        <v>114</v>
      </c>
      <c r="P110" s="1155"/>
    </row>
    <row r="111" spans="1:16" ht="14.25" customHeight="1" x14ac:dyDescent="0.2">
      <c r="A111" s="1148"/>
      <c r="B111" s="1157"/>
      <c r="C111" s="21" t="str">
        <f>IF(C107="","",C107)</f>
        <v/>
      </c>
      <c r="D111" s="1160"/>
      <c r="E111" s="1161"/>
      <c r="F111" s="1165" t="str">
        <f>IF(H102=0,"","siehe Zuschläge / Zulagen")</f>
        <v/>
      </c>
      <c r="G111" s="1162"/>
      <c r="H111" s="1164" t="s">
        <v>127</v>
      </c>
      <c r="I111" s="1164"/>
      <c r="J111" s="1164"/>
      <c r="K111" s="1164"/>
      <c r="L111" s="1164"/>
      <c r="M111" s="1164"/>
      <c r="N111" s="1164"/>
      <c r="O111" s="1160"/>
      <c r="P111" s="1155"/>
    </row>
    <row r="112" spans="1:16" x14ac:dyDescent="0.2">
      <c r="A112" s="1148"/>
      <c r="B112" s="1157"/>
      <c r="C112" s="122" t="s">
        <v>70</v>
      </c>
      <c r="D112" s="1160"/>
      <c r="E112" s="1161"/>
      <c r="F112" s="1165"/>
      <c r="G112" s="1162"/>
      <c r="H112" s="43" t="s">
        <v>128</v>
      </c>
      <c r="I112" s="43" t="s">
        <v>255</v>
      </c>
      <c r="J112" s="43" t="s">
        <v>256</v>
      </c>
      <c r="K112" s="43" t="s">
        <v>257</v>
      </c>
      <c r="L112" s="43"/>
      <c r="M112" s="43"/>
      <c r="N112" s="43" t="s">
        <v>254</v>
      </c>
      <c r="O112" s="1160"/>
      <c r="P112" s="1155"/>
    </row>
    <row r="113" spans="1:16" x14ac:dyDescent="0.2">
      <c r="A113" s="1148"/>
      <c r="B113" s="1158"/>
      <c r="C113" s="21" t="str">
        <f>IF(F107="","",F107)</f>
        <v/>
      </c>
      <c r="D113" s="51"/>
      <c r="E113" s="51"/>
      <c r="F113" s="1166"/>
      <c r="G113" s="1163"/>
      <c r="H113" s="93"/>
      <c r="I113" s="139">
        <f>$I$25</f>
        <v>0</v>
      </c>
      <c r="J113" s="139">
        <f>$J$25</f>
        <v>0</v>
      </c>
      <c r="K113" s="44">
        <f>$K$25</f>
        <v>0</v>
      </c>
      <c r="L113" s="21"/>
      <c r="M113" s="21"/>
      <c r="N113" s="139">
        <f>$N$25</f>
        <v>0</v>
      </c>
      <c r="O113" s="21">
        <f>O69</f>
        <v>0</v>
      </c>
      <c r="P113" s="1156"/>
    </row>
    <row r="114" spans="1:16" x14ac:dyDescent="0.2">
      <c r="A114" s="100" t="str">
        <f>$A$26</f>
        <v>Jan 2022</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76">
        <f>ROUND(IF((SUM(B114:F114))&gt;L129,L129*H113,SUM(B114:F114)*H113),2)</f>
        <v>0</v>
      </c>
      <c r="I114" s="76">
        <f>ROUND(IF((SUM(B114:F114))&gt;L130,L130*I113,SUM(B114:F114)*I113),2)</f>
        <v>0</v>
      </c>
      <c r="J114" s="76">
        <f>ROUND(IF((SUM(B114:F114))&gt;L130,L130*J113,SUM(B114:F114)*J113),2)</f>
        <v>0</v>
      </c>
      <c r="K114" s="76">
        <f>ROUND(IF((SUM(B114:F114))&gt;L129,L129*K113,SUM(B114:F114)*K113),2)</f>
        <v>0</v>
      </c>
      <c r="L114" s="76">
        <f>ROUND(IF((SUM(B114:F114))&gt;L130,L130*L113,(SUM(B114:F114)-C114)*L113),2)</f>
        <v>0</v>
      </c>
      <c r="M114" s="76">
        <f>ROUND(IF((SUM(B114:F114))&gt;L130,L130*M113,(SUM(B114:F114)-C114)*M113),2)</f>
        <v>0</v>
      </c>
      <c r="N114" s="76">
        <f>ROUND(IF((SUM(B114:F114))&gt;L130,L130*N113,SUM(B114:F114)*N113),2)</f>
        <v>0</v>
      </c>
      <c r="O114" s="23">
        <f>ROUND(SUM(B114+C114+F114)*O113,2)</f>
        <v>0</v>
      </c>
      <c r="P114" s="27">
        <f>SUM(G114:O114)</f>
        <v>0</v>
      </c>
    </row>
    <row r="115" spans="1:16" x14ac:dyDescent="0.2">
      <c r="A115" s="100" t="str">
        <f>$A$27</f>
        <v>Feb 2022</v>
      </c>
      <c r="B115" s="24">
        <f>ROUND(IF(N95=0,0,IFERROR(((LOOKUP(2,1/(A102:A105=A115),G102:G105))*N95*4.348),B114/N95*N95)),2)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ROUND(IF(N95=0,0,IFERROR(((LOOKUP(2,1/(A102:A105=A115),H102:H105))/N91*N95),F114/N95*N95)),2)</f>
        <v>0</v>
      </c>
      <c r="G115" s="27">
        <f t="shared" ref="G115:G125" si="12">SUM(B115+C115+E115+F115)</f>
        <v>0</v>
      </c>
      <c r="H115" s="76">
        <f>ROUND(IF(SUM(B114:F114)&lt;(L129*1),IF((SUM(B114:F115))&gt;(L129*2),(((L129*2)-(SUM(B114:F115)-C114))*H113)+((SUM(B115:F115)-C114)*H113),SUM(B115:F115)*H113),IF(SUM(B114:F115)&gt;(L129*2),L129*H113,SUM(B115:F115)*H113)),2)</f>
        <v>0</v>
      </c>
      <c r="I115" s="76">
        <f>ROUND(IF(SUM(B114:F114)&lt;(L130*1),IF((SUM(B114:F115))&gt;(L130*2),(((L130*2)-(SUM(B114:F115)-C114))*I113)+((SUM(B115:F115)-C114)*I113),SUM(B115:F115)*I113),IF(SUM(B114:F115)&gt;(L130*2),L130*I113,SUM(B115:F115)*I113)),2)</f>
        <v>0</v>
      </c>
      <c r="J115" s="76">
        <f>ROUND(IF(SUM(B114:F114)&lt;(L130*1),IF((SUM(B114:F115))&gt;(L130*2),(((L130*2)-(SUM(B114:F115)-C114))*J113)+((SUM(B115:F115)-C114)*J113),SUM(B115:F115)*J113),IF(SUM(B114:F115)&gt;(L130*2),L130*J113,SUM(B115:F115)*J113)),2)</f>
        <v>0</v>
      </c>
      <c r="K115" s="76">
        <f>ROUND(IF(SUM(B114:F114)&lt;(L129*1),IF((SUM(B114:F115))&gt;(L129*2),(((L129*2)-(SUM(B114:F115)-C114))*K113)+((SUM(B115:F115)-C114)*K113),SUM(B115:F115)*K113),IF(SUM(B114:F115)&gt;(L129*2),L129*K113,SUM(B115:F115)*K113)),2)</f>
        <v>0</v>
      </c>
      <c r="L115" s="76">
        <f>ROUND(IF(SUM(B114:F114)&lt;(L130*1),IF((SUM(B114:F115))&gt;(L130*2),(((L130*2)-(SUM(B114:F115)-C115))*L113)+((SUM(B115:F115)-C115)*L113),(SUM(B115:F115)-C115)*L113),IF(SUM(B114:F115)&gt;(L130*2),L130*L113,SUM(B115:F115)*L113)),2)</f>
        <v>0</v>
      </c>
      <c r="M115" s="76">
        <f>ROUND(IF(SUM(B114:F114)&lt;(L130*1),IF((SUM(B114:F115))&gt;(L130*2),(((L130*2)-(SUM(B114:F115)-C115))*M113)+((SUM(B115:F115)-C115)*M113),(SUM(B115:F115)-C115)*M113),IF(SUM(B114:F115)&gt;(L130*2),L130*M113,SUM(B115:F115)*M113)),2)</f>
        <v>0</v>
      </c>
      <c r="N115" s="76">
        <f>ROUND(IF(SUM(B114:F114)&lt;(L130*1),IF((SUM(B114:F115))&gt;(L130*2),(((L130*2)-(SUM(B114:F115)-C114))*N113)+((SUM(B115:F115)-C114)*N113),SUM(B115:F115)*N113),IF(SUM(B114:F115)&gt;(L130*2),L130*N113,SUM(B115:F115)*N113)),2)</f>
        <v>0</v>
      </c>
      <c r="O115" s="23">
        <f>ROUND(SUM(B115+C115+F115)*O113,2)</f>
        <v>0</v>
      </c>
      <c r="P115" s="27">
        <f>SUM(G115:O115)</f>
        <v>0</v>
      </c>
    </row>
    <row r="116" spans="1:16" x14ac:dyDescent="0.2">
      <c r="A116" s="100" t="str">
        <f>$A$28</f>
        <v>Mrz 2022</v>
      </c>
      <c r="B116" s="24">
        <f>ROUND(IF(N96=0,0,IFERROR(((LOOKUP(2,1/(A102:A105=A116),G102:G105))*N96*4.348),B115/N96*N96)),2)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ROUND(IF(N96=0,0,IFERROR(((LOOKUP(2,1/(A102:A105=A116),H102:H105))/N91*N96),F115/N96*N96)),2)</f>
        <v>0</v>
      </c>
      <c r="G116" s="27">
        <f t="shared" si="12"/>
        <v>0</v>
      </c>
      <c r="H116" s="76">
        <f>ROUND(IF(SUM(B114:F115)&lt;(L129*2),IF((SUM(B114:F116))&gt;(L129*3),(((L129*3)-(SUM(B114:F116)-C115))*H113)+((SUM(B116:F116)-C115)*H113),SUM(B116:F116)*H113),IF(SUM(B114:F116)&gt;(L129*3),L129*H113,SUM(B116:F116)*H113)),2)</f>
        <v>0</v>
      </c>
      <c r="I116" s="76">
        <f>ROUND(IF(SUM(B114:F115)&lt;(L130*2),IF((SUM(B114:F116))&gt;(L130*3),(((L130*3)-(SUM(B114:F116)-C115))*I113)+((SUM(B116:F116)-C115)*I113),SUM(B116:F116)*I113),IF(SUM(B114:F116)&gt;(L130*3),L130*I113,SUM(B116:F116)*I113)),2)</f>
        <v>0</v>
      </c>
      <c r="J116" s="76">
        <f>ROUND(IF(SUM(B114:F115)&lt;(L130*2),IF((SUM(B114:F116))&gt;(L130*3),(((L130*3)-(SUM(B114:F116)-C115))*J113)+((SUM(B116:F116)-C115)*J113),SUM(B116:F116)*J113),IF(SUM(B114:F116)&gt;(L130*3),L130*J113,SUM(B116:F116)*J113)),2)</f>
        <v>0</v>
      </c>
      <c r="K116" s="76">
        <f>ROUND(IF(SUM(B114:F115)&lt;(L129*2),IF((SUM(B114:F116))&gt;(L129*3),(((L129*3)-(SUM(B114:F116)-C115))*K113)+((SUM(B116:F116)-C115)*K113),SUM(B116:F116)*K113),IF(SUM(B114:F116)&gt;(L129*3),L129*K113,SUM(B116:F116)*K113)),2)</f>
        <v>0</v>
      </c>
      <c r="L116" s="76">
        <f>ROUND(IF(SUM(B114:F115)&lt;(L130*2),IF((SUM(B114:F116))&gt;(L130*3),(((L130*3)-(SUM(B114:F116)-C116))*L113)+((SUM(B116:F116)-C116)*L113),(SUM(B116:F116)-C116)*L113),IF(SUM(B114:F116)&gt;(L130*3),L130*L113,SUM(B116:F116)*L113)),2)</f>
        <v>0</v>
      </c>
      <c r="M116" s="76">
        <f>ROUND(IF(SUM(B114:F115)&lt;(L130*2),IF((SUM(B114:F116))&gt;(L130*3),(((L130*3)-(SUM(B114:F116)-C116))*M113)+((SUM(B116:F116)-C116)*M113),(SUM(B116:F116)-C116)*M113),IF(SUM(B114:F116)&gt;(L130*3),L130*M113,SUM(B116:F116)*M113)),2)</f>
        <v>0</v>
      </c>
      <c r="N116" s="76">
        <f>ROUND(IF(SUM(B114:F115)&lt;(L130*2),IF((SUM(B114:F116))&gt;(L130*3),(((L130*3)-(SUM(B114:F116)-C115))*N113)+((SUM(B116:F116)-C115)*N113),SUM(B116:F116)*N113),IF(SUM(B114:F116)&gt;(L130*3),L130*N113,SUM(B116:F116)*N113)),2)</f>
        <v>0</v>
      </c>
      <c r="O116" s="23">
        <f>ROUND(SUM(B116+C116+F116)*O113,2)</f>
        <v>0</v>
      </c>
      <c r="P116" s="27">
        <f t="shared" ref="P116:P125" si="13">SUM(G116:O116)</f>
        <v>0</v>
      </c>
    </row>
    <row r="117" spans="1:16" x14ac:dyDescent="0.2">
      <c r="A117" s="100" t="str">
        <f>$A$29</f>
        <v>Apr 2022</v>
      </c>
      <c r="B117" s="24">
        <f>ROUND(IF(N97=0,0,IFERROR(((LOOKUP(2,1/(A102:A105=A117),G102:G105))*N97*4.348),B116/N97*N97)),2)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ROUND(IF(N97=0,0,IFERROR(((LOOKUP(2,1/(A102:A105=A117),H102:H105))/N91*N97),F116/N97*N97)),2)</f>
        <v>0</v>
      </c>
      <c r="G117" s="27">
        <f t="shared" si="12"/>
        <v>0</v>
      </c>
      <c r="H117" s="76">
        <f>ROUND(IF(SUM(B114:F116)&lt;(L129*3),IF((SUM(B114:F117))&gt;(L129*4),(((L129*4)-(SUM(B114:F117)-C116))*H113)+((SUM(B117:F117)-C116)*H113),SUM(B117:F117)*H113),IF(SUM(B114:F117)&gt;(L129*4),L129*H113,SUM(B117:F117)*H113)),2)</f>
        <v>0</v>
      </c>
      <c r="I117" s="76">
        <f>ROUND(IF(SUM(B114:F116)&lt;(L130*3),IF((SUM(B114:F117))&gt;(L130*4),(((L130*4)-(SUM(B114:F117)-C116))*I113)+((SUM(B117:F117)-C116)*I113),SUM(B117:F117)*I113),IF(SUM(B114:F117)&gt;(L130*4),L130*I113,SUM(B117:F117)*I113)),2)</f>
        <v>0</v>
      </c>
      <c r="J117" s="76">
        <f>ROUND(IF(SUM(B114:F116)&lt;(L130*3),IF((SUM(B114:F117))&gt;(L130*4),(((L130*4)-(SUM(B114:F117)-C116))*J113)+((SUM(B117:F117)-C116)*J113),SUM(B117:F117)*J113),IF(SUM(B114:F117)&gt;(L130*4),L130*J113,SUM(B117:F117)*J113)),2)</f>
        <v>0</v>
      </c>
      <c r="K117" s="76">
        <f>ROUND(IF(SUM(B114:F116)&lt;(L129*3),IF((SUM(B114:F117))&gt;(L129*4),(((L129*4)-(SUM(B114:F117)-C116))*K113)+((SUM(B117:F117)-C116)*K113),SUM(B117:F117)*K113),IF(SUM(B114:F117)&gt;(L129*4),L129*K113,SUM(B117:F117)*K113)),2)</f>
        <v>0</v>
      </c>
      <c r="L117" s="76">
        <f>ROUND(IF(SUM(B114:F116)&lt;(L130*3),IF((SUM(B114:F117))&gt;(L130*4),(((L130*4)-(SUM(B114:F117)-C117))*L113)+((SUM(B117:F117)-C117)*L113),(SUM(B117:F117)-C117)*L113),IF(SUM(B114:F117)&gt;(L130*4),L130*L113,SUM(B117:F117)*L113)),2)</f>
        <v>0</v>
      </c>
      <c r="M117" s="76">
        <f>ROUND(IF(SUM(B114:F116)&lt;(L130*3),IF((SUM(B114:F117))&gt;(L130*4),(((L130*4)-(SUM(B114:F117)-C117))*M113)+((SUM(B117:F117)-C117)*M113),(SUM(B117:F117)-C117)*M113),IF(SUM(B114:F117)&gt;(L130*4),L130*M113,SUM(B117:F117)*M113)),2)</f>
        <v>0</v>
      </c>
      <c r="N117" s="76">
        <f>ROUND(IF(SUM(B114:F116)&lt;(L130*3),IF((SUM(B114:F117))&gt;(L130*4),(((L130*4)-(SUM(B114:F117)-C116))*N113)+((SUM(B117:F117)-C116)*N113),SUM(B117:F117)*N113),IF(SUM(B114:F117)&gt;(L130*4),L130*N113,SUM(B117:F117)*N113)),2)</f>
        <v>0</v>
      </c>
      <c r="O117" s="23">
        <f>ROUND(SUM(B117+C117+F117)*O113,2)</f>
        <v>0</v>
      </c>
      <c r="P117" s="27">
        <f t="shared" si="13"/>
        <v>0</v>
      </c>
    </row>
    <row r="118" spans="1:16" x14ac:dyDescent="0.2">
      <c r="A118" s="100" t="str">
        <f>$A$30</f>
        <v>Mai 2022</v>
      </c>
      <c r="B118" s="24">
        <f>ROUND(IF(N98=0,0,IFERROR(((LOOKUP(2,1/(A102:A105=A118),G102:G105))*N98*4.348),B117/N98*N98)),2)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ROUND(IF(N98=0,0,IFERROR(((LOOKUP(2,1/(A102:A105=A118),H102:H105))/N91*N98),F117/N98*N98)),2)</f>
        <v>0</v>
      </c>
      <c r="G118" s="27">
        <f t="shared" si="12"/>
        <v>0</v>
      </c>
      <c r="H118" s="76">
        <f>ROUND(IF(SUM(B114:F117)&lt;(L129*4),IF((SUM(B114:F118))&gt;(L129*5),(((L129*5)-(SUM(B114:F118)-C117))*H113)+((SUM(B118:F118)-C117)*H113),SUM(B118:F118)*H113),IF(SUM(B114:F118)&gt;(L129*5),L129*H113,SUM(B118:F118)*H113)),2)</f>
        <v>0</v>
      </c>
      <c r="I118" s="76">
        <f>ROUND(IF(SUM(B114:F117)&lt;(L130*4),IF((SUM(B114:F118))&gt;(L130*5),(((L130*5)-(SUM(B114:F118)-C117))*I113)+((SUM(B118:F118)-C117)*I113),SUM(B118:F118)*I113),IF(SUM(B114:F118)&gt;(L130*5),L130*I113,SUM(B118:F118)*I113)),2)</f>
        <v>0</v>
      </c>
      <c r="J118" s="76">
        <f>ROUND(IF(SUM(B114:F117)&lt;(L130*4),IF((SUM(B114:F118))&gt;(L130*5),(((L130*5)-(SUM(B114:F118)-C117))*J113)+((SUM(B118:F118)-C117)*J113),SUM(B118:F118)*J113),IF(SUM(B114:F118)&gt;(L130*5),L130*J113,SUM(B118:F118)*J113)),2)</f>
        <v>0</v>
      </c>
      <c r="K118" s="76">
        <f>ROUND(IF(SUM(B114:F117)&lt;(L129*4),IF((SUM(B114:F118))&gt;(L129*5),(((L129*5)-(SUM(B114:F118)-C117))*K113)+((SUM(B118:F118)-C117)*K113),SUM(B118:F118)*K113),IF(SUM(B114:F118)&gt;(L129*5),L129*K113,SUM(B118:F118)*K113)),2)</f>
        <v>0</v>
      </c>
      <c r="L118" s="76">
        <f>ROUND(IF(SUM(B114:F117)&lt;(L130*4),IF((SUM(B114:F118))&gt;(L130*5),(((L130*5)-(SUM(B114:F118)-C118))*L113)+((SUM(B118:F118)-C118)*L113),(SUM(B118:F118)-C118)*L113),IF(SUM(B114:F118)&gt;(L130*5),L130*L113,SUM(B118:F118)*L113)),2)</f>
        <v>0</v>
      </c>
      <c r="M118" s="76">
        <f>ROUND(IF(SUM(B114:F117)&lt;(L130*4),IF((SUM(B114:F118))&gt;(L130*5),(((L130*5)-(SUM(B114:F118)-C118))*M113)+((SUM(B118:F118)-C118)*M113),(SUM(B118:F118)-C118)*M113),IF(SUM(B114:F118)&gt;(L130*5),L130*M113,SUM(B118:F118)*M113)),2)</f>
        <v>0</v>
      </c>
      <c r="N118" s="76">
        <f>ROUND(IF(SUM(B114:F117)&lt;(L130*4),IF((SUM(B114:F118))&gt;(L130*5),(((L130*5)-(SUM(B114:F118)-C117))*N113)+((SUM(B118:F118)-C117)*N113),SUM(B118:F118)*N113),IF(SUM(B114:F118)&gt;(L130*5),L130*N113,SUM(B118:F118)*N113)),2)</f>
        <v>0</v>
      </c>
      <c r="O118" s="23">
        <f>ROUND(SUM(B118+C118+F118)*O113,2)</f>
        <v>0</v>
      </c>
      <c r="P118" s="27">
        <f t="shared" si="13"/>
        <v>0</v>
      </c>
    </row>
    <row r="119" spans="1:16" x14ac:dyDescent="0.2">
      <c r="A119" s="100" t="str">
        <f>$A$31</f>
        <v>Jun 2022</v>
      </c>
      <c r="B119" s="24">
        <f>ROUND(IF(N99=0,0,IFERROR(((LOOKUP(2,1/(A102:A105=A119),G102:G105))*N99*4.348),B118/N99*N99)),2)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ROUND(IF(N99=0,0,IFERROR(((LOOKUP(2,1/(A102:A105=A119),H102:H105))/N91*N99),F118/N99*N99)),2)</f>
        <v>0</v>
      </c>
      <c r="G119" s="27">
        <f t="shared" si="12"/>
        <v>0</v>
      </c>
      <c r="H119" s="76">
        <f>ROUND(IF(SUM(B114:F118)&lt;(L129*5),IF((SUM(B114:F119))&gt;(L129*6),(((L129*6)-(SUM(B114:F119)-C118))*H113)+((SUM(B119:F119)-C118)*H113),SUM(B119:F119)*H113),IF(SUM(B114:F119)&gt;(L129*6),L129*H113,SUM(B119:F119)*H113)),2)</f>
        <v>0</v>
      </c>
      <c r="I119" s="76">
        <f>ROUND(IF(SUM(B114:F118)&lt;(L130*5),IF((SUM(B114:F119))&gt;(L130*6),(((L130*6)-(SUM(B114:F119)-C118))*I113)+((SUM(B119:F119)-C118)*I113),SUM(B119:F119)*I113),IF(SUM(B114:F119)&gt;(L130*6),L130*I113,SUM(B119:F119)*I113)),2)</f>
        <v>0</v>
      </c>
      <c r="J119" s="76">
        <f>ROUND(IF(SUM(B114:F118)&lt;(L130*5),IF((SUM(B114:F119))&gt;(L130*6),(((L130*6)-(SUM(B114:F119)-C118))*J113)+((SUM(B119:F119)-C118)*J113),SUM(B119:F119)*J113),IF(SUM(B114:F119)&gt;(L130*6),L130*J113,SUM(B119:F119)*J113)),2)</f>
        <v>0</v>
      </c>
      <c r="K119" s="76">
        <f>ROUND(IF(SUM(B114:F118)&lt;(L129*5),IF((SUM(B114:F119))&gt;(L129*6),(((L129*6)-(SUM(B114:F119)-C118))*K113)+((SUM(B119:F119)-C118)*K113),SUM(B119:F119)*K113),IF(SUM(B114:F119)&gt;(L129*6),L129*K113,SUM(B119:F119)*K113)),2)</f>
        <v>0</v>
      </c>
      <c r="L119" s="76">
        <f>ROUND(IF(SUM(B114:F118)&lt;(L130*5),IF((SUM(B114:F119))&gt;(L130*6),(((L130*6)-(SUM(B114:F119)-C119))*L113)+((SUM(B119:F119)-C119)*L113),(SUM(B119:F119)-C119)*L113),IF(SUM(B114:F119)&gt;(L130*6),L130*L113,SUM(B119:F119)*L113)),2)</f>
        <v>0</v>
      </c>
      <c r="M119" s="76">
        <f>ROUND(IF(SUM(B114:F118)&lt;(L130*5),IF((SUM(B114:F119))&gt;(L130*6),(((L130*6)-(SUM(B114:F119)-C119))*M113)+((SUM(B119:F119)-C119)*M113),(SUM(B119:F119)-C119)*M113),IF(SUM(B114:F119)&gt;(L130*6),L130*M113,SUM(B119:F119)*M113)),2)</f>
        <v>0</v>
      </c>
      <c r="N119" s="76">
        <f>ROUND(IF(SUM(B114:F118)&lt;(L130*5),IF((SUM(B114:F119))&gt;(L130*6),(((L130*6)-(SUM(B114:F119)-C118))*N113)+((SUM(B119:F119)-C118)*N113),SUM(B119:F119)*N113),IF(SUM(B114:F119)&gt;(L130*6),L130*N113,SUM(B119:F119)*N113)),2)</f>
        <v>0</v>
      </c>
      <c r="O119" s="23">
        <f>ROUND(SUM(B119+C119+F119)*O113,2)</f>
        <v>0</v>
      </c>
      <c r="P119" s="27">
        <f t="shared" si="13"/>
        <v>0</v>
      </c>
    </row>
    <row r="120" spans="1:16" x14ac:dyDescent="0.2">
      <c r="A120" s="100" t="str">
        <f>$A$32</f>
        <v>Jul 2022</v>
      </c>
      <c r="B120" s="24">
        <f>ROUND(IF(P94=0,0,IFERROR(((LOOKUP(2,1/(A102:A105=A120),G102:G105))*P94*4.348),B119/P94*P94)),2)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ROUND(IF(P94=0,0,IFERROR(((LOOKUP(2,1/(A102:A105=A120),H102:H105))/N91*P94),F119/P94*P94)),2)</f>
        <v>0</v>
      </c>
      <c r="G120" s="27">
        <f t="shared" si="12"/>
        <v>0</v>
      </c>
      <c r="H120" s="76">
        <f>ROUND(IF(SUM(B114:F119)&lt;(L129*6),IF((SUM(B114:F120))&gt;(L129*7),(((L129*7)-(SUM(B114:F120)-C119))*H113)+((SUM(B120:F120)-C119)*H113),SUM(B120:F120)*H113),IF(SUM(B114:F120)&gt;(L129*7),L129*H113,SUM(B120:F120)*H113)),2)</f>
        <v>0</v>
      </c>
      <c r="I120" s="76">
        <f>ROUND(IF(SUM(B114:F119)&lt;(L130*6),IF((SUM(B114:F120))&gt;(L130*7),(((L130*7)-(SUM(B114:F120)-C119))*I113)+((SUM(B120:F120)-C119)*I113),SUM(B120:F120)*I113),IF(SUM(B114:F120)&gt;(L130*7),L130*I113,SUM(B120:F120)*I113)),2)</f>
        <v>0</v>
      </c>
      <c r="J120" s="76">
        <f>ROUND(IF(SUM(B114:F119)&lt;(L130*6),IF((SUM(B114:F120))&gt;(L130*7),(((L130*7)-(SUM(B114:F120)-C119))*J113)+((SUM(B120:F120)-C119)*J113),SUM(B120:F120)*J113),IF(SUM(B114:F120)&gt;(L130*7),L130*J113,SUM(B120:F120)*J113)),2)</f>
        <v>0</v>
      </c>
      <c r="K120" s="76">
        <f>ROUND(IF(SUM(B114:F119)&lt;(L129*6),IF((SUM(B114:F120))&gt;(L129*7),(((L129*7)-(SUM(B114:F120)-C119))*K113)+((SUM(B120:F120)-C119)*K113),SUM(B120:F120)*K113),IF(SUM(B114:F120)&gt;(L129*7),L129*K113,SUM(B120:F120)*K113)),2)</f>
        <v>0</v>
      </c>
      <c r="L120" s="76">
        <f>ROUND(IF(SUM(B114:F119)&lt;(L130*6),IF((SUM(B114:F120))&gt;(L130*7),(((L130*7)-(SUM(B114:F120)-C120))*L113)+((SUM(B120:F120)-C120)*L113),(SUM(B120:F120)-C120)*L113),IF(SUM(B114:F120)&gt;(L130*7),L130*L113,SUM(B120:F120)*L113)),2)</f>
        <v>0</v>
      </c>
      <c r="M120" s="76">
        <f>ROUND(IF(SUM(B114:F119)&lt;(L130*6),IF((SUM(B114:F120))&gt;(L130*7),(((L130*7)-(SUM(B114:F120)-C120))*M113)+((SUM(B120:F120)-C120)*M113),(SUM(B120:F120)-C120)*M113),IF(SUM(B114:F120)&gt;(L130*7),L130*M113,SUM(B120:F120)*M113)),2)</f>
        <v>0</v>
      </c>
      <c r="N120" s="76">
        <f>ROUND(IF(SUM(B114:F119)&lt;(L130*6),IF((SUM(B114:F120))&gt;(L130*7),(((L130*7)-(SUM(B114:F120)-C119))*N113)+((SUM(B120:F120)-C119)*N113),SUM(B120:F120)*N113),IF(SUM(B114:F120)&gt;(L130*7),L130*N113,SUM(B120:F120)*N113)),2)</f>
        <v>0</v>
      </c>
      <c r="O120" s="23">
        <f>ROUND(SUM(B120+C120+F120)*O113,2)</f>
        <v>0</v>
      </c>
      <c r="P120" s="27">
        <f t="shared" si="13"/>
        <v>0</v>
      </c>
    </row>
    <row r="121" spans="1:16" x14ac:dyDescent="0.2">
      <c r="A121" s="100" t="str">
        <f>$A$33</f>
        <v>Aug 2022</v>
      </c>
      <c r="B121" s="24">
        <f>ROUND(IF(P95=0,0,IFERROR(((LOOKUP(2,1/(A102:A105=A121),G102:G105))*P95*4.348),B120/P95*P95)),2)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ROUND(IF(P95=0,0,IFERROR(((LOOKUP(2,1/(A102:A105=A121),H102:H105))/N91*P95),F120/P95*P95)),2)</f>
        <v>0</v>
      </c>
      <c r="G121" s="27">
        <f t="shared" si="12"/>
        <v>0</v>
      </c>
      <c r="H121" s="76">
        <f>ROUND(IF(SUM(B114:F120)&lt;(L129*7),IF((SUM(B114:F121))&gt;(L129*8),(((L129*8)-(SUM(B114:F121)-C120))*H113)+((SUM(B121:F121)-C120)*H113),SUM(B121:F121)*H113),IF(SUM(B114:F121)&gt;(L129*8),L129*H113,SUM(B121:F121)*H113)),2)</f>
        <v>0</v>
      </c>
      <c r="I121" s="76">
        <f>ROUND(IF(SUM(B114:F120)&lt;(L130*7),IF((SUM(B114:F121))&gt;(L130*8),(((L130*8)-(SUM(B114:F121)-C120))*I113)+((SUM(B121:F121)-C120)*I113),SUM(B121:F121)*I113),IF(SUM(B114:F121)&gt;(L130*8),L130*I113,SUM(B121:F121)*I113)),2)</f>
        <v>0</v>
      </c>
      <c r="J121" s="76">
        <f>ROUND(IF(SUM(B114:F120)&lt;(L130*7),IF((SUM(B114:F121))&gt;(L130*8),(((L130*8)-(SUM(B114:F121)-C120))*J113)+((SUM(B121:F121)-C120)*J113),SUM(B121:F121)*J113),IF(SUM(B114:F121)&gt;(L130*8),L130*J113,SUM(B121:F121)*J113)),2)</f>
        <v>0</v>
      </c>
      <c r="K121" s="76">
        <f>ROUND(IF(SUM(B114:F120)&lt;(L129*7),IF((SUM(B114:F121))&gt;(L129*8),(((L129*8)-(SUM(B114:F121)-C120))*K113)+((SUM(B121:F121)-C120)*K113),SUM(B121:F121)*K113),IF(SUM(B114:F121)&gt;(L129*8),L129*K113,SUM(B121:F121)*K113)),2)</f>
        <v>0</v>
      </c>
      <c r="L121" s="76">
        <f>ROUND(IF(SUM(B114:F120)&lt;(L130*7),IF((SUM(B114:F121))&gt;(L130*8),(((L130*8)-(SUM(B114:F121)-C121))*L113)+((SUM(B121:F121)-C121)*L113),(SUM(B121:F121)-C121)*L113),IF(SUM(B114:F121)&gt;(L130*8),L130*L113,SUM(B121:F121)*L113)),2)</f>
        <v>0</v>
      </c>
      <c r="M121" s="76">
        <f>ROUND(IF(SUM(B114:F120)&lt;(L130*7),IF((SUM(B114:F121))&gt;(L130*8),(((L130*8)-(SUM(B114:F121)-C121))*M113)+((SUM(B121:F121)-C121)*M113),(SUM(B121:F121)-C121)*M113),IF(SUM(B114:F121)&gt;(L130*8),L130*M113,SUM(B121:F121)*M113)),2)</f>
        <v>0</v>
      </c>
      <c r="N121" s="76">
        <f>ROUND(IF(SUM(B114:F120)&lt;(L130*7),IF((SUM(B114:F121))&gt;(L130*8),(((L130*8)-(SUM(B114:F121)-C120))*N113)+((SUM(B121:F121)-C120)*N113),SUM(B121:F121)*N113),IF(SUM(B114:F121)&gt;(L130*8),L130*N113,SUM(B121:F121)*N113)),2)</f>
        <v>0</v>
      </c>
      <c r="O121" s="23">
        <f>ROUND(SUM(B121+C121+F121)*O113,2)</f>
        <v>0</v>
      </c>
      <c r="P121" s="27">
        <f t="shared" si="13"/>
        <v>0</v>
      </c>
    </row>
    <row r="122" spans="1:16" x14ac:dyDescent="0.2">
      <c r="A122" s="100" t="str">
        <f>$A$34</f>
        <v>Sep 2022</v>
      </c>
      <c r="B122" s="24">
        <f>ROUND(IF(P96=0,0,IFERROR(((LOOKUP(2,1/(A102:A105=A122),G102:G105))*P96*4.348),B121/P96*P96)),2)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ROUND(IF(P96=0,0,IFERROR(((LOOKUP(2,1/(A102:A105=A122),H102:H105))/N91*P96),F121/P96*P96)),2)</f>
        <v>0</v>
      </c>
      <c r="G122" s="27">
        <f t="shared" si="12"/>
        <v>0</v>
      </c>
      <c r="H122" s="76">
        <f>ROUND(IF(SUM(B114:F121)&lt;(L129*8),IF((SUM(B114:F122))&gt;(L129*9),(((L129*9)-(SUM(B114:F122)-C121))*H113)+((SUM(B122:F122)-C121)*H113),SUM(B122:F122)*H113),IF(SUM(B114:F122)&gt;(L129*9),L129*H113,SUM(B122:F122)*H113)),2)</f>
        <v>0</v>
      </c>
      <c r="I122" s="76">
        <f>ROUND(IF(SUM(B114:F121)&lt;(L130*8),IF((SUM(B114:F122))&gt;(L130*9),(((L130*9)-(SUM(B114:F122)-C121))*I113)+((SUM(B122:F122)-C121)*I113),SUM(B122:F122)*I113),IF(SUM(B114:F122)&gt;(L130*9),L130*I113,SUM(B122:F122)*I113)),2)</f>
        <v>0</v>
      </c>
      <c r="J122" s="76">
        <f>ROUND(IF(SUM(B114:F121)&lt;(L130*8),IF((SUM(B114:F122))&gt;(L130*9),(((L130*9)-(SUM(B114:F122)-C121))*J113)+((SUM(B122:F122)-C121)*J113),SUM(B122:F122)*J113),IF(SUM(B114:F122)&gt;(L130*9),L130*J113,SUM(B122:F122)*J113)),2)</f>
        <v>0</v>
      </c>
      <c r="K122" s="76">
        <f>ROUND(IF(SUM(B114:F121)&lt;(L129*8),IF((SUM(B114:F122))&gt;(L129*9),(((L129*9)-(SUM(B114:F122)-C121))*K113)+((SUM(B122:F122)-C121)*K113),SUM(B122:F122)*K113),IF(SUM(B114:F122)&gt;(L129*9),L129*K113,SUM(B122:F122)*K113)),2)</f>
        <v>0</v>
      </c>
      <c r="L122" s="76">
        <f>ROUND(IF(SUM(B114:F121)&lt;(L130*8),IF((SUM(B114:F122))&gt;(L130*9),(((L130*9)-(SUM(B114:F122)-C122))*L113)+((SUM(B122:F122)-C122)*L113),(SUM(B122:F122)-C122)*L113),IF(SUM(B114:F122)&gt;(L130*9),L130*L113,SUM(B122:F122)*L113)),2)</f>
        <v>0</v>
      </c>
      <c r="M122" s="76">
        <f>ROUND(IF(SUM(B114:F121)&lt;(L130*8),IF((SUM(B114:F122))&gt;(L130*9),(((L130*9)-(SUM(B114:F122)-C122))*M113)+((SUM(B122:F122)-C122)*M113),(SUM(B122:F122)-C122)*M113),IF(SUM(B114:F122)&gt;(L130*9),L130*M113,SUM(B122:F122)*M113)),2)</f>
        <v>0</v>
      </c>
      <c r="N122" s="76">
        <f>ROUND(IF(SUM(B114:F121)&lt;(L130*8),IF((SUM(B114:F122))&gt;(L130*9),(((L130*9)-(SUM(B114:F122)-C121))*N113)+((SUM(B122:F122)-C121)*N113),SUM(B122:F122)*N113),IF(SUM(B114:F122)&gt;(L130*9),L130*N113,SUM(B122:F122)*N113)),2)</f>
        <v>0</v>
      </c>
      <c r="O122" s="23">
        <f>ROUND(SUM(B122+C122+F122)*O113,2)</f>
        <v>0</v>
      </c>
      <c r="P122" s="27">
        <f t="shared" si="13"/>
        <v>0</v>
      </c>
    </row>
    <row r="123" spans="1:16" x14ac:dyDescent="0.2">
      <c r="A123" s="100" t="str">
        <f>$A$35</f>
        <v>Okt 2022</v>
      </c>
      <c r="B123" s="24">
        <f>ROUND(IF(P97=0,0,IFERROR(((LOOKUP(2,1/(A102:A105=A123),G102:G105))*P97*4.348),B122/P97*P97)),2)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ROUND(IF(P97=0,0,IFERROR(((LOOKUP(2,1/(A102:A105=A123),H102:H105))/N91*P97),F122/P97*P97)),2)</f>
        <v>0</v>
      </c>
      <c r="G123" s="27">
        <f t="shared" si="12"/>
        <v>0</v>
      </c>
      <c r="H123" s="76">
        <f>ROUND(IF(SUM(B114:F122)&lt;(L129*9),IF((SUM(B114:F123))&gt;(L129*10),(((L129*10)-(SUM(B114:F123)-C122))*H113)+((SUM(B123:F123)-C122)*H113),SUM(B123:F123)*H113),IF(SUM(B114:F123)&gt;(L129*10),L129*H113,SUM(B123:F123)*H113)),2)</f>
        <v>0</v>
      </c>
      <c r="I123" s="76">
        <f>ROUND(IF(SUM(B114:F122)&lt;(L130*9),IF((SUM(B114:F123))&gt;(L130*10),(((L130*10)-(SUM(B114:F123)-C122))*I113)+((SUM(B123:F123)-C122)*I113),SUM(B123:F123)*I113),IF(SUM(B114:F123)&gt;(L130*10),L130*I113,SUM(B123:F123)*I113)),2)</f>
        <v>0</v>
      </c>
      <c r="J123" s="76">
        <f>ROUND(IF(SUM(B114:F122)&lt;(L130*9),IF((SUM(B114:F123))&gt;(L130*10),(((L130*10)-(SUM(B114:F123)-C122))*J113)+((SUM(B123:F123)-C122)*J113),SUM(B123:F123)*J113),IF(SUM(B114:F123)&gt;(L130*10),L130*J113,SUM(B123:F123)*J113)),2)</f>
        <v>0</v>
      </c>
      <c r="K123" s="76">
        <f>ROUND(IF(SUM(B114:F122)&lt;(L129*9),IF((SUM(B114:F123))&gt;(L129*10),(((L129*10)-(SUM(B114:F123)-C122))*K113)+((SUM(B123:F123)-C122)*K113),SUM(B123:F123)*K113),IF(SUM(B114:F123)&gt;(L129*10),L129*K113,SUM(B123:F123)*K113)),2)</f>
        <v>0</v>
      </c>
      <c r="L123" s="76">
        <f>ROUND(IF(SUM(B114:F122)&lt;(L130*9),IF((SUM(B114:F123))&gt;(L130*10),(((L130*10)-(SUM(B114:F123)-C123))*L113)+((SUM(B123:F123)-C123)*L113),(SUM(B123:F123)-C123)*L113),IF(SUM(B114:F123)&gt;(L130*10),L130*L113,SUM(B123:F123)*L113)),2)</f>
        <v>0</v>
      </c>
      <c r="M123" s="76">
        <f>ROUND(IF(SUM(B114:F122)&lt;(L130*9),IF((SUM(B114:F123))&gt;(L130*10),(((L130*10)-(SUM(B114:F123)-C123))*M113)+((SUM(B123:F123)-C123)*M113),(SUM(B123:F123)-C123)*M113),IF(SUM(B114:F123)&gt;(L130*10),L130*M113,SUM(B123:F123)*M113)),2)</f>
        <v>0</v>
      </c>
      <c r="N123" s="76">
        <f>ROUND(IF(SUM(B114:F122)&lt;(L130*9),IF((SUM(B114:F123))&gt;(L130*10),(((L130*10)-(SUM(B114:F123)-C122))*N113)+((SUM(B123:F123)-C122)*N113),SUM(B123:F123)*N113),IF(SUM(B114:F123)&gt;(L130*10),L130*N113,SUM(B123:F123)*N113)),2)</f>
        <v>0</v>
      </c>
      <c r="O123" s="23">
        <f>ROUND(SUM(B123+C123+F123)*O113,2)</f>
        <v>0</v>
      </c>
      <c r="P123" s="27">
        <f t="shared" si="13"/>
        <v>0</v>
      </c>
    </row>
    <row r="124" spans="1:16" x14ac:dyDescent="0.2">
      <c r="A124" s="100" t="str">
        <f>$A$36</f>
        <v>Nov 2022</v>
      </c>
      <c r="B124" s="24">
        <f>ROUND(IF(P98=0,0,IFERROR(((LOOKUP(2,1/(A102:A105=A124),G102:G105))*P98*4.348),B123/P98*P98)),2)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ROUND(IF(P98=0,0,IFERROR(((LOOKUP(2,1/(A102:A105=A124),H102:H105))/N91*P98),F123/P98*P98)),2)</f>
        <v>0</v>
      </c>
      <c r="G124" s="27">
        <f t="shared" si="12"/>
        <v>0</v>
      </c>
      <c r="H124" s="76">
        <f>ROUND(IF(SUM(B114:F123)&lt;(L129*10),IF((SUM(B114:F124))&gt;(L129*11),(((L129*11)-(SUM(B114:F124)-C123))*H113)+((SUM(B124:F124)-C123)*H113),SUM(B124:F124)*H113),IF(SUM(B114:F124)&gt;(L129*11),L129*H113,SUM(B124:F124)*H113)),2)</f>
        <v>0</v>
      </c>
      <c r="I124" s="76">
        <f>ROUND(IF(SUM(B114:F123)&lt;(L130*10),IF((SUM(B114:F124))&gt;(L130*11),(((L130*11)-(SUM(B114:F124)-C123))*I113)+((SUM(B124:F124)-C123)*I113),SUM(B124:F124)*I113),IF(SUM(B114:F124)&gt;(L130*11),L130*I113,SUM(B124:F124)*I113)),2)</f>
        <v>0</v>
      </c>
      <c r="J124" s="76">
        <f>ROUND(IF(SUM(B114:F123)&lt;(L130*10),IF((SUM(B114:F124))&gt;(L130*11),(((L130*11)-(SUM(B114:F124)-C123))*J113)+((SUM(B124:F124)-C123)*J113),SUM(B124:F124)*J113),IF(SUM(B114:F124)&gt;(L130*11),L130*J113,SUM(B124:F124)*J113)),2)</f>
        <v>0</v>
      </c>
      <c r="K124" s="76">
        <f>ROUND(IF(SUM(B114:F123)&lt;(L129*10),IF((SUM(B114:F124))&gt;(L129*11),(((L129*11)-(SUM(B114:F124)-C123))*K113)+((SUM(B124:F124)-C123)*K113),SUM(B124:F124)*K113),IF(SUM(B114:F124)&gt;(L129*11),L129*K113,SUM(B124:F124)*K113)),2)</f>
        <v>0</v>
      </c>
      <c r="L124" s="76">
        <f>ROUND(IF(SUM(B114:F123)&lt;(L130*10),IF((SUM(B114:F124))&gt;(L130*11),(((L130*11)-(SUM(B114:F124)-C124))*L113)+((SUM(B124:F124)-C124)*L113),(SUM(B124:F124)-C124)*L113),IF(SUM(B114:F124)&gt;(L130*11),L130*L113,SUM(B124:F124)*L113)),2)</f>
        <v>0</v>
      </c>
      <c r="M124" s="76">
        <f>ROUND(IF(SUM(B114:F123)&lt;(L130*10),IF((SUM(B114:F124))&gt;(L130*11),(((L130*11)-(SUM(B114:F124)-C124))*M113)+((SUM(B124:F124)-C124)*M113),(SUM(B124:F124)-C124)*M113),IF(SUM(B114:F124)&gt;(L130*11),L130*M113,SUM(B124:F124)*M113)),2)</f>
        <v>0</v>
      </c>
      <c r="N124" s="76">
        <f>ROUND(IF(SUM(B114:F123)&lt;(L130*10),IF((SUM(B114:F124))&gt;(L130*11),(((L130*11)-(SUM(B114:F124)-C123))*N113)+((SUM(B124:F124)-C123)*N113),SUM(B124:F124)*N113),IF(SUM(B114:F124)&gt;(L130*11),L130*N113,SUM(B124:F124)*N113)),2)</f>
        <v>0</v>
      </c>
      <c r="O124" s="23">
        <f>ROUND(SUM(B124+C124+F124)*O113,2)</f>
        <v>0</v>
      </c>
      <c r="P124" s="27">
        <f t="shared" si="13"/>
        <v>0</v>
      </c>
    </row>
    <row r="125" spans="1:16" x14ac:dyDescent="0.2">
      <c r="A125" s="100" t="str">
        <f>$A$37</f>
        <v>Dez 2022</v>
      </c>
      <c r="B125" s="24">
        <f>ROUND(IF(P99=0,0,IFERROR(((LOOKUP(2,1/(A102:A105=A125),G102:G105))*P99*4.348),B124/P99*P99)),2)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ROUND(IF(P99=0,0,IFERROR(((LOOKUP(2,1/(A102:A105=A125),H102:H105))/N91*P99),F124/P99*P99)),2)</f>
        <v>0</v>
      </c>
      <c r="G125" s="27">
        <f t="shared" si="12"/>
        <v>0</v>
      </c>
      <c r="H125" s="76">
        <f>ROUND(IF(SUM(B114:F124)&lt;(L129*11),IF((SUM(B114:F125))&gt;(L129*12),(((L129*12)-(SUM(B114:F125)-C124))*H113)+((SUM(B125:F125)-C124)*H113),SUM(B125:F125)*H113),IF(SUM(B114:F125)&gt;(L129*12),L129*H113,SUM(B125:F125)*H113)),2)</f>
        <v>0</v>
      </c>
      <c r="I125" s="76">
        <f>ROUND(IF(SUM(B114:F124)&lt;(L130*11),IF((SUM(B114:F125))&gt;(L130*12),(((L130*12)-(SUM(B114:F125)-C124))*I113)+((SUM(B125:F125)-C124)*I113),SUM(B125:F125)*I113),IF(SUM(B114:F125)&gt;(L130*12),L130*I113,SUM(B125:F125)*I113)),2)</f>
        <v>0</v>
      </c>
      <c r="J125" s="76">
        <f>ROUND(IF(SUM(B114:F124)&lt;(L130*11),IF((SUM(B114:F125))&gt;(L130*12),(((L130*12)-(SUM(B114:F125)-C124))*J113)+((SUM(B125:F125)-C124)*J113),SUM(B125:F125)*J113),IF(SUM(B114:F125)&gt;(L130*12),L130*J113,SUM(B125:F125)*J113)),2)</f>
        <v>0</v>
      </c>
      <c r="K125" s="76">
        <f>ROUND(IF(SUM(B114:F124)&lt;(L129*11),IF((SUM(B114:F125))&gt;(L129*12),(((L129*12)-(SUM(B114:F125)-C124))*K113)+((SUM(B125:F125)-C124)*K113),SUM(B125:F125)*K113),IF(SUM(B114:F125)&gt;(L129*12),L129*K113,SUM(B125:F125)*K113)),2)</f>
        <v>0</v>
      </c>
      <c r="L125" s="76">
        <f>ROUND(IF(SUM(B114:F124)&lt;(L130*11),IF((SUM(B114:F125))&gt;(L130*12),(((L130*12)-(SUM(B114:F125)-C125))*L113)+((SUM(B125:F125)-C125)*L113),(SUM(B125:F125)-C125)*L113),IF(SUM(B114:F125)&gt;(L130*12),L130*L113,SUM(B125:F125)*L113)),2)</f>
        <v>0</v>
      </c>
      <c r="M125" s="76">
        <f>ROUND(IF(SUM(B114:F124)&lt;(L130*11),IF((SUM(B114:F125))&gt;(L130*12),(((L130*12)-(SUM(B114:F125)-C125))*M113)+((SUM(B125:F125)-C125)*M113),(SUM(B125:F125)-C125)*M113),IF(SUM(B114:F125)&gt;(L130*12),L130*M113,SUM(B125:F125)*M113)),2)</f>
        <v>0</v>
      </c>
      <c r="N125" s="76">
        <f>ROUND(IF(SUM(B114:F124)&lt;(L130*11),IF((SUM(B114:F125))&gt;(L130*12),(((L130*12)-(SUM(B114:F125)-C124))*N113)+((SUM(B125:F125)-C124)*N113),SUM(B125:F125)*N113),IF(SUM(B114:F125)&gt;(L130*12),L130*N113,SUM(B125:F125)*N113)),2)</f>
        <v>0</v>
      </c>
      <c r="O125" s="23">
        <f>ROUND(SUM(B125+C125+F125)*O113,2)</f>
        <v>0</v>
      </c>
      <c r="P125" s="27">
        <f t="shared" si="13"/>
        <v>0</v>
      </c>
    </row>
    <row r="126" spans="1:16"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133">
        <f>SUM(H114:N125)</f>
        <v>0</v>
      </c>
      <c r="I126" s="1134"/>
      <c r="J126" s="1134"/>
      <c r="K126" s="1134"/>
      <c r="L126" s="1134"/>
      <c r="M126" s="1134"/>
      <c r="N126" s="1135"/>
      <c r="O126" s="27">
        <f>SUM(O114:O125)</f>
        <v>0</v>
      </c>
      <c r="P126" s="27">
        <f>SUM(P114:P125)</f>
        <v>0</v>
      </c>
    </row>
    <row r="127" spans="1:16" s="13" customFormat="1" ht="11.25" x14ac:dyDescent="0.2">
      <c r="A127" s="3" t="s">
        <v>1</v>
      </c>
      <c r="B127" s="2"/>
      <c r="C127" s="2"/>
      <c r="D127" s="2"/>
      <c r="E127" s="2"/>
      <c r="F127" s="2"/>
      <c r="G127" s="2"/>
      <c r="H127" s="2"/>
      <c r="I127" s="2"/>
      <c r="J127" s="2"/>
      <c r="K127" s="2"/>
      <c r="L127" s="2"/>
      <c r="M127" s="2"/>
      <c r="N127" s="2"/>
      <c r="O127" s="2"/>
      <c r="P127" s="2"/>
    </row>
    <row r="128" spans="1:16" ht="14.25" customHeight="1" x14ac:dyDescent="0.2">
      <c r="A128" s="1136" t="s">
        <v>133</v>
      </c>
      <c r="B128" s="1137"/>
      <c r="C128" s="1137"/>
      <c r="D128" s="1137" t="s">
        <v>134</v>
      </c>
      <c r="E128" s="1137"/>
      <c r="F128" s="94" t="str">
        <f>IF(IF(G126=0,"",'päd.Personal - Leitung'!$F$40)=0,"",IF(G126=0,"",'päd.Personal - Leitung'!$F$40))</f>
        <v/>
      </c>
      <c r="G128" s="77" t="s">
        <v>135</v>
      </c>
      <c r="H128" s="96" t="str">
        <f>IF(IF(G126=0,"",'päd.Personal - Leitung'!$H$40)=0,"",IF(G126=0,"",'päd.Personal - Leitung'!$H$40))</f>
        <v/>
      </c>
      <c r="I128" s="73"/>
      <c r="J128" s="194" t="s">
        <v>160</v>
      </c>
      <c r="K128" s="194" t="str">
        <f>$K$40</f>
        <v>2021</v>
      </c>
      <c r="L128" s="194" t="str">
        <f>$L$40</f>
        <v>anteilig 2021</v>
      </c>
      <c r="M128" s="1138" t="s">
        <v>140</v>
      </c>
      <c r="N128" s="1138"/>
      <c r="O128" s="1139"/>
      <c r="P128" s="27">
        <f>ROUND(IF(F128="",IF(E132="",0,(E132*H132/K132)/L95*L96),G126*F128*H128/1000),2)</f>
        <v>0</v>
      </c>
    </row>
    <row r="129" spans="1:16" ht="15" customHeight="1" x14ac:dyDescent="0.2">
      <c r="A129" s="1140" t="s">
        <v>145</v>
      </c>
      <c r="B129" s="1141"/>
      <c r="C129" s="1141"/>
      <c r="D129" s="18"/>
      <c r="E129" s="107" t="s">
        <v>135</v>
      </c>
      <c r="F129" s="95" t="str">
        <f>IF(IF(G126=0,"",'päd.Personal - Leitung'!$F$41)=0,"",IF(G126=0,"",'päd.Personal - Leitung'!$F$41))</f>
        <v/>
      </c>
      <c r="G129" s="48"/>
      <c r="H129" s="47"/>
      <c r="I129" s="48"/>
      <c r="J129" s="195" t="s">
        <v>158</v>
      </c>
      <c r="K129" s="198">
        <f>$K$41</f>
        <v>4837.5</v>
      </c>
      <c r="L129" s="197">
        <f>IF(L95="",K129,K129/L95*L96)</f>
        <v>4837.5</v>
      </c>
      <c r="M129" s="1138" t="s">
        <v>139</v>
      </c>
      <c r="N129" s="1138"/>
      <c r="O129" s="1139"/>
      <c r="P129" s="27">
        <f>ROUND(IF(F129="",0,G126*F129/1000),2)</f>
        <v>0</v>
      </c>
    </row>
    <row r="130" spans="1:16" ht="15.75" customHeight="1" x14ac:dyDescent="0.2">
      <c r="A130" s="1142" t="s">
        <v>141</v>
      </c>
      <c r="B130" s="1143"/>
      <c r="C130" s="1143"/>
      <c r="D130" s="1144" t="s">
        <v>143</v>
      </c>
      <c r="E130" s="1144"/>
      <c r="F130" s="1145" t="str">
        <f>IF(IF(G126=0,"",'päd.Personal - Leitung'!$F$42)=0,"",IF(G126=0,"",'päd.Personal - Leitung'!$F$42))</f>
        <v/>
      </c>
      <c r="G130" s="1145"/>
      <c r="H130" s="72"/>
      <c r="I130" s="18"/>
      <c r="J130" s="195" t="s">
        <v>159</v>
      </c>
      <c r="K130" s="198">
        <f>$K$42</f>
        <v>6700</v>
      </c>
      <c r="L130" s="197">
        <f>IF(L95="",K130,K130/L95*L96)</f>
        <v>6700</v>
      </c>
      <c r="M130" s="1138" t="s">
        <v>141</v>
      </c>
      <c r="N130" s="1138"/>
      <c r="O130" s="1139"/>
      <c r="P130" s="23">
        <f>ROUND(IF(F130="",0,IF(G126=0,0,F130/L95*L96)),2)</f>
        <v>0</v>
      </c>
    </row>
    <row r="131" spans="1:16" ht="14.25" customHeight="1" x14ac:dyDescent="0.2">
      <c r="A131" s="18"/>
      <c r="B131" s="18"/>
      <c r="C131" s="18"/>
      <c r="D131" s="18"/>
      <c r="E131" s="18"/>
      <c r="F131" s="18"/>
      <c r="G131" s="18"/>
      <c r="H131" s="18"/>
      <c r="I131" s="18"/>
      <c r="J131" s="18"/>
      <c r="K131" s="74"/>
      <c r="L131" s="82"/>
      <c r="M131" s="1127" t="s">
        <v>146</v>
      </c>
      <c r="N131" s="1127"/>
      <c r="O131" s="1128"/>
      <c r="P131" s="23">
        <f>ROUND(IF(G126=0,0,$P$43),2)</f>
        <v>0</v>
      </c>
    </row>
    <row r="132" spans="1:16" ht="14.25" customHeight="1" x14ac:dyDescent="0.2">
      <c r="A132" s="1129" t="s">
        <v>142</v>
      </c>
      <c r="B132" s="1130"/>
      <c r="C132" s="126" t="s">
        <v>136</v>
      </c>
      <c r="D132" s="126" t="s">
        <v>137</v>
      </c>
      <c r="E132" s="1131" t="str">
        <f>IF(IF(G126=0,"",'päd.Personal - Leitung'!$E$44)=0,"",IF(G126=0,"",'päd.Personal - Leitung'!$E$44))</f>
        <v/>
      </c>
      <c r="F132" s="1131"/>
      <c r="G132" s="83" t="s">
        <v>138</v>
      </c>
      <c r="H132" s="97" t="str">
        <f>IF(IF(G126=0,"",'päd.Personal - Leitung'!$H$44)=0,"",IF(G126=0,"",'päd.Personal - Leitung'!$H$44))</f>
        <v/>
      </c>
      <c r="I132" s="1132" t="s">
        <v>144</v>
      </c>
      <c r="J132" s="1132"/>
      <c r="K132" s="98" t="str">
        <f>IF(IF(G126=0,"",'päd.Personal - Leitung'!$K$44)=0,"",IF(G126=0,"",'päd.Personal - Leitung'!$K$44))</f>
        <v/>
      </c>
      <c r="L132" s="29"/>
      <c r="M132" s="29"/>
      <c r="N132" s="29"/>
      <c r="O132" s="28" t="s">
        <v>0</v>
      </c>
      <c r="P132" s="27">
        <f>P126+SUM(P128:P131)</f>
        <v>0</v>
      </c>
    </row>
    <row r="133" spans="1:16" s="12" customFormat="1" ht="13.5" customHeight="1" x14ac:dyDescent="0.2">
      <c r="A133" s="1178" t="s">
        <v>18</v>
      </c>
      <c r="B133" s="1178"/>
      <c r="C133" s="1178"/>
      <c r="D133" s="1179" t="str">
        <f>IF($D$1="","",$D$1)</f>
        <v/>
      </c>
      <c r="E133" s="1179"/>
      <c r="F133" s="1179"/>
      <c r="G133" s="1179"/>
      <c r="H133" s="1179"/>
      <c r="I133" s="1179"/>
      <c r="J133" s="1179"/>
      <c r="K133" s="1179"/>
      <c r="L133" s="1179"/>
      <c r="M133" s="1179"/>
      <c r="N133" s="1179"/>
    </row>
    <row r="134" spans="1:16" s="12" customFormat="1" ht="15" customHeight="1" x14ac:dyDescent="0.2">
      <c r="A134" s="1178" t="s">
        <v>17</v>
      </c>
      <c r="B134" s="1178"/>
      <c r="C134" s="1178" t="s">
        <v>15</v>
      </c>
      <c r="D134" s="1179" t="str">
        <f>IF($D$2="","",$D$2)</f>
        <v/>
      </c>
      <c r="E134" s="1179"/>
      <c r="F134" s="1179"/>
      <c r="G134" s="1179"/>
      <c r="H134" s="1179"/>
      <c r="I134" s="1179"/>
      <c r="J134" s="1179"/>
      <c r="K134" s="1179"/>
      <c r="L134" s="1179"/>
      <c r="M134" s="1179"/>
      <c r="N134" s="1179"/>
    </row>
    <row r="135" spans="1:16" s="12" customFormat="1" ht="15" customHeight="1" x14ac:dyDescent="0.2">
      <c r="A135" s="1178" t="s">
        <v>16</v>
      </c>
      <c r="B135" s="1178"/>
      <c r="C135" s="1178" t="s">
        <v>15</v>
      </c>
      <c r="D135" s="1179" t="str">
        <f>IF($D$3="","",$D$3)</f>
        <v/>
      </c>
      <c r="E135" s="1179"/>
      <c r="F135" s="1179"/>
      <c r="G135" s="1179"/>
      <c r="H135" s="1179"/>
      <c r="I135" s="1179"/>
      <c r="J135" s="1179"/>
      <c r="K135" s="1178" t="s">
        <v>103</v>
      </c>
      <c r="L135" s="1178"/>
      <c r="M135" s="1178"/>
      <c r="N135" s="41" t="str">
        <f>IF($N$3="","",$N$3)</f>
        <v/>
      </c>
    </row>
    <row r="136" spans="1:16" s="13" customFormat="1" ht="11.25" x14ac:dyDescent="0.2">
      <c r="A136" s="1182"/>
      <c r="B136" s="1182"/>
      <c r="C136" s="1182"/>
      <c r="D136" s="1183"/>
      <c r="E136" s="1183"/>
      <c r="F136" s="1183"/>
      <c r="G136" s="1183"/>
      <c r="H136" s="1183"/>
      <c r="I136" s="1183"/>
      <c r="J136" s="1183"/>
      <c r="K136" s="11"/>
      <c r="L136" s="11"/>
      <c r="M136" s="11"/>
      <c r="N136" s="11"/>
      <c r="O136" s="11"/>
      <c r="P136" s="11"/>
    </row>
    <row r="137" spans="1:16" s="15" customFormat="1" ht="13.5" customHeight="1" x14ac:dyDescent="0.2">
      <c r="A137" s="1177" t="s">
        <v>174</v>
      </c>
      <c r="B137" s="1177"/>
      <c r="C137" s="1177"/>
      <c r="D137" s="1177"/>
      <c r="E137" s="1177"/>
      <c r="F137" s="1177"/>
      <c r="G137" s="1177"/>
      <c r="H137" s="1177"/>
      <c r="I137" s="1177"/>
      <c r="J137" s="1177"/>
      <c r="K137" s="9"/>
      <c r="L137" s="9"/>
      <c r="M137" s="9"/>
      <c r="N137" s="59" t="s">
        <v>154</v>
      </c>
      <c r="O137" s="191">
        <f>$O$5</f>
        <v>2022</v>
      </c>
      <c r="P137" s="59" t="s">
        <v>154</v>
      </c>
    </row>
    <row r="138" spans="1:16" s="10" customFormat="1" ht="13.5" customHeight="1" x14ac:dyDescent="0.25">
      <c r="B138" s="32"/>
      <c r="C138" s="32"/>
      <c r="D138" s="5" t="s">
        <v>24</v>
      </c>
      <c r="E138" s="31"/>
      <c r="F138" s="31"/>
      <c r="G138" s="31"/>
      <c r="H138" s="31"/>
      <c r="I138" s="26"/>
      <c r="J138" s="1174" t="s">
        <v>14</v>
      </c>
      <c r="K138" s="1174"/>
      <c r="L138" s="180"/>
      <c r="N138" s="84">
        <f>IF(L140="","",L140)</f>
        <v>0</v>
      </c>
      <c r="O138" s="58" t="str">
        <f>$O$6</f>
        <v>Jan                Jul</v>
      </c>
      <c r="P138" s="85">
        <f>IF(N143="","",N143)</f>
        <v>0</v>
      </c>
    </row>
    <row r="139" spans="1:16" s="7" customFormat="1" ht="13.5" customHeight="1" x14ac:dyDescent="0.25">
      <c r="A139" s="1180" t="s">
        <v>71</v>
      </c>
      <c r="B139" s="1180"/>
      <c r="C139" s="1180"/>
      <c r="D139" s="1184"/>
      <c r="E139" s="1184"/>
      <c r="F139" s="1184"/>
      <c r="G139" s="1184"/>
      <c r="H139" s="1184"/>
      <c r="I139" s="1184"/>
      <c r="J139" s="1174" t="s">
        <v>104</v>
      </c>
      <c r="K139" s="1174"/>
      <c r="L139" s="145"/>
      <c r="N139" s="85">
        <f>IF(N138="","",N138)</f>
        <v>0</v>
      </c>
      <c r="O139" s="58" t="str">
        <f>$O$7</f>
        <v>Feb              Aug</v>
      </c>
      <c r="P139" s="85">
        <f>IF(P138="","",P138)</f>
        <v>0</v>
      </c>
    </row>
    <row r="140" spans="1:16" ht="13.5" customHeight="1" x14ac:dyDescent="0.2">
      <c r="A140" s="1180" t="s">
        <v>13</v>
      </c>
      <c r="B140" s="1180"/>
      <c r="C140" s="1180"/>
      <c r="D140" s="1181"/>
      <c r="E140" s="1181"/>
      <c r="F140" s="1181"/>
      <c r="G140" s="1181"/>
      <c r="H140" s="1181"/>
      <c r="I140" s="1181"/>
      <c r="J140" s="1174" t="s">
        <v>164</v>
      </c>
      <c r="K140" s="1174"/>
      <c r="L140" s="145">
        <f>IF((L141+L142)&gt;L139,0,L139-L141-L142)</f>
        <v>0</v>
      </c>
      <c r="M140" s="1"/>
      <c r="N140" s="85">
        <f>IF(N139="","",N139)</f>
        <v>0</v>
      </c>
      <c r="O140" s="58" t="str">
        <f>$O$8</f>
        <v>Mrz              Sep</v>
      </c>
      <c r="P140" s="85">
        <f>IF(P139="","",P139)</f>
        <v>0</v>
      </c>
    </row>
    <row r="141" spans="1:16" ht="13.5" customHeight="1" x14ac:dyDescent="0.2">
      <c r="A141" s="1180" t="s">
        <v>12</v>
      </c>
      <c r="B141" s="1180"/>
      <c r="C141" s="1180"/>
      <c r="D141" s="1181"/>
      <c r="E141" s="1181"/>
      <c r="F141" s="1181"/>
      <c r="G141" s="1181"/>
      <c r="H141" s="1181"/>
      <c r="I141" s="1181"/>
      <c r="J141" s="1174" t="s">
        <v>165</v>
      </c>
      <c r="K141" s="1174"/>
      <c r="L141" s="145"/>
      <c r="M141" s="1"/>
      <c r="N141" s="85">
        <f>IF(N140="","",N140)</f>
        <v>0</v>
      </c>
      <c r="O141" s="58" t="str">
        <f>$O$9</f>
        <v>Apr               Okt</v>
      </c>
      <c r="P141" s="85">
        <f t="shared" ref="P141:P143" si="15">IF(P140="","",P140)</f>
        <v>0</v>
      </c>
    </row>
    <row r="142" spans="1:16" ht="13.5" customHeight="1" x14ac:dyDescent="0.2">
      <c r="A142" s="1180" t="s">
        <v>19</v>
      </c>
      <c r="B142" s="1180"/>
      <c r="C142" s="1180"/>
      <c r="D142" s="1181"/>
      <c r="E142" s="1181"/>
      <c r="F142" s="1181"/>
      <c r="G142" s="1181"/>
      <c r="H142" s="1181"/>
      <c r="I142" s="1181"/>
      <c r="J142" s="1174" t="s">
        <v>252</v>
      </c>
      <c r="K142" s="1174"/>
      <c r="L142" s="145"/>
      <c r="M142" s="92"/>
      <c r="N142" s="85">
        <f>IF(N141="","",N141)</f>
        <v>0</v>
      </c>
      <c r="O142" s="58" t="str">
        <f>$O$10</f>
        <v>Mai               Nov</v>
      </c>
      <c r="P142" s="85">
        <f t="shared" si="15"/>
        <v>0</v>
      </c>
    </row>
    <row r="143" spans="1:16" ht="13.5" customHeight="1" x14ac:dyDescent="0.2">
      <c r="A143" s="1"/>
      <c r="B143" s="8"/>
      <c r="C143" s="200" t="s">
        <v>162</v>
      </c>
      <c r="D143" s="1175"/>
      <c r="E143" s="1175"/>
      <c r="F143" s="1176" t="s">
        <v>106</v>
      </c>
      <c r="G143" s="1176"/>
      <c r="H143" s="1186"/>
      <c r="I143" s="1186"/>
      <c r="J143" s="1174" t="s">
        <v>97</v>
      </c>
      <c r="K143" s="1174"/>
      <c r="L143" s="17" t="str">
        <f>IF(IF((COUNTIF(B158:B169,"&gt;0"))=0,0,(COUNTIF(B158:B169,"&gt;0")))&gt;Grundlagen!$C$24,Grundlagen!$C$24,IF((COUNTIF(B158:B169,"&gt;0"))=0,"",(COUNTIF(B158:B169,"&gt;0"))))</f>
        <v/>
      </c>
      <c r="M143" s="1"/>
      <c r="N143" s="85">
        <f>IF(N142="","",N142)</f>
        <v>0</v>
      </c>
      <c r="O143" s="58" t="str">
        <f>'päd.Personal - Leitung'!$O$11</f>
        <v>Jun               Dez</v>
      </c>
      <c r="P143" s="85">
        <f t="shared" si="15"/>
        <v>0</v>
      </c>
    </row>
    <row r="144" spans="1:16" ht="13.5" customHeight="1" x14ac:dyDescent="0.2">
      <c r="A144" s="1"/>
      <c r="B144" s="1"/>
      <c r="C144" s="1"/>
      <c r="D144" s="1"/>
      <c r="E144" s="1"/>
      <c r="F144" s="1"/>
      <c r="G144" s="1"/>
      <c r="H144" s="1"/>
      <c r="I144" s="6"/>
      <c r="J144" s="1"/>
      <c r="K144" s="1"/>
      <c r="L144" s="147" t="str">
        <f>IF((SUM(F146:F149))=0,"",IF(P144&gt;L140,L140,IF(L140="","",IF(L143="","",P144))))</f>
        <v/>
      </c>
      <c r="M144" s="1"/>
      <c r="N144" s="1"/>
      <c r="O144" s="174" t="s">
        <v>251</v>
      </c>
      <c r="P144" s="175">
        <f>IF(L143="",0,((IF(SUMIF(B158,"&gt;0"),N138,0))+(IF(SUMIF(B159,"&gt;0"),N139,0))+(IF(SUMIF(B160,"&gt;0"),N140,0))+(IF(SUMIF(B161,"&gt;0"),N141,0))+(IF(SUMIF(B162,"&gt;0"),N142,0))+(IF(SUMIF(B163,"&gt;0"),N143,0))+(IF(SUMIF(B164,"&gt;0"),P138,0))+(IF(SUMIF(B165,"&gt;0"),P139,0))+(IF(SUMIF(B166,"&gt;0"),P140,0))+(IF(SUMIF(B167,"&gt;0"),P141,0))+(IF(SUMIF(B168,"&gt;0"),P142,0))+(IF(SUMIF(B169,"&gt;0"),P143,0)))/Grundlagen!$C$24)</f>
        <v>0</v>
      </c>
    </row>
    <row r="145" spans="1:16" s="52" customFormat="1" ht="13.5" customHeight="1" x14ac:dyDescent="0.2">
      <c r="A145" s="61" t="s">
        <v>148</v>
      </c>
      <c r="B145" s="1168" t="s">
        <v>149</v>
      </c>
      <c r="C145" s="1168"/>
      <c r="D145" s="62" t="s">
        <v>150</v>
      </c>
      <c r="E145" s="63" t="s">
        <v>151</v>
      </c>
      <c r="F145" s="64" t="str">
        <f>CONCATENATE("Entg. ",N135," h/Wo")</f>
        <v>Entg.  h/Wo</v>
      </c>
      <c r="G145" s="65" t="s">
        <v>152</v>
      </c>
      <c r="H145" s="65" t="s">
        <v>153</v>
      </c>
      <c r="K145" s="1169" t="str">
        <f>CONCATENATE("Zuschläge / Zulagen für ",N135,"h/Wo")</f>
        <v>Zuschläge / Zulagen für h/Wo</v>
      </c>
      <c r="L145" s="1169"/>
      <c r="M145" s="66" t="str">
        <f>IF(A146="","",A146)</f>
        <v>Jan 2022</v>
      </c>
      <c r="N145" s="66" t="str">
        <f>IF(A147="","",A147)</f>
        <v/>
      </c>
      <c r="O145" s="66" t="str">
        <f>IF(A148="","",A148)</f>
        <v/>
      </c>
      <c r="P145" s="66" t="str">
        <f>IF(A149="","",A149)</f>
        <v/>
      </c>
    </row>
    <row r="146" spans="1:16" s="52" customFormat="1" ht="13.5" customHeight="1" x14ac:dyDescent="0.25">
      <c r="A146" s="54" t="str">
        <f>A158</f>
        <v>Jan 2022</v>
      </c>
      <c r="B146" s="1170" t="str">
        <f>IF($D$3="","",$D$3)</f>
        <v/>
      </c>
      <c r="C146" s="1171"/>
      <c r="D146" s="181"/>
      <c r="E146" s="181"/>
      <c r="F146" s="87"/>
      <c r="G146" s="56">
        <f>IF(N135="",0,F146/N135/4.348)</f>
        <v>0</v>
      </c>
      <c r="H146" s="53">
        <f>IF(G146=0,0,M151)</f>
        <v>0</v>
      </c>
      <c r="K146" s="1146"/>
      <c r="L146" s="1146"/>
      <c r="M146" s="86"/>
      <c r="N146" s="86"/>
      <c r="O146" s="86"/>
      <c r="P146" s="86"/>
    </row>
    <row r="147" spans="1:16" s="52" customFormat="1" ht="13.5" customHeight="1" x14ac:dyDescent="0.25">
      <c r="A147" s="55"/>
      <c r="B147" s="1172" t="str">
        <f>IF(A147="","",B146)</f>
        <v/>
      </c>
      <c r="C147" s="1173"/>
      <c r="D147" s="181"/>
      <c r="E147" s="181"/>
      <c r="F147" s="87"/>
      <c r="G147" s="56">
        <f>IF(N135="",0,F147/N135/4.348)</f>
        <v>0</v>
      </c>
      <c r="H147" s="53">
        <f>IF(G147=0,0,N151)</f>
        <v>0</v>
      </c>
      <c r="K147" s="1146"/>
      <c r="L147" s="1146"/>
      <c r="M147" s="86"/>
      <c r="N147" s="86"/>
      <c r="O147" s="86"/>
      <c r="P147" s="86"/>
    </row>
    <row r="148" spans="1:16" s="52" customFormat="1" ht="13.5" customHeight="1" x14ac:dyDescent="0.25">
      <c r="A148" s="55"/>
      <c r="B148" s="1172" t="str">
        <f>IF(A148="","",B147)</f>
        <v/>
      </c>
      <c r="C148" s="1173"/>
      <c r="D148" s="181"/>
      <c r="E148" s="181"/>
      <c r="F148" s="87"/>
      <c r="G148" s="56">
        <f>IF(N135="",0,F148/N135/4.348)</f>
        <v>0</v>
      </c>
      <c r="H148" s="53">
        <f>IF(G148=0,0,O151)</f>
        <v>0</v>
      </c>
      <c r="K148" s="1146"/>
      <c r="L148" s="1146"/>
      <c r="M148" s="86"/>
      <c r="N148" s="86"/>
      <c r="O148" s="86"/>
      <c r="P148" s="86"/>
    </row>
    <row r="149" spans="1:16" s="52" customFormat="1" ht="13.5" customHeight="1" x14ac:dyDescent="0.25">
      <c r="A149" s="55"/>
      <c r="B149" s="1172" t="str">
        <f>IF(A149="","",B148)</f>
        <v/>
      </c>
      <c r="C149" s="1173"/>
      <c r="D149" s="181"/>
      <c r="E149" s="181"/>
      <c r="F149" s="87"/>
      <c r="G149" s="56">
        <f>IF(N135="",0,F149/N135/4.348)</f>
        <v>0</v>
      </c>
      <c r="H149" s="53">
        <f>IF(G149=0,0,P151)</f>
        <v>0</v>
      </c>
      <c r="K149" s="1146"/>
      <c r="L149" s="1146"/>
      <c r="M149" s="86"/>
      <c r="N149" s="86"/>
      <c r="O149" s="86"/>
      <c r="P149" s="86"/>
    </row>
    <row r="150" spans="1:16" s="52" customFormat="1" ht="13.5" customHeight="1" x14ac:dyDescent="0.25">
      <c r="B150" s="1167" t="s">
        <v>157</v>
      </c>
      <c r="C150" s="1167"/>
      <c r="E150" s="1167" t="s">
        <v>156</v>
      </c>
      <c r="F150" s="1167"/>
      <c r="J150" s="69"/>
      <c r="K150" s="1146"/>
      <c r="L150" s="1146"/>
      <c r="M150" s="86"/>
      <c r="N150" s="86"/>
      <c r="O150" s="86"/>
      <c r="P150" s="86"/>
    </row>
    <row r="151" spans="1:16" s="52" customFormat="1" ht="13.5" customHeight="1" x14ac:dyDescent="0.25">
      <c r="A151" s="70" t="s">
        <v>167</v>
      </c>
      <c r="B151" s="67"/>
      <c r="C151" s="99" t="str">
        <f>IF(C107="","",C107)</f>
        <v/>
      </c>
      <c r="D151" s="70" t="s">
        <v>167</v>
      </c>
      <c r="E151" s="67"/>
      <c r="F151" s="99" t="str">
        <f>IF(F107="","",F107)</f>
        <v/>
      </c>
      <c r="J151" s="68"/>
      <c r="M151" s="57">
        <f>SUM(M146:M150)</f>
        <v>0</v>
      </c>
      <c r="N151" s="57">
        <f t="shared" ref="N151:P151" si="16">SUM(N146:N150)</f>
        <v>0</v>
      </c>
      <c r="O151" s="57">
        <f t="shared" si="16"/>
        <v>0</v>
      </c>
      <c r="P151" s="57">
        <f t="shared" si="16"/>
        <v>0</v>
      </c>
    </row>
    <row r="152" spans="1:16" s="52" customFormat="1" ht="13.5" customHeight="1" x14ac:dyDescent="0.2">
      <c r="A152" s="60" t="s">
        <v>155</v>
      </c>
    </row>
    <row r="153" spans="1:16" ht="14.25" customHeight="1" x14ac:dyDescent="0.2">
      <c r="A153" s="1147"/>
      <c r="B153" s="1149" t="s">
        <v>9</v>
      </c>
      <c r="C153" s="1150"/>
      <c r="D153" s="1150"/>
      <c r="E153" s="1150"/>
      <c r="F153" s="1150"/>
      <c r="G153" s="1151"/>
      <c r="H153" s="1152" t="s">
        <v>119</v>
      </c>
      <c r="I153" s="1153"/>
      <c r="J153" s="1153"/>
      <c r="K153" s="1153"/>
      <c r="L153" s="1153"/>
      <c r="M153" s="1153"/>
      <c r="N153" s="1153"/>
      <c r="O153" s="33"/>
      <c r="P153" s="1154" t="s">
        <v>0</v>
      </c>
    </row>
    <row r="154" spans="1:16" ht="14.25" customHeight="1" x14ac:dyDescent="0.2">
      <c r="A154" s="1148"/>
      <c r="B154" s="1157" t="s">
        <v>117</v>
      </c>
      <c r="C154" s="124" t="s">
        <v>115</v>
      </c>
      <c r="D154" s="1159" t="s">
        <v>277</v>
      </c>
      <c r="E154" s="1161" t="s">
        <v>147</v>
      </c>
      <c r="F154" s="127" t="s">
        <v>7</v>
      </c>
      <c r="G154" s="1162" t="s">
        <v>6</v>
      </c>
      <c r="H154" s="1161" t="s">
        <v>129</v>
      </c>
      <c r="I154" s="1161" t="s">
        <v>5</v>
      </c>
      <c r="J154" s="1161" t="s">
        <v>4</v>
      </c>
      <c r="K154" s="1161" t="s">
        <v>3</v>
      </c>
      <c r="L154" s="1161" t="s">
        <v>121</v>
      </c>
      <c r="M154" s="1161" t="s">
        <v>122</v>
      </c>
      <c r="N154" s="1161" t="s">
        <v>123</v>
      </c>
      <c r="O154" s="1160" t="s">
        <v>114</v>
      </c>
      <c r="P154" s="1155"/>
    </row>
    <row r="155" spans="1:16" ht="14.25" customHeight="1" x14ac:dyDescent="0.2">
      <c r="A155" s="1148"/>
      <c r="B155" s="1157"/>
      <c r="C155" s="21" t="str">
        <f>IF(C151="","",C151)</f>
        <v/>
      </c>
      <c r="D155" s="1160"/>
      <c r="E155" s="1161"/>
      <c r="F155" s="1165" t="str">
        <f>IF(H146=0,"","siehe Zuschläge / Zulagen")</f>
        <v/>
      </c>
      <c r="G155" s="1162"/>
      <c r="H155" s="1164" t="s">
        <v>127</v>
      </c>
      <c r="I155" s="1164"/>
      <c r="J155" s="1164"/>
      <c r="K155" s="1164"/>
      <c r="L155" s="1164"/>
      <c r="M155" s="1164"/>
      <c r="N155" s="1164"/>
      <c r="O155" s="1160"/>
      <c r="P155" s="1155"/>
    </row>
    <row r="156" spans="1:16" x14ac:dyDescent="0.2">
      <c r="A156" s="1148"/>
      <c r="B156" s="1157"/>
      <c r="C156" s="122" t="s">
        <v>70</v>
      </c>
      <c r="D156" s="1160"/>
      <c r="E156" s="1161"/>
      <c r="F156" s="1165"/>
      <c r="G156" s="1162"/>
      <c r="H156" s="43" t="s">
        <v>128</v>
      </c>
      <c r="I156" s="43" t="s">
        <v>255</v>
      </c>
      <c r="J156" s="43" t="s">
        <v>256</v>
      </c>
      <c r="K156" s="43" t="s">
        <v>257</v>
      </c>
      <c r="L156" s="43"/>
      <c r="M156" s="43"/>
      <c r="N156" s="43" t="s">
        <v>254</v>
      </c>
      <c r="O156" s="1160"/>
      <c r="P156" s="1155"/>
    </row>
    <row r="157" spans="1:16" x14ac:dyDescent="0.2">
      <c r="A157" s="1148"/>
      <c r="B157" s="1158"/>
      <c r="C157" s="21" t="str">
        <f>IF(F151="","",F151)</f>
        <v/>
      </c>
      <c r="D157" s="51"/>
      <c r="E157" s="51"/>
      <c r="F157" s="1166"/>
      <c r="G157" s="1163"/>
      <c r="H157" s="93"/>
      <c r="I157" s="139">
        <f>$I$25</f>
        <v>0</v>
      </c>
      <c r="J157" s="139">
        <f>$J$25</f>
        <v>0</v>
      </c>
      <c r="K157" s="44">
        <f>$K$25</f>
        <v>0</v>
      </c>
      <c r="L157" s="21"/>
      <c r="M157" s="21"/>
      <c r="N157" s="139">
        <f>$N$25</f>
        <v>0</v>
      </c>
      <c r="O157" s="21">
        <f>O113</f>
        <v>0</v>
      </c>
      <c r="P157" s="1156"/>
    </row>
    <row r="158" spans="1:16" x14ac:dyDescent="0.2">
      <c r="A158" s="100" t="str">
        <f>$A$26</f>
        <v>Jan 2022</v>
      </c>
      <c r="B158" s="24">
        <f>ROUND(IF(N138=0,0,(LOOKUP(2,1/(A146:A149=A158),G146:G149))*N138*4.348),2)</f>
        <v>0</v>
      </c>
      <c r="C158" s="23">
        <f>ROUND(IFERROR(((LOOKUP(2,1/(B151=A158),((SUM(B164:B166)+SUM(F164:F166))/3)*C151))),0)+IFERROR(((LOOKUP(2,1/(E151=A158),(B170+F170)*F151))),0),2)</f>
        <v>0</v>
      </c>
      <c r="D158" s="23">
        <f>ROUND(IF(B158=0,0,D157/L139*N138),2)</f>
        <v>0</v>
      </c>
      <c r="E158" s="23">
        <f>ROUND(IF(B158=0,0,E157/N135*N138),2)</f>
        <v>0</v>
      </c>
      <c r="F158" s="24">
        <f>ROUND(IF(N138=0,0,(LOOKUP(2,1/(A146:A149=A158),H146:H149))/N135*N138),2)</f>
        <v>0</v>
      </c>
      <c r="G158" s="27">
        <f>SUM(B158+C158+E158+F158)</f>
        <v>0</v>
      </c>
      <c r="H158" s="76">
        <f>ROUND(IF((SUM(B158:F158))&gt;L173,L173*H157,SUM(B158:F158)*H157),2)</f>
        <v>0</v>
      </c>
      <c r="I158" s="76">
        <f>ROUND(IF((SUM(B158:F158))&gt;L174,L174*I157,SUM(B158:F158)*I157),2)</f>
        <v>0</v>
      </c>
      <c r="J158" s="76">
        <f>ROUND(IF((SUM(B158:F158))&gt;L174,L174*J157,SUM(B158:F158)*J157),2)</f>
        <v>0</v>
      </c>
      <c r="K158" s="76">
        <f>ROUND(IF((SUM(B158:F158))&gt;L173,L173*K157,SUM(B158:F158)*K157),2)</f>
        <v>0</v>
      </c>
      <c r="L158" s="76">
        <f>ROUND(IF((SUM(B158:F158))&gt;L174,L174*L157,(SUM(B158:F158)-C158)*L157),2)</f>
        <v>0</v>
      </c>
      <c r="M158" s="76">
        <f>ROUND(IF((SUM(B158:F158))&gt;L174,L174*M157,(SUM(B158:F158)-C158)*M157),2)</f>
        <v>0</v>
      </c>
      <c r="N158" s="76">
        <f>ROUND(IF((SUM(B158:F158))&gt;L174,L174*N157,SUM(B158:F158)*N157),2)</f>
        <v>0</v>
      </c>
      <c r="O158" s="23">
        <f>ROUND(SUM(B158+C158+F158)*O157,2)</f>
        <v>0</v>
      </c>
      <c r="P158" s="27">
        <f>SUM(G158:O158)</f>
        <v>0</v>
      </c>
    </row>
    <row r="159" spans="1:16" x14ac:dyDescent="0.2">
      <c r="A159" s="100" t="str">
        <f>$A$27</f>
        <v>Feb 2022</v>
      </c>
      <c r="B159" s="24">
        <f>ROUND(IF(N139=0,0,IFERROR(((LOOKUP(2,1/(A146:A149=A159),G146:G149))*N139*4.348),B158/N139*N139)),2)</f>
        <v>0</v>
      </c>
      <c r="C159" s="23">
        <f>ROUND(IFERROR(((LOOKUP(2,1/(B151=A159),((SUM(B164:B166)+SUM(F164:F166))/3)*C151))),0)+IFERROR(((LOOKUP(2,1/(E151=A159),(B170+F170)*F151))),0),2)</f>
        <v>0</v>
      </c>
      <c r="D159" s="23">
        <f>ROUND(IF(B159=0,0,D157/L139*N139),2)</f>
        <v>0</v>
      </c>
      <c r="E159" s="23">
        <f>ROUND(IF(B159=0,0,E157/N135*N139),2)</f>
        <v>0</v>
      </c>
      <c r="F159" s="24">
        <f>ROUND(IF(N139=0,0,IFERROR(((LOOKUP(2,1/(A146:A149=A159),H146:H149))/N135*N139),F158/N139*N139)),2)</f>
        <v>0</v>
      </c>
      <c r="G159" s="27">
        <f t="shared" ref="G159:G169" si="17">SUM(B159+C159+E159+F159)</f>
        <v>0</v>
      </c>
      <c r="H159" s="76">
        <f>ROUND(IF(SUM(B158:F158)&lt;(L173*1),IF((SUM(B158:F159))&gt;(L173*2),(((L173*2)-(SUM(B158:F159)-C158))*H157)+((SUM(B159:F159)-C158)*H157),SUM(B159:F159)*H157),IF(SUM(B158:F159)&gt;(L173*2),L173*H157,SUM(B159:F159)*H157)),2)</f>
        <v>0</v>
      </c>
      <c r="I159" s="76">
        <f>ROUND(IF(SUM(B158:F158)&lt;(L174*1),IF((SUM(B158:F159))&gt;(L174*2),(((L174*2)-(SUM(B158:F159)-C158))*I157)+((SUM(B159:F159)-C158)*I157),SUM(B159:F159)*I157),IF(SUM(B158:F159)&gt;(L174*2),L174*I157,SUM(B159:F159)*I157)),2)</f>
        <v>0</v>
      </c>
      <c r="J159" s="76">
        <f>ROUND(IF(SUM(B158:F158)&lt;(L174*1),IF((SUM(B158:F159))&gt;(L174*2),(((L174*2)-(SUM(B158:F159)-C158))*J157)+((SUM(B159:F159)-C158)*J157),SUM(B159:F159)*J157),IF(SUM(B158:F159)&gt;(L174*2),L174*J157,SUM(B159:F159)*J157)),2)</f>
        <v>0</v>
      </c>
      <c r="K159" s="76">
        <f>ROUND(IF(SUM(B158:F158)&lt;(L173*1),IF((SUM(B158:F159))&gt;(L173*2),(((L173*2)-(SUM(B158:F159)-C158))*K157)+((SUM(B159:F159)-C158)*K157),SUM(B159:F159)*K157),IF(SUM(B158:F159)&gt;(L173*2),L173*K157,SUM(B159:F159)*K157)),2)</f>
        <v>0</v>
      </c>
      <c r="L159" s="76">
        <f>ROUND(IF(SUM(B158:F158)&lt;(L174*1),IF((SUM(B158:F159))&gt;(L174*2),(((L174*2)-(SUM(B158:F159)-C159))*L157)+((SUM(B159:F159)-C159)*L157),(SUM(B159:F159)-C159)*L157),IF(SUM(B158:F159)&gt;(L174*2),L174*L157,SUM(B159:F159)*L157)),2)</f>
        <v>0</v>
      </c>
      <c r="M159" s="76">
        <f>ROUND(IF(SUM(B158:F158)&lt;(L174*1),IF((SUM(B158:F159))&gt;(L174*2),(((L174*2)-(SUM(B158:F159)-C159))*M157)+((SUM(B159:F159)-C159)*M157),(SUM(B159:F159)-C159)*M157),IF(SUM(B158:F159)&gt;(L174*2),L174*M157,SUM(B159:F159)*M157)),2)</f>
        <v>0</v>
      </c>
      <c r="N159" s="76">
        <f>ROUND(IF(SUM(B158:F158)&lt;(L174*1),IF((SUM(B158:F159))&gt;(L174*2),(((L174*2)-(SUM(B158:F159)-C158))*N157)+((SUM(B159:F159)-C158)*N157),SUM(B159:F159)*N157),IF(SUM(B158:F159)&gt;(L174*2),L174*N157,SUM(B159:F159)*N157)),2)</f>
        <v>0</v>
      </c>
      <c r="O159" s="23">
        <f>ROUND(SUM(B159+C159+F159)*O157,2)</f>
        <v>0</v>
      </c>
      <c r="P159" s="27">
        <f>SUM(G159:O159)</f>
        <v>0</v>
      </c>
    </row>
    <row r="160" spans="1:16" x14ac:dyDescent="0.2">
      <c r="A160" s="100" t="str">
        <f>$A$28</f>
        <v>Mrz 2022</v>
      </c>
      <c r="B160" s="24">
        <f>ROUND(IF(N140=0,0,IFERROR(((LOOKUP(2,1/(A146:A149=A160),G146:G149))*N140*4.348),B159/N140*N140)),2)</f>
        <v>0</v>
      </c>
      <c r="C160" s="23">
        <f>ROUND(IFERROR(((LOOKUP(2,1/(B151=A160),((SUM(B164:B166)+SUM(F164:F166))/3)*C151))),0)+IFERROR(((LOOKUP(2,1/(E151=A160),(B170+F170)*F151))),0),2)</f>
        <v>0</v>
      </c>
      <c r="D160" s="23">
        <f>ROUND(IF(B160=0,0,D157/L139*N140),2)</f>
        <v>0</v>
      </c>
      <c r="E160" s="23">
        <f>ROUND(IF(B160=0,0,E157/N135*N140),2)</f>
        <v>0</v>
      </c>
      <c r="F160" s="24">
        <f>ROUND(IF(N140=0,0,IFERROR(((LOOKUP(2,1/(A146:A149=A160),H146:H149))/N135*N140),F159/N140*N140)),2)</f>
        <v>0</v>
      </c>
      <c r="G160" s="27">
        <f t="shared" si="17"/>
        <v>0</v>
      </c>
      <c r="H160" s="76">
        <f>ROUND(IF(SUM(B158:F159)&lt;(L173*2),IF((SUM(B158:F160))&gt;(L173*3),(((L173*3)-(SUM(B158:F160)-C159))*H157)+((SUM(B160:F160)-C159)*H157),SUM(B160:F160)*H157),IF(SUM(B158:F160)&gt;(L173*3),L173*H157,SUM(B160:F160)*H157)),2)</f>
        <v>0</v>
      </c>
      <c r="I160" s="76">
        <f>ROUND(IF(SUM(B158:F159)&lt;(L174*2),IF((SUM(B158:F160))&gt;(L174*3),(((L174*3)-(SUM(B158:F160)-C159))*I157)+((SUM(B160:F160)-C159)*I157),SUM(B160:F160)*I157),IF(SUM(B158:F160)&gt;(L174*3),L174*I157,SUM(B160:F160)*I157)),2)</f>
        <v>0</v>
      </c>
      <c r="J160" s="76">
        <f>ROUND(IF(SUM(B158:F159)&lt;(L174*2),IF((SUM(B158:F160))&gt;(L174*3),(((L174*3)-(SUM(B158:F160)-C159))*J157)+((SUM(B160:F160)-C159)*J157),SUM(B160:F160)*J157),IF(SUM(B158:F160)&gt;(L174*3),L174*J157,SUM(B160:F160)*J157)),2)</f>
        <v>0</v>
      </c>
      <c r="K160" s="76">
        <f>ROUND(IF(SUM(B158:F159)&lt;(L173*2),IF((SUM(B158:F160))&gt;(L173*3),(((L173*3)-(SUM(B158:F160)-C159))*K157)+((SUM(B160:F160)-C159)*K157),SUM(B160:F160)*K157),IF(SUM(B158:F160)&gt;(L173*3),L173*K157,SUM(B160:F160)*K157)),2)</f>
        <v>0</v>
      </c>
      <c r="L160" s="76">
        <f>ROUND(IF(SUM(B158:F159)&lt;(L174*2),IF((SUM(B158:F160))&gt;(L174*3),(((L174*3)-(SUM(B158:F160)-C160))*L157)+((SUM(B160:F160)-C160)*L157),(SUM(B160:F160)-C160)*L157),IF(SUM(B158:F160)&gt;(L174*3),L174*L157,SUM(B160:F160)*L157)),2)</f>
        <v>0</v>
      </c>
      <c r="M160" s="76">
        <f>ROUND(IF(SUM(B158:F159)&lt;(L174*2),IF((SUM(B158:F160))&gt;(L174*3),(((L174*3)-(SUM(B158:F160)-C160))*M157)+((SUM(B160:F160)-C160)*M157),(SUM(B160:F160)-C160)*M157),IF(SUM(B158:F160)&gt;(L174*3),L174*M157,SUM(B160:F160)*M157)),2)</f>
        <v>0</v>
      </c>
      <c r="N160" s="76">
        <f>ROUND(IF(SUM(B158:F159)&lt;(L174*2),IF((SUM(B158:F160))&gt;(L174*3),(((L174*3)-(SUM(B158:F160)-C159))*N157)+((SUM(B160:F160)-C159)*N157),SUM(B160:F160)*N157),IF(SUM(B158:F160)&gt;(L174*3),L174*N157,SUM(B160:F160)*N157)),2)</f>
        <v>0</v>
      </c>
      <c r="O160" s="23">
        <f>ROUND(SUM(B160+C160+F160)*O157,2)</f>
        <v>0</v>
      </c>
      <c r="P160" s="27">
        <f t="shared" ref="P160:P169" si="18">SUM(G160:O160)</f>
        <v>0</v>
      </c>
    </row>
    <row r="161" spans="1:16" x14ac:dyDescent="0.2">
      <c r="A161" s="100" t="str">
        <f>$A$29</f>
        <v>Apr 2022</v>
      </c>
      <c r="B161" s="24">
        <f>ROUND(IF(N141=0,0,IFERROR(((LOOKUP(2,1/(A146:A149=A161),G146:G149))*N141*4.348),B160/N141*N141)),2)</f>
        <v>0</v>
      </c>
      <c r="C161" s="23">
        <f>ROUND(IFERROR(((LOOKUP(2,1/(B151=A161),((SUM(B164:B166)+SUM(F164:F166))/3)*C151))),0)+IFERROR(((LOOKUP(2,1/(E151=A161),(B170+F170)*F151))),0),2)</f>
        <v>0</v>
      </c>
      <c r="D161" s="23">
        <f>ROUND(IF(B161=0,0,D157/L139*N141),2)</f>
        <v>0</v>
      </c>
      <c r="E161" s="23">
        <f>ROUND(IF(B161=0,0,E157/N135*N141),2)</f>
        <v>0</v>
      </c>
      <c r="F161" s="24">
        <f>ROUND(IF(N141=0,0,IFERROR(((LOOKUP(2,1/(A146:A149=A161),H146:H149))/N135*N141),F160/N141*N141)),2)</f>
        <v>0</v>
      </c>
      <c r="G161" s="27">
        <f t="shared" si="17"/>
        <v>0</v>
      </c>
      <c r="H161" s="76">
        <f>ROUND(IF(SUM(B158:F160)&lt;(L173*3),IF((SUM(B158:F161))&gt;(L173*4),(((L173*4)-(SUM(B158:F161)-C160))*H157)+((SUM(B161:F161)-C160)*H157),SUM(B161:F161)*H157),IF(SUM(B158:F161)&gt;(L173*4),L173*H157,SUM(B161:F161)*H157)),2)</f>
        <v>0</v>
      </c>
      <c r="I161" s="76">
        <f>ROUND(IF(SUM(B158:F160)&lt;(L174*3),IF((SUM(B158:F161))&gt;(L174*4),(((L174*4)-(SUM(B158:F161)-C160))*I157)+((SUM(B161:F161)-C160)*I157),SUM(B161:F161)*I157),IF(SUM(B158:F161)&gt;(L174*4),L174*I157,SUM(B161:F161)*I157)),2)</f>
        <v>0</v>
      </c>
      <c r="J161" s="76">
        <f>ROUND(IF(SUM(B158:F160)&lt;(L174*3),IF((SUM(B158:F161))&gt;(L174*4),(((L174*4)-(SUM(B158:F161)-C160))*J157)+((SUM(B161:F161)-C160)*J157),SUM(B161:F161)*J157),IF(SUM(B158:F161)&gt;(L174*4),L174*J157,SUM(B161:F161)*J157)),2)</f>
        <v>0</v>
      </c>
      <c r="K161" s="76">
        <f>ROUND(IF(SUM(B158:F160)&lt;(L173*3),IF((SUM(B158:F161))&gt;(L173*4),(((L173*4)-(SUM(B158:F161)-C160))*K157)+((SUM(B161:F161)-C160)*K157),SUM(B161:F161)*K157),IF(SUM(B158:F161)&gt;(L173*4),L173*K157,SUM(B161:F161)*K157)),2)</f>
        <v>0</v>
      </c>
      <c r="L161" s="76">
        <f>ROUND(IF(SUM(B158:F160)&lt;(L174*3),IF((SUM(B158:F161))&gt;(L174*4),(((L174*4)-(SUM(B158:F161)-C161))*L157)+((SUM(B161:F161)-C161)*L157),(SUM(B161:F161)-C161)*L157),IF(SUM(B158:F161)&gt;(L174*4),L174*L157,SUM(B161:F161)*L157)),2)</f>
        <v>0</v>
      </c>
      <c r="M161" s="76">
        <f>ROUND(IF(SUM(B158:F160)&lt;(L174*3),IF((SUM(B158:F161))&gt;(L174*4),(((L174*4)-(SUM(B158:F161)-C161))*M157)+((SUM(B161:F161)-C161)*M157),(SUM(B161:F161)-C161)*M157),IF(SUM(B158:F161)&gt;(L174*4),L174*M157,SUM(B161:F161)*M157)),2)</f>
        <v>0</v>
      </c>
      <c r="N161" s="76">
        <f>ROUND(IF(SUM(B158:F160)&lt;(L174*3),IF((SUM(B158:F161))&gt;(L174*4),(((L174*4)-(SUM(B158:F161)-C160))*N157)+((SUM(B161:F161)-C160)*N157),SUM(B161:F161)*N157),IF(SUM(B158:F161)&gt;(L174*4),L174*N157,SUM(B161:F161)*N157)),2)</f>
        <v>0</v>
      </c>
      <c r="O161" s="23">
        <f>ROUND(SUM(B161+C161+F161)*O157,2)</f>
        <v>0</v>
      </c>
      <c r="P161" s="27">
        <f t="shared" si="18"/>
        <v>0</v>
      </c>
    </row>
    <row r="162" spans="1:16" x14ac:dyDescent="0.2">
      <c r="A162" s="100" t="str">
        <f>$A$30</f>
        <v>Mai 2022</v>
      </c>
      <c r="B162" s="24">
        <f>ROUND(IF(N142=0,0,IFERROR(((LOOKUP(2,1/(A146:A149=A162),G146:G149))*N142*4.348),B161/N142*N142)),2)</f>
        <v>0</v>
      </c>
      <c r="C162" s="23">
        <f>ROUND(IFERROR(((LOOKUP(2,1/(B151=A162),((SUM(B164:B166)+SUM(F164:F166))/3)*C151))),0)+IFERROR(((LOOKUP(2,1/(E151=A162),(B170+F170)*F151))),0),2)</f>
        <v>0</v>
      </c>
      <c r="D162" s="23">
        <f>ROUND(IF(B162=0,0,D157/L139*N142),2)</f>
        <v>0</v>
      </c>
      <c r="E162" s="23">
        <f>ROUND(IF(B162=0,0,E157/N135*N142),2)</f>
        <v>0</v>
      </c>
      <c r="F162" s="24">
        <f>ROUND(IF(N142=0,0,IFERROR(((LOOKUP(2,1/(A146:A149=A162),H146:H149))/N135*N142),F161/N142*N142)),2)</f>
        <v>0</v>
      </c>
      <c r="G162" s="27">
        <f t="shared" si="17"/>
        <v>0</v>
      </c>
      <c r="H162" s="76">
        <f>ROUND(IF(SUM(B158:F161)&lt;(L173*4),IF((SUM(B158:F162))&gt;(L173*5),(((L173*5)-(SUM(B158:F162)-C161))*H157)+((SUM(B162:F162)-C161)*H157),SUM(B162:F162)*H157),IF(SUM(B158:F162)&gt;(L173*5),L173*H157,SUM(B162:F162)*H157)),2)</f>
        <v>0</v>
      </c>
      <c r="I162" s="76">
        <f>ROUND(IF(SUM(B158:F161)&lt;(L174*4),IF((SUM(B158:F162))&gt;(L174*5),(((L174*5)-(SUM(B158:F162)-C161))*I157)+((SUM(B162:F162)-C161)*I157),SUM(B162:F162)*I157),IF(SUM(B158:F162)&gt;(L174*5),L174*I157,SUM(B162:F162)*I157)),2)</f>
        <v>0</v>
      </c>
      <c r="J162" s="76">
        <f>ROUND(IF(SUM(B158:F161)&lt;(L174*4),IF((SUM(B158:F162))&gt;(L174*5),(((L174*5)-(SUM(B158:F162)-C161))*J157)+((SUM(B162:F162)-C161)*J157),SUM(B162:F162)*J157),IF(SUM(B158:F162)&gt;(L174*5),L174*J157,SUM(B162:F162)*J157)),2)</f>
        <v>0</v>
      </c>
      <c r="K162" s="76">
        <f>ROUND(IF(SUM(B158:F161)&lt;(L173*4),IF((SUM(B158:F162))&gt;(L173*5),(((L173*5)-(SUM(B158:F162)-C161))*K157)+((SUM(B162:F162)-C161)*K157),SUM(B162:F162)*K157),IF(SUM(B158:F162)&gt;(L173*5),L173*K157,SUM(B162:F162)*K157)),2)</f>
        <v>0</v>
      </c>
      <c r="L162" s="76">
        <f>ROUND(IF(SUM(B158:F161)&lt;(L174*4),IF((SUM(B158:F162))&gt;(L174*5),(((L174*5)-(SUM(B158:F162)-C162))*L157)+((SUM(B162:F162)-C162)*L157),(SUM(B162:F162)-C162)*L157),IF(SUM(B158:F162)&gt;(L174*5),L174*L157,SUM(B162:F162)*L157)),2)</f>
        <v>0</v>
      </c>
      <c r="M162" s="76">
        <f>ROUND(IF(SUM(B158:F161)&lt;(L174*4),IF((SUM(B158:F162))&gt;(L174*5),(((L174*5)-(SUM(B158:F162)-C162))*M157)+((SUM(B162:F162)-C162)*M157),(SUM(B162:F162)-C162)*M157),IF(SUM(B158:F162)&gt;(L174*5),L174*M157,SUM(B162:F162)*M157)),2)</f>
        <v>0</v>
      </c>
      <c r="N162" s="76">
        <f>ROUND(IF(SUM(B158:F161)&lt;(L174*4),IF((SUM(B158:F162))&gt;(L174*5),(((L174*5)-(SUM(B158:F162)-C161))*N157)+((SUM(B162:F162)-C161)*N157),SUM(B162:F162)*N157),IF(SUM(B158:F162)&gt;(L174*5),L174*N157,SUM(B162:F162)*N157)),2)</f>
        <v>0</v>
      </c>
      <c r="O162" s="23">
        <f>ROUND(SUM(B162+C162+F162)*O157,2)</f>
        <v>0</v>
      </c>
      <c r="P162" s="27">
        <f t="shared" si="18"/>
        <v>0</v>
      </c>
    </row>
    <row r="163" spans="1:16" x14ac:dyDescent="0.2">
      <c r="A163" s="100" t="str">
        <f>$A$31</f>
        <v>Jun 2022</v>
      </c>
      <c r="B163" s="24">
        <f>ROUND(IF(N143=0,0,IFERROR(((LOOKUP(2,1/(A146:A149=A163),G146:G149))*N143*4.348),B162/N143*N143)),2)</f>
        <v>0</v>
      </c>
      <c r="C163" s="23">
        <f>ROUND(IFERROR(((LOOKUP(2,1/(B151=A163),((SUM(B164:B166)+SUM(F164:F166))/3)*C151))),0)+IFERROR(((LOOKUP(2,1/(E151=A163),(B170+F170)*F151))),0),2)</f>
        <v>0</v>
      </c>
      <c r="D163" s="23">
        <f>ROUND(IF(B163=0,0,D157/L139*N143),2)</f>
        <v>0</v>
      </c>
      <c r="E163" s="23">
        <f>ROUND(IF(B163=0,0,E157/N135*N143),2)</f>
        <v>0</v>
      </c>
      <c r="F163" s="24">
        <f>ROUND(IF(N143=0,0,IFERROR(((LOOKUP(2,1/(A146:A149=A163),H146:H149))/N135*N143),F162/N143*N143)),2)</f>
        <v>0</v>
      </c>
      <c r="G163" s="27">
        <f t="shared" si="17"/>
        <v>0</v>
      </c>
      <c r="H163" s="76">
        <f>ROUND(IF(SUM(B158:F162)&lt;(L173*5),IF((SUM(B158:F163))&gt;(L173*6),(((L173*6)-(SUM(B158:F163)-C162))*H157)+((SUM(B163:F163)-C162)*H157),SUM(B163:F163)*H157),IF(SUM(B158:F163)&gt;(L173*6),L173*H157,SUM(B163:F163)*H157)),2)</f>
        <v>0</v>
      </c>
      <c r="I163" s="76">
        <f>ROUND(IF(SUM(B158:F162)&lt;(L174*5),IF((SUM(B158:F163))&gt;(L174*6),(((L174*6)-(SUM(B158:F163)-C162))*I157)+((SUM(B163:F163)-C162)*I157),SUM(B163:F163)*I157),IF(SUM(B158:F163)&gt;(L174*6),L174*I157,SUM(B163:F163)*I157)),2)</f>
        <v>0</v>
      </c>
      <c r="J163" s="76">
        <f>ROUND(IF(SUM(B158:F162)&lt;(L174*5),IF((SUM(B158:F163))&gt;(L174*6),(((L174*6)-(SUM(B158:F163)-C162))*J157)+((SUM(B163:F163)-C162)*J157),SUM(B163:F163)*J157),IF(SUM(B158:F163)&gt;(L174*6),L174*J157,SUM(B163:F163)*J157)),2)</f>
        <v>0</v>
      </c>
      <c r="K163" s="76">
        <f>ROUND(IF(SUM(B158:F162)&lt;(L173*5),IF((SUM(B158:F163))&gt;(L173*6),(((L173*6)-(SUM(B158:F163)-C162))*K157)+((SUM(B163:F163)-C162)*K157),SUM(B163:F163)*K157),IF(SUM(B158:F163)&gt;(L173*6),L173*K157,SUM(B163:F163)*K157)),2)</f>
        <v>0</v>
      </c>
      <c r="L163" s="76">
        <f>ROUND(IF(SUM(B158:F162)&lt;(L174*5),IF((SUM(B158:F163))&gt;(L174*6),(((L174*6)-(SUM(B158:F163)-C163))*L157)+((SUM(B163:F163)-C163)*L157),(SUM(B163:F163)-C163)*L157),IF(SUM(B158:F163)&gt;(L174*6),L174*L157,SUM(B163:F163)*L157)),2)</f>
        <v>0</v>
      </c>
      <c r="M163" s="76">
        <f>ROUND(IF(SUM(B158:F162)&lt;(L174*5),IF((SUM(B158:F163))&gt;(L174*6),(((L174*6)-(SUM(B158:F163)-C163))*M157)+((SUM(B163:F163)-C163)*M157),(SUM(B163:F163)-C163)*M157),IF(SUM(B158:F163)&gt;(L174*6),L174*M157,SUM(B163:F163)*M157)),2)</f>
        <v>0</v>
      </c>
      <c r="N163" s="76">
        <f>ROUND(IF(SUM(B158:F162)&lt;(L174*5),IF((SUM(B158:F163))&gt;(L174*6),(((L174*6)-(SUM(B158:F163)-C162))*N157)+((SUM(B163:F163)-C162)*N157),SUM(B163:F163)*N157),IF(SUM(B158:F163)&gt;(L174*6),L174*N157,SUM(B163:F163)*N157)),2)</f>
        <v>0</v>
      </c>
      <c r="O163" s="23">
        <f>ROUND(SUM(B163+C163+F163)*O157,2)</f>
        <v>0</v>
      </c>
      <c r="P163" s="27">
        <f t="shared" si="18"/>
        <v>0</v>
      </c>
    </row>
    <row r="164" spans="1:16" x14ac:dyDescent="0.2">
      <c r="A164" s="100" t="str">
        <f>$A$32</f>
        <v>Jul 2022</v>
      </c>
      <c r="B164" s="24">
        <f>ROUND(IF(P138=0,0,IFERROR(((LOOKUP(2,1/(A146:A149=A164),G146:G149))*P138*4.348),B163/P138*P138)),2)</f>
        <v>0</v>
      </c>
      <c r="C164" s="23">
        <f>ROUND(IFERROR(((LOOKUP(2,1/(B151=A164),((SUM(B164:B166)+SUM(F164:F166))/3)*C151))),0)+IFERROR(((LOOKUP(2,1/(E151=A164),(B170+F170)*F151))),0),2)</f>
        <v>0</v>
      </c>
      <c r="D164" s="23">
        <f>ROUND(IF(B164=0,0,D157/L139*P138),2)</f>
        <v>0</v>
      </c>
      <c r="E164" s="23">
        <f>ROUND(IF(B164=0,0,E157/N135*P138),2)</f>
        <v>0</v>
      </c>
      <c r="F164" s="24">
        <f>ROUND(IF(P138=0,0,IFERROR(((LOOKUP(2,1/(A146:A149=A164),H146:H149))/N135*P138),F163/P138*P138)),2)</f>
        <v>0</v>
      </c>
      <c r="G164" s="27">
        <f t="shared" si="17"/>
        <v>0</v>
      </c>
      <c r="H164" s="76">
        <f>ROUND(IF(SUM(B158:F163)&lt;(L173*6),IF((SUM(B158:F164))&gt;(L173*7),(((L173*7)-(SUM(B158:F164)-C163))*H157)+((SUM(B164:F164)-C163)*H157),SUM(B164:F164)*H157),IF(SUM(B158:F164)&gt;(L173*7),L173*H157,SUM(B164:F164)*H157)),2)</f>
        <v>0</v>
      </c>
      <c r="I164" s="76">
        <f>ROUND(IF(SUM(B158:F163)&lt;(L174*6),IF((SUM(B158:F164))&gt;(L174*7),(((L174*7)-(SUM(B158:F164)-C163))*I157)+((SUM(B164:F164)-C163)*I157),SUM(B164:F164)*I157),IF(SUM(B158:F164)&gt;(L174*7),L174*I157,SUM(B164:F164)*I157)),2)</f>
        <v>0</v>
      </c>
      <c r="J164" s="76">
        <f>ROUND(IF(SUM(B158:F163)&lt;(L174*6),IF((SUM(B158:F164))&gt;(L174*7),(((L174*7)-(SUM(B158:F164)-C163))*J157)+((SUM(B164:F164)-C163)*J157),SUM(B164:F164)*J157),IF(SUM(B158:F164)&gt;(L174*7),L174*J157,SUM(B164:F164)*J157)),2)</f>
        <v>0</v>
      </c>
      <c r="K164" s="76">
        <f>ROUND(IF(SUM(B158:F163)&lt;(L173*6),IF((SUM(B158:F164))&gt;(L173*7),(((L173*7)-(SUM(B158:F164)-C163))*K157)+((SUM(B164:F164)-C163)*K157),SUM(B164:F164)*K157),IF(SUM(B158:F164)&gt;(L173*7),L173*K157,SUM(B164:F164)*K157)),2)</f>
        <v>0</v>
      </c>
      <c r="L164" s="76">
        <f>ROUND(IF(SUM(B158:F163)&lt;(L174*6),IF((SUM(B158:F164))&gt;(L174*7),(((L174*7)-(SUM(B158:F164)-C164))*L157)+((SUM(B164:F164)-C164)*L157),(SUM(B164:F164)-C164)*L157),IF(SUM(B158:F164)&gt;(L174*7),L174*L157,SUM(B164:F164)*L157)),2)</f>
        <v>0</v>
      </c>
      <c r="M164" s="76">
        <f>ROUND(IF(SUM(B158:F163)&lt;(L174*6),IF((SUM(B158:F164))&gt;(L174*7),(((L174*7)-(SUM(B158:F164)-C164))*M157)+((SUM(B164:F164)-C164)*M157),(SUM(B164:F164)-C164)*M157),IF(SUM(B158:F164)&gt;(L174*7),L174*M157,SUM(B164:F164)*M157)),2)</f>
        <v>0</v>
      </c>
      <c r="N164" s="76">
        <f>ROUND(IF(SUM(B158:F163)&lt;(L174*6),IF((SUM(B158:F164))&gt;(L174*7),(((L174*7)-(SUM(B158:F164)-C163))*N157)+((SUM(B164:F164)-C163)*N157),SUM(B164:F164)*N157),IF(SUM(B158:F164)&gt;(L174*7),L174*N157,SUM(B164:F164)*N157)),2)</f>
        <v>0</v>
      </c>
      <c r="O164" s="23">
        <f>ROUND(SUM(B164+C164+F164)*O157,2)</f>
        <v>0</v>
      </c>
      <c r="P164" s="27">
        <f t="shared" si="18"/>
        <v>0</v>
      </c>
    </row>
    <row r="165" spans="1:16" x14ac:dyDescent="0.2">
      <c r="A165" s="100" t="str">
        <f>$A$33</f>
        <v>Aug 2022</v>
      </c>
      <c r="B165" s="24">
        <f>ROUND(IF(P139=0,0,IFERROR(((LOOKUP(2,1/(A146:A149=A165),G146:G149))*P139*4.348),B164/P139*P139)),2)</f>
        <v>0</v>
      </c>
      <c r="C165" s="23">
        <f>ROUND(IFERROR(((LOOKUP(2,1/(B151=A165),((SUM(B164:B166)+SUM(F164:F166))/3)*C151))),0)+IFERROR(((LOOKUP(2,1/(E151=A165),(B170+F170)*F151))),0),2)</f>
        <v>0</v>
      </c>
      <c r="D165" s="23">
        <f>ROUND(IF(B165=0,0,D157/L139*P139),2)</f>
        <v>0</v>
      </c>
      <c r="E165" s="23">
        <f>ROUND(IF(B165=0,0,E157/N135*P139),2)</f>
        <v>0</v>
      </c>
      <c r="F165" s="24">
        <f>ROUND(IF(P139=0,0,IFERROR(((LOOKUP(2,1/(A146:A149=A165),H146:H149))/N135*P139),F164/P139*P139)),2)</f>
        <v>0</v>
      </c>
      <c r="G165" s="27">
        <f t="shared" si="17"/>
        <v>0</v>
      </c>
      <c r="H165" s="76">
        <f>ROUND(IF(SUM(B158:F164)&lt;(L173*7),IF((SUM(B158:F165))&gt;(L173*8),(((L173*8)-(SUM(B158:F165)-C164))*H157)+((SUM(B165:F165)-C164)*H157),SUM(B165:F165)*H157),IF(SUM(B158:F165)&gt;(L173*8),L173*H157,SUM(B165:F165)*H157)),2)</f>
        <v>0</v>
      </c>
      <c r="I165" s="76">
        <f>ROUND(IF(SUM(B158:F164)&lt;(L174*7),IF((SUM(B158:F165))&gt;(L174*8),(((L174*8)-(SUM(B158:F165)-C164))*I157)+((SUM(B165:F165)-C164)*I157),SUM(B165:F165)*I157),IF(SUM(B158:F165)&gt;(L174*8),L174*I157,SUM(B165:F165)*I157)),2)</f>
        <v>0</v>
      </c>
      <c r="J165" s="76">
        <f>ROUND(IF(SUM(B158:F164)&lt;(L174*7),IF((SUM(B158:F165))&gt;(L174*8),(((L174*8)-(SUM(B158:F165)-C164))*J157)+((SUM(B165:F165)-C164)*J157),SUM(B165:F165)*J157),IF(SUM(B158:F165)&gt;(L174*8),L174*J157,SUM(B165:F165)*J157)),2)</f>
        <v>0</v>
      </c>
      <c r="K165" s="76">
        <f>ROUND(IF(SUM(B158:F164)&lt;(L173*7),IF((SUM(B158:F165))&gt;(L173*8),(((L173*8)-(SUM(B158:F165)-C164))*K157)+((SUM(B165:F165)-C164)*K157),SUM(B165:F165)*K157),IF(SUM(B158:F165)&gt;(L173*8),L173*K157,SUM(B165:F165)*K157)),2)</f>
        <v>0</v>
      </c>
      <c r="L165" s="76">
        <f>ROUND(IF(SUM(B158:F164)&lt;(L174*7),IF((SUM(B158:F165))&gt;(L174*8),(((L174*8)-(SUM(B158:F165)-C165))*L157)+((SUM(B165:F165)-C165)*L157),(SUM(B165:F165)-C165)*L157),IF(SUM(B158:F165)&gt;(L174*8),L174*L157,SUM(B165:F165)*L157)),2)</f>
        <v>0</v>
      </c>
      <c r="M165" s="76">
        <f>ROUND(IF(SUM(B158:F164)&lt;(L174*7),IF((SUM(B158:F165))&gt;(L174*8),(((L174*8)-(SUM(B158:F165)-C165))*M157)+((SUM(B165:F165)-C165)*M157),(SUM(B165:F165)-C165)*M157),IF(SUM(B158:F165)&gt;(L174*8),L174*M157,SUM(B165:F165)*M157)),2)</f>
        <v>0</v>
      </c>
      <c r="N165" s="76">
        <f>ROUND(IF(SUM(B158:F164)&lt;(L174*7),IF((SUM(B158:F165))&gt;(L174*8),(((L174*8)-(SUM(B158:F165)-C164))*N157)+((SUM(B165:F165)-C164)*N157),SUM(B165:F165)*N157),IF(SUM(B158:F165)&gt;(L174*8),L174*N157,SUM(B165:F165)*N157)),2)</f>
        <v>0</v>
      </c>
      <c r="O165" s="23">
        <f>ROUND(SUM(B165+C165+F165)*O157,2)</f>
        <v>0</v>
      </c>
      <c r="P165" s="27">
        <f t="shared" si="18"/>
        <v>0</v>
      </c>
    </row>
    <row r="166" spans="1:16" x14ac:dyDescent="0.2">
      <c r="A166" s="100" t="str">
        <f>$A$34</f>
        <v>Sep 2022</v>
      </c>
      <c r="B166" s="24">
        <f>ROUND(IF(P140=0,0,IFERROR(((LOOKUP(2,1/(A146:A149=A166),G146:G149))*P140*4.348),B165/P140*P140)),2)</f>
        <v>0</v>
      </c>
      <c r="C166" s="23">
        <f>ROUND(IFERROR(((LOOKUP(2,1/(B151=A166),((SUM(B164:B166)+SUM(F164:F166))/3)*C151))),0)+IFERROR(((LOOKUP(2,1/(E151=A166),(B170+F170)*F151))),0),2)</f>
        <v>0</v>
      </c>
      <c r="D166" s="23">
        <f>ROUND(IF(B166=0,0,D157/L139*P140),2)</f>
        <v>0</v>
      </c>
      <c r="E166" s="23">
        <f>ROUND(IF(B166=0,0,E157/N135*P140),2)</f>
        <v>0</v>
      </c>
      <c r="F166" s="24">
        <f>ROUND(IF(P140=0,0,IFERROR(((LOOKUP(2,1/(A146:A149=A166),H146:H149))/N135*P140),F165/P140*P140)),2)</f>
        <v>0</v>
      </c>
      <c r="G166" s="27">
        <f t="shared" si="17"/>
        <v>0</v>
      </c>
      <c r="H166" s="76">
        <f>ROUND(IF(SUM(B158:F165)&lt;(L173*8),IF((SUM(B158:F166))&gt;(L173*9),(((L173*9)-(SUM(B158:F166)-C165))*H157)+((SUM(B166:F166)-C165)*H157),SUM(B166:F166)*H157),IF(SUM(B158:F166)&gt;(L173*9),L173*H157,SUM(B166:F166)*H157)),2)</f>
        <v>0</v>
      </c>
      <c r="I166" s="76">
        <f>ROUND(IF(SUM(B158:F165)&lt;(L174*8),IF((SUM(B158:F166))&gt;(L174*9),(((L174*9)-(SUM(B158:F166)-C165))*I157)+((SUM(B166:F166)-C165)*I157),SUM(B166:F166)*I157),IF(SUM(B158:F166)&gt;(L174*9),L174*I157,SUM(B166:F166)*I157)),2)</f>
        <v>0</v>
      </c>
      <c r="J166" s="76">
        <f>ROUND(IF(SUM(B158:F165)&lt;(L174*8),IF((SUM(B158:F166))&gt;(L174*9),(((L174*9)-(SUM(B158:F166)-C165))*J157)+((SUM(B166:F166)-C165)*J157),SUM(B166:F166)*J157),IF(SUM(B158:F166)&gt;(L174*9),L174*J157,SUM(B166:F166)*J157)),2)</f>
        <v>0</v>
      </c>
      <c r="K166" s="76">
        <f>ROUND(IF(SUM(B158:F165)&lt;(L173*8),IF((SUM(B158:F166))&gt;(L173*9),(((L173*9)-(SUM(B158:F166)-C165))*K157)+((SUM(B166:F166)-C165)*K157),SUM(B166:F166)*K157),IF(SUM(B158:F166)&gt;(L173*9),L173*K157,SUM(B166:F166)*K157)),2)</f>
        <v>0</v>
      </c>
      <c r="L166" s="76">
        <f>ROUND(IF(SUM(B158:F165)&lt;(L174*8),IF((SUM(B158:F166))&gt;(L174*9),(((L174*9)-(SUM(B158:F166)-C166))*L157)+((SUM(B166:F166)-C166)*L157),(SUM(B166:F166)-C166)*L157),IF(SUM(B158:F166)&gt;(L174*9),L174*L157,SUM(B166:F166)*L157)),2)</f>
        <v>0</v>
      </c>
      <c r="M166" s="76">
        <f>ROUND(IF(SUM(B158:F165)&lt;(L174*8),IF((SUM(B158:F166))&gt;(L174*9),(((L174*9)-(SUM(B158:F166)-C166))*M157)+((SUM(B166:F166)-C166)*M157),(SUM(B166:F166)-C166)*M157),IF(SUM(B158:F166)&gt;(L174*9),L174*M157,SUM(B166:F166)*M157)),2)</f>
        <v>0</v>
      </c>
      <c r="N166" s="76">
        <f>ROUND(IF(SUM(B158:F165)&lt;(L174*8),IF((SUM(B158:F166))&gt;(L174*9),(((L174*9)-(SUM(B158:F166)-C165))*N157)+((SUM(B166:F166)-C165)*N157),SUM(B166:F166)*N157),IF(SUM(B158:F166)&gt;(L174*9),L174*N157,SUM(B166:F166)*N157)),2)</f>
        <v>0</v>
      </c>
      <c r="O166" s="23">
        <f>ROUND(SUM(B166+C166+F166)*O157,2)</f>
        <v>0</v>
      </c>
      <c r="P166" s="27">
        <f t="shared" si="18"/>
        <v>0</v>
      </c>
    </row>
    <row r="167" spans="1:16" x14ac:dyDescent="0.2">
      <c r="A167" s="100" t="str">
        <f>$A$35</f>
        <v>Okt 2022</v>
      </c>
      <c r="B167" s="24">
        <f>ROUND(IF(P141=0,0,IFERROR(((LOOKUP(2,1/(A146:A149=A167),G146:G149))*P141*4.348),B166/P141*P141)),2)</f>
        <v>0</v>
      </c>
      <c r="C167" s="23">
        <f>ROUND(IFERROR(((LOOKUP(2,1/(B151=A167),((SUM(B164:B166)+SUM(F164:F166))/3)*C151))),0)+IFERROR(((LOOKUP(2,1/(E151=A167),(B170+F170)*F151))),0),2)</f>
        <v>0</v>
      </c>
      <c r="D167" s="23">
        <f>ROUND(IF(B167=0,0,D157/L139*P141),2)</f>
        <v>0</v>
      </c>
      <c r="E167" s="23">
        <f>ROUND(IF(B167=0,0,E157/N135*P141),2)</f>
        <v>0</v>
      </c>
      <c r="F167" s="24">
        <f>ROUND(IF(P141=0,0,IFERROR(((LOOKUP(2,1/(A146:A149=A167),H146:H149))/N135*P141),F166/P141*P141)),2)</f>
        <v>0</v>
      </c>
      <c r="G167" s="27">
        <f t="shared" si="17"/>
        <v>0</v>
      </c>
      <c r="H167" s="76">
        <f>ROUND(IF(SUM(B158:F166)&lt;(L173*9),IF((SUM(B158:F167))&gt;(L173*10),(((L173*10)-(SUM(B158:F167)-C166))*H157)+((SUM(B167:F167)-C166)*H157),SUM(B167:F167)*H157),IF(SUM(B158:F167)&gt;(L173*10),L173*H157,SUM(B167:F167)*H157)),2)</f>
        <v>0</v>
      </c>
      <c r="I167" s="76">
        <f>ROUND(IF(SUM(B158:F166)&lt;(L174*9),IF((SUM(B158:F167))&gt;(L174*10),(((L174*10)-(SUM(B158:F167)-C166))*I157)+((SUM(B167:F167)-C166)*I157),SUM(B167:F167)*I157),IF(SUM(B158:F167)&gt;(L174*10),L174*I157,SUM(B167:F167)*I157)),2)</f>
        <v>0</v>
      </c>
      <c r="J167" s="76">
        <f>ROUND(IF(SUM(B158:F166)&lt;(L174*9),IF((SUM(B158:F167))&gt;(L174*10),(((L174*10)-(SUM(B158:F167)-C166))*J157)+((SUM(B167:F167)-C166)*J157),SUM(B167:F167)*J157),IF(SUM(B158:F167)&gt;(L174*10),L174*J157,SUM(B167:F167)*J157)),2)</f>
        <v>0</v>
      </c>
      <c r="K167" s="76">
        <f>ROUND(IF(SUM(B158:F166)&lt;(L173*9),IF((SUM(B158:F167))&gt;(L173*10),(((L173*10)-(SUM(B158:F167)-C166))*K157)+((SUM(B167:F167)-C166)*K157),SUM(B167:F167)*K157),IF(SUM(B158:F167)&gt;(L173*10),L173*K157,SUM(B167:F167)*K157)),2)</f>
        <v>0</v>
      </c>
      <c r="L167" s="76">
        <f>ROUND(IF(SUM(B158:F166)&lt;(L174*9),IF((SUM(B158:F167))&gt;(L174*10),(((L174*10)-(SUM(B158:F167)-C167))*L157)+((SUM(B167:F167)-C167)*L157),(SUM(B167:F167)-C167)*L157),IF(SUM(B158:F167)&gt;(L174*10),L174*L157,SUM(B167:F167)*L157)),2)</f>
        <v>0</v>
      </c>
      <c r="M167" s="76">
        <f>ROUND(IF(SUM(B158:F166)&lt;(L174*9),IF((SUM(B158:F167))&gt;(L174*10),(((L174*10)-(SUM(B158:F167)-C167))*M157)+((SUM(B167:F167)-C167)*M157),(SUM(B167:F167)-C167)*M157),IF(SUM(B158:F167)&gt;(L174*10),L174*M157,SUM(B167:F167)*M157)),2)</f>
        <v>0</v>
      </c>
      <c r="N167" s="76">
        <f>ROUND(IF(SUM(B158:F166)&lt;(L174*9),IF((SUM(B158:F167))&gt;(L174*10),(((L174*10)-(SUM(B158:F167)-C166))*N157)+((SUM(B167:F167)-C166)*N157),SUM(B167:F167)*N157),IF(SUM(B158:F167)&gt;(L174*10),L174*N157,SUM(B167:F167)*N157)),2)</f>
        <v>0</v>
      </c>
      <c r="O167" s="23">
        <f>ROUND(SUM(B167+C167+F167)*O157,2)</f>
        <v>0</v>
      </c>
      <c r="P167" s="27">
        <f t="shared" si="18"/>
        <v>0</v>
      </c>
    </row>
    <row r="168" spans="1:16" x14ac:dyDescent="0.2">
      <c r="A168" s="100" t="str">
        <f>$A$36</f>
        <v>Nov 2022</v>
      </c>
      <c r="B168" s="24">
        <f>ROUND(IF(P142=0,0,IFERROR(((LOOKUP(2,1/(A146:A149=A168),G146:G149))*P142*4.348),B167/P142*P142)),2)</f>
        <v>0</v>
      </c>
      <c r="C168" s="23">
        <f>ROUND(IFERROR(((LOOKUP(2,1/(B151=A168),((SUM(B164:B166)+SUM(F164:F166))/3)*C151))),0)+IFERROR(((LOOKUP(2,1/(E151=A168),(B170+F170)*F151))),0),2)</f>
        <v>0</v>
      </c>
      <c r="D168" s="23">
        <f>ROUND(IF(B168=0,0,D157/L139*P142),2)</f>
        <v>0</v>
      </c>
      <c r="E168" s="23">
        <f>ROUND(IF(B168=0,0,E157/N135*P142),2)</f>
        <v>0</v>
      </c>
      <c r="F168" s="24">
        <f>ROUND(IF(P142=0,0,IFERROR(((LOOKUP(2,1/(A146:A149=A168),H146:H149))/N135*P142),F167/P142*P142)),2)</f>
        <v>0</v>
      </c>
      <c r="G168" s="27">
        <f t="shared" si="17"/>
        <v>0</v>
      </c>
      <c r="H168" s="76">
        <f>ROUND(IF(SUM(B158:F167)&lt;(L173*10),IF((SUM(B158:F168))&gt;(L173*11),(((L173*11)-(SUM(B158:F168)-C167))*H157)+((SUM(B168:F168)-C167)*H157),SUM(B168:F168)*H157),IF(SUM(B158:F168)&gt;(L173*11),L173*H157,SUM(B168:F168)*H157)),2)</f>
        <v>0</v>
      </c>
      <c r="I168" s="76">
        <f>ROUND(IF(SUM(B158:F167)&lt;(L174*10),IF((SUM(B158:F168))&gt;(L174*11),(((L174*11)-(SUM(B158:F168)-C167))*I157)+((SUM(B168:F168)-C167)*I157),SUM(B168:F168)*I157),IF(SUM(B158:F168)&gt;(L174*11),L174*I157,SUM(B168:F168)*I157)),2)</f>
        <v>0</v>
      </c>
      <c r="J168" s="76">
        <f>ROUND(IF(SUM(B158:F167)&lt;(L174*10),IF((SUM(B158:F168))&gt;(L174*11),(((L174*11)-(SUM(B158:F168)-C167))*J157)+((SUM(B168:F168)-C167)*J157),SUM(B168:F168)*J157),IF(SUM(B158:F168)&gt;(L174*11),L174*J157,SUM(B168:F168)*J157)),2)</f>
        <v>0</v>
      </c>
      <c r="K168" s="76">
        <f>ROUND(IF(SUM(B158:F167)&lt;(L173*10),IF((SUM(B158:F168))&gt;(L173*11),(((L173*11)-(SUM(B158:F168)-C167))*K157)+((SUM(B168:F168)-C167)*K157),SUM(B168:F168)*K157),IF(SUM(B158:F168)&gt;(L173*11),L173*K157,SUM(B168:F168)*K157)),2)</f>
        <v>0</v>
      </c>
      <c r="L168" s="76">
        <f>ROUND(IF(SUM(B158:F167)&lt;(L174*10),IF((SUM(B158:F168))&gt;(L174*11),(((L174*11)-(SUM(B158:F168)-C168))*L157)+((SUM(B168:F168)-C168)*L157),(SUM(B168:F168)-C168)*L157),IF(SUM(B158:F168)&gt;(L174*11),L174*L157,SUM(B168:F168)*L157)),2)</f>
        <v>0</v>
      </c>
      <c r="M168" s="76">
        <f>ROUND(IF(SUM(B158:F167)&lt;(L174*10),IF((SUM(B158:F168))&gt;(L174*11),(((L174*11)-(SUM(B158:F168)-C168))*M157)+((SUM(B168:F168)-C168)*M157),(SUM(B168:F168)-C168)*M157),IF(SUM(B158:F168)&gt;(L174*11),L174*M157,SUM(B168:F168)*M157)),2)</f>
        <v>0</v>
      </c>
      <c r="N168" s="76">
        <f>ROUND(IF(SUM(B158:F167)&lt;(L174*10),IF((SUM(B158:F168))&gt;(L174*11),(((L174*11)-(SUM(B158:F168)-C167))*N157)+((SUM(B168:F168)-C167)*N157),SUM(B168:F168)*N157),IF(SUM(B158:F168)&gt;(L174*11),L174*N157,SUM(B168:F168)*N157)),2)</f>
        <v>0</v>
      </c>
      <c r="O168" s="23">
        <f>ROUND(SUM(B168+C168+F168)*O157,2)</f>
        <v>0</v>
      </c>
      <c r="P168" s="27">
        <f t="shared" si="18"/>
        <v>0</v>
      </c>
    </row>
    <row r="169" spans="1:16" x14ac:dyDescent="0.2">
      <c r="A169" s="100" t="str">
        <f>$A$37</f>
        <v>Dez 2022</v>
      </c>
      <c r="B169" s="24">
        <f>ROUND(IF(P143=0,0,IFERROR(((LOOKUP(2,1/(A146:A149=A169),G146:G149))*P143*4.348),B168/P143*P143)),2)</f>
        <v>0</v>
      </c>
      <c r="C169" s="23">
        <f>ROUND(IFERROR(((LOOKUP(2,1/(B151=A169),((SUM(B164:B166)+SUM(F164:F166))/3)*C151))),0)+IFERROR(((LOOKUP(2,1/(E151=A169),(B170+F170)*F151))),0),2)</f>
        <v>0</v>
      </c>
      <c r="D169" s="23">
        <f>ROUND(IF(B169=0,0,D157/L139*P143),2)</f>
        <v>0</v>
      </c>
      <c r="E169" s="23">
        <f>ROUND(IF(B169=0,0,E157/N135*P143),2)</f>
        <v>0</v>
      </c>
      <c r="F169" s="24">
        <f>ROUND(IF(P143=0,0,IFERROR(((LOOKUP(2,1/(A146:A149=A169),H146:H149))/N135*P143),F168/P143*P143)),2)</f>
        <v>0</v>
      </c>
      <c r="G169" s="27">
        <f t="shared" si="17"/>
        <v>0</v>
      </c>
      <c r="H169" s="76">
        <f>ROUND(IF(SUM(B158:F168)&lt;(L173*11),IF((SUM(B158:F169))&gt;(L173*12),(((L173*12)-(SUM(B158:F169)-C168))*H157)+((SUM(B169:F169)-C168)*H157),SUM(B169:F169)*H157),IF(SUM(B158:F169)&gt;(L173*12),L173*H157,SUM(B169:F169)*H157)),2)</f>
        <v>0</v>
      </c>
      <c r="I169" s="76">
        <f>ROUND(IF(SUM(B158:F168)&lt;(L174*11),IF((SUM(B158:F169))&gt;(L174*12),(((L174*12)-(SUM(B158:F169)-C168))*I157)+((SUM(B169:F169)-C168)*I157),SUM(B169:F169)*I157),IF(SUM(B158:F169)&gt;(L174*12),L174*I157,SUM(B169:F169)*I157)),2)</f>
        <v>0</v>
      </c>
      <c r="J169" s="76">
        <f>ROUND(IF(SUM(B158:F168)&lt;(L174*11),IF((SUM(B158:F169))&gt;(L174*12),(((L174*12)-(SUM(B158:F169)-C168))*J157)+((SUM(B169:F169)-C168)*J157),SUM(B169:F169)*J157),IF(SUM(B158:F169)&gt;(L174*12),L174*J157,SUM(B169:F169)*J157)),2)</f>
        <v>0</v>
      </c>
      <c r="K169" s="76">
        <f>ROUND(IF(SUM(B158:F168)&lt;(L173*11),IF((SUM(B158:F169))&gt;(L173*12),(((L173*12)-(SUM(B158:F169)-C168))*K157)+((SUM(B169:F169)-C168)*K157),SUM(B169:F169)*K157),IF(SUM(B158:F169)&gt;(L173*12),L173*K157,SUM(B169:F169)*K157)),2)</f>
        <v>0</v>
      </c>
      <c r="L169" s="76">
        <f>ROUND(IF(SUM(B158:F168)&lt;(L174*11),IF((SUM(B158:F169))&gt;(L174*12),(((L174*12)-(SUM(B158:F169)-C169))*L157)+((SUM(B169:F169)-C169)*L157),(SUM(B169:F169)-C169)*L157),IF(SUM(B158:F169)&gt;(L174*12),L174*L157,SUM(B169:F169)*L157)),2)</f>
        <v>0</v>
      </c>
      <c r="M169" s="76">
        <f>ROUND(IF(SUM(B158:F168)&lt;(L174*11),IF((SUM(B158:F169))&gt;(L174*12),(((L174*12)-(SUM(B158:F169)-C169))*M157)+((SUM(B169:F169)-C169)*M157),(SUM(B169:F169)-C169)*M157),IF(SUM(B158:F169)&gt;(L174*12),L174*M157,SUM(B169:F169)*M157)),2)</f>
        <v>0</v>
      </c>
      <c r="N169" s="76">
        <f>ROUND(IF(SUM(B158:F168)&lt;(L174*11),IF((SUM(B158:F169))&gt;(L174*12),(((L174*12)-(SUM(B158:F169)-C168))*N157)+((SUM(B169:F169)-C168)*N157),SUM(B169:F169)*N157),IF(SUM(B158:F169)&gt;(L174*12),L174*N157,SUM(B169:F169)*N157)),2)</f>
        <v>0</v>
      </c>
      <c r="O169" s="23">
        <f>ROUND(SUM(B169+C169+F169)*O157,2)</f>
        <v>0</v>
      </c>
      <c r="P169" s="27">
        <f t="shared" si="18"/>
        <v>0</v>
      </c>
    </row>
    <row r="170" spans="1:16" s="14" customFormat="1" ht="15" x14ac:dyDescent="0.25">
      <c r="A170" s="4" t="s">
        <v>2</v>
      </c>
      <c r="B170" s="27">
        <f>SUM(B158:B169)</f>
        <v>0</v>
      </c>
      <c r="C170" s="27">
        <f t="shared" ref="C170:D170" si="19">SUM(C158:C169)</f>
        <v>0</v>
      </c>
      <c r="D170" s="27">
        <f t="shared" si="19"/>
        <v>0</v>
      </c>
      <c r="E170" s="27">
        <f>SUM(E158:E169)</f>
        <v>0</v>
      </c>
      <c r="F170" s="27">
        <f>SUM(F158:F169)</f>
        <v>0</v>
      </c>
      <c r="G170" s="27">
        <f>SUM(G158:G169)</f>
        <v>0</v>
      </c>
      <c r="H170" s="1133">
        <f>SUM(H158:N169)</f>
        <v>0</v>
      </c>
      <c r="I170" s="1134"/>
      <c r="J170" s="1134"/>
      <c r="K170" s="1134"/>
      <c r="L170" s="1134"/>
      <c r="M170" s="1134"/>
      <c r="N170" s="1135"/>
      <c r="O170" s="27">
        <f>SUM(O158:O169)</f>
        <v>0</v>
      </c>
      <c r="P170" s="27">
        <f>SUM(P158:P169)</f>
        <v>0</v>
      </c>
    </row>
    <row r="171" spans="1:16" s="13" customFormat="1" ht="11.25" x14ac:dyDescent="0.2">
      <c r="A171" s="3" t="s">
        <v>1</v>
      </c>
      <c r="B171" s="2"/>
      <c r="C171" s="2"/>
      <c r="D171" s="2"/>
      <c r="E171" s="2"/>
      <c r="F171" s="2"/>
      <c r="G171" s="2"/>
      <c r="H171" s="2"/>
      <c r="I171" s="2"/>
      <c r="J171" s="2"/>
      <c r="K171" s="2"/>
      <c r="L171" s="2"/>
      <c r="M171" s="2"/>
      <c r="N171" s="2"/>
      <c r="O171" s="2"/>
      <c r="P171" s="2"/>
    </row>
    <row r="172" spans="1:16" ht="14.25" customHeight="1" x14ac:dyDescent="0.2">
      <c r="A172" s="1136" t="s">
        <v>133</v>
      </c>
      <c r="B172" s="1137"/>
      <c r="C172" s="1137"/>
      <c r="D172" s="1137" t="s">
        <v>134</v>
      </c>
      <c r="E172" s="1137"/>
      <c r="F172" s="94" t="str">
        <f>IF(IF(G170=0,"",'päd.Personal - Leitung'!$F$40)=0,"",IF(G170=0,"",'päd.Personal - Leitung'!$F$40))</f>
        <v/>
      </c>
      <c r="G172" s="77" t="s">
        <v>135</v>
      </c>
      <c r="H172" s="96" t="str">
        <f>IF(IF(G170=0,"",'päd.Personal - Leitung'!$H$40)=0,"",IF(G170=0,"",'päd.Personal - Leitung'!$H$40))</f>
        <v/>
      </c>
      <c r="I172" s="73"/>
      <c r="J172" s="194" t="s">
        <v>160</v>
      </c>
      <c r="K172" s="194" t="str">
        <f>$K$40</f>
        <v>2021</v>
      </c>
      <c r="L172" s="194" t="str">
        <f>$L$40</f>
        <v>anteilig 2021</v>
      </c>
      <c r="M172" s="1138" t="s">
        <v>140</v>
      </c>
      <c r="N172" s="1138"/>
      <c r="O172" s="1139"/>
      <c r="P172" s="27">
        <f>ROUND(IF(F172="",IF(E176="",0,(E176*H176/K176)/L139*L140),G170*F172*H172/1000),2)</f>
        <v>0</v>
      </c>
    </row>
    <row r="173" spans="1:16" ht="15" customHeight="1" x14ac:dyDescent="0.2">
      <c r="A173" s="1140" t="s">
        <v>145</v>
      </c>
      <c r="B173" s="1141"/>
      <c r="C173" s="1141"/>
      <c r="D173" s="18"/>
      <c r="E173" s="107" t="s">
        <v>135</v>
      </c>
      <c r="F173" s="95" t="str">
        <f>IF(IF(G170=0,"",'päd.Personal - Leitung'!$F$41)=0,"",IF(G170=0,"",'päd.Personal - Leitung'!$F$41))</f>
        <v/>
      </c>
      <c r="G173" s="48"/>
      <c r="H173" s="47"/>
      <c r="I173" s="48"/>
      <c r="J173" s="195" t="s">
        <v>158</v>
      </c>
      <c r="K173" s="198">
        <f>$K$41</f>
        <v>4837.5</v>
      </c>
      <c r="L173" s="197">
        <f>IF(L139="",K173,K173/L139*L140)</f>
        <v>4837.5</v>
      </c>
      <c r="M173" s="1138" t="s">
        <v>139</v>
      </c>
      <c r="N173" s="1138"/>
      <c r="O173" s="1139"/>
      <c r="P173" s="27">
        <f>ROUND(IF(F173="",0,G170*F173/1000),2)</f>
        <v>0</v>
      </c>
    </row>
    <row r="174" spans="1:16" ht="15.75" customHeight="1" x14ac:dyDescent="0.2">
      <c r="A174" s="1142" t="s">
        <v>141</v>
      </c>
      <c r="B174" s="1143"/>
      <c r="C174" s="1143"/>
      <c r="D174" s="1144" t="s">
        <v>143</v>
      </c>
      <c r="E174" s="1144"/>
      <c r="F174" s="1145" t="str">
        <f>IF(IF(G170=0,"",'päd.Personal - Leitung'!$F$42)=0,"",IF(G170=0,"",'päd.Personal - Leitung'!$F$42))</f>
        <v/>
      </c>
      <c r="G174" s="1145"/>
      <c r="H174" s="72"/>
      <c r="I174" s="18"/>
      <c r="J174" s="195" t="s">
        <v>159</v>
      </c>
      <c r="K174" s="198">
        <f>$K$42</f>
        <v>6700</v>
      </c>
      <c r="L174" s="197">
        <f>IF(L139="",K174,K174/L139*L140)</f>
        <v>6700</v>
      </c>
      <c r="M174" s="1138" t="s">
        <v>141</v>
      </c>
      <c r="N174" s="1138"/>
      <c r="O174" s="1139"/>
      <c r="P174" s="23">
        <f>ROUND(IF(F174="",0,IF(G170=0,0,F174/L139*L140)),2)</f>
        <v>0</v>
      </c>
    </row>
    <row r="175" spans="1:16" ht="14.25" customHeight="1" x14ac:dyDescent="0.2">
      <c r="A175" s="18"/>
      <c r="B175" s="18"/>
      <c r="C175" s="18"/>
      <c r="D175" s="18"/>
      <c r="E175" s="18"/>
      <c r="F175" s="18"/>
      <c r="G175" s="18"/>
      <c r="H175" s="18"/>
      <c r="I175" s="18"/>
      <c r="J175" s="18"/>
      <c r="K175" s="74"/>
      <c r="L175" s="82"/>
      <c r="M175" s="1127" t="s">
        <v>146</v>
      </c>
      <c r="N175" s="1127"/>
      <c r="O175" s="1128"/>
      <c r="P175" s="23">
        <f>ROUND(IF(G170=0,0,$P$43),2)</f>
        <v>0</v>
      </c>
    </row>
    <row r="176" spans="1:16" ht="14.25" customHeight="1" x14ac:dyDescent="0.2">
      <c r="A176" s="1129" t="s">
        <v>142</v>
      </c>
      <c r="B176" s="1130"/>
      <c r="C176" s="126" t="s">
        <v>136</v>
      </c>
      <c r="D176" s="126" t="s">
        <v>137</v>
      </c>
      <c r="E176" s="1131" t="str">
        <f>IF(IF(G170=0,"",'päd.Personal - Leitung'!$E$44)=0,"",IF(G170=0,"",'päd.Personal - Leitung'!$E$44))</f>
        <v/>
      </c>
      <c r="F176" s="1131"/>
      <c r="G176" s="83" t="s">
        <v>138</v>
      </c>
      <c r="H176" s="97" t="str">
        <f>IF(IF(G170=0,"",'päd.Personal - Leitung'!$H$44)=0,"",IF(G170=0,"",'päd.Personal - Leitung'!$H$44))</f>
        <v/>
      </c>
      <c r="I176" s="1132" t="s">
        <v>144</v>
      </c>
      <c r="J176" s="1132"/>
      <c r="K176" s="98" t="str">
        <f>IF(IF(G170=0,"",'päd.Personal - Leitung'!$K$44)=0,"",IF(G170=0,"",'päd.Personal - Leitung'!$K$44))</f>
        <v/>
      </c>
      <c r="L176" s="29"/>
      <c r="M176" s="29"/>
      <c r="N176" s="29"/>
      <c r="O176" s="28" t="s">
        <v>0</v>
      </c>
      <c r="P176" s="27">
        <f>P170+SUM(P172:P175)</f>
        <v>0</v>
      </c>
    </row>
    <row r="177" spans="1:16" s="12" customFormat="1" ht="13.5" customHeight="1" x14ac:dyDescent="0.2">
      <c r="A177" s="1178" t="s">
        <v>18</v>
      </c>
      <c r="B177" s="1178"/>
      <c r="C177" s="1178"/>
      <c r="D177" s="1179" t="str">
        <f>IF($D$1="","",$D$1)</f>
        <v/>
      </c>
      <c r="E177" s="1179"/>
      <c r="F177" s="1179"/>
      <c r="G177" s="1179"/>
      <c r="H177" s="1179"/>
      <c r="I177" s="1179"/>
      <c r="J177" s="1179"/>
      <c r="K177" s="1179"/>
      <c r="L177" s="1179"/>
      <c r="M177" s="1179"/>
      <c r="N177" s="1179"/>
    </row>
    <row r="178" spans="1:16" s="12" customFormat="1" ht="15" customHeight="1" x14ac:dyDescent="0.2">
      <c r="A178" s="1178" t="s">
        <v>17</v>
      </c>
      <c r="B178" s="1178"/>
      <c r="C178" s="1178" t="s">
        <v>15</v>
      </c>
      <c r="D178" s="1179" t="str">
        <f>IF($D$2="","",$D$2)</f>
        <v/>
      </c>
      <c r="E178" s="1179"/>
      <c r="F178" s="1179"/>
      <c r="G178" s="1179"/>
      <c r="H178" s="1179"/>
      <c r="I178" s="1179"/>
      <c r="J178" s="1179"/>
      <c r="K178" s="1179"/>
      <c r="L178" s="1179"/>
      <c r="M178" s="1179"/>
      <c r="N178" s="1179"/>
    </row>
    <row r="179" spans="1:16" s="12" customFormat="1" ht="15" customHeight="1" x14ac:dyDescent="0.2">
      <c r="A179" s="1178" t="s">
        <v>16</v>
      </c>
      <c r="B179" s="1178"/>
      <c r="C179" s="1178" t="s">
        <v>15</v>
      </c>
      <c r="D179" s="1179" t="str">
        <f>IF($D$3="","",$D$3)</f>
        <v/>
      </c>
      <c r="E179" s="1179"/>
      <c r="F179" s="1179"/>
      <c r="G179" s="1179"/>
      <c r="H179" s="1179"/>
      <c r="I179" s="1179"/>
      <c r="J179" s="1179"/>
      <c r="K179" s="1178" t="s">
        <v>103</v>
      </c>
      <c r="L179" s="1178"/>
      <c r="M179" s="1178"/>
      <c r="N179" s="41" t="str">
        <f>IF($N$3="","",$N$3)</f>
        <v/>
      </c>
    </row>
    <row r="180" spans="1:16" s="13" customFormat="1" ht="11.25" x14ac:dyDescent="0.2">
      <c r="A180" s="1182"/>
      <c r="B180" s="1182"/>
      <c r="C180" s="1182"/>
      <c r="D180" s="1183"/>
      <c r="E180" s="1183"/>
      <c r="F180" s="1183"/>
      <c r="G180" s="1183"/>
      <c r="H180" s="1183"/>
      <c r="I180" s="1183"/>
      <c r="J180" s="1183"/>
      <c r="K180" s="11"/>
      <c r="L180" s="11"/>
      <c r="M180" s="11"/>
      <c r="N180" s="11"/>
      <c r="O180" s="11"/>
      <c r="P180" s="11"/>
    </row>
    <row r="181" spans="1:16" s="15" customFormat="1" ht="13.5" customHeight="1" x14ac:dyDescent="0.2">
      <c r="A181" s="1177" t="s">
        <v>174</v>
      </c>
      <c r="B181" s="1177"/>
      <c r="C181" s="1177"/>
      <c r="D181" s="1177"/>
      <c r="E181" s="1177"/>
      <c r="F181" s="1177"/>
      <c r="G181" s="1177"/>
      <c r="H181" s="1177"/>
      <c r="I181" s="1177"/>
      <c r="J181" s="1177"/>
      <c r="K181" s="9"/>
      <c r="L181" s="9"/>
      <c r="M181" s="9"/>
      <c r="N181" s="59" t="s">
        <v>154</v>
      </c>
      <c r="O181" s="191">
        <f>$O$5</f>
        <v>2022</v>
      </c>
      <c r="P181" s="59" t="s">
        <v>154</v>
      </c>
    </row>
    <row r="182" spans="1:16" s="10" customFormat="1" ht="13.5" customHeight="1" x14ac:dyDescent="0.25">
      <c r="B182" s="32"/>
      <c r="C182" s="32"/>
      <c r="D182" s="5" t="s">
        <v>25</v>
      </c>
      <c r="E182" s="31"/>
      <c r="F182" s="31"/>
      <c r="G182" s="31"/>
      <c r="H182" s="31"/>
      <c r="I182" s="26"/>
      <c r="J182" s="1174" t="s">
        <v>14</v>
      </c>
      <c r="K182" s="1174"/>
      <c r="L182" s="180"/>
      <c r="N182" s="84">
        <f>IF(L184="","",L184)</f>
        <v>0</v>
      </c>
      <c r="O182" s="58" t="str">
        <f>$O$6</f>
        <v>Jan                Jul</v>
      </c>
      <c r="P182" s="85">
        <f>IF(N187="","",N187)</f>
        <v>0</v>
      </c>
    </row>
    <row r="183" spans="1:16" s="7" customFormat="1" ht="13.5" customHeight="1" x14ac:dyDescent="0.25">
      <c r="A183" s="1180" t="s">
        <v>71</v>
      </c>
      <c r="B183" s="1180"/>
      <c r="C183" s="1180"/>
      <c r="D183" s="1184"/>
      <c r="E183" s="1184"/>
      <c r="F183" s="1184"/>
      <c r="G183" s="1184"/>
      <c r="H183" s="1184"/>
      <c r="I183" s="1184"/>
      <c r="J183" s="1174" t="s">
        <v>104</v>
      </c>
      <c r="K183" s="1174"/>
      <c r="L183" s="145"/>
      <c r="N183" s="85">
        <f>IF(N182="","",N182)</f>
        <v>0</v>
      </c>
      <c r="O183" s="58" t="str">
        <f>$O$7</f>
        <v>Feb              Aug</v>
      </c>
      <c r="P183" s="85">
        <f>IF(P182="","",P182)</f>
        <v>0</v>
      </c>
    </row>
    <row r="184" spans="1:16" ht="13.5" customHeight="1" x14ac:dyDescent="0.2">
      <c r="A184" s="1180" t="s">
        <v>13</v>
      </c>
      <c r="B184" s="1180"/>
      <c r="C184" s="1180"/>
      <c r="D184" s="1181"/>
      <c r="E184" s="1181"/>
      <c r="F184" s="1181"/>
      <c r="G184" s="1181"/>
      <c r="H184" s="1181"/>
      <c r="I184" s="1181"/>
      <c r="J184" s="1174" t="s">
        <v>164</v>
      </c>
      <c r="K184" s="1174"/>
      <c r="L184" s="145">
        <f>IF((L185+L186)&gt;L183,0,L183-L185-L186)</f>
        <v>0</v>
      </c>
      <c r="M184" s="1"/>
      <c r="N184" s="85">
        <f>IF(N183="","",N183)</f>
        <v>0</v>
      </c>
      <c r="O184" s="58" t="str">
        <f>$O$8</f>
        <v>Mrz              Sep</v>
      </c>
      <c r="P184" s="85">
        <f>IF(P183="","",P183)</f>
        <v>0</v>
      </c>
    </row>
    <row r="185" spans="1:16" ht="13.5" customHeight="1" x14ac:dyDescent="0.2">
      <c r="A185" s="1180" t="s">
        <v>12</v>
      </c>
      <c r="B185" s="1180"/>
      <c r="C185" s="1180"/>
      <c r="D185" s="1181"/>
      <c r="E185" s="1181"/>
      <c r="F185" s="1181"/>
      <c r="G185" s="1181"/>
      <c r="H185" s="1181"/>
      <c r="I185" s="1181"/>
      <c r="J185" s="1174" t="s">
        <v>165</v>
      </c>
      <c r="K185" s="1174"/>
      <c r="L185" s="145"/>
      <c r="M185" s="1"/>
      <c r="N185" s="85">
        <f>IF(N184="","",N184)</f>
        <v>0</v>
      </c>
      <c r="O185" s="58" t="str">
        <f>$O$9</f>
        <v>Apr               Okt</v>
      </c>
      <c r="P185" s="85">
        <f t="shared" ref="P185:P187" si="20">IF(P184="","",P184)</f>
        <v>0</v>
      </c>
    </row>
    <row r="186" spans="1:16" ht="13.5" customHeight="1" x14ac:dyDescent="0.2">
      <c r="A186" s="1180" t="s">
        <v>19</v>
      </c>
      <c r="B186" s="1180"/>
      <c r="C186" s="1180"/>
      <c r="D186" s="1181"/>
      <c r="E186" s="1181"/>
      <c r="F186" s="1181"/>
      <c r="G186" s="1181"/>
      <c r="H186" s="1181"/>
      <c r="I186" s="1181"/>
      <c r="J186" s="1174" t="s">
        <v>252</v>
      </c>
      <c r="K186" s="1174"/>
      <c r="L186" s="145"/>
      <c r="M186" s="92"/>
      <c r="N186" s="85">
        <f>IF(N185="","",N185)</f>
        <v>0</v>
      </c>
      <c r="O186" s="58" t="str">
        <f>$O$10</f>
        <v>Mai               Nov</v>
      </c>
      <c r="P186" s="85">
        <f t="shared" si="20"/>
        <v>0</v>
      </c>
    </row>
    <row r="187" spans="1:16" ht="13.5" customHeight="1" x14ac:dyDescent="0.2">
      <c r="A187" s="1"/>
      <c r="B187" s="8"/>
      <c r="C187" s="200" t="s">
        <v>162</v>
      </c>
      <c r="D187" s="1175"/>
      <c r="E187" s="1175"/>
      <c r="F187" s="1176" t="s">
        <v>106</v>
      </c>
      <c r="G187" s="1176"/>
      <c r="H187" s="1186"/>
      <c r="I187" s="1186"/>
      <c r="J187" s="1174" t="s">
        <v>97</v>
      </c>
      <c r="K187" s="1174"/>
      <c r="L187" s="17" t="str">
        <f>IF(IF((COUNTIF(B202:B213,"&gt;0"))=0,0,(COUNTIF(B202:B213,"&gt;0")))&gt;Grundlagen!$C$24,Grundlagen!$C$24,IF((COUNTIF(B202:B213,"&gt;0"))=0,"",(COUNTIF(B202:B213,"&gt;0"))))</f>
        <v/>
      </c>
      <c r="M187" s="1"/>
      <c r="N187" s="85">
        <f>IF(N186="","",N186)</f>
        <v>0</v>
      </c>
      <c r="O187" s="58" t="str">
        <f>'päd.Personal - Leitung'!$O$11</f>
        <v>Jun               Dez</v>
      </c>
      <c r="P187" s="85">
        <f t="shared" si="20"/>
        <v>0</v>
      </c>
    </row>
    <row r="188" spans="1:16" ht="13.5" customHeight="1" x14ac:dyDescent="0.2">
      <c r="A188" s="1"/>
      <c r="B188" s="1"/>
      <c r="C188" s="1"/>
      <c r="D188" s="1"/>
      <c r="E188" s="1"/>
      <c r="F188" s="1"/>
      <c r="G188" s="1"/>
      <c r="H188" s="1"/>
      <c r="I188" s="6"/>
      <c r="J188" s="1"/>
      <c r="K188" s="1"/>
      <c r="L188" s="147" t="str">
        <f>IF((SUM(F190:F193))=0,"",IF(P188&gt;L184,L184,IF(L184="","",IF(L187="","",P188))))</f>
        <v/>
      </c>
      <c r="M188" s="1"/>
      <c r="N188" s="1"/>
      <c r="O188" s="174" t="s">
        <v>251</v>
      </c>
      <c r="P188" s="175">
        <f>IF(L187="",0,((IF(SUMIF(B202,"&gt;0"),N182,0))+(IF(SUMIF(B203,"&gt;0"),N183,0))+(IF(SUMIF(B204,"&gt;0"),N184,0))+(IF(SUMIF(B205,"&gt;0"),N185,0))+(IF(SUMIF(B206,"&gt;0"),N186,0))+(IF(SUMIF(B207,"&gt;0"),N187,0))+(IF(SUMIF(B208,"&gt;0"),P182,0))+(IF(SUMIF(B209,"&gt;0"),P183,0))+(IF(SUMIF(B210,"&gt;0"),P184,0))+(IF(SUMIF(B211,"&gt;0"),P185,0))+(IF(SUMIF(B212,"&gt;0"),P186,0))+(IF(SUMIF(B213,"&gt;0"),P187,0)))/Grundlagen!$C$24)</f>
        <v>0</v>
      </c>
    </row>
    <row r="189" spans="1:16" s="52" customFormat="1" ht="13.5" customHeight="1" x14ac:dyDescent="0.2">
      <c r="A189" s="61" t="s">
        <v>148</v>
      </c>
      <c r="B189" s="1168" t="s">
        <v>149</v>
      </c>
      <c r="C189" s="1168"/>
      <c r="D189" s="62" t="s">
        <v>150</v>
      </c>
      <c r="E189" s="63" t="s">
        <v>151</v>
      </c>
      <c r="F189" s="64" t="str">
        <f>CONCATENATE("Entg. ",N179," h/Wo")</f>
        <v>Entg.  h/Wo</v>
      </c>
      <c r="G189" s="65" t="s">
        <v>152</v>
      </c>
      <c r="H189" s="65" t="s">
        <v>153</v>
      </c>
      <c r="K189" s="1169" t="str">
        <f>CONCATENATE("Zuschläge / Zulagen für ",N179,"h/Wo")</f>
        <v>Zuschläge / Zulagen für h/Wo</v>
      </c>
      <c r="L189" s="1169"/>
      <c r="M189" s="66" t="str">
        <f>IF(A190="","",A190)</f>
        <v>Jan 2022</v>
      </c>
      <c r="N189" s="66" t="str">
        <f>IF(A191="","",A191)</f>
        <v/>
      </c>
      <c r="O189" s="66" t="str">
        <f>IF(A192="","",A192)</f>
        <v/>
      </c>
      <c r="P189" s="66" t="str">
        <f>IF(A193="","",A193)</f>
        <v/>
      </c>
    </row>
    <row r="190" spans="1:16" s="52" customFormat="1" ht="13.5" customHeight="1" x14ac:dyDescent="0.25">
      <c r="A190" s="54" t="str">
        <f>A202</f>
        <v>Jan 2022</v>
      </c>
      <c r="B190" s="1170" t="str">
        <f>IF($D$3="","",$D$3)</f>
        <v/>
      </c>
      <c r="C190" s="1171"/>
      <c r="D190" s="181"/>
      <c r="E190" s="181"/>
      <c r="F190" s="87"/>
      <c r="G190" s="56">
        <f>IF(N179="",0,F190/N179/4.348)</f>
        <v>0</v>
      </c>
      <c r="H190" s="53">
        <f>IF(G190=0,0,M195)</f>
        <v>0</v>
      </c>
      <c r="K190" s="1146"/>
      <c r="L190" s="1146"/>
      <c r="M190" s="86"/>
      <c r="N190" s="86"/>
      <c r="O190" s="86"/>
      <c r="P190" s="86"/>
    </row>
    <row r="191" spans="1:16" s="52" customFormat="1" ht="13.5" customHeight="1" x14ac:dyDescent="0.25">
      <c r="A191" s="55"/>
      <c r="B191" s="1172" t="str">
        <f>IF(A191="","",B190)</f>
        <v/>
      </c>
      <c r="C191" s="1173"/>
      <c r="D191" s="181"/>
      <c r="E191" s="181"/>
      <c r="F191" s="87"/>
      <c r="G191" s="56">
        <f>IF(N179="",0,F191/N179/4.348)</f>
        <v>0</v>
      </c>
      <c r="H191" s="53">
        <f>IF(G191=0,0,N195)</f>
        <v>0</v>
      </c>
      <c r="K191" s="1146"/>
      <c r="L191" s="1146"/>
      <c r="M191" s="86"/>
      <c r="N191" s="86"/>
      <c r="O191" s="86"/>
      <c r="P191" s="86"/>
    </row>
    <row r="192" spans="1:16" s="52" customFormat="1" ht="13.5" customHeight="1" x14ac:dyDescent="0.25">
      <c r="A192" s="55"/>
      <c r="B192" s="1172" t="str">
        <f>IF(A192="","",B191)</f>
        <v/>
      </c>
      <c r="C192" s="1173"/>
      <c r="D192" s="181"/>
      <c r="E192" s="181"/>
      <c r="F192" s="87"/>
      <c r="G192" s="56">
        <f>IF(N179="",0,F192/N179/4.348)</f>
        <v>0</v>
      </c>
      <c r="H192" s="53">
        <f>IF(G192=0,0,O195)</f>
        <v>0</v>
      </c>
      <c r="K192" s="1146"/>
      <c r="L192" s="1146"/>
      <c r="M192" s="86"/>
      <c r="N192" s="86"/>
      <c r="O192" s="86"/>
      <c r="P192" s="86"/>
    </row>
    <row r="193" spans="1:16" s="52" customFormat="1" ht="13.5" customHeight="1" x14ac:dyDescent="0.25">
      <c r="A193" s="55"/>
      <c r="B193" s="1172" t="str">
        <f>IF(A193="","",B192)</f>
        <v/>
      </c>
      <c r="C193" s="1173"/>
      <c r="D193" s="181"/>
      <c r="E193" s="181"/>
      <c r="F193" s="87"/>
      <c r="G193" s="56">
        <f>IF(N179="",0,F193/N179/4.348)</f>
        <v>0</v>
      </c>
      <c r="H193" s="53">
        <f>IF(G193=0,0,P195)</f>
        <v>0</v>
      </c>
      <c r="K193" s="1146"/>
      <c r="L193" s="1146"/>
      <c r="M193" s="86"/>
      <c r="N193" s="86"/>
      <c r="O193" s="86"/>
      <c r="P193" s="86"/>
    </row>
    <row r="194" spans="1:16" s="52" customFormat="1" ht="13.5" customHeight="1" x14ac:dyDescent="0.25">
      <c r="B194" s="1167" t="s">
        <v>157</v>
      </c>
      <c r="C194" s="1167"/>
      <c r="E194" s="1167" t="s">
        <v>156</v>
      </c>
      <c r="F194" s="1167"/>
      <c r="J194" s="69"/>
      <c r="K194" s="1146"/>
      <c r="L194" s="1146"/>
      <c r="M194" s="86"/>
      <c r="N194" s="86"/>
      <c r="O194" s="86"/>
      <c r="P194" s="86"/>
    </row>
    <row r="195" spans="1:16" s="52" customFormat="1" ht="13.5" customHeight="1" x14ac:dyDescent="0.25">
      <c r="A195" s="70" t="s">
        <v>167</v>
      </c>
      <c r="B195" s="67"/>
      <c r="C195" s="99" t="str">
        <f>IF(C151="","",C151)</f>
        <v/>
      </c>
      <c r="D195" s="70" t="s">
        <v>167</v>
      </c>
      <c r="E195" s="67"/>
      <c r="F195" s="99" t="str">
        <f>IF(F151="","",F151)</f>
        <v/>
      </c>
      <c r="J195" s="68"/>
      <c r="M195" s="57">
        <f>SUM(M190:M194)</f>
        <v>0</v>
      </c>
      <c r="N195" s="57">
        <f t="shared" ref="N195:P195" si="21">SUM(N190:N194)</f>
        <v>0</v>
      </c>
      <c r="O195" s="57">
        <f t="shared" si="21"/>
        <v>0</v>
      </c>
      <c r="P195" s="57">
        <f t="shared" si="21"/>
        <v>0</v>
      </c>
    </row>
    <row r="196" spans="1:16" s="52" customFormat="1" ht="13.5" customHeight="1" x14ac:dyDescent="0.2">
      <c r="A196" s="60" t="s">
        <v>155</v>
      </c>
    </row>
    <row r="197" spans="1:16" ht="14.25" customHeight="1" x14ac:dyDescent="0.2">
      <c r="A197" s="1147"/>
      <c r="B197" s="1149" t="s">
        <v>9</v>
      </c>
      <c r="C197" s="1150"/>
      <c r="D197" s="1150"/>
      <c r="E197" s="1150"/>
      <c r="F197" s="1150"/>
      <c r="G197" s="1151"/>
      <c r="H197" s="1152" t="s">
        <v>119</v>
      </c>
      <c r="I197" s="1153"/>
      <c r="J197" s="1153"/>
      <c r="K197" s="1153"/>
      <c r="L197" s="1153"/>
      <c r="M197" s="1153"/>
      <c r="N197" s="1153"/>
      <c r="O197" s="33"/>
      <c r="P197" s="1154" t="s">
        <v>0</v>
      </c>
    </row>
    <row r="198" spans="1:16" ht="14.25" customHeight="1" x14ac:dyDescent="0.2">
      <c r="A198" s="1148"/>
      <c r="B198" s="1157" t="s">
        <v>117</v>
      </c>
      <c r="C198" s="124" t="s">
        <v>115</v>
      </c>
      <c r="D198" s="1159" t="s">
        <v>277</v>
      </c>
      <c r="E198" s="1161" t="s">
        <v>147</v>
      </c>
      <c r="F198" s="127" t="s">
        <v>7</v>
      </c>
      <c r="G198" s="1162" t="s">
        <v>6</v>
      </c>
      <c r="H198" s="1161" t="s">
        <v>129</v>
      </c>
      <c r="I198" s="1161" t="s">
        <v>5</v>
      </c>
      <c r="J198" s="1161" t="s">
        <v>4</v>
      </c>
      <c r="K198" s="1161" t="s">
        <v>3</v>
      </c>
      <c r="L198" s="1161" t="s">
        <v>121</v>
      </c>
      <c r="M198" s="1161" t="s">
        <v>122</v>
      </c>
      <c r="N198" s="1161" t="s">
        <v>123</v>
      </c>
      <c r="O198" s="1160" t="s">
        <v>114</v>
      </c>
      <c r="P198" s="1155"/>
    </row>
    <row r="199" spans="1:16" ht="14.25" customHeight="1" x14ac:dyDescent="0.2">
      <c r="A199" s="1148"/>
      <c r="B199" s="1157"/>
      <c r="C199" s="21" t="str">
        <f>IF(C195="","",C195)</f>
        <v/>
      </c>
      <c r="D199" s="1160"/>
      <c r="E199" s="1161"/>
      <c r="F199" s="1165" t="str">
        <f>IF(H190=0,"","siehe Zuschläge / Zulagen")</f>
        <v/>
      </c>
      <c r="G199" s="1162"/>
      <c r="H199" s="1164" t="s">
        <v>127</v>
      </c>
      <c r="I199" s="1164"/>
      <c r="J199" s="1164"/>
      <c r="K199" s="1164"/>
      <c r="L199" s="1164"/>
      <c r="M199" s="1164"/>
      <c r="N199" s="1164"/>
      <c r="O199" s="1160"/>
      <c r="P199" s="1155"/>
    </row>
    <row r="200" spans="1:16" x14ac:dyDescent="0.2">
      <c r="A200" s="1148"/>
      <c r="B200" s="1157"/>
      <c r="C200" s="122" t="s">
        <v>70</v>
      </c>
      <c r="D200" s="1160"/>
      <c r="E200" s="1161"/>
      <c r="F200" s="1165"/>
      <c r="G200" s="1162"/>
      <c r="H200" s="43" t="s">
        <v>128</v>
      </c>
      <c r="I200" s="43" t="s">
        <v>255</v>
      </c>
      <c r="J200" s="43" t="s">
        <v>256</v>
      </c>
      <c r="K200" s="43" t="s">
        <v>257</v>
      </c>
      <c r="L200" s="43"/>
      <c r="M200" s="43"/>
      <c r="N200" s="43" t="s">
        <v>254</v>
      </c>
      <c r="O200" s="1160"/>
      <c r="P200" s="1155"/>
    </row>
    <row r="201" spans="1:16" x14ac:dyDescent="0.2">
      <c r="A201" s="1148"/>
      <c r="B201" s="1158"/>
      <c r="C201" s="21" t="str">
        <f>IF(F195="","",F195)</f>
        <v/>
      </c>
      <c r="D201" s="51"/>
      <c r="E201" s="51"/>
      <c r="F201" s="1166"/>
      <c r="G201" s="1163"/>
      <c r="H201" s="93"/>
      <c r="I201" s="139">
        <f>$I$25</f>
        <v>0</v>
      </c>
      <c r="J201" s="139">
        <f>$J$25</f>
        <v>0</v>
      </c>
      <c r="K201" s="44">
        <f>$K$25</f>
        <v>0</v>
      </c>
      <c r="L201" s="21"/>
      <c r="M201" s="21"/>
      <c r="N201" s="139">
        <f>$N$25</f>
        <v>0</v>
      </c>
      <c r="O201" s="21">
        <f>O157</f>
        <v>0</v>
      </c>
      <c r="P201" s="1156"/>
    </row>
    <row r="202" spans="1:16" x14ac:dyDescent="0.2">
      <c r="A202" s="100" t="str">
        <f>$A$26</f>
        <v>Jan 2022</v>
      </c>
      <c r="B202" s="24">
        <f>ROUND(IF(N182=0,0,(LOOKUP(2,1/(A190:A193=A202),G190:G193))*N182*4.348),2)</f>
        <v>0</v>
      </c>
      <c r="C202" s="23">
        <f>ROUND(IFERROR(((LOOKUP(2,1/(B195=A202),((SUM(B208:B210)+SUM(F208:F210))/3)*C195))),0)+IFERROR(((LOOKUP(2,1/(E195=A202),(B214+F214)*F195))),0),2)</f>
        <v>0</v>
      </c>
      <c r="D202" s="23">
        <f>ROUND(IF(B202=0,0,D201/L183*N182),2)</f>
        <v>0</v>
      </c>
      <c r="E202" s="23">
        <f>ROUND(IF(B202=0,0,E201/N179*N182),2)</f>
        <v>0</v>
      </c>
      <c r="F202" s="24">
        <f>ROUND(IF(N182=0,0,(LOOKUP(2,1/(A190:A193=A202),H190:H193))/N179*N182),2)</f>
        <v>0</v>
      </c>
      <c r="G202" s="27">
        <f>SUM(B202+C202+E202+F202)</f>
        <v>0</v>
      </c>
      <c r="H202" s="76">
        <f>ROUND(IF((SUM(B202:F202))&gt;L217,L217*H201,SUM(B202:F202)*H201),2)</f>
        <v>0</v>
      </c>
      <c r="I202" s="76">
        <f>ROUND(IF((SUM(B202:F202))&gt;L218,L218*I201,SUM(B202:F202)*I201),2)</f>
        <v>0</v>
      </c>
      <c r="J202" s="76">
        <f>ROUND(IF((SUM(B202:F202))&gt;L218,L218*J201,SUM(B202:F202)*J201),2)</f>
        <v>0</v>
      </c>
      <c r="K202" s="76">
        <f>ROUND(IF((SUM(B202:F202))&gt;L217,L217*K201,SUM(B202:F202)*K201),2)</f>
        <v>0</v>
      </c>
      <c r="L202" s="76">
        <f>ROUND(IF((SUM(B202:F202))&gt;L218,L218*L201,(SUM(B202:F202)-C202)*L201),2)</f>
        <v>0</v>
      </c>
      <c r="M202" s="76">
        <f>ROUND(IF((SUM(B202:F202))&gt;L218,L218*M201,(SUM(B202:F202)-C202)*M201),2)</f>
        <v>0</v>
      </c>
      <c r="N202" s="76">
        <f>ROUND(IF((SUM(B202:F202))&gt;L218,L218*N201,SUM(B202:F202)*N201),2)</f>
        <v>0</v>
      </c>
      <c r="O202" s="23">
        <f>ROUND(SUM(B202+C202+F202)*O201,2)</f>
        <v>0</v>
      </c>
      <c r="P202" s="27">
        <f>SUM(G202:O202)</f>
        <v>0</v>
      </c>
    </row>
    <row r="203" spans="1:16" x14ac:dyDescent="0.2">
      <c r="A203" s="100" t="str">
        <f>$A$27</f>
        <v>Feb 2022</v>
      </c>
      <c r="B203" s="24">
        <f>ROUND(IF(N183=0,0,IFERROR(((LOOKUP(2,1/(A190:A193=A203),G190:G193))*N183*4.348),B202/N183*N183)),2)</f>
        <v>0</v>
      </c>
      <c r="C203" s="23">
        <f>ROUND(IFERROR(((LOOKUP(2,1/(B195=A203),((SUM(B208:B210)+SUM(F208:F210))/3)*C195))),0)+IFERROR(((LOOKUP(2,1/(E195=A203),(B214+F214)*F195))),0),2)</f>
        <v>0</v>
      </c>
      <c r="D203" s="23">
        <f>ROUND(IF(B203=0,0,D201/L183*N183),2)</f>
        <v>0</v>
      </c>
      <c r="E203" s="23">
        <f>ROUND(IF(B203=0,0,E201/N179*N183),2)</f>
        <v>0</v>
      </c>
      <c r="F203" s="24">
        <f>ROUND(IF(N183=0,0,IFERROR(((LOOKUP(2,1/(A190:A193=A203),H190:H193))/N179*N183),F202/N183*N183)),2)</f>
        <v>0</v>
      </c>
      <c r="G203" s="27">
        <f t="shared" ref="G203:G213" si="22">SUM(B203+C203+E203+F203)</f>
        <v>0</v>
      </c>
      <c r="H203" s="76">
        <f>ROUND(IF(SUM(B202:F202)&lt;(L217*1),IF((SUM(B202:F203))&gt;(L217*2),(((L217*2)-(SUM(B202:F203)-C202))*H201)+((SUM(B203:F203)-C202)*H201),SUM(B203:F203)*H201),IF(SUM(B202:F203)&gt;(L217*2),L217*H201,SUM(B203:F203)*H201)),2)</f>
        <v>0</v>
      </c>
      <c r="I203" s="76">
        <f>ROUND(IF(SUM(B202:F202)&lt;(L218*1),IF((SUM(B202:F203))&gt;(L218*2),(((L218*2)-(SUM(B202:F203)-C202))*I201)+((SUM(B203:F203)-C202)*I201),SUM(B203:F203)*I201),IF(SUM(B202:F203)&gt;(L218*2),L218*I201,SUM(B203:F203)*I201)),2)</f>
        <v>0</v>
      </c>
      <c r="J203" s="76">
        <f>ROUND(IF(SUM(B202:F202)&lt;(L218*1),IF((SUM(B202:F203))&gt;(L218*2),(((L218*2)-(SUM(B202:F203)-C202))*J201)+((SUM(B203:F203)-C202)*J201),SUM(B203:F203)*J201),IF(SUM(B202:F203)&gt;(L218*2),L218*J201,SUM(B203:F203)*J201)),2)</f>
        <v>0</v>
      </c>
      <c r="K203" s="76">
        <f>ROUND(IF(SUM(B202:F202)&lt;(L217*1),IF((SUM(B202:F203))&gt;(L217*2),(((L217*2)-(SUM(B202:F203)-C202))*K201)+((SUM(B203:F203)-C202)*K201),SUM(B203:F203)*K201),IF(SUM(B202:F203)&gt;(L217*2),L217*K201,SUM(B203:F203)*K201)),2)</f>
        <v>0</v>
      </c>
      <c r="L203" s="76">
        <f>ROUND(IF(SUM(B202:F202)&lt;(L218*1),IF((SUM(B202:F203))&gt;(L218*2),(((L218*2)-(SUM(B202:F203)-C203))*L201)+((SUM(B203:F203)-C203)*L201),(SUM(B203:F203)-C203)*L201),IF(SUM(B202:F203)&gt;(L218*2),L218*L201,SUM(B203:F203)*L201)),2)</f>
        <v>0</v>
      </c>
      <c r="M203" s="76">
        <f>ROUND(IF(SUM(B202:F202)&lt;(L218*1),IF((SUM(B202:F203))&gt;(L218*2),(((L218*2)-(SUM(B202:F203)-C203))*M201)+((SUM(B203:F203)-C203)*M201),(SUM(B203:F203)-C203)*M201),IF(SUM(B202:F203)&gt;(L218*2),L218*M201,SUM(B203:F203)*M201)),2)</f>
        <v>0</v>
      </c>
      <c r="N203" s="76">
        <f>ROUND(IF(SUM(B202:F202)&lt;(L218*1),IF((SUM(B202:F203))&gt;(L218*2),(((L218*2)-(SUM(B202:F203)-C202))*N201)+((SUM(B203:F203)-C202)*N201),SUM(B203:F203)*N201),IF(SUM(B202:F203)&gt;(L218*2),L218*N201,SUM(B203:F203)*N201)),2)</f>
        <v>0</v>
      </c>
      <c r="O203" s="23">
        <f>ROUND(SUM(B203+C203+F203)*O201,2)</f>
        <v>0</v>
      </c>
      <c r="P203" s="27">
        <f>SUM(G203:O203)</f>
        <v>0</v>
      </c>
    </row>
    <row r="204" spans="1:16" x14ac:dyDescent="0.2">
      <c r="A204" s="100" t="str">
        <f>$A$28</f>
        <v>Mrz 2022</v>
      </c>
      <c r="B204" s="24">
        <f>ROUND(IF(N184=0,0,IFERROR(((LOOKUP(2,1/(A190:A193=A204),G190:G193))*N184*4.348),B203/N184*N184)),2)</f>
        <v>0</v>
      </c>
      <c r="C204" s="23">
        <f>ROUND(IFERROR(((LOOKUP(2,1/(B195=A204),((SUM(B208:B210)+SUM(F208:F210))/3)*C195))),0)+IFERROR(((LOOKUP(2,1/(E195=A204),(B214+F214)*F195))),0),2)</f>
        <v>0</v>
      </c>
      <c r="D204" s="23">
        <f>ROUND(IF(B204=0,0,D201/L183*N184),2)</f>
        <v>0</v>
      </c>
      <c r="E204" s="23">
        <f>ROUND(IF(B204=0,0,E201/N179*N184),2)</f>
        <v>0</v>
      </c>
      <c r="F204" s="24">
        <f>ROUND(IF(N184=0,0,IFERROR(((LOOKUP(2,1/(A190:A193=A204),H190:H193))/N179*N184),F203/N184*N184)),2)</f>
        <v>0</v>
      </c>
      <c r="G204" s="27">
        <f t="shared" si="22"/>
        <v>0</v>
      </c>
      <c r="H204" s="76">
        <f>ROUND(IF(SUM(B202:F203)&lt;(L217*2),IF((SUM(B202:F204))&gt;(L217*3),(((L217*3)-(SUM(B202:F204)-C203))*H201)+((SUM(B204:F204)-C203)*H201),SUM(B204:F204)*H201),IF(SUM(B202:F204)&gt;(L217*3),L217*H201,SUM(B204:F204)*H201)),2)</f>
        <v>0</v>
      </c>
      <c r="I204" s="76">
        <f>ROUND(IF(SUM(B202:F203)&lt;(L218*2),IF((SUM(B202:F204))&gt;(L218*3),(((L218*3)-(SUM(B202:F204)-C203))*I201)+((SUM(B204:F204)-C203)*I201),SUM(B204:F204)*I201),IF(SUM(B202:F204)&gt;(L218*3),L218*I201,SUM(B204:F204)*I201)),2)</f>
        <v>0</v>
      </c>
      <c r="J204" s="76">
        <f>ROUND(IF(SUM(B202:F203)&lt;(L218*2),IF((SUM(B202:F204))&gt;(L218*3),(((L218*3)-(SUM(B202:F204)-C203))*J201)+((SUM(B204:F204)-C203)*J201),SUM(B204:F204)*J201),IF(SUM(B202:F204)&gt;(L218*3),L218*J201,SUM(B204:F204)*J201)),2)</f>
        <v>0</v>
      </c>
      <c r="K204" s="76">
        <f>ROUND(IF(SUM(B202:F203)&lt;(L217*2),IF((SUM(B202:F204))&gt;(L217*3),(((L217*3)-(SUM(B202:F204)-C203))*K201)+((SUM(B204:F204)-C203)*K201),SUM(B204:F204)*K201),IF(SUM(B202:F204)&gt;(L217*3),L217*K201,SUM(B204:F204)*K201)),2)</f>
        <v>0</v>
      </c>
      <c r="L204" s="76">
        <f>ROUND(IF(SUM(B202:F203)&lt;(L218*2),IF((SUM(B202:F204))&gt;(L218*3),(((L218*3)-(SUM(B202:F204)-C204))*L201)+((SUM(B204:F204)-C204)*L201),(SUM(B204:F204)-C204)*L201),IF(SUM(B202:F204)&gt;(L218*3),L218*L201,SUM(B204:F204)*L201)),2)</f>
        <v>0</v>
      </c>
      <c r="M204" s="76">
        <f>ROUND(IF(SUM(B202:F203)&lt;(L218*2),IF((SUM(B202:F204))&gt;(L218*3),(((L218*3)-(SUM(B202:F204)-C204))*M201)+((SUM(B204:F204)-C204)*M201),(SUM(B204:F204)-C204)*M201),IF(SUM(B202:F204)&gt;(L218*3),L218*M201,SUM(B204:F204)*M201)),2)</f>
        <v>0</v>
      </c>
      <c r="N204" s="76">
        <f>ROUND(IF(SUM(B202:F203)&lt;(L218*2),IF((SUM(B202:F204))&gt;(L218*3),(((L218*3)-(SUM(B202:F204)-C203))*N201)+((SUM(B204:F204)-C203)*N201),SUM(B204:F204)*N201),IF(SUM(B202:F204)&gt;(L218*3),L218*N201,SUM(B204:F204)*N201)),2)</f>
        <v>0</v>
      </c>
      <c r="O204" s="23">
        <f>ROUND(SUM(B204+C204+F204)*O201,2)</f>
        <v>0</v>
      </c>
      <c r="P204" s="27">
        <f t="shared" ref="P204:P213" si="23">SUM(G204:O204)</f>
        <v>0</v>
      </c>
    </row>
    <row r="205" spans="1:16" x14ac:dyDescent="0.2">
      <c r="A205" s="100" t="str">
        <f>$A$29</f>
        <v>Apr 2022</v>
      </c>
      <c r="B205" s="24">
        <f>ROUND(IF(N185=0,0,IFERROR(((LOOKUP(2,1/(A190:A193=A205),G190:G193))*N185*4.348),B204/N185*N185)),2)</f>
        <v>0</v>
      </c>
      <c r="C205" s="23">
        <f>ROUND(IFERROR(((LOOKUP(2,1/(B195=A205),((SUM(B208:B210)+SUM(F208:F210))/3)*C195))),0)+IFERROR(((LOOKUP(2,1/(E195=A205),(B214+F214)*F195))),0),2)</f>
        <v>0</v>
      </c>
      <c r="D205" s="23">
        <f>ROUND(IF(B205=0,0,D201/L183*N185),2)</f>
        <v>0</v>
      </c>
      <c r="E205" s="23">
        <f>ROUND(IF(B205=0,0,E201/N179*N185),2)</f>
        <v>0</v>
      </c>
      <c r="F205" s="24">
        <f>ROUND(IF(N185=0,0,IFERROR(((LOOKUP(2,1/(A190:A193=A205),H190:H193))/N179*N185),F204/N185*N185)),2)</f>
        <v>0</v>
      </c>
      <c r="G205" s="27">
        <f t="shared" si="22"/>
        <v>0</v>
      </c>
      <c r="H205" s="76">
        <f>ROUND(IF(SUM(B202:F204)&lt;(L217*3),IF((SUM(B202:F205))&gt;(L217*4),(((L217*4)-(SUM(B202:F205)-C204))*H201)+((SUM(B205:F205)-C204)*H201),SUM(B205:F205)*H201),IF(SUM(B202:F205)&gt;(L217*4),L217*H201,SUM(B205:F205)*H201)),2)</f>
        <v>0</v>
      </c>
      <c r="I205" s="76">
        <f>ROUND(IF(SUM(B202:F204)&lt;(L218*3),IF((SUM(B202:F205))&gt;(L218*4),(((L218*4)-(SUM(B202:F205)-C204))*I201)+((SUM(B205:F205)-C204)*I201),SUM(B205:F205)*I201),IF(SUM(B202:F205)&gt;(L218*4),L218*I201,SUM(B205:F205)*I201)),2)</f>
        <v>0</v>
      </c>
      <c r="J205" s="76">
        <f>ROUND(IF(SUM(B202:F204)&lt;(L218*3),IF((SUM(B202:F205))&gt;(L218*4),(((L218*4)-(SUM(B202:F205)-C204))*J201)+((SUM(B205:F205)-C204)*J201),SUM(B205:F205)*J201),IF(SUM(B202:F205)&gt;(L218*4),L218*J201,SUM(B205:F205)*J201)),2)</f>
        <v>0</v>
      </c>
      <c r="K205" s="76">
        <f>ROUND(IF(SUM(B202:F204)&lt;(L217*3),IF((SUM(B202:F205))&gt;(L217*4),(((L217*4)-(SUM(B202:F205)-C204))*K201)+((SUM(B205:F205)-C204)*K201),SUM(B205:F205)*K201),IF(SUM(B202:F205)&gt;(L217*4),L217*K201,SUM(B205:F205)*K201)),2)</f>
        <v>0</v>
      </c>
      <c r="L205" s="76">
        <f>ROUND(IF(SUM(B202:F204)&lt;(L218*3),IF((SUM(B202:F205))&gt;(L218*4),(((L218*4)-(SUM(B202:F205)-C205))*L201)+((SUM(B205:F205)-C205)*L201),(SUM(B205:F205)-C205)*L201),IF(SUM(B202:F205)&gt;(L218*4),L218*L201,SUM(B205:F205)*L201)),2)</f>
        <v>0</v>
      </c>
      <c r="M205" s="76">
        <f>ROUND(IF(SUM(B202:F204)&lt;(L218*3),IF((SUM(B202:F205))&gt;(L218*4),(((L218*4)-(SUM(B202:F205)-C205))*M201)+((SUM(B205:F205)-C205)*M201),(SUM(B205:F205)-C205)*M201),IF(SUM(B202:F205)&gt;(L218*4),L218*M201,SUM(B205:F205)*M201)),2)</f>
        <v>0</v>
      </c>
      <c r="N205" s="76">
        <f>ROUND(IF(SUM(B202:F204)&lt;(L218*3),IF((SUM(B202:F205))&gt;(L218*4),(((L218*4)-(SUM(B202:F205)-C204))*N201)+((SUM(B205:F205)-C204)*N201),SUM(B205:F205)*N201),IF(SUM(B202:F205)&gt;(L218*4),L218*N201,SUM(B205:F205)*N201)),2)</f>
        <v>0</v>
      </c>
      <c r="O205" s="23">
        <f>ROUND(SUM(B205+C205+F205)*O201,2)</f>
        <v>0</v>
      </c>
      <c r="P205" s="27">
        <f t="shared" si="23"/>
        <v>0</v>
      </c>
    </row>
    <row r="206" spans="1:16" x14ac:dyDescent="0.2">
      <c r="A206" s="100" t="str">
        <f>$A$30</f>
        <v>Mai 2022</v>
      </c>
      <c r="B206" s="24">
        <f>ROUND(IF(N186=0,0,IFERROR(((LOOKUP(2,1/(A190:A193=A206),G190:G193))*N186*4.348),B205/N186*N186)),2)</f>
        <v>0</v>
      </c>
      <c r="C206" s="23">
        <f>ROUND(IFERROR(((LOOKUP(2,1/(B195=A206),((SUM(B208:B210)+SUM(F208:F210))/3)*C195))),0)+IFERROR(((LOOKUP(2,1/(E195=A206),(B214+F214)*F195))),0),2)</f>
        <v>0</v>
      </c>
      <c r="D206" s="23">
        <f>ROUND(IF(B206=0,0,D201/L183*N186),2)</f>
        <v>0</v>
      </c>
      <c r="E206" s="23">
        <f>ROUND(IF(B206=0,0,E201/N179*N186),2)</f>
        <v>0</v>
      </c>
      <c r="F206" s="24">
        <f>ROUND(IF(N186=0,0,IFERROR(((LOOKUP(2,1/(A190:A193=A206),H190:H193))/N179*N186),F205/N186*N186)),2)</f>
        <v>0</v>
      </c>
      <c r="G206" s="27">
        <f t="shared" si="22"/>
        <v>0</v>
      </c>
      <c r="H206" s="76">
        <f>ROUND(IF(SUM(B202:F205)&lt;(L217*4),IF((SUM(B202:F206))&gt;(L217*5),(((L217*5)-(SUM(B202:F206)-C205))*H201)+((SUM(B206:F206)-C205)*H201),SUM(B206:F206)*H201),IF(SUM(B202:F206)&gt;(L217*5),L217*H201,SUM(B206:F206)*H201)),2)</f>
        <v>0</v>
      </c>
      <c r="I206" s="76">
        <f>ROUND(IF(SUM(B202:F205)&lt;(L218*4),IF((SUM(B202:F206))&gt;(L218*5),(((L218*5)-(SUM(B202:F206)-C205))*I201)+((SUM(B206:F206)-C205)*I201),SUM(B206:F206)*I201),IF(SUM(B202:F206)&gt;(L218*5),L218*I201,SUM(B206:F206)*I201)),2)</f>
        <v>0</v>
      </c>
      <c r="J206" s="76">
        <f>ROUND(IF(SUM(B202:F205)&lt;(L218*4),IF((SUM(B202:F206))&gt;(L218*5),(((L218*5)-(SUM(B202:F206)-C205))*J201)+((SUM(B206:F206)-C205)*J201),SUM(B206:F206)*J201),IF(SUM(B202:F206)&gt;(L218*5),L218*J201,SUM(B206:F206)*J201)),2)</f>
        <v>0</v>
      </c>
      <c r="K206" s="76">
        <f>ROUND(IF(SUM(B202:F205)&lt;(L217*4),IF((SUM(B202:F206))&gt;(L217*5),(((L217*5)-(SUM(B202:F206)-C205))*K201)+((SUM(B206:F206)-C205)*K201),SUM(B206:F206)*K201),IF(SUM(B202:F206)&gt;(L217*5),L217*K201,SUM(B206:F206)*K201)),2)</f>
        <v>0</v>
      </c>
      <c r="L206" s="76">
        <f>ROUND(IF(SUM(B202:F205)&lt;(L218*4),IF((SUM(B202:F206))&gt;(L218*5),(((L218*5)-(SUM(B202:F206)-C206))*L201)+((SUM(B206:F206)-C206)*L201),(SUM(B206:F206)-C206)*L201),IF(SUM(B202:F206)&gt;(L218*5),L218*L201,SUM(B206:F206)*L201)),2)</f>
        <v>0</v>
      </c>
      <c r="M206" s="76">
        <f>ROUND(IF(SUM(B202:F205)&lt;(L218*4),IF((SUM(B202:F206))&gt;(L218*5),(((L218*5)-(SUM(B202:F206)-C206))*M201)+((SUM(B206:F206)-C206)*M201),(SUM(B206:F206)-C206)*M201),IF(SUM(B202:F206)&gt;(L218*5),L218*M201,SUM(B206:F206)*M201)),2)</f>
        <v>0</v>
      </c>
      <c r="N206" s="76">
        <f>ROUND(IF(SUM(B202:F205)&lt;(L218*4),IF((SUM(B202:F206))&gt;(L218*5),(((L218*5)-(SUM(B202:F206)-C205))*N201)+((SUM(B206:F206)-C205)*N201),SUM(B206:F206)*N201),IF(SUM(B202:F206)&gt;(L218*5),L218*N201,SUM(B206:F206)*N201)),2)</f>
        <v>0</v>
      </c>
      <c r="O206" s="23">
        <f>ROUND(SUM(B206+C206+F206)*O201,2)</f>
        <v>0</v>
      </c>
      <c r="P206" s="27">
        <f t="shared" si="23"/>
        <v>0</v>
      </c>
    </row>
    <row r="207" spans="1:16" x14ac:dyDescent="0.2">
      <c r="A207" s="100" t="str">
        <f>$A$31</f>
        <v>Jun 2022</v>
      </c>
      <c r="B207" s="24">
        <f>ROUND(IF(N187=0,0,IFERROR(((LOOKUP(2,1/(A190:A193=A207),G190:G193))*N187*4.348),B206/N187*N187)),2)</f>
        <v>0</v>
      </c>
      <c r="C207" s="23">
        <f>ROUND(IFERROR(((LOOKUP(2,1/(B195=A207),((SUM(B208:B210)+SUM(F208:F210))/3)*C195))),0)+IFERROR(((LOOKUP(2,1/(E195=A207),(B214+F214)*F195))),0),2)</f>
        <v>0</v>
      </c>
      <c r="D207" s="23">
        <f>ROUND(IF(B207=0,0,D201/L183*N187),2)</f>
        <v>0</v>
      </c>
      <c r="E207" s="23">
        <f>ROUND(IF(B207=0,0,E201/N179*N187),2)</f>
        <v>0</v>
      </c>
      <c r="F207" s="24">
        <f>ROUND(IF(N187=0,0,IFERROR(((LOOKUP(2,1/(A190:A193=A207),H190:H193))/N179*N187),F206/N187*N187)),2)</f>
        <v>0</v>
      </c>
      <c r="G207" s="27">
        <f t="shared" si="22"/>
        <v>0</v>
      </c>
      <c r="H207" s="76">
        <f>ROUND(IF(SUM(B202:F206)&lt;(L217*5),IF((SUM(B202:F207))&gt;(L217*6),(((L217*6)-(SUM(B202:F207)-C206))*H201)+((SUM(B207:F207)-C206)*H201),SUM(B207:F207)*H201),IF(SUM(B202:F207)&gt;(L217*6),L217*H201,SUM(B207:F207)*H201)),2)</f>
        <v>0</v>
      </c>
      <c r="I207" s="76">
        <f>ROUND(IF(SUM(B202:F206)&lt;(L218*5),IF((SUM(B202:F207))&gt;(L218*6),(((L218*6)-(SUM(B202:F207)-C206))*I201)+((SUM(B207:F207)-C206)*I201),SUM(B207:F207)*I201),IF(SUM(B202:F207)&gt;(L218*6),L218*I201,SUM(B207:F207)*I201)),2)</f>
        <v>0</v>
      </c>
      <c r="J207" s="76">
        <f>ROUND(IF(SUM(B202:F206)&lt;(L218*5),IF((SUM(B202:F207))&gt;(L218*6),(((L218*6)-(SUM(B202:F207)-C206))*J201)+((SUM(B207:F207)-C206)*J201),SUM(B207:F207)*J201),IF(SUM(B202:F207)&gt;(L218*6),L218*J201,SUM(B207:F207)*J201)),2)</f>
        <v>0</v>
      </c>
      <c r="K207" s="76">
        <f>ROUND(IF(SUM(B202:F206)&lt;(L217*5),IF((SUM(B202:F207))&gt;(L217*6),(((L217*6)-(SUM(B202:F207)-C206))*K201)+((SUM(B207:F207)-C206)*K201),SUM(B207:F207)*K201),IF(SUM(B202:F207)&gt;(L217*6),L217*K201,SUM(B207:F207)*K201)),2)</f>
        <v>0</v>
      </c>
      <c r="L207" s="76">
        <f>ROUND(IF(SUM(B202:F206)&lt;(L218*5),IF((SUM(B202:F207))&gt;(L218*6),(((L218*6)-(SUM(B202:F207)-C207))*L201)+((SUM(B207:F207)-C207)*L201),(SUM(B207:F207)-C207)*L201),IF(SUM(B202:F207)&gt;(L218*6),L218*L201,SUM(B207:F207)*L201)),2)</f>
        <v>0</v>
      </c>
      <c r="M207" s="76">
        <f>ROUND(IF(SUM(B202:F206)&lt;(L218*5),IF((SUM(B202:F207))&gt;(L218*6),(((L218*6)-(SUM(B202:F207)-C207))*M201)+((SUM(B207:F207)-C207)*M201),(SUM(B207:F207)-C207)*M201),IF(SUM(B202:F207)&gt;(L218*6),L218*M201,SUM(B207:F207)*M201)),2)</f>
        <v>0</v>
      </c>
      <c r="N207" s="76">
        <f>ROUND(IF(SUM(B202:F206)&lt;(L218*5),IF((SUM(B202:F207))&gt;(L218*6),(((L218*6)-(SUM(B202:F207)-C206))*N201)+((SUM(B207:F207)-C206)*N201),SUM(B207:F207)*N201),IF(SUM(B202:F207)&gt;(L218*6),L218*N201,SUM(B207:F207)*N201)),2)</f>
        <v>0</v>
      </c>
      <c r="O207" s="23">
        <f>ROUND(SUM(B207+C207+F207)*O201,2)</f>
        <v>0</v>
      </c>
      <c r="P207" s="27">
        <f t="shared" si="23"/>
        <v>0</v>
      </c>
    </row>
    <row r="208" spans="1:16" x14ac:dyDescent="0.2">
      <c r="A208" s="100" t="str">
        <f>$A$32</f>
        <v>Jul 2022</v>
      </c>
      <c r="B208" s="24">
        <f>ROUND(IF(P182=0,0,IFERROR(((LOOKUP(2,1/(A190:A193=A208),G190:G193))*P182*4.348),B207/P182*P182)),2)</f>
        <v>0</v>
      </c>
      <c r="C208" s="23">
        <f>ROUND(IFERROR(((LOOKUP(2,1/(B195=A208),((SUM(B208:B210)+SUM(F208:F210))/3)*C195))),0)+IFERROR(((LOOKUP(2,1/(E195=A208),(B214+F214)*F195))),0),2)</f>
        <v>0</v>
      </c>
      <c r="D208" s="23">
        <f>ROUND(IF(B208=0,0,D201/L183*P182),2)</f>
        <v>0</v>
      </c>
      <c r="E208" s="23">
        <f>ROUND(IF(B208=0,0,E201/N179*P182),2)</f>
        <v>0</v>
      </c>
      <c r="F208" s="24">
        <f>ROUND(IF(P182=0,0,IFERROR(((LOOKUP(2,1/(A190:A193=A208),H190:H193))/N179*P182),F207/P182*P182)),2)</f>
        <v>0</v>
      </c>
      <c r="G208" s="27">
        <f t="shared" si="22"/>
        <v>0</v>
      </c>
      <c r="H208" s="76">
        <f>ROUND(IF(SUM(B202:F207)&lt;(L217*6),IF((SUM(B202:F208))&gt;(L217*7),(((L217*7)-(SUM(B202:F208)-C207))*H201)+((SUM(B208:F208)-C207)*H201),SUM(B208:F208)*H201),IF(SUM(B202:F208)&gt;(L217*7),L217*H201,SUM(B208:F208)*H201)),2)</f>
        <v>0</v>
      </c>
      <c r="I208" s="76">
        <f>ROUND(IF(SUM(B202:F207)&lt;(L218*6),IF((SUM(B202:F208))&gt;(L218*7),(((L218*7)-(SUM(B202:F208)-C207))*I201)+((SUM(B208:F208)-C207)*I201),SUM(B208:F208)*I201),IF(SUM(B202:F208)&gt;(L218*7),L218*I201,SUM(B208:F208)*I201)),2)</f>
        <v>0</v>
      </c>
      <c r="J208" s="76">
        <f>ROUND(IF(SUM(B202:F207)&lt;(L218*6),IF((SUM(B202:F208))&gt;(L218*7),(((L218*7)-(SUM(B202:F208)-C207))*J201)+((SUM(B208:F208)-C207)*J201),SUM(B208:F208)*J201),IF(SUM(B202:F208)&gt;(L218*7),L218*J201,SUM(B208:F208)*J201)),2)</f>
        <v>0</v>
      </c>
      <c r="K208" s="76">
        <f>ROUND(IF(SUM(B202:F207)&lt;(L217*6),IF((SUM(B202:F208))&gt;(L217*7),(((L217*7)-(SUM(B202:F208)-C207))*K201)+((SUM(B208:F208)-C207)*K201),SUM(B208:F208)*K201),IF(SUM(B202:F208)&gt;(L217*7),L217*K201,SUM(B208:F208)*K201)),2)</f>
        <v>0</v>
      </c>
      <c r="L208" s="76">
        <f>ROUND(IF(SUM(B202:F207)&lt;(L218*6),IF((SUM(B202:F208))&gt;(L218*7),(((L218*7)-(SUM(B202:F208)-C208))*L201)+((SUM(B208:F208)-C208)*L201),(SUM(B208:F208)-C208)*L201),IF(SUM(B202:F208)&gt;(L218*7),L218*L201,SUM(B208:F208)*L201)),2)</f>
        <v>0</v>
      </c>
      <c r="M208" s="76">
        <f>ROUND(IF(SUM(B202:F207)&lt;(L218*6),IF((SUM(B202:F208))&gt;(L218*7),(((L218*7)-(SUM(B202:F208)-C208))*M201)+((SUM(B208:F208)-C208)*M201),(SUM(B208:F208)-C208)*M201),IF(SUM(B202:F208)&gt;(L218*7),L218*M201,SUM(B208:F208)*M201)),2)</f>
        <v>0</v>
      </c>
      <c r="N208" s="76">
        <f>ROUND(IF(SUM(B202:F207)&lt;(L218*6),IF((SUM(B202:F208))&gt;(L218*7),(((L218*7)-(SUM(B202:F208)-C207))*N201)+((SUM(B208:F208)-C207)*N201),SUM(B208:F208)*N201),IF(SUM(B202:F208)&gt;(L218*7),L218*N201,SUM(B208:F208)*N201)),2)</f>
        <v>0</v>
      </c>
      <c r="O208" s="23">
        <f>ROUND(SUM(B208+C208+F208)*O201,2)</f>
        <v>0</v>
      </c>
      <c r="P208" s="27">
        <f t="shared" si="23"/>
        <v>0</v>
      </c>
    </row>
    <row r="209" spans="1:16" x14ac:dyDescent="0.2">
      <c r="A209" s="100" t="str">
        <f>$A$33</f>
        <v>Aug 2022</v>
      </c>
      <c r="B209" s="24">
        <f>ROUND(IF(P183=0,0,IFERROR(((LOOKUP(2,1/(A190:A193=A209),G190:G193))*P183*4.348),B208/P183*P183)),2)</f>
        <v>0</v>
      </c>
      <c r="C209" s="23">
        <f>ROUND(IFERROR(((LOOKUP(2,1/(B195=A209),((SUM(B208:B210)+SUM(F208:F210))/3)*C195))),0)+IFERROR(((LOOKUP(2,1/(E195=A209),(B214+F214)*F195))),0),2)</f>
        <v>0</v>
      </c>
      <c r="D209" s="23">
        <f>ROUND(IF(B209=0,0,D201/L183*P183),2)</f>
        <v>0</v>
      </c>
      <c r="E209" s="23">
        <f>ROUND(IF(B209=0,0,E201/N179*P183),2)</f>
        <v>0</v>
      </c>
      <c r="F209" s="24">
        <f>ROUND(IF(P183=0,0,IFERROR(((LOOKUP(2,1/(A190:A193=A209),H190:H193))/N179*P183),F208/P183*P183)),2)</f>
        <v>0</v>
      </c>
      <c r="G209" s="27">
        <f t="shared" si="22"/>
        <v>0</v>
      </c>
      <c r="H209" s="76">
        <f>ROUND(IF(SUM(B202:F208)&lt;(L217*7),IF((SUM(B202:F209))&gt;(L217*8),(((L217*8)-(SUM(B202:F209)-C208))*H201)+((SUM(B209:F209)-C208)*H201),SUM(B209:F209)*H201),IF(SUM(B202:F209)&gt;(L217*8),L217*H201,SUM(B209:F209)*H201)),2)</f>
        <v>0</v>
      </c>
      <c r="I209" s="76">
        <f>ROUND(IF(SUM(B202:F208)&lt;(L218*7),IF((SUM(B202:F209))&gt;(L218*8),(((L218*8)-(SUM(B202:F209)-C208))*I201)+((SUM(B209:F209)-C208)*I201),SUM(B209:F209)*I201),IF(SUM(B202:F209)&gt;(L218*8),L218*I201,SUM(B209:F209)*I201)),2)</f>
        <v>0</v>
      </c>
      <c r="J209" s="76">
        <f>ROUND(IF(SUM(B202:F208)&lt;(L218*7),IF((SUM(B202:F209))&gt;(L218*8),(((L218*8)-(SUM(B202:F209)-C208))*J201)+((SUM(B209:F209)-C208)*J201),SUM(B209:F209)*J201),IF(SUM(B202:F209)&gt;(L218*8),L218*J201,SUM(B209:F209)*J201)),2)</f>
        <v>0</v>
      </c>
      <c r="K209" s="76">
        <f>ROUND(IF(SUM(B202:F208)&lt;(L217*7),IF((SUM(B202:F209))&gt;(L217*8),(((L217*8)-(SUM(B202:F209)-C208))*K201)+((SUM(B209:F209)-C208)*K201),SUM(B209:F209)*K201),IF(SUM(B202:F209)&gt;(L217*8),L217*K201,SUM(B209:F209)*K201)),2)</f>
        <v>0</v>
      </c>
      <c r="L209" s="76">
        <f>ROUND(IF(SUM(B202:F208)&lt;(L218*7),IF((SUM(B202:F209))&gt;(L218*8),(((L218*8)-(SUM(B202:F209)-C209))*L201)+((SUM(B209:F209)-C209)*L201),(SUM(B209:F209)-C209)*L201),IF(SUM(B202:F209)&gt;(L218*8),L218*L201,SUM(B209:F209)*L201)),2)</f>
        <v>0</v>
      </c>
      <c r="M209" s="76">
        <f>ROUND(IF(SUM(B202:F208)&lt;(L218*7),IF((SUM(B202:F209))&gt;(L218*8),(((L218*8)-(SUM(B202:F209)-C209))*M201)+((SUM(B209:F209)-C209)*M201),(SUM(B209:F209)-C209)*M201),IF(SUM(B202:F209)&gt;(L218*8),L218*M201,SUM(B209:F209)*M201)),2)</f>
        <v>0</v>
      </c>
      <c r="N209" s="76">
        <f>ROUND(IF(SUM(B202:F208)&lt;(L218*7),IF((SUM(B202:F209))&gt;(L218*8),(((L218*8)-(SUM(B202:F209)-C208))*N201)+((SUM(B209:F209)-C208)*N201),SUM(B209:F209)*N201),IF(SUM(B202:F209)&gt;(L218*8),L218*N201,SUM(B209:F209)*N201)),2)</f>
        <v>0</v>
      </c>
      <c r="O209" s="23">
        <f>ROUND(SUM(B209+C209+F209)*O201,2)</f>
        <v>0</v>
      </c>
      <c r="P209" s="27">
        <f t="shared" si="23"/>
        <v>0</v>
      </c>
    </row>
    <row r="210" spans="1:16" x14ac:dyDescent="0.2">
      <c r="A210" s="100" t="str">
        <f>$A$34</f>
        <v>Sep 2022</v>
      </c>
      <c r="B210" s="24">
        <f>ROUND(IF(P184=0,0,IFERROR(((LOOKUP(2,1/(A190:A193=A210),G190:G193))*P184*4.348),B209/P184*P184)),2)</f>
        <v>0</v>
      </c>
      <c r="C210" s="23">
        <f>ROUND(IFERROR(((LOOKUP(2,1/(B195=A210),((SUM(B208:B210)+SUM(F208:F210))/3)*C195))),0)+IFERROR(((LOOKUP(2,1/(E195=A210),(B214+F214)*F195))),0),2)</f>
        <v>0</v>
      </c>
      <c r="D210" s="23">
        <f>ROUND(IF(B210=0,0,D201/L183*P184),2)</f>
        <v>0</v>
      </c>
      <c r="E210" s="23">
        <f>ROUND(IF(B210=0,0,E201/N179*P184),2)</f>
        <v>0</v>
      </c>
      <c r="F210" s="24">
        <f>ROUND(IF(P184=0,0,IFERROR(((LOOKUP(2,1/(A190:A193=A210),H190:H193))/N179*P184),F209/P184*P184)),2)</f>
        <v>0</v>
      </c>
      <c r="G210" s="27">
        <f t="shared" si="22"/>
        <v>0</v>
      </c>
      <c r="H210" s="76">
        <f>ROUND(IF(SUM(B202:F209)&lt;(L217*8),IF((SUM(B202:F210))&gt;(L217*9),(((L217*9)-(SUM(B202:F210)-C209))*H201)+((SUM(B210:F210)-C209)*H201),SUM(B210:F210)*H201),IF(SUM(B202:F210)&gt;(L217*9),L217*H201,SUM(B210:F210)*H201)),2)</f>
        <v>0</v>
      </c>
      <c r="I210" s="76">
        <f>ROUND(IF(SUM(B202:F209)&lt;(L218*8),IF((SUM(B202:F210))&gt;(L218*9),(((L218*9)-(SUM(B202:F210)-C209))*I201)+((SUM(B210:F210)-C209)*I201),SUM(B210:F210)*I201),IF(SUM(B202:F210)&gt;(L218*9),L218*I201,SUM(B210:F210)*I201)),2)</f>
        <v>0</v>
      </c>
      <c r="J210" s="76">
        <f>ROUND(IF(SUM(B202:F209)&lt;(L218*8),IF((SUM(B202:F210))&gt;(L218*9),(((L218*9)-(SUM(B202:F210)-C209))*J201)+((SUM(B210:F210)-C209)*J201),SUM(B210:F210)*J201),IF(SUM(B202:F210)&gt;(L218*9),L218*J201,SUM(B210:F210)*J201)),2)</f>
        <v>0</v>
      </c>
      <c r="K210" s="76">
        <f>ROUND(IF(SUM(B202:F209)&lt;(L217*8),IF((SUM(B202:F210))&gt;(L217*9),(((L217*9)-(SUM(B202:F210)-C209))*K201)+((SUM(B210:F210)-C209)*K201),SUM(B210:F210)*K201),IF(SUM(B202:F210)&gt;(L217*9),L217*K201,SUM(B210:F210)*K201)),2)</f>
        <v>0</v>
      </c>
      <c r="L210" s="76">
        <f>ROUND(IF(SUM(B202:F209)&lt;(L218*8),IF((SUM(B202:F210))&gt;(L218*9),(((L218*9)-(SUM(B202:F210)-C210))*L201)+((SUM(B210:F210)-C210)*L201),(SUM(B210:F210)-C210)*L201),IF(SUM(B202:F210)&gt;(L218*9),L218*L201,SUM(B210:F210)*L201)),2)</f>
        <v>0</v>
      </c>
      <c r="M210" s="76">
        <f>ROUND(IF(SUM(B202:F209)&lt;(L218*8),IF((SUM(B202:F210))&gt;(L218*9),(((L218*9)-(SUM(B202:F210)-C210))*M201)+((SUM(B210:F210)-C210)*M201),(SUM(B210:F210)-C210)*M201),IF(SUM(B202:F210)&gt;(L218*9),L218*M201,SUM(B210:F210)*M201)),2)</f>
        <v>0</v>
      </c>
      <c r="N210" s="76">
        <f>ROUND(IF(SUM(B202:F209)&lt;(L218*8),IF((SUM(B202:F210))&gt;(L218*9),(((L218*9)-(SUM(B202:F210)-C209))*N201)+((SUM(B210:F210)-C209)*N201),SUM(B210:F210)*N201),IF(SUM(B202:F210)&gt;(L218*9),L218*N201,SUM(B210:F210)*N201)),2)</f>
        <v>0</v>
      </c>
      <c r="O210" s="23">
        <f>ROUND(SUM(B210+C210+F210)*O201,2)</f>
        <v>0</v>
      </c>
      <c r="P210" s="27">
        <f t="shared" si="23"/>
        <v>0</v>
      </c>
    </row>
    <row r="211" spans="1:16" x14ac:dyDescent="0.2">
      <c r="A211" s="100" t="str">
        <f>$A$35</f>
        <v>Okt 2022</v>
      </c>
      <c r="B211" s="24">
        <f>ROUND(IF(P185=0,0,IFERROR(((LOOKUP(2,1/(A190:A193=A211),G190:G193))*P185*4.348),B210/P185*P185)),2)</f>
        <v>0</v>
      </c>
      <c r="C211" s="23">
        <f>ROUND(IFERROR(((LOOKUP(2,1/(B195=A211),((SUM(B208:B210)+SUM(F208:F210))/3)*C195))),0)+IFERROR(((LOOKUP(2,1/(E195=A211),(B214+F214)*F195))),0),2)</f>
        <v>0</v>
      </c>
      <c r="D211" s="23">
        <f>ROUND(IF(B211=0,0,D201/L183*P185),2)</f>
        <v>0</v>
      </c>
      <c r="E211" s="23">
        <f>ROUND(IF(B211=0,0,E201/N179*P185),2)</f>
        <v>0</v>
      </c>
      <c r="F211" s="24">
        <f>ROUND(IF(P185=0,0,IFERROR(((LOOKUP(2,1/(A190:A193=A211),H190:H193))/N179*P185),F210/P185*P185)),2)</f>
        <v>0</v>
      </c>
      <c r="G211" s="27">
        <f t="shared" si="22"/>
        <v>0</v>
      </c>
      <c r="H211" s="76">
        <f>ROUND(IF(SUM(B202:F210)&lt;(L217*9),IF((SUM(B202:F211))&gt;(L217*10),(((L217*10)-(SUM(B202:F211)-C210))*H201)+((SUM(B211:F211)-C210)*H201),SUM(B211:F211)*H201),IF(SUM(B202:F211)&gt;(L217*10),L217*H201,SUM(B211:F211)*H201)),2)</f>
        <v>0</v>
      </c>
      <c r="I211" s="76">
        <f>ROUND(IF(SUM(B202:F210)&lt;(L218*9),IF((SUM(B202:F211))&gt;(L218*10),(((L218*10)-(SUM(B202:F211)-C210))*I201)+((SUM(B211:F211)-C210)*I201),SUM(B211:F211)*I201),IF(SUM(B202:F211)&gt;(L218*10),L218*I201,SUM(B211:F211)*I201)),2)</f>
        <v>0</v>
      </c>
      <c r="J211" s="76">
        <f>ROUND(IF(SUM(B202:F210)&lt;(L218*9),IF((SUM(B202:F211))&gt;(L218*10),(((L218*10)-(SUM(B202:F211)-C210))*J201)+((SUM(B211:F211)-C210)*J201),SUM(B211:F211)*J201),IF(SUM(B202:F211)&gt;(L218*10),L218*J201,SUM(B211:F211)*J201)),2)</f>
        <v>0</v>
      </c>
      <c r="K211" s="76">
        <f>ROUND(IF(SUM(B202:F210)&lt;(L217*9),IF((SUM(B202:F211))&gt;(L217*10),(((L217*10)-(SUM(B202:F211)-C210))*K201)+((SUM(B211:F211)-C210)*K201),SUM(B211:F211)*K201),IF(SUM(B202:F211)&gt;(L217*10),L217*K201,SUM(B211:F211)*K201)),2)</f>
        <v>0</v>
      </c>
      <c r="L211" s="76">
        <f>ROUND(IF(SUM(B202:F210)&lt;(L218*9),IF((SUM(B202:F211))&gt;(L218*10),(((L218*10)-(SUM(B202:F211)-C211))*L201)+((SUM(B211:F211)-C211)*L201),(SUM(B211:F211)-C211)*L201),IF(SUM(B202:F211)&gt;(L218*10),L218*L201,SUM(B211:F211)*L201)),2)</f>
        <v>0</v>
      </c>
      <c r="M211" s="76">
        <f>ROUND(IF(SUM(B202:F210)&lt;(L218*9),IF((SUM(B202:F211))&gt;(L218*10),(((L218*10)-(SUM(B202:F211)-C211))*M201)+((SUM(B211:F211)-C211)*M201),(SUM(B211:F211)-C211)*M201),IF(SUM(B202:F211)&gt;(L218*10),L218*M201,SUM(B211:F211)*M201)),2)</f>
        <v>0</v>
      </c>
      <c r="N211" s="76">
        <f>ROUND(IF(SUM(B202:F210)&lt;(L218*9),IF((SUM(B202:F211))&gt;(L218*10),(((L218*10)-(SUM(B202:F211)-C210))*N201)+((SUM(B211:F211)-C210)*N201),SUM(B211:F211)*N201),IF(SUM(B202:F211)&gt;(L218*10),L218*N201,SUM(B211:F211)*N201)),2)</f>
        <v>0</v>
      </c>
      <c r="O211" s="23">
        <f>ROUND(SUM(B211+C211+F211)*O201,2)</f>
        <v>0</v>
      </c>
      <c r="P211" s="27">
        <f t="shared" si="23"/>
        <v>0</v>
      </c>
    </row>
    <row r="212" spans="1:16" x14ac:dyDescent="0.2">
      <c r="A212" s="100" t="str">
        <f>$A$36</f>
        <v>Nov 2022</v>
      </c>
      <c r="B212" s="24">
        <f>ROUND(IF(P186=0,0,IFERROR(((LOOKUP(2,1/(A190:A193=A212),G190:G193))*P186*4.348),B211/P186*P186)),2)</f>
        <v>0</v>
      </c>
      <c r="C212" s="23">
        <f>ROUND(IFERROR(((LOOKUP(2,1/(B195=A212),((SUM(B208:B210)+SUM(F208:F210))/3)*C195))),0)+IFERROR(((LOOKUP(2,1/(E195=A212),(B214+F214)*F195))),0),2)</f>
        <v>0</v>
      </c>
      <c r="D212" s="23">
        <f>ROUND(IF(B212=0,0,D201/L183*P186),2)</f>
        <v>0</v>
      </c>
      <c r="E212" s="23">
        <f>ROUND(IF(B212=0,0,E201/N179*P186),2)</f>
        <v>0</v>
      </c>
      <c r="F212" s="24">
        <f>ROUND(IF(P186=0,0,IFERROR(((LOOKUP(2,1/(A190:A193=A212),H190:H193))/N179*P186),F211/P186*P186)),2)</f>
        <v>0</v>
      </c>
      <c r="G212" s="27">
        <f t="shared" si="22"/>
        <v>0</v>
      </c>
      <c r="H212" s="76">
        <f>ROUND(IF(SUM(B202:F211)&lt;(L217*10),IF((SUM(B202:F212))&gt;(L217*11),(((L217*11)-(SUM(B202:F212)-C211))*H201)+((SUM(B212:F212)-C211)*H201),SUM(B212:F212)*H201),IF(SUM(B202:F212)&gt;(L217*11),L217*H201,SUM(B212:F212)*H201)),2)</f>
        <v>0</v>
      </c>
      <c r="I212" s="76">
        <f>ROUND(IF(SUM(B202:F211)&lt;(L218*10),IF((SUM(B202:F212))&gt;(L218*11),(((L218*11)-(SUM(B202:F212)-C211))*I201)+((SUM(B212:F212)-C211)*I201),SUM(B212:F212)*I201),IF(SUM(B202:F212)&gt;(L218*11),L218*I201,SUM(B212:F212)*I201)),2)</f>
        <v>0</v>
      </c>
      <c r="J212" s="76">
        <f>ROUND(IF(SUM(B202:F211)&lt;(L218*10),IF((SUM(B202:F212))&gt;(L218*11),(((L218*11)-(SUM(B202:F212)-C211))*J201)+((SUM(B212:F212)-C211)*J201),SUM(B212:F212)*J201),IF(SUM(B202:F212)&gt;(L218*11),L218*J201,SUM(B212:F212)*J201)),2)</f>
        <v>0</v>
      </c>
      <c r="K212" s="76">
        <f>ROUND(IF(SUM(B202:F211)&lt;(L217*10),IF((SUM(B202:F212))&gt;(L217*11),(((L217*11)-(SUM(B202:F212)-C211))*K201)+((SUM(B212:F212)-C211)*K201),SUM(B212:F212)*K201),IF(SUM(B202:F212)&gt;(L217*11),L217*K201,SUM(B212:F212)*K201)),2)</f>
        <v>0</v>
      </c>
      <c r="L212" s="76">
        <f>ROUND(IF(SUM(B202:F211)&lt;(L218*10),IF((SUM(B202:F212))&gt;(L218*11),(((L218*11)-(SUM(B202:F212)-C212))*L201)+((SUM(B212:F212)-C212)*L201),(SUM(B212:F212)-C212)*L201),IF(SUM(B202:F212)&gt;(L218*11),L218*L201,SUM(B212:F212)*L201)),2)</f>
        <v>0</v>
      </c>
      <c r="M212" s="76">
        <f>ROUND(IF(SUM(B202:F211)&lt;(L218*10),IF((SUM(B202:F212))&gt;(L218*11),(((L218*11)-(SUM(B202:F212)-C212))*M201)+((SUM(B212:F212)-C212)*M201),(SUM(B212:F212)-C212)*M201),IF(SUM(B202:F212)&gt;(L218*11),L218*M201,SUM(B212:F212)*M201)),2)</f>
        <v>0</v>
      </c>
      <c r="N212" s="76">
        <f>ROUND(IF(SUM(B202:F211)&lt;(L218*10),IF((SUM(B202:F212))&gt;(L218*11),(((L218*11)-(SUM(B202:F212)-C211))*N201)+((SUM(B212:F212)-C211)*N201),SUM(B212:F212)*N201),IF(SUM(B202:F212)&gt;(L218*11),L218*N201,SUM(B212:F212)*N201)),2)</f>
        <v>0</v>
      </c>
      <c r="O212" s="23">
        <f>ROUND(SUM(B212+C212+F212)*O201,2)</f>
        <v>0</v>
      </c>
      <c r="P212" s="27">
        <f t="shared" si="23"/>
        <v>0</v>
      </c>
    </row>
    <row r="213" spans="1:16" x14ac:dyDescent="0.2">
      <c r="A213" s="100" t="str">
        <f>$A$37</f>
        <v>Dez 2022</v>
      </c>
      <c r="B213" s="24">
        <f>ROUND(IF(P187=0,0,IFERROR(((LOOKUP(2,1/(A190:A193=A213),G190:G193))*P187*4.348),B212/P187*P187)),2)</f>
        <v>0</v>
      </c>
      <c r="C213" s="23">
        <f>ROUND(IFERROR(((LOOKUP(2,1/(B195=A213),((SUM(B208:B210)+SUM(F208:F210))/3)*C195))),0)+IFERROR(((LOOKUP(2,1/(E195=A213),(B214+F214)*F195))),0),2)</f>
        <v>0</v>
      </c>
      <c r="D213" s="23">
        <f>ROUND(IF(B213=0,0,D201/L183*P187),2)</f>
        <v>0</v>
      </c>
      <c r="E213" s="23">
        <f>ROUND(IF(B213=0,0,E201/N179*P187),2)</f>
        <v>0</v>
      </c>
      <c r="F213" s="24">
        <f>ROUND(IF(P187=0,0,IFERROR(((LOOKUP(2,1/(A190:A193=A213),H190:H193))/N179*P187),F212/P187*P187)),2)</f>
        <v>0</v>
      </c>
      <c r="G213" s="27">
        <f t="shared" si="22"/>
        <v>0</v>
      </c>
      <c r="H213" s="76">
        <f>ROUND(IF(SUM(B202:F212)&lt;(L217*11),IF((SUM(B202:F213))&gt;(L217*12),(((L217*12)-(SUM(B202:F213)-C212))*H201)+((SUM(B213:F213)-C212)*H201),SUM(B213:F213)*H201),IF(SUM(B202:F213)&gt;(L217*12),L217*H201,SUM(B213:F213)*H201)),2)</f>
        <v>0</v>
      </c>
      <c r="I213" s="76">
        <f>ROUND(IF(SUM(B202:F212)&lt;(L218*11),IF((SUM(B202:F213))&gt;(L218*12),(((L218*12)-(SUM(B202:F213)-C212))*I201)+((SUM(B213:F213)-C212)*I201),SUM(B213:F213)*I201),IF(SUM(B202:F213)&gt;(L218*12),L218*I201,SUM(B213:F213)*I201)),2)</f>
        <v>0</v>
      </c>
      <c r="J213" s="76">
        <f>ROUND(IF(SUM(B202:F212)&lt;(L218*11),IF((SUM(B202:F213))&gt;(L218*12),(((L218*12)-(SUM(B202:F213)-C212))*J201)+((SUM(B213:F213)-C212)*J201),SUM(B213:F213)*J201),IF(SUM(B202:F213)&gt;(L218*12),L218*J201,SUM(B213:F213)*J201)),2)</f>
        <v>0</v>
      </c>
      <c r="K213" s="76">
        <f>ROUND(IF(SUM(B202:F212)&lt;(L217*11),IF((SUM(B202:F213))&gt;(L217*12),(((L217*12)-(SUM(B202:F213)-C212))*K201)+((SUM(B213:F213)-C212)*K201),SUM(B213:F213)*K201),IF(SUM(B202:F213)&gt;(L217*12),L217*K201,SUM(B213:F213)*K201)),2)</f>
        <v>0</v>
      </c>
      <c r="L213" s="76">
        <f>ROUND(IF(SUM(B202:F212)&lt;(L218*11),IF((SUM(B202:F213))&gt;(L218*12),(((L218*12)-(SUM(B202:F213)-C213))*L201)+((SUM(B213:F213)-C213)*L201),(SUM(B213:F213)-C213)*L201),IF(SUM(B202:F213)&gt;(L218*12),L218*L201,SUM(B213:F213)*L201)),2)</f>
        <v>0</v>
      </c>
      <c r="M213" s="76">
        <f>ROUND(IF(SUM(B202:F212)&lt;(L218*11),IF((SUM(B202:F213))&gt;(L218*12),(((L218*12)-(SUM(B202:F213)-C213))*M201)+((SUM(B213:F213)-C213)*M201),(SUM(B213:F213)-C213)*M201),IF(SUM(B202:F213)&gt;(L218*12),L218*M201,SUM(B213:F213)*M201)),2)</f>
        <v>0</v>
      </c>
      <c r="N213" s="76">
        <f>ROUND(IF(SUM(B202:F212)&lt;(L218*11),IF((SUM(B202:F213))&gt;(L218*12),(((L218*12)-(SUM(B202:F213)-C212))*N201)+((SUM(B213:F213)-C212)*N201),SUM(B213:F213)*N201),IF(SUM(B202:F213)&gt;(L218*12),L218*N201,SUM(B213:F213)*N201)),2)</f>
        <v>0</v>
      </c>
      <c r="O213" s="23">
        <f>ROUND(SUM(B213+C213+F213)*O201,2)</f>
        <v>0</v>
      </c>
      <c r="P213" s="27">
        <f t="shared" si="23"/>
        <v>0</v>
      </c>
    </row>
    <row r="214" spans="1:16" s="14" customFormat="1" ht="15" x14ac:dyDescent="0.25">
      <c r="A214" s="4" t="s">
        <v>2</v>
      </c>
      <c r="B214" s="27">
        <f>SUM(B202:B213)</f>
        <v>0</v>
      </c>
      <c r="C214" s="27">
        <f t="shared" ref="C214:D214" si="24">SUM(C202:C213)</f>
        <v>0</v>
      </c>
      <c r="D214" s="27">
        <f t="shared" si="24"/>
        <v>0</v>
      </c>
      <c r="E214" s="27">
        <f>SUM(E202:E213)</f>
        <v>0</v>
      </c>
      <c r="F214" s="27">
        <f>SUM(F202:F213)</f>
        <v>0</v>
      </c>
      <c r="G214" s="27">
        <f>SUM(G202:G213)</f>
        <v>0</v>
      </c>
      <c r="H214" s="1133">
        <f>SUM(H202:N213)</f>
        <v>0</v>
      </c>
      <c r="I214" s="1134"/>
      <c r="J214" s="1134"/>
      <c r="K214" s="1134"/>
      <c r="L214" s="1134"/>
      <c r="M214" s="1134"/>
      <c r="N214" s="1135"/>
      <c r="O214" s="27">
        <f>SUM(O202:O213)</f>
        <v>0</v>
      </c>
      <c r="P214" s="27">
        <f>SUM(P202:P213)</f>
        <v>0</v>
      </c>
    </row>
    <row r="215" spans="1:16" s="13" customFormat="1" ht="11.25" x14ac:dyDescent="0.2">
      <c r="A215" s="3" t="s">
        <v>1</v>
      </c>
      <c r="B215" s="2"/>
      <c r="C215" s="2"/>
      <c r="D215" s="2"/>
      <c r="E215" s="2"/>
      <c r="F215" s="2"/>
      <c r="G215" s="2"/>
      <c r="H215" s="2"/>
      <c r="I215" s="2"/>
      <c r="J215" s="2"/>
      <c r="K215" s="2"/>
      <c r="L215" s="2"/>
      <c r="M215" s="2"/>
      <c r="N215" s="2"/>
      <c r="O215" s="2"/>
      <c r="P215" s="2"/>
    </row>
    <row r="216" spans="1:16" ht="14.25" customHeight="1" x14ac:dyDescent="0.2">
      <c r="A216" s="1136" t="s">
        <v>133</v>
      </c>
      <c r="B216" s="1137"/>
      <c r="C216" s="1137"/>
      <c r="D216" s="1137" t="s">
        <v>134</v>
      </c>
      <c r="E216" s="1137"/>
      <c r="F216" s="94" t="str">
        <f>IF(IF(G214=0,"",'päd.Personal - Leitung'!$F$40)=0,"",IF(G214=0,"",'päd.Personal - Leitung'!$F$40))</f>
        <v/>
      </c>
      <c r="G216" s="77" t="s">
        <v>135</v>
      </c>
      <c r="H216" s="96" t="str">
        <f>IF(IF(G214=0,"",'päd.Personal - Leitung'!$H$40)=0,"",IF(G214=0,"",'päd.Personal - Leitung'!$H$40))</f>
        <v/>
      </c>
      <c r="I216" s="73"/>
      <c r="J216" s="194" t="s">
        <v>160</v>
      </c>
      <c r="K216" s="194" t="str">
        <f>$K$40</f>
        <v>2021</v>
      </c>
      <c r="L216" s="194" t="str">
        <f>$L$40</f>
        <v>anteilig 2021</v>
      </c>
      <c r="M216" s="1138" t="s">
        <v>140</v>
      </c>
      <c r="N216" s="1138"/>
      <c r="O216" s="1139"/>
      <c r="P216" s="27">
        <f>ROUND(IF(F216="",IF(E220="",0,(E220*H220/K220)/L183*L184),G214*F216*H216/1000),2)</f>
        <v>0</v>
      </c>
    </row>
    <row r="217" spans="1:16" ht="15" customHeight="1" x14ac:dyDescent="0.2">
      <c r="A217" s="1140" t="s">
        <v>145</v>
      </c>
      <c r="B217" s="1141"/>
      <c r="C217" s="1141"/>
      <c r="D217" s="18"/>
      <c r="E217" s="107" t="s">
        <v>135</v>
      </c>
      <c r="F217" s="95" t="str">
        <f>IF(IF(G214=0,"",'päd.Personal - Leitung'!$F$41)=0,"",IF(G214=0,"",'päd.Personal - Leitung'!$F$41))</f>
        <v/>
      </c>
      <c r="G217" s="48"/>
      <c r="H217" s="47"/>
      <c r="I217" s="48"/>
      <c r="J217" s="195" t="s">
        <v>158</v>
      </c>
      <c r="K217" s="198">
        <f>$K$41</f>
        <v>4837.5</v>
      </c>
      <c r="L217" s="197">
        <f>IF(L183="",K217,K217/L183*L184)</f>
        <v>4837.5</v>
      </c>
      <c r="M217" s="1138" t="s">
        <v>139</v>
      </c>
      <c r="N217" s="1138"/>
      <c r="O217" s="1139"/>
      <c r="P217" s="27">
        <f>ROUND(IF(F217="",0,G214*F217/1000),2)</f>
        <v>0</v>
      </c>
    </row>
    <row r="218" spans="1:16" ht="15.75" customHeight="1" x14ac:dyDescent="0.2">
      <c r="A218" s="1142" t="s">
        <v>141</v>
      </c>
      <c r="B218" s="1143"/>
      <c r="C218" s="1143"/>
      <c r="D218" s="1144" t="s">
        <v>143</v>
      </c>
      <c r="E218" s="1144"/>
      <c r="F218" s="1145" t="str">
        <f>IF(IF(G214=0,"",'päd.Personal - Leitung'!$F$42)=0,"",IF(G214=0,"",'päd.Personal - Leitung'!$F$42))</f>
        <v/>
      </c>
      <c r="G218" s="1145"/>
      <c r="H218" s="72"/>
      <c r="I218" s="18"/>
      <c r="J218" s="195" t="s">
        <v>159</v>
      </c>
      <c r="K218" s="198">
        <f>$K$42</f>
        <v>6700</v>
      </c>
      <c r="L218" s="197">
        <f>IF(L183="",K218,K218/L183*L184)</f>
        <v>6700</v>
      </c>
      <c r="M218" s="1138" t="s">
        <v>141</v>
      </c>
      <c r="N218" s="1138"/>
      <c r="O218" s="1139"/>
      <c r="P218" s="23">
        <f>ROUND(IF(F218="",0,IF(G214=0,0,F218/L183*L184)),2)</f>
        <v>0</v>
      </c>
    </row>
    <row r="219" spans="1:16" ht="14.25" customHeight="1" x14ac:dyDescent="0.2">
      <c r="A219" s="18"/>
      <c r="B219" s="18"/>
      <c r="C219" s="18"/>
      <c r="D219" s="18"/>
      <c r="E219" s="18"/>
      <c r="F219" s="18"/>
      <c r="G219" s="18"/>
      <c r="H219" s="18"/>
      <c r="I219" s="18"/>
      <c r="J219" s="18"/>
      <c r="K219" s="74"/>
      <c r="L219" s="82"/>
      <c r="M219" s="1127" t="s">
        <v>146</v>
      </c>
      <c r="N219" s="1127"/>
      <c r="O219" s="1128"/>
      <c r="P219" s="23">
        <f>ROUND(IF(G214=0,0,$P$43),2)</f>
        <v>0</v>
      </c>
    </row>
    <row r="220" spans="1:16" ht="14.25" customHeight="1" x14ac:dyDescent="0.2">
      <c r="A220" s="1129" t="s">
        <v>142</v>
      </c>
      <c r="B220" s="1130"/>
      <c r="C220" s="126" t="s">
        <v>136</v>
      </c>
      <c r="D220" s="126" t="s">
        <v>137</v>
      </c>
      <c r="E220" s="1131" t="str">
        <f>IF(IF(G214=0,"",'päd.Personal - Leitung'!$E$44)=0,"",IF(G214=0,"",'päd.Personal - Leitung'!$E$44))</f>
        <v/>
      </c>
      <c r="F220" s="1131"/>
      <c r="G220" s="83" t="s">
        <v>138</v>
      </c>
      <c r="H220" s="97" t="str">
        <f>IF(IF(G214=0,"",'päd.Personal - Leitung'!$H$44)=0,"",IF(G214=0,"",'päd.Personal - Leitung'!$H$44))</f>
        <v/>
      </c>
      <c r="I220" s="1132" t="s">
        <v>144</v>
      </c>
      <c r="J220" s="1132"/>
      <c r="K220" s="98" t="str">
        <f>IF(IF(G214=0,"",'päd.Personal - Leitung'!$K$44)=0,"",IF(G214=0,"",'päd.Personal - Leitung'!$K$44))</f>
        <v/>
      </c>
      <c r="L220" s="29"/>
      <c r="M220" s="29"/>
      <c r="N220" s="29"/>
      <c r="O220" s="28" t="s">
        <v>0</v>
      </c>
      <c r="P220" s="27">
        <f>P214+SUM(P216:P219)</f>
        <v>0</v>
      </c>
    </row>
    <row r="221" spans="1:16" s="12" customFormat="1" ht="13.5" customHeight="1" x14ac:dyDescent="0.2">
      <c r="A221" s="1178" t="s">
        <v>18</v>
      </c>
      <c r="B221" s="1178"/>
      <c r="C221" s="1178"/>
      <c r="D221" s="1179" t="str">
        <f>IF($D$1="","",$D$1)</f>
        <v/>
      </c>
      <c r="E221" s="1179"/>
      <c r="F221" s="1179"/>
      <c r="G221" s="1179"/>
      <c r="H221" s="1179"/>
      <c r="I221" s="1179"/>
      <c r="J221" s="1179"/>
      <c r="K221" s="1179"/>
      <c r="L221" s="1179"/>
      <c r="M221" s="1179"/>
      <c r="N221" s="1179"/>
    </row>
    <row r="222" spans="1:16" s="12" customFormat="1" ht="15" customHeight="1" x14ac:dyDescent="0.2">
      <c r="A222" s="1178" t="s">
        <v>17</v>
      </c>
      <c r="B222" s="1178"/>
      <c r="C222" s="1178" t="s">
        <v>15</v>
      </c>
      <c r="D222" s="1179" t="str">
        <f>IF($D$2="","",$D$2)</f>
        <v/>
      </c>
      <c r="E222" s="1179"/>
      <c r="F222" s="1179"/>
      <c r="G222" s="1179"/>
      <c r="H222" s="1179"/>
      <c r="I222" s="1179"/>
      <c r="J222" s="1179"/>
      <c r="K222" s="1179"/>
      <c r="L222" s="1179"/>
      <c r="M222" s="1179"/>
      <c r="N222" s="1179"/>
    </row>
    <row r="223" spans="1:16" s="12" customFormat="1" ht="15" customHeight="1" x14ac:dyDescent="0.2">
      <c r="A223" s="1178" t="s">
        <v>16</v>
      </c>
      <c r="B223" s="1178"/>
      <c r="C223" s="1178" t="s">
        <v>15</v>
      </c>
      <c r="D223" s="1179" t="str">
        <f>IF($D$3="","",$D$3)</f>
        <v/>
      </c>
      <c r="E223" s="1179"/>
      <c r="F223" s="1179"/>
      <c r="G223" s="1179"/>
      <c r="H223" s="1179"/>
      <c r="I223" s="1179"/>
      <c r="J223" s="1179"/>
      <c r="K223" s="1178" t="s">
        <v>103</v>
      </c>
      <c r="L223" s="1178"/>
      <c r="M223" s="1178"/>
      <c r="N223" s="41" t="str">
        <f>IF($N$3="","",$N$3)</f>
        <v/>
      </c>
    </row>
    <row r="224" spans="1:16" s="13" customFormat="1" ht="11.25" x14ac:dyDescent="0.2">
      <c r="A224" s="1182"/>
      <c r="B224" s="1182"/>
      <c r="C224" s="1182"/>
      <c r="D224" s="1183"/>
      <c r="E224" s="1183"/>
      <c r="F224" s="1183"/>
      <c r="G224" s="1183"/>
      <c r="H224" s="1183"/>
      <c r="I224" s="1183"/>
      <c r="J224" s="1183"/>
      <c r="K224" s="11"/>
      <c r="L224" s="11"/>
      <c r="M224" s="11"/>
      <c r="N224" s="11"/>
      <c r="O224" s="11"/>
      <c r="P224" s="11"/>
    </row>
    <row r="225" spans="1:16" s="15" customFormat="1" ht="13.5" customHeight="1" x14ac:dyDescent="0.2">
      <c r="A225" s="1177" t="s">
        <v>174</v>
      </c>
      <c r="B225" s="1177"/>
      <c r="C225" s="1177"/>
      <c r="D225" s="1177"/>
      <c r="E225" s="1177"/>
      <c r="F225" s="1177"/>
      <c r="G225" s="1177"/>
      <c r="H225" s="1177"/>
      <c r="I225" s="1177"/>
      <c r="J225" s="1177"/>
      <c r="K225" s="9"/>
      <c r="L225" s="9"/>
      <c r="M225" s="9"/>
      <c r="N225" s="59" t="s">
        <v>154</v>
      </c>
      <c r="O225" s="191">
        <f>$O$5</f>
        <v>2022</v>
      </c>
      <c r="P225" s="59" t="s">
        <v>154</v>
      </c>
    </row>
    <row r="226" spans="1:16" s="10" customFormat="1" ht="13.5" customHeight="1" x14ac:dyDescent="0.25">
      <c r="B226" s="32"/>
      <c r="C226" s="32"/>
      <c r="D226" s="5" t="s">
        <v>26</v>
      </c>
      <c r="E226" s="31"/>
      <c r="F226" s="31"/>
      <c r="G226" s="31"/>
      <c r="H226" s="31"/>
      <c r="I226" s="26"/>
      <c r="J226" s="1174" t="s">
        <v>14</v>
      </c>
      <c r="K226" s="1174"/>
      <c r="L226" s="180"/>
      <c r="N226" s="84">
        <f>IF(L228="","",L228)</f>
        <v>0</v>
      </c>
      <c r="O226" s="58" t="str">
        <f>$O$6</f>
        <v>Jan                Jul</v>
      </c>
      <c r="P226" s="85">
        <f>IF(N231="","",N231)</f>
        <v>0</v>
      </c>
    </row>
    <row r="227" spans="1:16" s="7" customFormat="1" ht="13.5" customHeight="1" x14ac:dyDescent="0.25">
      <c r="A227" s="1180" t="s">
        <v>71</v>
      </c>
      <c r="B227" s="1180"/>
      <c r="C227" s="1180"/>
      <c r="D227" s="1184"/>
      <c r="E227" s="1184"/>
      <c r="F227" s="1184"/>
      <c r="G227" s="1184"/>
      <c r="H227" s="1184"/>
      <c r="I227" s="1184"/>
      <c r="J227" s="1174" t="s">
        <v>104</v>
      </c>
      <c r="K227" s="1174"/>
      <c r="L227" s="145"/>
      <c r="N227" s="85">
        <f>IF(N226="","",N226)</f>
        <v>0</v>
      </c>
      <c r="O227" s="58" t="str">
        <f>$O$7</f>
        <v>Feb              Aug</v>
      </c>
      <c r="P227" s="85">
        <f>IF(P226="","",P226)</f>
        <v>0</v>
      </c>
    </row>
    <row r="228" spans="1:16" ht="13.5" customHeight="1" x14ac:dyDescent="0.2">
      <c r="A228" s="1180" t="s">
        <v>13</v>
      </c>
      <c r="B228" s="1180"/>
      <c r="C228" s="1180"/>
      <c r="D228" s="1181"/>
      <c r="E228" s="1181"/>
      <c r="F228" s="1181"/>
      <c r="G228" s="1181"/>
      <c r="H228" s="1181"/>
      <c r="I228" s="1181"/>
      <c r="J228" s="1174" t="s">
        <v>164</v>
      </c>
      <c r="K228" s="1174"/>
      <c r="L228" s="145">
        <f>IF((L229+L230)&gt;L227,0,L227-L229-L230)</f>
        <v>0</v>
      </c>
      <c r="M228" s="1"/>
      <c r="N228" s="85">
        <f>IF(N227="","",N227)</f>
        <v>0</v>
      </c>
      <c r="O228" s="58" t="str">
        <f>$O$8</f>
        <v>Mrz              Sep</v>
      </c>
      <c r="P228" s="85">
        <f>IF(P227="","",P227)</f>
        <v>0</v>
      </c>
    </row>
    <row r="229" spans="1:16" ht="13.5" customHeight="1" x14ac:dyDescent="0.2">
      <c r="A229" s="1180" t="s">
        <v>12</v>
      </c>
      <c r="B229" s="1180"/>
      <c r="C229" s="1180"/>
      <c r="D229" s="1181"/>
      <c r="E229" s="1181"/>
      <c r="F229" s="1181"/>
      <c r="G229" s="1181"/>
      <c r="H229" s="1181"/>
      <c r="I229" s="1181"/>
      <c r="J229" s="1174" t="s">
        <v>165</v>
      </c>
      <c r="K229" s="1174"/>
      <c r="L229" s="145"/>
      <c r="M229" s="1"/>
      <c r="N229" s="85">
        <f>IF(N228="","",N228)</f>
        <v>0</v>
      </c>
      <c r="O229" s="58" t="str">
        <f>$O$9</f>
        <v>Apr               Okt</v>
      </c>
      <c r="P229" s="85">
        <f t="shared" ref="P229:P231" si="25">IF(P228="","",P228)</f>
        <v>0</v>
      </c>
    </row>
    <row r="230" spans="1:16" ht="13.5" customHeight="1" x14ac:dyDescent="0.2">
      <c r="A230" s="1180" t="s">
        <v>19</v>
      </c>
      <c r="B230" s="1180"/>
      <c r="C230" s="1180"/>
      <c r="D230" s="1181"/>
      <c r="E230" s="1181"/>
      <c r="F230" s="1181"/>
      <c r="G230" s="1181"/>
      <c r="H230" s="1181"/>
      <c r="I230" s="1181"/>
      <c r="J230" s="1174" t="s">
        <v>252</v>
      </c>
      <c r="K230" s="1174"/>
      <c r="L230" s="145"/>
      <c r="M230" s="92"/>
      <c r="N230" s="85">
        <f>IF(N229="","",N229)</f>
        <v>0</v>
      </c>
      <c r="O230" s="58" t="str">
        <f>$O$10</f>
        <v>Mai               Nov</v>
      </c>
      <c r="P230" s="85">
        <f t="shared" si="25"/>
        <v>0</v>
      </c>
    </row>
    <row r="231" spans="1:16" ht="13.5" customHeight="1" x14ac:dyDescent="0.2">
      <c r="A231" s="1"/>
      <c r="B231" s="8"/>
      <c r="C231" s="200" t="s">
        <v>162</v>
      </c>
      <c r="D231" s="1175"/>
      <c r="E231" s="1175"/>
      <c r="F231" s="1176" t="s">
        <v>106</v>
      </c>
      <c r="G231" s="1176"/>
      <c r="H231" s="1186"/>
      <c r="I231" s="1186"/>
      <c r="J231" s="1174" t="s">
        <v>97</v>
      </c>
      <c r="K231" s="1174"/>
      <c r="L231" s="17" t="str">
        <f>IF(IF((COUNTIF(B246:B257,"&gt;0"))=0,0,(COUNTIF(B246:B257,"&gt;0")))&gt;Grundlagen!$C$24,Grundlagen!$C$24,IF((COUNTIF(B246:B257,"&gt;0"))=0,"",(COUNTIF(B246:B257,"&gt;0"))))</f>
        <v/>
      </c>
      <c r="M231" s="1"/>
      <c r="N231" s="85">
        <f>IF(N230="","",N230)</f>
        <v>0</v>
      </c>
      <c r="O231" s="58" t="str">
        <f>'päd.Personal - Leitung'!$O$11</f>
        <v>Jun               Dez</v>
      </c>
      <c r="P231" s="85">
        <f t="shared" si="25"/>
        <v>0</v>
      </c>
    </row>
    <row r="232" spans="1:16" ht="13.5" customHeight="1" x14ac:dyDescent="0.2">
      <c r="A232" s="1"/>
      <c r="B232" s="1"/>
      <c r="C232" s="1"/>
      <c r="D232" s="1"/>
      <c r="E232" s="1"/>
      <c r="F232" s="1"/>
      <c r="G232" s="1"/>
      <c r="H232" s="1"/>
      <c r="I232" s="6"/>
      <c r="J232" s="1"/>
      <c r="K232" s="1"/>
      <c r="L232" s="147" t="str">
        <f>IF((SUM(F234:F237))=0,"",IF(P232&gt;L228,L228,IF(L228="","",IF(L231="","",P232))))</f>
        <v/>
      </c>
      <c r="M232" s="1"/>
      <c r="N232" s="1"/>
      <c r="O232" s="174" t="s">
        <v>251</v>
      </c>
      <c r="P232" s="175">
        <f>IF(L231="",0,((IF(SUMIF(B246,"&gt;0"),N226,0))+(IF(SUMIF(B247,"&gt;0"),N227,0))+(IF(SUMIF(B248,"&gt;0"),N228,0))+(IF(SUMIF(B249,"&gt;0"),N229,0))+(IF(SUMIF(B250,"&gt;0"),N230,0))+(IF(SUMIF(B251,"&gt;0"),N231,0))+(IF(SUMIF(B252,"&gt;0"),P226,0))+(IF(SUMIF(B253,"&gt;0"),P227,0))+(IF(SUMIF(B254,"&gt;0"),P228,0))+(IF(SUMIF(B255,"&gt;0"),P229,0))+(IF(SUMIF(B256,"&gt;0"),P230,0))+(IF(SUMIF(B257,"&gt;0"),P231,0)))/Grundlagen!$C$24)</f>
        <v>0</v>
      </c>
    </row>
    <row r="233" spans="1:16" s="52" customFormat="1" ht="13.5" customHeight="1" x14ac:dyDescent="0.2">
      <c r="A233" s="61" t="s">
        <v>148</v>
      </c>
      <c r="B233" s="1168" t="s">
        <v>149</v>
      </c>
      <c r="C233" s="1168"/>
      <c r="D233" s="62" t="s">
        <v>150</v>
      </c>
      <c r="E233" s="63" t="s">
        <v>151</v>
      </c>
      <c r="F233" s="64" t="str">
        <f>CONCATENATE("Entg. ",N223," h/Wo")</f>
        <v>Entg.  h/Wo</v>
      </c>
      <c r="G233" s="65" t="s">
        <v>152</v>
      </c>
      <c r="H233" s="65" t="s">
        <v>153</v>
      </c>
      <c r="K233" s="1169" t="str">
        <f>CONCATENATE("Zuschläge / Zulagen für ",N223,"h/Wo")</f>
        <v>Zuschläge / Zulagen für h/Wo</v>
      </c>
      <c r="L233" s="1169"/>
      <c r="M233" s="66" t="str">
        <f>IF(A234="","",A234)</f>
        <v>Jan 2022</v>
      </c>
      <c r="N233" s="66" t="str">
        <f>IF(A235="","",A235)</f>
        <v/>
      </c>
      <c r="O233" s="66" t="str">
        <f>IF(A236="","",A236)</f>
        <v/>
      </c>
      <c r="P233" s="66" t="str">
        <f>IF(A237="","",A237)</f>
        <v/>
      </c>
    </row>
    <row r="234" spans="1:16" s="52" customFormat="1" ht="13.5" customHeight="1" x14ac:dyDescent="0.25">
      <c r="A234" s="54" t="str">
        <f>A246</f>
        <v>Jan 2022</v>
      </c>
      <c r="B234" s="1170" t="str">
        <f>IF($D$3="","",$D$3)</f>
        <v/>
      </c>
      <c r="C234" s="1171"/>
      <c r="D234" s="181"/>
      <c r="E234" s="181"/>
      <c r="F234" s="87"/>
      <c r="G234" s="56">
        <f>IF(N223="",0,F234/N223/4.348)</f>
        <v>0</v>
      </c>
      <c r="H234" s="53">
        <f>IF(G234=0,0,M239)</f>
        <v>0</v>
      </c>
      <c r="K234" s="1146"/>
      <c r="L234" s="1146"/>
      <c r="M234" s="86"/>
      <c r="N234" s="86"/>
      <c r="O234" s="86"/>
      <c r="P234" s="86"/>
    </row>
    <row r="235" spans="1:16" s="52" customFormat="1" ht="13.5" customHeight="1" x14ac:dyDescent="0.25">
      <c r="A235" s="55"/>
      <c r="B235" s="1172" t="str">
        <f>IF(A235="","",B234)</f>
        <v/>
      </c>
      <c r="C235" s="1173"/>
      <c r="D235" s="181"/>
      <c r="E235" s="181"/>
      <c r="F235" s="87"/>
      <c r="G235" s="56">
        <f>IF(N223="",0,F235/N223/4.348)</f>
        <v>0</v>
      </c>
      <c r="H235" s="53">
        <f>IF(G235=0,0,N239)</f>
        <v>0</v>
      </c>
      <c r="K235" s="1146"/>
      <c r="L235" s="1146"/>
      <c r="M235" s="86"/>
      <c r="N235" s="86"/>
      <c r="O235" s="86"/>
      <c r="P235" s="86"/>
    </row>
    <row r="236" spans="1:16" s="52" customFormat="1" ht="13.5" customHeight="1" x14ac:dyDescent="0.25">
      <c r="A236" s="55"/>
      <c r="B236" s="1172" t="str">
        <f>IF(A236="","",B235)</f>
        <v/>
      </c>
      <c r="C236" s="1173"/>
      <c r="D236" s="181"/>
      <c r="E236" s="181"/>
      <c r="F236" s="87"/>
      <c r="G236" s="56">
        <f>IF(N223="",0,F236/N223/4.348)</f>
        <v>0</v>
      </c>
      <c r="H236" s="53">
        <f>IF(G236=0,0,O239)</f>
        <v>0</v>
      </c>
      <c r="K236" s="1146"/>
      <c r="L236" s="1146"/>
      <c r="M236" s="86"/>
      <c r="N236" s="86"/>
      <c r="O236" s="86"/>
      <c r="P236" s="86"/>
    </row>
    <row r="237" spans="1:16" s="52" customFormat="1" ht="13.5" customHeight="1" x14ac:dyDescent="0.25">
      <c r="A237" s="55"/>
      <c r="B237" s="1172" t="str">
        <f>IF(A237="","",B236)</f>
        <v/>
      </c>
      <c r="C237" s="1173"/>
      <c r="D237" s="181"/>
      <c r="E237" s="181"/>
      <c r="F237" s="87"/>
      <c r="G237" s="56">
        <f>IF(N223="",0,F237/N223/4.348)</f>
        <v>0</v>
      </c>
      <c r="H237" s="53">
        <f>IF(G237=0,0,P239)</f>
        <v>0</v>
      </c>
      <c r="K237" s="1146"/>
      <c r="L237" s="1146"/>
      <c r="M237" s="86"/>
      <c r="N237" s="86"/>
      <c r="O237" s="86"/>
      <c r="P237" s="86"/>
    </row>
    <row r="238" spans="1:16" s="52" customFormat="1" ht="13.5" customHeight="1" x14ac:dyDescent="0.25">
      <c r="B238" s="1167" t="s">
        <v>157</v>
      </c>
      <c r="C238" s="1167"/>
      <c r="E238" s="1167" t="s">
        <v>156</v>
      </c>
      <c r="F238" s="1167"/>
      <c r="J238" s="69"/>
      <c r="K238" s="1146"/>
      <c r="L238" s="1146"/>
      <c r="M238" s="86"/>
      <c r="N238" s="86"/>
      <c r="O238" s="86"/>
      <c r="P238" s="86"/>
    </row>
    <row r="239" spans="1:16" s="52" customFormat="1" ht="13.5" customHeight="1" x14ac:dyDescent="0.25">
      <c r="A239" s="70" t="s">
        <v>167</v>
      </c>
      <c r="B239" s="67"/>
      <c r="C239" s="99" t="str">
        <f>IF(C195="","",C195)</f>
        <v/>
      </c>
      <c r="D239" s="70" t="s">
        <v>167</v>
      </c>
      <c r="E239" s="67"/>
      <c r="F239" s="99" t="str">
        <f>IF(F195="","",F195)</f>
        <v/>
      </c>
      <c r="J239" s="68"/>
      <c r="M239" s="57">
        <f>SUM(M234:M238)</f>
        <v>0</v>
      </c>
      <c r="N239" s="57">
        <f t="shared" ref="N239:P239" si="26">SUM(N234:N238)</f>
        <v>0</v>
      </c>
      <c r="O239" s="57">
        <f t="shared" si="26"/>
        <v>0</v>
      </c>
      <c r="P239" s="57">
        <f t="shared" si="26"/>
        <v>0</v>
      </c>
    </row>
    <row r="240" spans="1:16" s="52" customFormat="1" ht="13.5" customHeight="1" x14ac:dyDescent="0.2">
      <c r="A240" s="60" t="s">
        <v>155</v>
      </c>
    </row>
    <row r="241" spans="1:16" ht="14.25" customHeight="1" x14ac:dyDescent="0.2">
      <c r="A241" s="1147"/>
      <c r="B241" s="1149" t="s">
        <v>9</v>
      </c>
      <c r="C241" s="1150"/>
      <c r="D241" s="1150"/>
      <c r="E241" s="1150"/>
      <c r="F241" s="1150"/>
      <c r="G241" s="1151"/>
      <c r="H241" s="1152" t="s">
        <v>119</v>
      </c>
      <c r="I241" s="1153"/>
      <c r="J241" s="1153"/>
      <c r="K241" s="1153"/>
      <c r="L241" s="1153"/>
      <c r="M241" s="1153"/>
      <c r="N241" s="1153"/>
      <c r="O241" s="33"/>
      <c r="P241" s="1154" t="s">
        <v>0</v>
      </c>
    </row>
    <row r="242" spans="1:16" ht="14.25" customHeight="1" x14ac:dyDescent="0.2">
      <c r="A242" s="1148"/>
      <c r="B242" s="1157" t="s">
        <v>117</v>
      </c>
      <c r="C242" s="124" t="s">
        <v>115</v>
      </c>
      <c r="D242" s="1159" t="s">
        <v>277</v>
      </c>
      <c r="E242" s="1161" t="s">
        <v>147</v>
      </c>
      <c r="F242" s="127" t="s">
        <v>7</v>
      </c>
      <c r="G242" s="1162" t="s">
        <v>6</v>
      </c>
      <c r="H242" s="1161" t="s">
        <v>129</v>
      </c>
      <c r="I242" s="1161" t="s">
        <v>5</v>
      </c>
      <c r="J242" s="1161" t="s">
        <v>4</v>
      </c>
      <c r="K242" s="1161" t="s">
        <v>3</v>
      </c>
      <c r="L242" s="1161" t="s">
        <v>121</v>
      </c>
      <c r="M242" s="1161" t="s">
        <v>122</v>
      </c>
      <c r="N242" s="1161" t="s">
        <v>123</v>
      </c>
      <c r="O242" s="1160" t="s">
        <v>114</v>
      </c>
      <c r="P242" s="1155"/>
    </row>
    <row r="243" spans="1:16" ht="14.25" customHeight="1" x14ac:dyDescent="0.2">
      <c r="A243" s="1148"/>
      <c r="B243" s="1157"/>
      <c r="C243" s="21" t="str">
        <f>IF(C239="","",C239)</f>
        <v/>
      </c>
      <c r="D243" s="1160"/>
      <c r="E243" s="1161"/>
      <c r="F243" s="1165" t="str">
        <f>IF(H234=0,"","siehe Zuschläge / Zulagen")</f>
        <v/>
      </c>
      <c r="G243" s="1162"/>
      <c r="H243" s="1164" t="s">
        <v>127</v>
      </c>
      <c r="I243" s="1164"/>
      <c r="J243" s="1164"/>
      <c r="K243" s="1164"/>
      <c r="L243" s="1164"/>
      <c r="M243" s="1164"/>
      <c r="N243" s="1164"/>
      <c r="O243" s="1160"/>
      <c r="P243" s="1155"/>
    </row>
    <row r="244" spans="1:16" x14ac:dyDescent="0.2">
      <c r="A244" s="1148"/>
      <c r="B244" s="1157"/>
      <c r="C244" s="122" t="s">
        <v>70</v>
      </c>
      <c r="D244" s="1160"/>
      <c r="E244" s="1161"/>
      <c r="F244" s="1165"/>
      <c r="G244" s="1162"/>
      <c r="H244" s="43" t="s">
        <v>128</v>
      </c>
      <c r="I244" s="43" t="s">
        <v>255</v>
      </c>
      <c r="J244" s="43" t="s">
        <v>256</v>
      </c>
      <c r="K244" s="43" t="s">
        <v>257</v>
      </c>
      <c r="L244" s="43"/>
      <c r="M244" s="43"/>
      <c r="N244" s="43" t="s">
        <v>254</v>
      </c>
      <c r="O244" s="1160"/>
      <c r="P244" s="1155"/>
    </row>
    <row r="245" spans="1:16" x14ac:dyDescent="0.2">
      <c r="A245" s="1148"/>
      <c r="B245" s="1158"/>
      <c r="C245" s="21" t="str">
        <f>IF(F239="","",F239)</f>
        <v/>
      </c>
      <c r="D245" s="51"/>
      <c r="E245" s="51"/>
      <c r="F245" s="1166"/>
      <c r="G245" s="1163"/>
      <c r="H245" s="93"/>
      <c r="I245" s="139">
        <f>$I$25</f>
        <v>0</v>
      </c>
      <c r="J245" s="139">
        <f>$J$25</f>
        <v>0</v>
      </c>
      <c r="K245" s="44">
        <f>$K$25</f>
        <v>0</v>
      </c>
      <c r="L245" s="21"/>
      <c r="M245" s="21"/>
      <c r="N245" s="139">
        <f>$N$25</f>
        <v>0</v>
      </c>
      <c r="O245" s="21">
        <f>O201</f>
        <v>0</v>
      </c>
      <c r="P245" s="1156"/>
    </row>
    <row r="246" spans="1:16" x14ac:dyDescent="0.2">
      <c r="A246" s="100" t="str">
        <f>$A$26</f>
        <v>Jan 2022</v>
      </c>
      <c r="B246" s="24">
        <f>ROUND(IF(N226=0,0,(LOOKUP(2,1/(A234:A237=A246),G234:G237))*N226*4.348),2)</f>
        <v>0</v>
      </c>
      <c r="C246" s="23">
        <f>ROUND(IFERROR(((LOOKUP(2,1/(B239=A246),((SUM(B252:B254)+SUM(F252:F254))/3)*C239))),0)+IFERROR(((LOOKUP(2,1/(E239=A246),(B258+F258)*F239))),0),2)</f>
        <v>0</v>
      </c>
      <c r="D246" s="23">
        <f>ROUND(IF(B246=0,0,D245/L227*N226),2)</f>
        <v>0</v>
      </c>
      <c r="E246" s="23">
        <f>ROUND(IF(B246=0,0,E245/N223*N226),2)</f>
        <v>0</v>
      </c>
      <c r="F246" s="24">
        <f>ROUND(IF(N226=0,0,(LOOKUP(2,1/(A234:A237=A246),H234:H237))/N223*N226),2)</f>
        <v>0</v>
      </c>
      <c r="G246" s="27">
        <f>SUM(B246+C246+E246+F246)</f>
        <v>0</v>
      </c>
      <c r="H246" s="76">
        <f>ROUND(IF((SUM(B246:F246))&gt;L261,L261*H245,SUM(B246:F246)*H245),2)</f>
        <v>0</v>
      </c>
      <c r="I246" s="76">
        <f>ROUND(IF((SUM(B246:F246))&gt;L262,L262*I245,SUM(B246:F246)*I245),2)</f>
        <v>0</v>
      </c>
      <c r="J246" s="76">
        <f>ROUND(IF((SUM(B246:F246))&gt;L262,L262*J245,SUM(B246:F246)*J245),2)</f>
        <v>0</v>
      </c>
      <c r="K246" s="76">
        <f>ROUND(IF((SUM(B246:F246))&gt;L261,L261*K245,SUM(B246:F246)*K245),2)</f>
        <v>0</v>
      </c>
      <c r="L246" s="76">
        <f>ROUND(IF((SUM(B246:F246))&gt;L262,L262*L245,(SUM(B246:F246)-C246)*L245),2)</f>
        <v>0</v>
      </c>
      <c r="M246" s="76">
        <f>ROUND(IF((SUM(B246:F246))&gt;L262,L262*M245,(SUM(B246:F246)-C246)*M245),2)</f>
        <v>0</v>
      </c>
      <c r="N246" s="76">
        <f>ROUND(IF((SUM(B246:F246))&gt;L262,L262*N245,SUM(B246:F246)*N245),2)</f>
        <v>0</v>
      </c>
      <c r="O246" s="23">
        <f>ROUND(SUM(B246+C246+F246)*O245,2)</f>
        <v>0</v>
      </c>
      <c r="P246" s="27">
        <f>SUM(G246:O246)</f>
        <v>0</v>
      </c>
    </row>
    <row r="247" spans="1:16" x14ac:dyDescent="0.2">
      <c r="A247" s="100" t="str">
        <f>$A$27</f>
        <v>Feb 2022</v>
      </c>
      <c r="B247" s="24">
        <f>ROUND(IF(N227=0,0,IFERROR(((LOOKUP(2,1/(A234:A237=A247),G234:G237))*N227*4.348),B246/N227*N227)),2)</f>
        <v>0</v>
      </c>
      <c r="C247" s="23">
        <f>ROUND(IFERROR(((LOOKUP(2,1/(B239=A247),((SUM(B252:B254)+SUM(F252:F254))/3)*C239))),0)+IFERROR(((LOOKUP(2,1/(E239=A247),(B258+F258)*F239))),0),2)</f>
        <v>0</v>
      </c>
      <c r="D247" s="23">
        <f>ROUND(IF(B247=0,0,D245/L227*N227),2)</f>
        <v>0</v>
      </c>
      <c r="E247" s="23">
        <f>ROUND(IF(B247=0,0,E245/N223*N227),2)</f>
        <v>0</v>
      </c>
      <c r="F247" s="24">
        <f>ROUND(IF(N227=0,0,IFERROR(((LOOKUP(2,1/(A234:A237=A247),H234:H237))/N223*N227),F246/N227*N227)),2)</f>
        <v>0</v>
      </c>
      <c r="G247" s="27">
        <f t="shared" ref="G247:G257" si="27">SUM(B247+C247+E247+F247)</f>
        <v>0</v>
      </c>
      <c r="H247" s="76">
        <f>ROUND(IF(SUM(B246:F246)&lt;(L261*1),IF((SUM(B246:F247))&gt;(L261*2),(((L261*2)-(SUM(B246:F247)-C246))*H245)+((SUM(B247:F247)-C246)*H245),SUM(B247:F247)*H245),IF(SUM(B246:F247)&gt;(L261*2),L261*H245,SUM(B247:F247)*H245)),2)</f>
        <v>0</v>
      </c>
      <c r="I247" s="76">
        <f>ROUND(IF(SUM(B246:F246)&lt;(L262*1),IF((SUM(B246:F247))&gt;(L262*2),(((L262*2)-(SUM(B246:F247)-C246))*I245)+((SUM(B247:F247)-C246)*I245),SUM(B247:F247)*I245),IF(SUM(B246:F247)&gt;(L262*2),L262*I245,SUM(B247:F247)*I245)),2)</f>
        <v>0</v>
      </c>
      <c r="J247" s="76">
        <f>ROUND(IF(SUM(B246:F246)&lt;(L262*1),IF((SUM(B246:F247))&gt;(L262*2),(((L262*2)-(SUM(B246:F247)-C246))*J245)+((SUM(B247:F247)-C246)*J245),SUM(B247:F247)*J245),IF(SUM(B246:F247)&gt;(L262*2),L262*J245,SUM(B247:F247)*J245)),2)</f>
        <v>0</v>
      </c>
      <c r="K247" s="76">
        <f>ROUND(IF(SUM(B246:F246)&lt;(L261*1),IF((SUM(B246:F247))&gt;(L261*2),(((L261*2)-(SUM(B246:F247)-C246))*K245)+((SUM(B247:F247)-C246)*K245),SUM(B247:F247)*K245),IF(SUM(B246:F247)&gt;(L261*2),L261*K245,SUM(B247:F247)*K245)),2)</f>
        <v>0</v>
      </c>
      <c r="L247" s="76">
        <f>ROUND(IF(SUM(B246:F246)&lt;(L262*1),IF((SUM(B246:F247))&gt;(L262*2),(((L262*2)-(SUM(B246:F247)-C247))*L245)+((SUM(B247:F247)-C247)*L245),(SUM(B247:F247)-C247)*L245),IF(SUM(B246:F247)&gt;(L262*2),L262*L245,SUM(B247:F247)*L245)),2)</f>
        <v>0</v>
      </c>
      <c r="M247" s="76">
        <f>ROUND(IF(SUM(B246:F246)&lt;(L262*1),IF((SUM(B246:F247))&gt;(L262*2),(((L262*2)-(SUM(B246:F247)-C247))*M245)+((SUM(B247:F247)-C247)*M245),(SUM(B247:F247)-C247)*M245),IF(SUM(B246:F247)&gt;(L262*2),L262*M245,SUM(B247:F247)*M245)),2)</f>
        <v>0</v>
      </c>
      <c r="N247" s="76">
        <f>ROUND(IF(SUM(B246:F246)&lt;(L262*1),IF((SUM(B246:F247))&gt;(L262*2),(((L262*2)-(SUM(B246:F247)-C246))*N245)+((SUM(B247:F247)-C246)*N245),SUM(B247:F247)*N245),IF(SUM(B246:F247)&gt;(L262*2),L262*N245,SUM(B247:F247)*N245)),2)</f>
        <v>0</v>
      </c>
      <c r="O247" s="23">
        <f>ROUND(SUM(B247+C247+F247)*O245,2)</f>
        <v>0</v>
      </c>
      <c r="P247" s="27">
        <f>SUM(G247:O247)</f>
        <v>0</v>
      </c>
    </row>
    <row r="248" spans="1:16" x14ac:dyDescent="0.2">
      <c r="A248" s="100" t="str">
        <f>$A$28</f>
        <v>Mrz 2022</v>
      </c>
      <c r="B248" s="24">
        <f>ROUND(IF(N228=0,0,IFERROR(((LOOKUP(2,1/(A234:A237=A248),G234:G237))*N228*4.348),B247/N228*N228)),2)</f>
        <v>0</v>
      </c>
      <c r="C248" s="23">
        <f>ROUND(IFERROR(((LOOKUP(2,1/(B239=A248),((SUM(B252:B254)+SUM(F252:F254))/3)*C239))),0)+IFERROR(((LOOKUP(2,1/(E239=A248),(B258+F258)*F239))),0),2)</f>
        <v>0</v>
      </c>
      <c r="D248" s="23">
        <f>ROUND(IF(B248=0,0,D245/L227*N228),2)</f>
        <v>0</v>
      </c>
      <c r="E248" s="23">
        <f>ROUND(IF(B248=0,0,E245/N223*N228),2)</f>
        <v>0</v>
      </c>
      <c r="F248" s="24">
        <f>ROUND(IF(N228=0,0,IFERROR(((LOOKUP(2,1/(A234:A237=A248),H234:H237))/N223*N228),F247/N228*N228)),2)</f>
        <v>0</v>
      </c>
      <c r="G248" s="27">
        <f t="shared" si="27"/>
        <v>0</v>
      </c>
      <c r="H248" s="76">
        <f>ROUND(IF(SUM(B246:F247)&lt;(L261*2),IF((SUM(B246:F248))&gt;(L261*3),(((L261*3)-(SUM(B246:F248)-C247))*H245)+((SUM(B248:F248)-C247)*H245),SUM(B248:F248)*H245),IF(SUM(B246:F248)&gt;(L261*3),L261*H245,SUM(B248:F248)*H245)),2)</f>
        <v>0</v>
      </c>
      <c r="I248" s="76">
        <f>ROUND(IF(SUM(B246:F247)&lt;(L262*2),IF((SUM(B246:F248))&gt;(L262*3),(((L262*3)-(SUM(B246:F248)-C247))*I245)+((SUM(B248:F248)-C247)*I245),SUM(B248:F248)*I245),IF(SUM(B246:F248)&gt;(L262*3),L262*I245,SUM(B248:F248)*I245)),2)</f>
        <v>0</v>
      </c>
      <c r="J248" s="76">
        <f>ROUND(IF(SUM(B246:F247)&lt;(L262*2),IF((SUM(B246:F248))&gt;(L262*3),(((L262*3)-(SUM(B246:F248)-C247))*J245)+((SUM(B248:F248)-C247)*J245),SUM(B248:F248)*J245),IF(SUM(B246:F248)&gt;(L262*3),L262*J245,SUM(B248:F248)*J245)),2)</f>
        <v>0</v>
      </c>
      <c r="K248" s="76">
        <f>ROUND(IF(SUM(B246:F247)&lt;(L261*2),IF((SUM(B246:F248))&gt;(L261*3),(((L261*3)-(SUM(B246:F248)-C247))*K245)+((SUM(B248:F248)-C247)*K245),SUM(B248:F248)*K245),IF(SUM(B246:F248)&gt;(L261*3),L261*K245,SUM(B248:F248)*K245)),2)</f>
        <v>0</v>
      </c>
      <c r="L248" s="76">
        <f>ROUND(IF(SUM(B246:F247)&lt;(L262*2),IF((SUM(B246:F248))&gt;(L262*3),(((L262*3)-(SUM(B246:F248)-C248))*L245)+((SUM(B248:F248)-C248)*L245),(SUM(B248:F248)-C248)*L245),IF(SUM(B246:F248)&gt;(L262*3),L262*L245,SUM(B248:F248)*L245)),2)</f>
        <v>0</v>
      </c>
      <c r="M248" s="76">
        <f>ROUND(IF(SUM(B246:F247)&lt;(L262*2),IF((SUM(B246:F248))&gt;(L262*3),(((L262*3)-(SUM(B246:F248)-C248))*M245)+((SUM(B248:F248)-C248)*M245),(SUM(B248:F248)-C248)*M245),IF(SUM(B246:F248)&gt;(L262*3),L262*M245,SUM(B248:F248)*M245)),2)</f>
        <v>0</v>
      </c>
      <c r="N248" s="76">
        <f>ROUND(IF(SUM(B246:F247)&lt;(L262*2),IF((SUM(B246:F248))&gt;(L262*3),(((L262*3)-(SUM(B246:F248)-C247))*N245)+((SUM(B248:F248)-C247)*N245),SUM(B248:F248)*N245),IF(SUM(B246:F248)&gt;(L262*3),L262*N245,SUM(B248:F248)*N245)),2)</f>
        <v>0</v>
      </c>
      <c r="O248" s="23">
        <f>ROUND(SUM(B248+C248+F248)*O245,2)</f>
        <v>0</v>
      </c>
      <c r="P248" s="27">
        <f t="shared" ref="P248:P257" si="28">SUM(G248:O248)</f>
        <v>0</v>
      </c>
    </row>
    <row r="249" spans="1:16" x14ac:dyDescent="0.2">
      <c r="A249" s="100" t="str">
        <f>$A$29</f>
        <v>Apr 2022</v>
      </c>
      <c r="B249" s="24">
        <f>ROUND(IF(N229=0,0,IFERROR(((LOOKUP(2,1/(A234:A237=A249),G234:G237))*N229*4.348),B248/N229*N229)),2)</f>
        <v>0</v>
      </c>
      <c r="C249" s="23">
        <f>ROUND(IFERROR(((LOOKUP(2,1/(B239=A249),((SUM(B252:B254)+SUM(F252:F254))/3)*C239))),0)+IFERROR(((LOOKUP(2,1/(E239=A249),(B258+F258)*F239))),0),2)</f>
        <v>0</v>
      </c>
      <c r="D249" s="23">
        <f>ROUND(IF(B249=0,0,D245/L227*N229),2)</f>
        <v>0</v>
      </c>
      <c r="E249" s="23">
        <f>ROUND(IF(B249=0,0,E245/N223*N229),2)</f>
        <v>0</v>
      </c>
      <c r="F249" s="24">
        <f>ROUND(IF(N229=0,0,IFERROR(((LOOKUP(2,1/(A234:A237=A249),H234:H237))/N223*N229),F248/N229*N229)),2)</f>
        <v>0</v>
      </c>
      <c r="G249" s="27">
        <f t="shared" si="27"/>
        <v>0</v>
      </c>
      <c r="H249" s="76">
        <f>ROUND(IF(SUM(B246:F248)&lt;(L261*3),IF((SUM(B246:F249))&gt;(L261*4),(((L261*4)-(SUM(B246:F249)-C248))*H245)+((SUM(B249:F249)-C248)*H245),SUM(B249:F249)*H245),IF(SUM(B246:F249)&gt;(L261*4),L261*H245,SUM(B249:F249)*H245)),2)</f>
        <v>0</v>
      </c>
      <c r="I249" s="76">
        <f>ROUND(IF(SUM(B246:F248)&lt;(L262*3),IF((SUM(B246:F249))&gt;(L262*4),(((L262*4)-(SUM(B246:F249)-C248))*I245)+((SUM(B249:F249)-C248)*I245),SUM(B249:F249)*I245),IF(SUM(B246:F249)&gt;(L262*4),L262*I245,SUM(B249:F249)*I245)),2)</f>
        <v>0</v>
      </c>
      <c r="J249" s="76">
        <f>ROUND(IF(SUM(B246:F248)&lt;(L262*3),IF((SUM(B246:F249))&gt;(L262*4),(((L262*4)-(SUM(B246:F249)-C248))*J245)+((SUM(B249:F249)-C248)*J245),SUM(B249:F249)*J245),IF(SUM(B246:F249)&gt;(L262*4),L262*J245,SUM(B249:F249)*J245)),2)</f>
        <v>0</v>
      </c>
      <c r="K249" s="76">
        <f>ROUND(IF(SUM(B246:F248)&lt;(L261*3),IF((SUM(B246:F249))&gt;(L261*4),(((L261*4)-(SUM(B246:F249)-C248))*K245)+((SUM(B249:F249)-C248)*K245),SUM(B249:F249)*K245),IF(SUM(B246:F249)&gt;(L261*4),L261*K245,SUM(B249:F249)*K245)),2)</f>
        <v>0</v>
      </c>
      <c r="L249" s="76">
        <f>ROUND(IF(SUM(B246:F248)&lt;(L262*3),IF((SUM(B246:F249))&gt;(L262*4),(((L262*4)-(SUM(B246:F249)-C249))*L245)+((SUM(B249:F249)-C249)*L245),(SUM(B249:F249)-C249)*L245),IF(SUM(B246:F249)&gt;(L262*4),L262*L245,SUM(B249:F249)*L245)),2)</f>
        <v>0</v>
      </c>
      <c r="M249" s="76">
        <f>ROUND(IF(SUM(B246:F248)&lt;(L262*3),IF((SUM(B246:F249))&gt;(L262*4),(((L262*4)-(SUM(B246:F249)-C249))*M245)+((SUM(B249:F249)-C249)*M245),(SUM(B249:F249)-C249)*M245),IF(SUM(B246:F249)&gt;(L262*4),L262*M245,SUM(B249:F249)*M245)),2)</f>
        <v>0</v>
      </c>
      <c r="N249" s="76">
        <f>ROUND(IF(SUM(B246:F248)&lt;(L262*3),IF((SUM(B246:F249))&gt;(L262*4),(((L262*4)-(SUM(B246:F249)-C248))*N245)+((SUM(B249:F249)-C248)*N245),SUM(B249:F249)*N245),IF(SUM(B246:F249)&gt;(L262*4),L262*N245,SUM(B249:F249)*N245)),2)</f>
        <v>0</v>
      </c>
      <c r="O249" s="23">
        <f>ROUND(SUM(B249+C249+F249)*O245,2)</f>
        <v>0</v>
      </c>
      <c r="P249" s="27">
        <f t="shared" si="28"/>
        <v>0</v>
      </c>
    </row>
    <row r="250" spans="1:16" x14ac:dyDescent="0.2">
      <c r="A250" s="100" t="str">
        <f>$A$30</f>
        <v>Mai 2022</v>
      </c>
      <c r="B250" s="24">
        <f>ROUND(IF(N230=0,0,IFERROR(((LOOKUP(2,1/(A234:A237=A250),G234:G237))*N230*4.348),B249/N230*N230)),2)</f>
        <v>0</v>
      </c>
      <c r="C250" s="23">
        <f>ROUND(IFERROR(((LOOKUP(2,1/(B239=A250),((SUM(B252:B254)+SUM(F252:F254))/3)*C239))),0)+IFERROR(((LOOKUP(2,1/(E239=A250),(B258+F258)*F239))),0),2)</f>
        <v>0</v>
      </c>
      <c r="D250" s="23">
        <f>ROUND(IF(B250=0,0,D245/L227*N230),2)</f>
        <v>0</v>
      </c>
      <c r="E250" s="23">
        <f>ROUND(IF(B250=0,0,E245/N223*N230),2)</f>
        <v>0</v>
      </c>
      <c r="F250" s="24">
        <f>ROUND(IF(N230=0,0,IFERROR(((LOOKUP(2,1/(A234:A237=A250),H234:H237))/N223*N230),F249/N230*N230)),2)</f>
        <v>0</v>
      </c>
      <c r="G250" s="27">
        <f t="shared" si="27"/>
        <v>0</v>
      </c>
      <c r="H250" s="76">
        <f>ROUND(IF(SUM(B246:F249)&lt;(L261*4),IF((SUM(B246:F250))&gt;(L261*5),(((L261*5)-(SUM(B246:F250)-C249))*H245)+((SUM(B250:F250)-C249)*H245),SUM(B250:F250)*H245),IF(SUM(B246:F250)&gt;(L261*5),L261*H245,SUM(B250:F250)*H245)),2)</f>
        <v>0</v>
      </c>
      <c r="I250" s="76">
        <f>ROUND(IF(SUM(B246:F249)&lt;(L262*4),IF((SUM(B246:F250))&gt;(L262*5),(((L262*5)-(SUM(B246:F250)-C249))*I245)+((SUM(B250:F250)-C249)*I245),SUM(B250:F250)*I245),IF(SUM(B246:F250)&gt;(L262*5),L262*I245,SUM(B250:F250)*I245)),2)</f>
        <v>0</v>
      </c>
      <c r="J250" s="76">
        <f>ROUND(IF(SUM(B246:F249)&lt;(L262*4),IF((SUM(B246:F250))&gt;(L262*5),(((L262*5)-(SUM(B246:F250)-C249))*J245)+((SUM(B250:F250)-C249)*J245),SUM(B250:F250)*J245),IF(SUM(B246:F250)&gt;(L262*5),L262*J245,SUM(B250:F250)*J245)),2)</f>
        <v>0</v>
      </c>
      <c r="K250" s="76">
        <f>ROUND(IF(SUM(B246:F249)&lt;(L261*4),IF((SUM(B246:F250))&gt;(L261*5),(((L261*5)-(SUM(B246:F250)-C249))*K245)+((SUM(B250:F250)-C249)*K245),SUM(B250:F250)*K245),IF(SUM(B246:F250)&gt;(L261*5),L261*K245,SUM(B250:F250)*K245)),2)</f>
        <v>0</v>
      </c>
      <c r="L250" s="76">
        <f>ROUND(IF(SUM(B246:F249)&lt;(L262*4),IF((SUM(B246:F250))&gt;(L262*5),(((L262*5)-(SUM(B246:F250)-C250))*L245)+((SUM(B250:F250)-C250)*L245),(SUM(B250:F250)-C250)*L245),IF(SUM(B246:F250)&gt;(L262*5),L262*L245,SUM(B250:F250)*L245)),2)</f>
        <v>0</v>
      </c>
      <c r="M250" s="76">
        <f>ROUND(IF(SUM(B246:F249)&lt;(L262*4),IF((SUM(B246:F250))&gt;(L262*5),(((L262*5)-(SUM(B246:F250)-C250))*M245)+((SUM(B250:F250)-C250)*M245),(SUM(B250:F250)-C250)*M245),IF(SUM(B246:F250)&gt;(L262*5),L262*M245,SUM(B250:F250)*M245)),2)</f>
        <v>0</v>
      </c>
      <c r="N250" s="76">
        <f>ROUND(IF(SUM(B246:F249)&lt;(L262*4),IF((SUM(B246:F250))&gt;(L262*5),(((L262*5)-(SUM(B246:F250)-C249))*N245)+((SUM(B250:F250)-C249)*N245),SUM(B250:F250)*N245),IF(SUM(B246:F250)&gt;(L262*5),L262*N245,SUM(B250:F250)*N245)),2)</f>
        <v>0</v>
      </c>
      <c r="O250" s="23">
        <f>ROUND(SUM(B250+C250+F250)*O245,2)</f>
        <v>0</v>
      </c>
      <c r="P250" s="27">
        <f t="shared" si="28"/>
        <v>0</v>
      </c>
    </row>
    <row r="251" spans="1:16" x14ac:dyDescent="0.2">
      <c r="A251" s="100" t="str">
        <f>$A$31</f>
        <v>Jun 2022</v>
      </c>
      <c r="B251" s="24">
        <f>ROUND(IF(N231=0,0,IFERROR(((LOOKUP(2,1/(A234:A237=A251),G234:G237))*N231*4.348),B250/N231*N231)),2)</f>
        <v>0</v>
      </c>
      <c r="C251" s="23">
        <f>ROUND(IFERROR(((LOOKUP(2,1/(B239=A251),((SUM(B252:B254)+SUM(F252:F254))/3)*C239))),0)+IFERROR(((LOOKUP(2,1/(E239=A251),(B258+F258)*F239))),0),2)</f>
        <v>0</v>
      </c>
      <c r="D251" s="23">
        <f>ROUND(IF(B251=0,0,D245/L227*N231),2)</f>
        <v>0</v>
      </c>
      <c r="E251" s="23">
        <f>ROUND(IF(B251=0,0,E245/N223*N231),2)</f>
        <v>0</v>
      </c>
      <c r="F251" s="24">
        <f>ROUND(IF(N231=0,0,IFERROR(((LOOKUP(2,1/(A234:A237=A251),H234:H237))/N223*N231),F250/N231*N231)),2)</f>
        <v>0</v>
      </c>
      <c r="G251" s="27">
        <f t="shared" si="27"/>
        <v>0</v>
      </c>
      <c r="H251" s="76">
        <f>ROUND(IF(SUM(B246:F250)&lt;(L261*5),IF((SUM(B246:F251))&gt;(L261*6),(((L261*6)-(SUM(B246:F251)-C250))*H245)+((SUM(B251:F251)-C250)*H245),SUM(B251:F251)*H245),IF(SUM(B246:F251)&gt;(L261*6),L261*H245,SUM(B251:F251)*H245)),2)</f>
        <v>0</v>
      </c>
      <c r="I251" s="76">
        <f>ROUND(IF(SUM(B246:F250)&lt;(L262*5),IF((SUM(B246:F251))&gt;(L262*6),(((L262*6)-(SUM(B246:F251)-C250))*I245)+((SUM(B251:F251)-C250)*I245),SUM(B251:F251)*I245),IF(SUM(B246:F251)&gt;(L262*6),L262*I245,SUM(B251:F251)*I245)),2)</f>
        <v>0</v>
      </c>
      <c r="J251" s="76">
        <f>ROUND(IF(SUM(B246:F250)&lt;(L262*5),IF((SUM(B246:F251))&gt;(L262*6),(((L262*6)-(SUM(B246:F251)-C250))*J245)+((SUM(B251:F251)-C250)*J245),SUM(B251:F251)*J245),IF(SUM(B246:F251)&gt;(L262*6),L262*J245,SUM(B251:F251)*J245)),2)</f>
        <v>0</v>
      </c>
      <c r="K251" s="76">
        <f>ROUND(IF(SUM(B246:F250)&lt;(L261*5),IF((SUM(B246:F251))&gt;(L261*6),(((L261*6)-(SUM(B246:F251)-C250))*K245)+((SUM(B251:F251)-C250)*K245),SUM(B251:F251)*K245),IF(SUM(B246:F251)&gt;(L261*6),L261*K245,SUM(B251:F251)*K245)),2)</f>
        <v>0</v>
      </c>
      <c r="L251" s="76">
        <f>ROUND(IF(SUM(B246:F250)&lt;(L262*5),IF((SUM(B246:F251))&gt;(L262*6),(((L262*6)-(SUM(B246:F251)-C251))*L245)+((SUM(B251:F251)-C251)*L245),(SUM(B251:F251)-C251)*L245),IF(SUM(B246:F251)&gt;(L262*6),L262*L245,SUM(B251:F251)*L245)),2)</f>
        <v>0</v>
      </c>
      <c r="M251" s="76">
        <f>ROUND(IF(SUM(B246:F250)&lt;(L262*5),IF((SUM(B246:F251))&gt;(L262*6),(((L262*6)-(SUM(B246:F251)-C251))*M245)+((SUM(B251:F251)-C251)*M245),(SUM(B251:F251)-C251)*M245),IF(SUM(B246:F251)&gt;(L262*6),L262*M245,SUM(B251:F251)*M245)),2)</f>
        <v>0</v>
      </c>
      <c r="N251" s="76">
        <f>ROUND(IF(SUM(B246:F250)&lt;(L262*5),IF((SUM(B246:F251))&gt;(L262*6),(((L262*6)-(SUM(B246:F251)-C250))*N245)+((SUM(B251:F251)-C250)*N245),SUM(B251:F251)*N245),IF(SUM(B246:F251)&gt;(L262*6),L262*N245,SUM(B251:F251)*N245)),2)</f>
        <v>0</v>
      </c>
      <c r="O251" s="23">
        <f>ROUND(SUM(B251+C251+F251)*O245,2)</f>
        <v>0</v>
      </c>
      <c r="P251" s="27">
        <f t="shared" si="28"/>
        <v>0</v>
      </c>
    </row>
    <row r="252" spans="1:16" x14ac:dyDescent="0.2">
      <c r="A252" s="100" t="str">
        <f>$A$32</f>
        <v>Jul 2022</v>
      </c>
      <c r="B252" s="24">
        <f>ROUND(IF(P226=0,0,IFERROR(((LOOKUP(2,1/(A234:A237=A252),G234:G237))*P226*4.348),B251/P226*P226)),2)</f>
        <v>0</v>
      </c>
      <c r="C252" s="23">
        <f>ROUND(IFERROR(((LOOKUP(2,1/(B239=A252),((SUM(B252:B254)+SUM(F252:F254))/3)*C239))),0)+IFERROR(((LOOKUP(2,1/(E239=A252),(B258+F258)*F239))),0),2)</f>
        <v>0</v>
      </c>
      <c r="D252" s="23">
        <f>ROUND(IF(B252=0,0,D245/L227*P226),2)</f>
        <v>0</v>
      </c>
      <c r="E252" s="23">
        <f>ROUND(IF(B252=0,0,E245/N223*P226),2)</f>
        <v>0</v>
      </c>
      <c r="F252" s="24">
        <f>ROUND(IF(P226=0,0,IFERROR(((LOOKUP(2,1/(A234:A237=A252),H234:H237))/N223*P226),F251/P226*P226)),2)</f>
        <v>0</v>
      </c>
      <c r="G252" s="27">
        <f t="shared" si="27"/>
        <v>0</v>
      </c>
      <c r="H252" s="76">
        <f>ROUND(IF(SUM(B246:F251)&lt;(L261*6),IF((SUM(B246:F252))&gt;(L261*7),(((L261*7)-(SUM(B246:F252)-C251))*H245)+((SUM(B252:F252)-C251)*H245),SUM(B252:F252)*H245),IF(SUM(B246:F252)&gt;(L261*7),L261*H245,SUM(B252:F252)*H245)),2)</f>
        <v>0</v>
      </c>
      <c r="I252" s="76">
        <f>ROUND(IF(SUM(B246:F251)&lt;(L262*6),IF((SUM(B246:F252))&gt;(L262*7),(((L262*7)-(SUM(B246:F252)-C251))*I245)+((SUM(B252:F252)-C251)*I245),SUM(B252:F252)*I245),IF(SUM(B246:F252)&gt;(L262*7),L262*I245,SUM(B252:F252)*I245)),2)</f>
        <v>0</v>
      </c>
      <c r="J252" s="76">
        <f>ROUND(IF(SUM(B246:F251)&lt;(L262*6),IF((SUM(B246:F252))&gt;(L262*7),(((L262*7)-(SUM(B246:F252)-C251))*J245)+((SUM(B252:F252)-C251)*J245),SUM(B252:F252)*J245),IF(SUM(B246:F252)&gt;(L262*7),L262*J245,SUM(B252:F252)*J245)),2)</f>
        <v>0</v>
      </c>
      <c r="K252" s="76">
        <f>ROUND(IF(SUM(B246:F251)&lt;(L261*6),IF((SUM(B246:F252))&gt;(L261*7),(((L261*7)-(SUM(B246:F252)-C251))*K245)+((SUM(B252:F252)-C251)*K245),SUM(B252:F252)*K245),IF(SUM(B246:F252)&gt;(L261*7),L261*K245,SUM(B252:F252)*K245)),2)</f>
        <v>0</v>
      </c>
      <c r="L252" s="76">
        <f>ROUND(IF(SUM(B246:F251)&lt;(L262*6),IF((SUM(B246:F252))&gt;(L262*7),(((L262*7)-(SUM(B246:F252)-C252))*L245)+((SUM(B252:F252)-C252)*L245),(SUM(B252:F252)-C252)*L245),IF(SUM(B246:F252)&gt;(L262*7),L262*L245,SUM(B252:F252)*L245)),2)</f>
        <v>0</v>
      </c>
      <c r="M252" s="76">
        <f>ROUND(IF(SUM(B246:F251)&lt;(L262*6),IF((SUM(B246:F252))&gt;(L262*7),(((L262*7)-(SUM(B246:F252)-C252))*M245)+((SUM(B252:F252)-C252)*M245),(SUM(B252:F252)-C252)*M245),IF(SUM(B246:F252)&gt;(L262*7),L262*M245,SUM(B252:F252)*M245)),2)</f>
        <v>0</v>
      </c>
      <c r="N252" s="76">
        <f>ROUND(IF(SUM(B246:F251)&lt;(L262*6),IF((SUM(B246:F252))&gt;(L262*7),(((L262*7)-(SUM(B246:F252)-C251))*N245)+((SUM(B252:F252)-C251)*N245),SUM(B252:F252)*N245),IF(SUM(B246:F252)&gt;(L262*7),L262*N245,SUM(B252:F252)*N245)),2)</f>
        <v>0</v>
      </c>
      <c r="O252" s="23">
        <f>ROUND(SUM(B252+C252+F252)*O245,2)</f>
        <v>0</v>
      </c>
      <c r="P252" s="27">
        <f t="shared" si="28"/>
        <v>0</v>
      </c>
    </row>
    <row r="253" spans="1:16" x14ac:dyDescent="0.2">
      <c r="A253" s="100" t="str">
        <f>$A$33</f>
        <v>Aug 2022</v>
      </c>
      <c r="B253" s="24">
        <f>ROUND(IF(P227=0,0,IFERROR(((LOOKUP(2,1/(A234:A237=A253),G234:G237))*P227*4.348),B252/P227*P227)),2)</f>
        <v>0</v>
      </c>
      <c r="C253" s="23">
        <f>ROUND(IFERROR(((LOOKUP(2,1/(B239=A253),((SUM(B252:B254)+SUM(F252:F254))/3)*C239))),0)+IFERROR(((LOOKUP(2,1/(E239=A253),(B258+F258)*F239))),0),2)</f>
        <v>0</v>
      </c>
      <c r="D253" s="23">
        <f>ROUND(IF(B253=0,0,D245/L227*P227),2)</f>
        <v>0</v>
      </c>
      <c r="E253" s="23">
        <f>ROUND(IF(B253=0,0,E245/N223*P227),2)</f>
        <v>0</v>
      </c>
      <c r="F253" s="24">
        <f>ROUND(IF(P227=0,0,IFERROR(((LOOKUP(2,1/(A234:A237=A253),H234:H237))/N223*P227),F252/P227*P227)),2)</f>
        <v>0</v>
      </c>
      <c r="G253" s="27">
        <f t="shared" si="27"/>
        <v>0</v>
      </c>
      <c r="H253" s="76">
        <f>ROUND(IF(SUM(B246:F252)&lt;(L261*7),IF((SUM(B246:F253))&gt;(L261*8),(((L261*8)-(SUM(B246:F253)-C252))*H245)+((SUM(B253:F253)-C252)*H245),SUM(B253:F253)*H245),IF(SUM(B246:F253)&gt;(L261*8),L261*H245,SUM(B253:F253)*H245)),2)</f>
        <v>0</v>
      </c>
      <c r="I253" s="76">
        <f>ROUND(IF(SUM(B246:F252)&lt;(L262*7),IF((SUM(B246:F253))&gt;(L262*8),(((L262*8)-(SUM(B246:F253)-C252))*I245)+((SUM(B253:F253)-C252)*I245),SUM(B253:F253)*I245),IF(SUM(B246:F253)&gt;(L262*8),L262*I245,SUM(B253:F253)*I245)),2)</f>
        <v>0</v>
      </c>
      <c r="J253" s="76">
        <f>ROUND(IF(SUM(B246:F252)&lt;(L262*7),IF((SUM(B246:F253))&gt;(L262*8),(((L262*8)-(SUM(B246:F253)-C252))*J245)+((SUM(B253:F253)-C252)*J245),SUM(B253:F253)*J245),IF(SUM(B246:F253)&gt;(L262*8),L262*J245,SUM(B253:F253)*J245)),2)</f>
        <v>0</v>
      </c>
      <c r="K253" s="76">
        <f>ROUND(IF(SUM(B246:F252)&lt;(L261*7),IF((SUM(B246:F253))&gt;(L261*8),(((L261*8)-(SUM(B246:F253)-C252))*K245)+((SUM(B253:F253)-C252)*K245),SUM(B253:F253)*K245),IF(SUM(B246:F253)&gt;(L261*8),L261*K245,SUM(B253:F253)*K245)),2)</f>
        <v>0</v>
      </c>
      <c r="L253" s="76">
        <f>ROUND(IF(SUM(B246:F252)&lt;(L262*7),IF((SUM(B246:F253))&gt;(L262*8),(((L262*8)-(SUM(B246:F253)-C253))*L245)+((SUM(B253:F253)-C253)*L245),(SUM(B253:F253)-C253)*L245),IF(SUM(B246:F253)&gt;(L262*8),L262*L245,SUM(B253:F253)*L245)),2)</f>
        <v>0</v>
      </c>
      <c r="M253" s="76">
        <f>ROUND(IF(SUM(B246:F252)&lt;(L262*7),IF((SUM(B246:F253))&gt;(L262*8),(((L262*8)-(SUM(B246:F253)-C253))*M245)+((SUM(B253:F253)-C253)*M245),(SUM(B253:F253)-C253)*M245),IF(SUM(B246:F253)&gt;(L262*8),L262*M245,SUM(B253:F253)*M245)),2)</f>
        <v>0</v>
      </c>
      <c r="N253" s="76">
        <f>ROUND(IF(SUM(B246:F252)&lt;(L262*7),IF((SUM(B246:F253))&gt;(L262*8),(((L262*8)-(SUM(B246:F253)-C252))*N245)+((SUM(B253:F253)-C252)*N245),SUM(B253:F253)*N245),IF(SUM(B246:F253)&gt;(L262*8),L262*N245,SUM(B253:F253)*N245)),2)</f>
        <v>0</v>
      </c>
      <c r="O253" s="23">
        <f>ROUND(SUM(B253+C253+F253)*O245,2)</f>
        <v>0</v>
      </c>
      <c r="P253" s="27">
        <f t="shared" si="28"/>
        <v>0</v>
      </c>
    </row>
    <row r="254" spans="1:16" x14ac:dyDescent="0.2">
      <c r="A254" s="100" t="str">
        <f>$A$34</f>
        <v>Sep 2022</v>
      </c>
      <c r="B254" s="24">
        <f>ROUND(IF(P228=0,0,IFERROR(((LOOKUP(2,1/(A234:A237=A254),G234:G237))*P228*4.348),B253/P228*P228)),2)</f>
        <v>0</v>
      </c>
      <c r="C254" s="23">
        <f>ROUND(IFERROR(((LOOKUP(2,1/(B239=A254),((SUM(B252:B254)+SUM(F252:F254))/3)*C239))),0)+IFERROR(((LOOKUP(2,1/(E239=A254),(B258+F258)*F239))),0),2)</f>
        <v>0</v>
      </c>
      <c r="D254" s="23">
        <f>ROUND(IF(B254=0,0,D245/L227*P228),2)</f>
        <v>0</v>
      </c>
      <c r="E254" s="23">
        <f>ROUND(IF(B254=0,0,E245/N223*P228),2)</f>
        <v>0</v>
      </c>
      <c r="F254" s="24">
        <f>ROUND(IF(P228=0,0,IFERROR(((LOOKUP(2,1/(A234:A237=A254),H234:H237))/N223*P228),F253/P228*P228)),2)</f>
        <v>0</v>
      </c>
      <c r="G254" s="27">
        <f t="shared" si="27"/>
        <v>0</v>
      </c>
      <c r="H254" s="76">
        <f>ROUND(IF(SUM(B246:F253)&lt;(L261*8),IF((SUM(B246:F254))&gt;(L261*9),(((L261*9)-(SUM(B246:F254)-C253))*H245)+((SUM(B254:F254)-C253)*H245),SUM(B254:F254)*H245),IF(SUM(B246:F254)&gt;(L261*9),L261*H245,SUM(B254:F254)*H245)),2)</f>
        <v>0</v>
      </c>
      <c r="I254" s="76">
        <f>ROUND(IF(SUM(B246:F253)&lt;(L262*8),IF((SUM(B246:F254))&gt;(L262*9),(((L262*9)-(SUM(B246:F254)-C253))*I245)+((SUM(B254:F254)-C253)*I245),SUM(B254:F254)*I245),IF(SUM(B246:F254)&gt;(L262*9),L262*I245,SUM(B254:F254)*I245)),2)</f>
        <v>0</v>
      </c>
      <c r="J254" s="76">
        <f>ROUND(IF(SUM(B246:F253)&lt;(L262*8),IF((SUM(B246:F254))&gt;(L262*9),(((L262*9)-(SUM(B246:F254)-C253))*J245)+((SUM(B254:F254)-C253)*J245),SUM(B254:F254)*J245),IF(SUM(B246:F254)&gt;(L262*9),L262*J245,SUM(B254:F254)*J245)),2)</f>
        <v>0</v>
      </c>
      <c r="K254" s="76">
        <f>ROUND(IF(SUM(B246:F253)&lt;(L261*8),IF((SUM(B246:F254))&gt;(L261*9),(((L261*9)-(SUM(B246:F254)-C253))*K245)+((SUM(B254:F254)-C253)*K245),SUM(B254:F254)*K245),IF(SUM(B246:F254)&gt;(L261*9),L261*K245,SUM(B254:F254)*K245)),2)</f>
        <v>0</v>
      </c>
      <c r="L254" s="76">
        <f>ROUND(IF(SUM(B246:F253)&lt;(L262*8),IF((SUM(B246:F254))&gt;(L262*9),(((L262*9)-(SUM(B246:F254)-C254))*L245)+((SUM(B254:F254)-C254)*L245),(SUM(B254:F254)-C254)*L245),IF(SUM(B246:F254)&gt;(L262*9),L262*L245,SUM(B254:F254)*L245)),2)</f>
        <v>0</v>
      </c>
      <c r="M254" s="76">
        <f>ROUND(IF(SUM(B246:F253)&lt;(L262*8),IF((SUM(B246:F254))&gt;(L262*9),(((L262*9)-(SUM(B246:F254)-C254))*M245)+((SUM(B254:F254)-C254)*M245),(SUM(B254:F254)-C254)*M245),IF(SUM(B246:F254)&gt;(L262*9),L262*M245,SUM(B254:F254)*M245)),2)</f>
        <v>0</v>
      </c>
      <c r="N254" s="76">
        <f>ROUND(IF(SUM(B246:F253)&lt;(L262*8),IF((SUM(B246:F254))&gt;(L262*9),(((L262*9)-(SUM(B246:F254)-C253))*N245)+((SUM(B254:F254)-C253)*N245),SUM(B254:F254)*N245),IF(SUM(B246:F254)&gt;(L262*9),L262*N245,SUM(B254:F254)*N245)),2)</f>
        <v>0</v>
      </c>
      <c r="O254" s="23">
        <f>ROUND(SUM(B254+C254+F254)*O245,2)</f>
        <v>0</v>
      </c>
      <c r="P254" s="27">
        <f t="shared" si="28"/>
        <v>0</v>
      </c>
    </row>
    <row r="255" spans="1:16" x14ac:dyDescent="0.2">
      <c r="A255" s="100" t="str">
        <f>$A$35</f>
        <v>Okt 2022</v>
      </c>
      <c r="B255" s="24">
        <f>ROUND(IF(P229=0,0,IFERROR(((LOOKUP(2,1/(A234:A237=A255),G234:G237))*P229*4.348),B254/P229*P229)),2)</f>
        <v>0</v>
      </c>
      <c r="C255" s="23">
        <f>ROUND(IFERROR(((LOOKUP(2,1/(B239=A255),((SUM(B252:B254)+SUM(F252:F254))/3)*C239))),0)+IFERROR(((LOOKUP(2,1/(E239=A255),(B258+F258)*F239))),0),2)</f>
        <v>0</v>
      </c>
      <c r="D255" s="23">
        <f>ROUND(IF(B255=0,0,D245/L227*P229),2)</f>
        <v>0</v>
      </c>
      <c r="E255" s="23">
        <f>ROUND(IF(B255=0,0,E245/N223*P229),2)</f>
        <v>0</v>
      </c>
      <c r="F255" s="24">
        <f>ROUND(IF(P229=0,0,IFERROR(((LOOKUP(2,1/(A234:A237=A255),H234:H237))/N223*P229),F254/P229*P229)),2)</f>
        <v>0</v>
      </c>
      <c r="G255" s="27">
        <f t="shared" si="27"/>
        <v>0</v>
      </c>
      <c r="H255" s="76">
        <f>ROUND(IF(SUM(B246:F254)&lt;(L261*9),IF((SUM(B246:F255))&gt;(L261*10),(((L261*10)-(SUM(B246:F255)-C254))*H245)+((SUM(B255:F255)-C254)*H245),SUM(B255:F255)*H245),IF(SUM(B246:F255)&gt;(L261*10),L261*H245,SUM(B255:F255)*H245)),2)</f>
        <v>0</v>
      </c>
      <c r="I255" s="76">
        <f>ROUND(IF(SUM(B246:F254)&lt;(L262*9),IF((SUM(B246:F255))&gt;(L262*10),(((L262*10)-(SUM(B246:F255)-C254))*I245)+((SUM(B255:F255)-C254)*I245),SUM(B255:F255)*I245),IF(SUM(B246:F255)&gt;(L262*10),L262*I245,SUM(B255:F255)*I245)),2)</f>
        <v>0</v>
      </c>
      <c r="J255" s="76">
        <f>ROUND(IF(SUM(B246:F254)&lt;(L262*9),IF((SUM(B246:F255))&gt;(L262*10),(((L262*10)-(SUM(B246:F255)-C254))*J245)+((SUM(B255:F255)-C254)*J245),SUM(B255:F255)*J245),IF(SUM(B246:F255)&gt;(L262*10),L262*J245,SUM(B255:F255)*J245)),2)</f>
        <v>0</v>
      </c>
      <c r="K255" s="76">
        <f>ROUND(IF(SUM(B246:F254)&lt;(L261*9),IF((SUM(B246:F255))&gt;(L261*10),(((L261*10)-(SUM(B246:F255)-C254))*K245)+((SUM(B255:F255)-C254)*K245),SUM(B255:F255)*K245),IF(SUM(B246:F255)&gt;(L261*10),L261*K245,SUM(B255:F255)*K245)),2)</f>
        <v>0</v>
      </c>
      <c r="L255" s="76">
        <f>ROUND(IF(SUM(B246:F254)&lt;(L262*9),IF((SUM(B246:F255))&gt;(L262*10),(((L262*10)-(SUM(B246:F255)-C255))*L245)+((SUM(B255:F255)-C255)*L245),(SUM(B255:F255)-C255)*L245),IF(SUM(B246:F255)&gt;(L262*10),L262*L245,SUM(B255:F255)*L245)),2)</f>
        <v>0</v>
      </c>
      <c r="M255" s="76">
        <f>ROUND(IF(SUM(B246:F254)&lt;(L262*9),IF((SUM(B246:F255))&gt;(L262*10),(((L262*10)-(SUM(B246:F255)-C255))*M245)+((SUM(B255:F255)-C255)*M245),(SUM(B255:F255)-C255)*M245),IF(SUM(B246:F255)&gt;(L262*10),L262*M245,SUM(B255:F255)*M245)),2)</f>
        <v>0</v>
      </c>
      <c r="N255" s="76">
        <f>ROUND(IF(SUM(B246:F254)&lt;(L262*9),IF((SUM(B246:F255))&gt;(L262*10),(((L262*10)-(SUM(B246:F255)-C254))*N245)+((SUM(B255:F255)-C254)*N245),SUM(B255:F255)*N245),IF(SUM(B246:F255)&gt;(L262*10),L262*N245,SUM(B255:F255)*N245)),2)</f>
        <v>0</v>
      </c>
      <c r="O255" s="23">
        <f>ROUND(SUM(B255+C255+F255)*O245,2)</f>
        <v>0</v>
      </c>
      <c r="P255" s="27">
        <f t="shared" si="28"/>
        <v>0</v>
      </c>
    </row>
    <row r="256" spans="1:16" x14ac:dyDescent="0.2">
      <c r="A256" s="100" t="str">
        <f>$A$36</f>
        <v>Nov 2022</v>
      </c>
      <c r="B256" s="24">
        <f>ROUND(IF(P230=0,0,IFERROR(((LOOKUP(2,1/(A234:A237=A256),G234:G237))*P230*4.348),B255/P230*P230)),2)</f>
        <v>0</v>
      </c>
      <c r="C256" s="23">
        <f>ROUND(IFERROR(((LOOKUP(2,1/(B239=A256),((SUM(B252:B254)+SUM(F252:F254))/3)*C239))),0)+IFERROR(((LOOKUP(2,1/(E239=A256),(B258+F258)*F239))),0),2)</f>
        <v>0</v>
      </c>
      <c r="D256" s="23">
        <f>ROUND(IF(B256=0,0,D245/L227*P230),2)</f>
        <v>0</v>
      </c>
      <c r="E256" s="23">
        <f>ROUND(IF(B256=0,0,E245/N223*P230),2)</f>
        <v>0</v>
      </c>
      <c r="F256" s="24">
        <f>ROUND(IF(P230=0,0,IFERROR(((LOOKUP(2,1/(A234:A237=A256),H234:H237))/N223*P230),F255/P230*P230)),2)</f>
        <v>0</v>
      </c>
      <c r="G256" s="27">
        <f t="shared" si="27"/>
        <v>0</v>
      </c>
      <c r="H256" s="76">
        <f>ROUND(IF(SUM(B246:F255)&lt;(L261*10),IF((SUM(B246:F256))&gt;(L261*11),(((L261*11)-(SUM(B246:F256)-C255))*H245)+((SUM(B256:F256)-C255)*H245),SUM(B256:F256)*H245),IF(SUM(B246:F256)&gt;(L261*11),L261*H245,SUM(B256:F256)*H245)),2)</f>
        <v>0</v>
      </c>
      <c r="I256" s="76">
        <f>ROUND(IF(SUM(B246:F255)&lt;(L262*10),IF((SUM(B246:F256))&gt;(L262*11),(((L262*11)-(SUM(B246:F256)-C255))*I245)+((SUM(B256:F256)-C255)*I245),SUM(B256:F256)*I245),IF(SUM(B246:F256)&gt;(L262*11),L262*I245,SUM(B256:F256)*I245)),2)</f>
        <v>0</v>
      </c>
      <c r="J256" s="76">
        <f>ROUND(IF(SUM(B246:F255)&lt;(L262*10),IF((SUM(B246:F256))&gt;(L262*11),(((L262*11)-(SUM(B246:F256)-C255))*J245)+((SUM(B256:F256)-C255)*J245),SUM(B256:F256)*J245),IF(SUM(B246:F256)&gt;(L262*11),L262*J245,SUM(B256:F256)*J245)),2)</f>
        <v>0</v>
      </c>
      <c r="K256" s="76">
        <f>ROUND(IF(SUM(B246:F255)&lt;(L261*10),IF((SUM(B246:F256))&gt;(L261*11),(((L261*11)-(SUM(B246:F256)-C255))*K245)+((SUM(B256:F256)-C255)*K245),SUM(B256:F256)*K245),IF(SUM(B246:F256)&gt;(L261*11),L261*K245,SUM(B256:F256)*K245)),2)</f>
        <v>0</v>
      </c>
      <c r="L256" s="76">
        <f>ROUND(IF(SUM(B246:F255)&lt;(L262*10),IF((SUM(B246:F256))&gt;(L262*11),(((L262*11)-(SUM(B246:F256)-C256))*L245)+((SUM(B256:F256)-C256)*L245),(SUM(B256:F256)-C256)*L245),IF(SUM(B246:F256)&gt;(L262*11),L262*L245,SUM(B256:F256)*L245)),2)</f>
        <v>0</v>
      </c>
      <c r="M256" s="76">
        <f>ROUND(IF(SUM(B246:F255)&lt;(L262*10),IF((SUM(B246:F256))&gt;(L262*11),(((L262*11)-(SUM(B246:F256)-C256))*M245)+((SUM(B256:F256)-C256)*M245),(SUM(B256:F256)-C256)*M245),IF(SUM(B246:F256)&gt;(L262*11),L262*M245,SUM(B256:F256)*M245)),2)</f>
        <v>0</v>
      </c>
      <c r="N256" s="76">
        <f>ROUND(IF(SUM(B246:F255)&lt;(L262*10),IF((SUM(B246:F256))&gt;(L262*11),(((L262*11)-(SUM(B246:F256)-C255))*N245)+((SUM(B256:F256)-C255)*N245),SUM(B256:F256)*N245),IF(SUM(B246:F256)&gt;(L262*11),L262*N245,SUM(B256:F256)*N245)),2)</f>
        <v>0</v>
      </c>
      <c r="O256" s="23">
        <f>ROUND(SUM(B256+C256+F256)*O245,2)</f>
        <v>0</v>
      </c>
      <c r="P256" s="27">
        <f t="shared" si="28"/>
        <v>0</v>
      </c>
    </row>
    <row r="257" spans="1:16" x14ac:dyDescent="0.2">
      <c r="A257" s="100" t="str">
        <f>$A$37</f>
        <v>Dez 2022</v>
      </c>
      <c r="B257" s="24">
        <f>ROUND(IF(P231=0,0,IFERROR(((LOOKUP(2,1/(A234:A237=A257),G234:G237))*P231*4.348),B256/P231*P231)),2)</f>
        <v>0</v>
      </c>
      <c r="C257" s="23">
        <f>ROUND(IFERROR(((LOOKUP(2,1/(B239=A257),((SUM(B252:B254)+SUM(F252:F254))/3)*C239))),0)+IFERROR(((LOOKUP(2,1/(E239=A257),(B258+F258)*F239))),0),2)</f>
        <v>0</v>
      </c>
      <c r="D257" s="23">
        <f>ROUND(IF(B257=0,0,D245/L227*P231),2)</f>
        <v>0</v>
      </c>
      <c r="E257" s="23">
        <f>ROUND(IF(B257=0,0,E245/N223*P231),2)</f>
        <v>0</v>
      </c>
      <c r="F257" s="24">
        <f>ROUND(IF(P231=0,0,IFERROR(((LOOKUP(2,1/(A234:A237=A257),H234:H237))/N223*P231),F256/P231*P231)),2)</f>
        <v>0</v>
      </c>
      <c r="G257" s="27">
        <f t="shared" si="27"/>
        <v>0</v>
      </c>
      <c r="H257" s="76">
        <f>ROUND(IF(SUM(B246:F256)&lt;(L261*11),IF((SUM(B246:F257))&gt;(L261*12),(((L261*12)-(SUM(B246:F257)-C256))*H245)+((SUM(B257:F257)-C256)*H245),SUM(B257:F257)*H245),IF(SUM(B246:F257)&gt;(L261*12),L261*H245,SUM(B257:F257)*H245)),2)</f>
        <v>0</v>
      </c>
      <c r="I257" s="76">
        <f>ROUND(IF(SUM(B246:F256)&lt;(L262*11),IF((SUM(B246:F257))&gt;(L262*12),(((L262*12)-(SUM(B246:F257)-C256))*I245)+((SUM(B257:F257)-C256)*I245),SUM(B257:F257)*I245),IF(SUM(B246:F257)&gt;(L262*12),L262*I245,SUM(B257:F257)*I245)),2)</f>
        <v>0</v>
      </c>
      <c r="J257" s="76">
        <f>ROUND(IF(SUM(B246:F256)&lt;(L262*11),IF((SUM(B246:F257))&gt;(L262*12),(((L262*12)-(SUM(B246:F257)-C256))*J245)+((SUM(B257:F257)-C256)*J245),SUM(B257:F257)*J245),IF(SUM(B246:F257)&gt;(L262*12),L262*J245,SUM(B257:F257)*J245)),2)</f>
        <v>0</v>
      </c>
      <c r="K257" s="76">
        <f>ROUND(IF(SUM(B246:F256)&lt;(L261*11),IF((SUM(B246:F257))&gt;(L261*12),(((L261*12)-(SUM(B246:F257)-C256))*K245)+((SUM(B257:F257)-C256)*K245),SUM(B257:F257)*K245),IF(SUM(B246:F257)&gt;(L261*12),L261*K245,SUM(B257:F257)*K245)),2)</f>
        <v>0</v>
      </c>
      <c r="L257" s="76">
        <f>ROUND(IF(SUM(B246:F256)&lt;(L262*11),IF((SUM(B246:F257))&gt;(L262*12),(((L262*12)-(SUM(B246:F257)-C257))*L245)+((SUM(B257:F257)-C257)*L245),(SUM(B257:F257)-C257)*L245),IF(SUM(B246:F257)&gt;(L262*12),L262*L245,SUM(B257:F257)*L245)),2)</f>
        <v>0</v>
      </c>
      <c r="M257" s="76">
        <f>ROUND(IF(SUM(B246:F256)&lt;(L262*11),IF((SUM(B246:F257))&gt;(L262*12),(((L262*12)-(SUM(B246:F257)-C257))*M245)+((SUM(B257:F257)-C257)*M245),(SUM(B257:F257)-C257)*M245),IF(SUM(B246:F257)&gt;(L262*12),L262*M245,SUM(B257:F257)*M245)),2)</f>
        <v>0</v>
      </c>
      <c r="N257" s="76">
        <f>ROUND(IF(SUM(B246:F256)&lt;(L262*11),IF((SUM(B246:F257))&gt;(L262*12),(((L262*12)-(SUM(B246:F257)-C256))*N245)+((SUM(B257:F257)-C256)*N245),SUM(B257:F257)*N245),IF(SUM(B246:F257)&gt;(L262*12),L262*N245,SUM(B257:F257)*N245)),2)</f>
        <v>0</v>
      </c>
      <c r="O257" s="23">
        <f>ROUND(SUM(B257+C257+F257)*O245,2)</f>
        <v>0</v>
      </c>
      <c r="P257" s="27">
        <f t="shared" si="28"/>
        <v>0</v>
      </c>
    </row>
    <row r="258" spans="1:16" s="14" customFormat="1" ht="15" x14ac:dyDescent="0.25">
      <c r="A258" s="4" t="s">
        <v>2</v>
      </c>
      <c r="B258" s="27">
        <f>SUM(B246:B257)</f>
        <v>0</v>
      </c>
      <c r="C258" s="27">
        <f t="shared" ref="C258:D258" si="29">SUM(C246:C257)</f>
        <v>0</v>
      </c>
      <c r="D258" s="27">
        <f t="shared" si="29"/>
        <v>0</v>
      </c>
      <c r="E258" s="27">
        <f>SUM(E246:E257)</f>
        <v>0</v>
      </c>
      <c r="F258" s="27">
        <f>SUM(F246:F257)</f>
        <v>0</v>
      </c>
      <c r="G258" s="27">
        <f>SUM(G246:G257)</f>
        <v>0</v>
      </c>
      <c r="H258" s="1133">
        <f>SUM(H246:N257)</f>
        <v>0</v>
      </c>
      <c r="I258" s="1134"/>
      <c r="J258" s="1134"/>
      <c r="K258" s="1134"/>
      <c r="L258" s="1134"/>
      <c r="M258" s="1134"/>
      <c r="N258" s="1135"/>
      <c r="O258" s="27">
        <f>SUM(O246:O257)</f>
        <v>0</v>
      </c>
      <c r="P258" s="27">
        <f>SUM(P246:P257)</f>
        <v>0</v>
      </c>
    </row>
    <row r="259" spans="1:16" s="13" customFormat="1" ht="11.25" x14ac:dyDescent="0.2">
      <c r="A259" s="3" t="s">
        <v>1</v>
      </c>
      <c r="B259" s="2"/>
      <c r="C259" s="2"/>
      <c r="D259" s="2"/>
      <c r="E259" s="2"/>
      <c r="F259" s="2"/>
      <c r="G259" s="2"/>
      <c r="H259" s="2"/>
      <c r="I259" s="2"/>
      <c r="J259" s="2"/>
      <c r="K259" s="2"/>
      <c r="L259" s="2"/>
      <c r="M259" s="2"/>
      <c r="N259" s="2"/>
      <c r="O259" s="2"/>
      <c r="P259" s="2"/>
    </row>
    <row r="260" spans="1:16" ht="14.25" customHeight="1" x14ac:dyDescent="0.2">
      <c r="A260" s="1136" t="s">
        <v>133</v>
      </c>
      <c r="B260" s="1137"/>
      <c r="C260" s="1137"/>
      <c r="D260" s="1137" t="s">
        <v>134</v>
      </c>
      <c r="E260" s="1137"/>
      <c r="F260" s="94" t="str">
        <f>IF(IF(G258=0,"",'päd.Personal - Leitung'!$F$40)=0,"",IF(G258=0,"",'päd.Personal - Leitung'!$F$40))</f>
        <v/>
      </c>
      <c r="G260" s="77" t="s">
        <v>135</v>
      </c>
      <c r="H260" s="96" t="str">
        <f>IF(IF(G258=0,"",'päd.Personal - Leitung'!$H$40)=0,"",IF(G258=0,"",'päd.Personal - Leitung'!$H$40))</f>
        <v/>
      </c>
      <c r="I260" s="73"/>
      <c r="J260" s="194" t="s">
        <v>160</v>
      </c>
      <c r="K260" s="194" t="str">
        <f>$K$40</f>
        <v>2021</v>
      </c>
      <c r="L260" s="194" t="str">
        <f>$L$40</f>
        <v>anteilig 2021</v>
      </c>
      <c r="M260" s="1138" t="s">
        <v>140</v>
      </c>
      <c r="N260" s="1138"/>
      <c r="O260" s="1139"/>
      <c r="P260" s="27">
        <f>ROUND(IF(F260="",IF(E264="",0,(E264*H264/K264)/L227*L228),G258*F260*H260/1000),2)</f>
        <v>0</v>
      </c>
    </row>
    <row r="261" spans="1:16" ht="15" customHeight="1" x14ac:dyDescent="0.2">
      <c r="A261" s="1140" t="s">
        <v>145</v>
      </c>
      <c r="B261" s="1141"/>
      <c r="C261" s="1141"/>
      <c r="D261" s="18"/>
      <c r="E261" s="107" t="s">
        <v>135</v>
      </c>
      <c r="F261" s="95" t="str">
        <f>IF(IF(G258=0,"",'päd.Personal - Leitung'!$F$41)=0,"",IF(G258=0,"",'päd.Personal - Leitung'!$F$41))</f>
        <v/>
      </c>
      <c r="G261" s="48"/>
      <c r="H261" s="47"/>
      <c r="I261" s="48"/>
      <c r="J261" s="195" t="s">
        <v>158</v>
      </c>
      <c r="K261" s="198">
        <f>$K$41</f>
        <v>4837.5</v>
      </c>
      <c r="L261" s="197">
        <f>IF(L227="",K261,K261/L227*L228)</f>
        <v>4837.5</v>
      </c>
      <c r="M261" s="1138" t="s">
        <v>139</v>
      </c>
      <c r="N261" s="1138"/>
      <c r="O261" s="1139"/>
      <c r="P261" s="27">
        <f>ROUND(IF(F261="",0,G258*F261/1000),2)</f>
        <v>0</v>
      </c>
    </row>
    <row r="262" spans="1:16" ht="15.75" customHeight="1" x14ac:dyDescent="0.2">
      <c r="A262" s="1142" t="s">
        <v>141</v>
      </c>
      <c r="B262" s="1143"/>
      <c r="C262" s="1143"/>
      <c r="D262" s="1144" t="s">
        <v>143</v>
      </c>
      <c r="E262" s="1144"/>
      <c r="F262" s="1145" t="str">
        <f>IF(IF(G258=0,"",'päd.Personal - Leitung'!$F$42)=0,"",IF(G258=0,"",'päd.Personal - Leitung'!$F$42))</f>
        <v/>
      </c>
      <c r="G262" s="1145"/>
      <c r="H262" s="72"/>
      <c r="I262" s="18"/>
      <c r="J262" s="195" t="s">
        <v>159</v>
      </c>
      <c r="K262" s="198">
        <f>$K$42</f>
        <v>6700</v>
      </c>
      <c r="L262" s="197">
        <f>IF(L227="",K262,K262/L227*L228)</f>
        <v>6700</v>
      </c>
      <c r="M262" s="1138" t="s">
        <v>141</v>
      </c>
      <c r="N262" s="1138"/>
      <c r="O262" s="1139"/>
      <c r="P262" s="23">
        <f>ROUND(IF(F262="",0,IF(G258=0,0,F262/L227*L228)),2)</f>
        <v>0</v>
      </c>
    </row>
    <row r="263" spans="1:16" ht="14.25" customHeight="1" x14ac:dyDescent="0.2">
      <c r="A263" s="18"/>
      <c r="B263" s="18"/>
      <c r="C263" s="18"/>
      <c r="D263" s="18"/>
      <c r="E263" s="18"/>
      <c r="F263" s="18"/>
      <c r="G263" s="18"/>
      <c r="H263" s="18"/>
      <c r="I263" s="18"/>
      <c r="J263" s="18"/>
      <c r="K263" s="74"/>
      <c r="L263" s="82"/>
      <c r="M263" s="1127" t="s">
        <v>146</v>
      </c>
      <c r="N263" s="1127"/>
      <c r="O263" s="1128"/>
      <c r="P263" s="23">
        <f>ROUND(IF(G258=0,0,$P$43),2)</f>
        <v>0</v>
      </c>
    </row>
    <row r="264" spans="1:16" ht="14.25" customHeight="1" x14ac:dyDescent="0.2">
      <c r="A264" s="1129" t="s">
        <v>142</v>
      </c>
      <c r="B264" s="1130"/>
      <c r="C264" s="126" t="s">
        <v>136</v>
      </c>
      <c r="D264" s="126" t="s">
        <v>137</v>
      </c>
      <c r="E264" s="1131" t="str">
        <f>IF(IF(G258=0,"",'päd.Personal - Leitung'!$E$44)=0,"",IF(G258=0,"",'päd.Personal - Leitung'!$E$44))</f>
        <v/>
      </c>
      <c r="F264" s="1131"/>
      <c r="G264" s="83" t="s">
        <v>138</v>
      </c>
      <c r="H264" s="97" t="str">
        <f>IF(IF(G258=0,"",'päd.Personal - Leitung'!$H$44)=0,"",IF(G258=0,"",'päd.Personal - Leitung'!$H$44))</f>
        <v/>
      </c>
      <c r="I264" s="1132" t="s">
        <v>144</v>
      </c>
      <c r="J264" s="1132"/>
      <c r="K264" s="98" t="str">
        <f>IF(IF(G258=0,"",'päd.Personal - Leitung'!$K$44)=0,"",IF(G258=0,"",'päd.Personal - Leitung'!$K$44))</f>
        <v/>
      </c>
      <c r="L264" s="29"/>
      <c r="M264" s="29"/>
      <c r="N264" s="29"/>
      <c r="O264" s="28" t="s">
        <v>0</v>
      </c>
      <c r="P264" s="27">
        <f>P258+SUM(P260:P263)</f>
        <v>0</v>
      </c>
    </row>
    <row r="265" spans="1:16" s="12" customFormat="1" ht="13.5" customHeight="1" x14ac:dyDescent="0.2">
      <c r="A265" s="1178" t="s">
        <v>18</v>
      </c>
      <c r="B265" s="1178"/>
      <c r="C265" s="1178"/>
      <c r="D265" s="1179" t="str">
        <f>IF($D$1="","",$D$1)</f>
        <v/>
      </c>
      <c r="E265" s="1179"/>
      <c r="F265" s="1179"/>
      <c r="G265" s="1179"/>
      <c r="H265" s="1179"/>
      <c r="I265" s="1179"/>
      <c r="J265" s="1179"/>
      <c r="K265" s="1179"/>
      <c r="L265" s="1179"/>
      <c r="M265" s="1179"/>
      <c r="N265" s="1179"/>
    </row>
    <row r="266" spans="1:16" s="12" customFormat="1" ht="15" customHeight="1" x14ac:dyDescent="0.2">
      <c r="A266" s="1178" t="s">
        <v>17</v>
      </c>
      <c r="B266" s="1178"/>
      <c r="C266" s="1178" t="s">
        <v>15</v>
      </c>
      <c r="D266" s="1179" t="str">
        <f>IF($D$2="","",$D$2)</f>
        <v/>
      </c>
      <c r="E266" s="1179"/>
      <c r="F266" s="1179"/>
      <c r="G266" s="1179"/>
      <c r="H266" s="1179"/>
      <c r="I266" s="1179"/>
      <c r="J266" s="1179"/>
      <c r="K266" s="1179"/>
      <c r="L266" s="1179"/>
      <c r="M266" s="1179"/>
      <c r="N266" s="1179"/>
    </row>
    <row r="267" spans="1:16" s="12" customFormat="1" ht="15" customHeight="1" x14ac:dyDescent="0.2">
      <c r="A267" s="1178" t="s">
        <v>16</v>
      </c>
      <c r="B267" s="1178"/>
      <c r="C267" s="1178" t="s">
        <v>15</v>
      </c>
      <c r="D267" s="1179" t="str">
        <f>IF($D$3="","",$D$3)</f>
        <v/>
      </c>
      <c r="E267" s="1179"/>
      <c r="F267" s="1179"/>
      <c r="G267" s="1179"/>
      <c r="H267" s="1179"/>
      <c r="I267" s="1179"/>
      <c r="J267" s="1179"/>
      <c r="K267" s="1178" t="s">
        <v>103</v>
      </c>
      <c r="L267" s="1178"/>
      <c r="M267" s="1178"/>
      <c r="N267" s="41" t="str">
        <f>IF($N$3="","",$N$3)</f>
        <v/>
      </c>
    </row>
    <row r="268" spans="1:16" s="13" customFormat="1" ht="11.25" x14ac:dyDescent="0.2">
      <c r="A268" s="1182"/>
      <c r="B268" s="1182"/>
      <c r="C268" s="1182"/>
      <c r="D268" s="1183"/>
      <c r="E268" s="1183"/>
      <c r="F268" s="1183"/>
      <c r="G268" s="1183"/>
      <c r="H268" s="1183"/>
      <c r="I268" s="1183"/>
      <c r="J268" s="1183"/>
      <c r="K268" s="11"/>
      <c r="L268" s="11"/>
      <c r="M268" s="11"/>
      <c r="N268" s="11"/>
      <c r="O268" s="11"/>
      <c r="P268" s="11"/>
    </row>
    <row r="269" spans="1:16" s="15" customFormat="1" ht="13.5" customHeight="1" x14ac:dyDescent="0.2">
      <c r="A269" s="1177" t="s">
        <v>174</v>
      </c>
      <c r="B269" s="1177"/>
      <c r="C269" s="1177"/>
      <c r="D269" s="1177"/>
      <c r="E269" s="1177"/>
      <c r="F269" s="1177"/>
      <c r="G269" s="1177"/>
      <c r="H269" s="1177"/>
      <c r="I269" s="1177"/>
      <c r="J269" s="1177"/>
      <c r="K269" s="9"/>
      <c r="L269" s="9"/>
      <c r="M269" s="9"/>
      <c r="N269" s="59" t="s">
        <v>154</v>
      </c>
      <c r="O269" s="191">
        <f>$O$5</f>
        <v>2022</v>
      </c>
      <c r="P269" s="59" t="s">
        <v>154</v>
      </c>
    </row>
    <row r="270" spans="1:16" s="10" customFormat="1" ht="13.5" customHeight="1" x14ac:dyDescent="0.25">
      <c r="B270" s="32"/>
      <c r="C270" s="32"/>
      <c r="D270" s="5" t="s">
        <v>27</v>
      </c>
      <c r="E270" s="31"/>
      <c r="F270" s="31"/>
      <c r="G270" s="31"/>
      <c r="H270" s="31"/>
      <c r="I270" s="26"/>
      <c r="J270" s="1174" t="s">
        <v>14</v>
      </c>
      <c r="K270" s="1174"/>
      <c r="L270" s="180"/>
      <c r="N270" s="84">
        <f>IF(L272="","",L272)</f>
        <v>0</v>
      </c>
      <c r="O270" s="58" t="str">
        <f>$O$6</f>
        <v>Jan                Jul</v>
      </c>
      <c r="P270" s="85">
        <f>IF(N275="","",N275)</f>
        <v>0</v>
      </c>
    </row>
    <row r="271" spans="1:16" s="7" customFormat="1" ht="13.5" customHeight="1" x14ac:dyDescent="0.25">
      <c r="A271" s="1180" t="s">
        <v>71</v>
      </c>
      <c r="B271" s="1180"/>
      <c r="C271" s="1180"/>
      <c r="D271" s="1184"/>
      <c r="E271" s="1184"/>
      <c r="F271" s="1184"/>
      <c r="G271" s="1184"/>
      <c r="H271" s="1184"/>
      <c r="I271" s="1184"/>
      <c r="J271" s="1174" t="s">
        <v>104</v>
      </c>
      <c r="K271" s="1174"/>
      <c r="L271" s="145"/>
      <c r="N271" s="85">
        <f>IF(N270="","",N270)</f>
        <v>0</v>
      </c>
      <c r="O271" s="58" t="str">
        <f>$O$7</f>
        <v>Feb              Aug</v>
      </c>
      <c r="P271" s="85">
        <f>IF(P270="","",P270)</f>
        <v>0</v>
      </c>
    </row>
    <row r="272" spans="1:16" ht="13.5" customHeight="1" x14ac:dyDescent="0.2">
      <c r="A272" s="1180" t="s">
        <v>13</v>
      </c>
      <c r="B272" s="1180"/>
      <c r="C272" s="1180"/>
      <c r="D272" s="1181"/>
      <c r="E272" s="1181"/>
      <c r="F272" s="1181"/>
      <c r="G272" s="1181"/>
      <c r="H272" s="1181"/>
      <c r="I272" s="1181"/>
      <c r="J272" s="1174" t="s">
        <v>164</v>
      </c>
      <c r="K272" s="1174"/>
      <c r="L272" s="145">
        <f>IF((L273+L274)&gt;L271,0,L271-L273-L274)</f>
        <v>0</v>
      </c>
      <c r="M272" s="1"/>
      <c r="N272" s="85">
        <f>IF(N271="","",N271)</f>
        <v>0</v>
      </c>
      <c r="O272" s="58" t="str">
        <f>$O$8</f>
        <v>Mrz              Sep</v>
      </c>
      <c r="P272" s="85">
        <f>IF(P271="","",P271)</f>
        <v>0</v>
      </c>
    </row>
    <row r="273" spans="1:16" ht="13.5" customHeight="1" x14ac:dyDescent="0.2">
      <c r="A273" s="1180" t="s">
        <v>12</v>
      </c>
      <c r="B273" s="1180"/>
      <c r="C273" s="1180"/>
      <c r="D273" s="1181"/>
      <c r="E273" s="1181"/>
      <c r="F273" s="1181"/>
      <c r="G273" s="1181"/>
      <c r="H273" s="1181"/>
      <c r="I273" s="1181"/>
      <c r="J273" s="1174" t="s">
        <v>165</v>
      </c>
      <c r="K273" s="1174"/>
      <c r="L273" s="145"/>
      <c r="M273" s="1"/>
      <c r="N273" s="85">
        <f>IF(N272="","",N272)</f>
        <v>0</v>
      </c>
      <c r="O273" s="58" t="str">
        <f>$O$9</f>
        <v>Apr               Okt</v>
      </c>
      <c r="P273" s="85">
        <f t="shared" ref="P273:P275" si="30">IF(P272="","",P272)</f>
        <v>0</v>
      </c>
    </row>
    <row r="274" spans="1:16" ht="13.5" customHeight="1" x14ac:dyDescent="0.2">
      <c r="A274" s="1180" t="s">
        <v>19</v>
      </c>
      <c r="B274" s="1180"/>
      <c r="C274" s="1180"/>
      <c r="D274" s="1181"/>
      <c r="E274" s="1181"/>
      <c r="F274" s="1181"/>
      <c r="G274" s="1181"/>
      <c r="H274" s="1181"/>
      <c r="I274" s="1181"/>
      <c r="J274" s="1174" t="s">
        <v>252</v>
      </c>
      <c r="K274" s="1174"/>
      <c r="L274" s="145"/>
      <c r="M274" s="92"/>
      <c r="N274" s="85">
        <f>IF(N273="","",N273)</f>
        <v>0</v>
      </c>
      <c r="O274" s="58" t="str">
        <f>$O$10</f>
        <v>Mai               Nov</v>
      </c>
      <c r="P274" s="85">
        <f t="shared" si="30"/>
        <v>0</v>
      </c>
    </row>
    <row r="275" spans="1:16" ht="13.5" customHeight="1" x14ac:dyDescent="0.2">
      <c r="A275" s="1"/>
      <c r="B275" s="8"/>
      <c r="C275" s="200" t="s">
        <v>162</v>
      </c>
      <c r="D275" s="1175"/>
      <c r="E275" s="1175"/>
      <c r="F275" s="1176" t="s">
        <v>106</v>
      </c>
      <c r="G275" s="1176"/>
      <c r="H275" s="1186"/>
      <c r="I275" s="1186"/>
      <c r="J275" s="1174" t="s">
        <v>97</v>
      </c>
      <c r="K275" s="1174"/>
      <c r="L275" s="17" t="str">
        <f>IF(IF((COUNTIF(B290:B301,"&gt;0"))=0,0,(COUNTIF(B290:B301,"&gt;0")))&gt;Grundlagen!$C$24,Grundlagen!$C$24,IF((COUNTIF(B290:B301,"&gt;0"))=0,"",(COUNTIF(B290:B301,"&gt;0"))))</f>
        <v/>
      </c>
      <c r="M275" s="1"/>
      <c r="N275" s="85">
        <f>IF(N274="","",N274)</f>
        <v>0</v>
      </c>
      <c r="O275" s="58" t="str">
        <f>'päd.Personal - Leitung'!$O$11</f>
        <v>Jun               Dez</v>
      </c>
      <c r="P275" s="85">
        <f t="shared" si="30"/>
        <v>0</v>
      </c>
    </row>
    <row r="276" spans="1:16" ht="13.5" customHeight="1" x14ac:dyDescent="0.2">
      <c r="A276" s="1"/>
      <c r="B276" s="1"/>
      <c r="C276" s="1"/>
      <c r="D276" s="1"/>
      <c r="E276" s="1"/>
      <c r="F276" s="1"/>
      <c r="G276" s="1"/>
      <c r="H276" s="1"/>
      <c r="I276" s="6"/>
      <c r="J276" s="1"/>
      <c r="K276" s="1"/>
      <c r="L276" s="147" t="str">
        <f>IF((SUM(F278:F281))=0,"",IF(P276&gt;L272,L272,IF(L272="","",IF(L275="","",P276))))</f>
        <v/>
      </c>
      <c r="M276" s="1"/>
      <c r="N276" s="1"/>
      <c r="O276" s="174" t="s">
        <v>251</v>
      </c>
      <c r="P276" s="175">
        <f>IF(L275="",0,((IF(SUMIF(B290,"&gt;0"),N270,0))+(IF(SUMIF(B291,"&gt;0"),N271,0))+(IF(SUMIF(B292,"&gt;0"),N272,0))+(IF(SUMIF(B293,"&gt;0"),N273,0))+(IF(SUMIF(B294,"&gt;0"),N274,0))+(IF(SUMIF(B295,"&gt;0"),N275,0))+(IF(SUMIF(B296,"&gt;0"),P270,0))+(IF(SUMIF(B297,"&gt;0"),P271,0))+(IF(SUMIF(B298,"&gt;0"),P272,0))+(IF(SUMIF(B299,"&gt;0"),P273,0))+(IF(SUMIF(B300,"&gt;0"),P274,0))+(IF(SUMIF(B301,"&gt;0"),P275,0)))/Grundlagen!$C$24)</f>
        <v>0</v>
      </c>
    </row>
    <row r="277" spans="1:16" s="52" customFormat="1" ht="13.5" customHeight="1" x14ac:dyDescent="0.2">
      <c r="A277" s="61" t="s">
        <v>148</v>
      </c>
      <c r="B277" s="1168" t="s">
        <v>149</v>
      </c>
      <c r="C277" s="1168"/>
      <c r="D277" s="62" t="s">
        <v>150</v>
      </c>
      <c r="E277" s="63" t="s">
        <v>151</v>
      </c>
      <c r="F277" s="64" t="str">
        <f>CONCATENATE("Entg. ",N267," h/Wo")</f>
        <v>Entg.  h/Wo</v>
      </c>
      <c r="G277" s="65" t="s">
        <v>152</v>
      </c>
      <c r="H277" s="65" t="s">
        <v>153</v>
      </c>
      <c r="K277" s="1169" t="str">
        <f>CONCATENATE("Zuschläge / Zulagen für ",N267,"h/Wo")</f>
        <v>Zuschläge / Zulagen für h/Wo</v>
      </c>
      <c r="L277" s="1169"/>
      <c r="M277" s="66" t="str">
        <f>IF(A278="","",A278)</f>
        <v>Jan 2022</v>
      </c>
      <c r="N277" s="66" t="str">
        <f>IF(A279="","",A279)</f>
        <v/>
      </c>
      <c r="O277" s="66" t="str">
        <f>IF(A280="","",A280)</f>
        <v/>
      </c>
      <c r="P277" s="66" t="str">
        <f>IF(A281="","",A281)</f>
        <v/>
      </c>
    </row>
    <row r="278" spans="1:16" s="52" customFormat="1" ht="13.5" customHeight="1" x14ac:dyDescent="0.25">
      <c r="A278" s="54" t="str">
        <f>A290</f>
        <v>Jan 2022</v>
      </c>
      <c r="B278" s="1170" t="str">
        <f>IF($D$3="","",$D$3)</f>
        <v/>
      </c>
      <c r="C278" s="1171"/>
      <c r="D278" s="181"/>
      <c r="E278" s="181"/>
      <c r="F278" s="87"/>
      <c r="G278" s="56">
        <f>IF(N267="",0,F278/N267/4.348)</f>
        <v>0</v>
      </c>
      <c r="H278" s="53">
        <f>IF(G278=0,0,M283)</f>
        <v>0</v>
      </c>
      <c r="K278" s="1146"/>
      <c r="L278" s="1146"/>
      <c r="M278" s="86"/>
      <c r="N278" s="86"/>
      <c r="O278" s="86"/>
      <c r="P278" s="86"/>
    </row>
    <row r="279" spans="1:16" s="52" customFormat="1" ht="13.5" customHeight="1" x14ac:dyDescent="0.25">
      <c r="A279" s="55"/>
      <c r="B279" s="1172" t="str">
        <f>IF(A279="","",B278)</f>
        <v/>
      </c>
      <c r="C279" s="1173"/>
      <c r="D279" s="181"/>
      <c r="E279" s="181"/>
      <c r="F279" s="87"/>
      <c r="G279" s="56">
        <f>IF(N267="",0,F279/N267/4.348)</f>
        <v>0</v>
      </c>
      <c r="H279" s="53">
        <f>IF(G279=0,0,N283)</f>
        <v>0</v>
      </c>
      <c r="K279" s="1146"/>
      <c r="L279" s="1146"/>
      <c r="M279" s="86"/>
      <c r="N279" s="86"/>
      <c r="O279" s="86"/>
      <c r="P279" s="86"/>
    </row>
    <row r="280" spans="1:16" s="52" customFormat="1" ht="13.5" customHeight="1" x14ac:dyDescent="0.25">
      <c r="A280" s="55"/>
      <c r="B280" s="1172" t="str">
        <f>IF(A280="","",B279)</f>
        <v/>
      </c>
      <c r="C280" s="1173"/>
      <c r="D280" s="181"/>
      <c r="E280" s="181"/>
      <c r="F280" s="87"/>
      <c r="G280" s="56">
        <f>IF(N267="",0,F280/N267/4.348)</f>
        <v>0</v>
      </c>
      <c r="H280" s="53">
        <f>IF(G280=0,0,O283)</f>
        <v>0</v>
      </c>
      <c r="K280" s="1146"/>
      <c r="L280" s="1146"/>
      <c r="M280" s="86"/>
      <c r="N280" s="86"/>
      <c r="O280" s="86"/>
      <c r="P280" s="86"/>
    </row>
    <row r="281" spans="1:16" s="52" customFormat="1" ht="13.5" customHeight="1" x14ac:dyDescent="0.25">
      <c r="A281" s="55"/>
      <c r="B281" s="1172" t="str">
        <f>IF(A281="","",B280)</f>
        <v/>
      </c>
      <c r="C281" s="1173"/>
      <c r="D281" s="181"/>
      <c r="E281" s="181"/>
      <c r="F281" s="87"/>
      <c r="G281" s="56">
        <f>IF(N267="",0,F281/N267/4.348)</f>
        <v>0</v>
      </c>
      <c r="H281" s="53">
        <f>IF(G281=0,0,P283)</f>
        <v>0</v>
      </c>
      <c r="K281" s="1146"/>
      <c r="L281" s="1146"/>
      <c r="M281" s="86"/>
      <c r="N281" s="86"/>
      <c r="O281" s="86"/>
      <c r="P281" s="86"/>
    </row>
    <row r="282" spans="1:16" s="52" customFormat="1" ht="13.5" customHeight="1" x14ac:dyDescent="0.25">
      <c r="B282" s="1167" t="s">
        <v>157</v>
      </c>
      <c r="C282" s="1167"/>
      <c r="E282" s="1167" t="s">
        <v>156</v>
      </c>
      <c r="F282" s="1167"/>
      <c r="J282" s="69"/>
      <c r="K282" s="1146"/>
      <c r="L282" s="1146"/>
      <c r="M282" s="86"/>
      <c r="N282" s="86"/>
      <c r="O282" s="86"/>
      <c r="P282" s="86"/>
    </row>
    <row r="283" spans="1:16" s="52" customFormat="1" ht="13.5" customHeight="1" x14ac:dyDescent="0.25">
      <c r="A283" s="70" t="s">
        <v>167</v>
      </c>
      <c r="B283" s="67"/>
      <c r="C283" s="99" t="str">
        <f>IF(C239="","",C239)</f>
        <v/>
      </c>
      <c r="D283" s="70" t="s">
        <v>167</v>
      </c>
      <c r="E283" s="67"/>
      <c r="F283" s="99" t="str">
        <f>IF(F239="","",F239)</f>
        <v/>
      </c>
      <c r="J283" s="68"/>
      <c r="M283" s="57">
        <f>SUM(M278:M282)</f>
        <v>0</v>
      </c>
      <c r="N283" s="57">
        <f t="shared" ref="N283:P283" si="31">SUM(N278:N282)</f>
        <v>0</v>
      </c>
      <c r="O283" s="57">
        <f t="shared" si="31"/>
        <v>0</v>
      </c>
      <c r="P283" s="57">
        <f t="shared" si="31"/>
        <v>0</v>
      </c>
    </row>
    <row r="284" spans="1:16" s="52" customFormat="1" ht="13.5" customHeight="1" x14ac:dyDescent="0.2">
      <c r="A284" s="60" t="s">
        <v>155</v>
      </c>
    </row>
    <row r="285" spans="1:16" ht="14.25" customHeight="1" x14ac:dyDescent="0.2">
      <c r="A285" s="1147"/>
      <c r="B285" s="1149" t="s">
        <v>9</v>
      </c>
      <c r="C285" s="1150"/>
      <c r="D285" s="1150"/>
      <c r="E285" s="1150"/>
      <c r="F285" s="1150"/>
      <c r="G285" s="1151"/>
      <c r="H285" s="1152" t="s">
        <v>119</v>
      </c>
      <c r="I285" s="1153"/>
      <c r="J285" s="1153"/>
      <c r="K285" s="1153"/>
      <c r="L285" s="1153"/>
      <c r="M285" s="1153"/>
      <c r="N285" s="1153"/>
      <c r="O285" s="33"/>
      <c r="P285" s="1154" t="s">
        <v>0</v>
      </c>
    </row>
    <row r="286" spans="1:16" ht="14.25" customHeight="1" x14ac:dyDescent="0.2">
      <c r="A286" s="1148"/>
      <c r="B286" s="1157" t="s">
        <v>117</v>
      </c>
      <c r="C286" s="124" t="s">
        <v>115</v>
      </c>
      <c r="D286" s="1159" t="s">
        <v>277</v>
      </c>
      <c r="E286" s="1161" t="s">
        <v>147</v>
      </c>
      <c r="F286" s="127" t="s">
        <v>7</v>
      </c>
      <c r="G286" s="1162" t="s">
        <v>6</v>
      </c>
      <c r="H286" s="1161" t="s">
        <v>129</v>
      </c>
      <c r="I286" s="1161" t="s">
        <v>5</v>
      </c>
      <c r="J286" s="1161" t="s">
        <v>4</v>
      </c>
      <c r="K286" s="1161" t="s">
        <v>3</v>
      </c>
      <c r="L286" s="1161" t="s">
        <v>121</v>
      </c>
      <c r="M286" s="1161" t="s">
        <v>122</v>
      </c>
      <c r="N286" s="1161" t="s">
        <v>123</v>
      </c>
      <c r="O286" s="1160" t="s">
        <v>114</v>
      </c>
      <c r="P286" s="1155"/>
    </row>
    <row r="287" spans="1:16" ht="14.25" customHeight="1" x14ac:dyDescent="0.2">
      <c r="A287" s="1148"/>
      <c r="B287" s="1157"/>
      <c r="C287" s="21" t="str">
        <f>IF(C283="","",C283)</f>
        <v/>
      </c>
      <c r="D287" s="1160"/>
      <c r="E287" s="1161"/>
      <c r="F287" s="1165" t="str">
        <f>IF(H278=0,"","siehe Zuschläge / Zulagen")</f>
        <v/>
      </c>
      <c r="G287" s="1162"/>
      <c r="H287" s="1164" t="s">
        <v>127</v>
      </c>
      <c r="I287" s="1164"/>
      <c r="J287" s="1164"/>
      <c r="K287" s="1164"/>
      <c r="L287" s="1164"/>
      <c r="M287" s="1164"/>
      <c r="N287" s="1164"/>
      <c r="O287" s="1160"/>
      <c r="P287" s="1155"/>
    </row>
    <row r="288" spans="1:16" x14ac:dyDescent="0.2">
      <c r="A288" s="1148"/>
      <c r="B288" s="1157"/>
      <c r="C288" s="122" t="s">
        <v>70</v>
      </c>
      <c r="D288" s="1160"/>
      <c r="E288" s="1161"/>
      <c r="F288" s="1165"/>
      <c r="G288" s="1162"/>
      <c r="H288" s="43" t="s">
        <v>128</v>
      </c>
      <c r="I288" s="43" t="s">
        <v>255</v>
      </c>
      <c r="J288" s="43" t="s">
        <v>256</v>
      </c>
      <c r="K288" s="43" t="s">
        <v>257</v>
      </c>
      <c r="L288" s="43"/>
      <c r="M288" s="43"/>
      <c r="N288" s="43" t="s">
        <v>254</v>
      </c>
      <c r="O288" s="1160"/>
      <c r="P288" s="1155"/>
    </row>
    <row r="289" spans="1:16" x14ac:dyDescent="0.2">
      <c r="A289" s="1148"/>
      <c r="B289" s="1158"/>
      <c r="C289" s="21" t="str">
        <f>IF(F283="","",F283)</f>
        <v/>
      </c>
      <c r="D289" s="51"/>
      <c r="E289" s="51"/>
      <c r="F289" s="1166"/>
      <c r="G289" s="1163"/>
      <c r="H289" s="93"/>
      <c r="I289" s="139">
        <f>$I$25</f>
        <v>0</v>
      </c>
      <c r="J289" s="139">
        <f>$J$25</f>
        <v>0</v>
      </c>
      <c r="K289" s="44">
        <f>$K$25</f>
        <v>0</v>
      </c>
      <c r="L289" s="21"/>
      <c r="M289" s="21"/>
      <c r="N289" s="139">
        <f>$N$25</f>
        <v>0</v>
      </c>
      <c r="O289" s="21">
        <f>O245</f>
        <v>0</v>
      </c>
      <c r="P289" s="1156"/>
    </row>
    <row r="290" spans="1:16" x14ac:dyDescent="0.2">
      <c r="A290" s="100" t="str">
        <f>$A$26</f>
        <v>Jan 2022</v>
      </c>
      <c r="B290" s="24">
        <f>ROUND(IF(N270=0,0,(LOOKUP(2,1/(A278:A281=A290),G278:G281))*N270*4.348),2)</f>
        <v>0</v>
      </c>
      <c r="C290" s="23">
        <f>ROUND(IFERROR(((LOOKUP(2,1/(B283=A290),((SUM(B296:B298)+SUM(F296:F298))/3)*C283))),0)+IFERROR(((LOOKUP(2,1/(E283=A290),(B302+F302)*F283))),0),2)</f>
        <v>0</v>
      </c>
      <c r="D290" s="23">
        <f>ROUND(IF(B290=0,0,D289/L271*N270),2)</f>
        <v>0</v>
      </c>
      <c r="E290" s="23">
        <f>ROUND(IF(B290=0,0,E289/N267*N270),2)</f>
        <v>0</v>
      </c>
      <c r="F290" s="24">
        <f>ROUND(IF(N270=0,0,(LOOKUP(2,1/(A278:A281=A290),H278:H281))/N267*N270),2)</f>
        <v>0</v>
      </c>
      <c r="G290" s="27">
        <f>SUM(B290+C290+E290+F290)</f>
        <v>0</v>
      </c>
      <c r="H290" s="76">
        <f>ROUND(IF((SUM(B290:F290))&gt;L305,L305*H289,SUM(B290:F290)*H289),2)</f>
        <v>0</v>
      </c>
      <c r="I290" s="76">
        <f>ROUND(IF((SUM(B290:F290))&gt;L306,L306*I289,SUM(B290:F290)*I289),2)</f>
        <v>0</v>
      </c>
      <c r="J290" s="76">
        <f>ROUND(IF((SUM(B290:F290))&gt;L306,L306*J289,SUM(B290:F290)*J289),2)</f>
        <v>0</v>
      </c>
      <c r="K290" s="76">
        <f>ROUND(IF((SUM(B290:F290))&gt;L305,L305*K289,SUM(B290:F290)*K289),2)</f>
        <v>0</v>
      </c>
      <c r="L290" s="76">
        <f>ROUND(IF((SUM(B290:F290))&gt;L306,L306*L289,(SUM(B290:F290)-C290)*L289),2)</f>
        <v>0</v>
      </c>
      <c r="M290" s="76">
        <f>ROUND(IF((SUM(B290:F290))&gt;L306,L306*M289,(SUM(B290:F290)-C290)*M289),2)</f>
        <v>0</v>
      </c>
      <c r="N290" s="76">
        <f>ROUND(IF((SUM(B290:F290))&gt;L306,L306*N289,SUM(B290:F290)*N289),2)</f>
        <v>0</v>
      </c>
      <c r="O290" s="23">
        <f>ROUND(SUM(B290+C290+F290)*O289,2)</f>
        <v>0</v>
      </c>
      <c r="P290" s="27">
        <f>SUM(G290:O290)</f>
        <v>0</v>
      </c>
    </row>
    <row r="291" spans="1:16" x14ac:dyDescent="0.2">
      <c r="A291" s="100" t="str">
        <f>$A$27</f>
        <v>Feb 2022</v>
      </c>
      <c r="B291" s="24">
        <f>ROUND(IF(N271=0,0,IFERROR(((LOOKUP(2,1/(A278:A281=A291),G278:G281))*N271*4.348),B290/N271*N271)),2)</f>
        <v>0</v>
      </c>
      <c r="C291" s="23">
        <f>ROUND(IFERROR(((LOOKUP(2,1/(B283=A291),((SUM(B296:B298)+SUM(F296:F298))/3)*C283))),0)+IFERROR(((LOOKUP(2,1/(E283=A291),(B302+F302)*F283))),0),2)</f>
        <v>0</v>
      </c>
      <c r="D291" s="23">
        <f>ROUND(IF(B291=0,0,D289/L271*N271),2)</f>
        <v>0</v>
      </c>
      <c r="E291" s="23">
        <f>ROUND(IF(B291=0,0,E289/N267*N271),2)</f>
        <v>0</v>
      </c>
      <c r="F291" s="24">
        <f>ROUND(IF(N271=0,0,IFERROR(((LOOKUP(2,1/(A278:A281=A291),H278:H281))/N267*N271),F290/N271*N271)),2)</f>
        <v>0</v>
      </c>
      <c r="G291" s="27">
        <f t="shared" ref="G291:G301" si="32">SUM(B291+C291+E291+F291)</f>
        <v>0</v>
      </c>
      <c r="H291" s="76">
        <f>ROUND(IF(SUM(B290:F290)&lt;(L305*1),IF((SUM(B290:F291))&gt;(L305*2),(((L305*2)-(SUM(B290:F291)-C290))*H289)+((SUM(B291:F291)-C290)*H289),SUM(B291:F291)*H289),IF(SUM(B290:F291)&gt;(L305*2),L305*H289,SUM(B291:F291)*H289)),2)</f>
        <v>0</v>
      </c>
      <c r="I291" s="76">
        <f>ROUND(IF(SUM(B290:F290)&lt;(L306*1),IF((SUM(B290:F291))&gt;(L306*2),(((L306*2)-(SUM(B290:F291)-C290))*I289)+((SUM(B291:F291)-C290)*I289),SUM(B291:F291)*I289),IF(SUM(B290:F291)&gt;(L306*2),L306*I289,SUM(B291:F291)*I289)),2)</f>
        <v>0</v>
      </c>
      <c r="J291" s="76">
        <f>ROUND(IF(SUM(B290:F290)&lt;(L306*1),IF((SUM(B290:F291))&gt;(L306*2),(((L306*2)-(SUM(B290:F291)-C290))*J289)+((SUM(B291:F291)-C290)*J289),SUM(B291:F291)*J289),IF(SUM(B290:F291)&gt;(L306*2),L306*J289,SUM(B291:F291)*J289)),2)</f>
        <v>0</v>
      </c>
      <c r="K291" s="76">
        <f>ROUND(IF(SUM(B290:F290)&lt;(L305*1),IF((SUM(B290:F291))&gt;(L305*2),(((L305*2)-(SUM(B290:F291)-C290))*K289)+((SUM(B291:F291)-C290)*K289),SUM(B291:F291)*K289),IF(SUM(B290:F291)&gt;(L305*2),L305*K289,SUM(B291:F291)*K289)),2)</f>
        <v>0</v>
      </c>
      <c r="L291" s="76">
        <f>ROUND(IF(SUM(B290:F290)&lt;(L306*1),IF((SUM(B290:F291))&gt;(L306*2),(((L306*2)-(SUM(B290:F291)-C291))*L289)+((SUM(B291:F291)-C291)*L289),(SUM(B291:F291)-C291)*L289),IF(SUM(B290:F291)&gt;(L306*2),L306*L289,SUM(B291:F291)*L289)),2)</f>
        <v>0</v>
      </c>
      <c r="M291" s="76">
        <f>ROUND(IF(SUM(B290:F290)&lt;(L306*1),IF((SUM(B290:F291))&gt;(L306*2),(((L306*2)-(SUM(B290:F291)-C291))*M289)+((SUM(B291:F291)-C291)*M289),(SUM(B291:F291)-C291)*M289),IF(SUM(B290:F291)&gt;(L306*2),L306*M289,SUM(B291:F291)*M289)),2)</f>
        <v>0</v>
      </c>
      <c r="N291" s="76">
        <f>ROUND(IF(SUM(B290:F290)&lt;(L306*1),IF((SUM(B290:F291))&gt;(L306*2),(((L306*2)-(SUM(B290:F291)-C290))*N289)+((SUM(B291:F291)-C290)*N289),SUM(B291:F291)*N289),IF(SUM(B290:F291)&gt;(L306*2),L306*N289,SUM(B291:F291)*N289)),2)</f>
        <v>0</v>
      </c>
      <c r="O291" s="23">
        <f>ROUND(SUM(B291+C291+F291)*O289,2)</f>
        <v>0</v>
      </c>
      <c r="P291" s="27">
        <f>SUM(G291:O291)</f>
        <v>0</v>
      </c>
    </row>
    <row r="292" spans="1:16" x14ac:dyDescent="0.2">
      <c r="A292" s="100" t="str">
        <f>$A$28</f>
        <v>Mrz 2022</v>
      </c>
      <c r="B292" s="24">
        <f>ROUND(IF(N272=0,0,IFERROR(((LOOKUP(2,1/(A278:A281=A292),G278:G281))*N272*4.348),B291/N272*N272)),2)</f>
        <v>0</v>
      </c>
      <c r="C292" s="23">
        <f>ROUND(IFERROR(((LOOKUP(2,1/(B283=A292),((SUM(B296:B298)+SUM(F296:F298))/3)*C283))),0)+IFERROR(((LOOKUP(2,1/(E283=A292),(B302+F302)*F283))),0),2)</f>
        <v>0</v>
      </c>
      <c r="D292" s="23">
        <f>ROUND(IF(B292=0,0,D289/L271*N272),2)</f>
        <v>0</v>
      </c>
      <c r="E292" s="23">
        <f>ROUND(IF(B292=0,0,E289/N267*N272),2)</f>
        <v>0</v>
      </c>
      <c r="F292" s="24">
        <f>ROUND(IF(N272=0,0,IFERROR(((LOOKUP(2,1/(A278:A281=A292),H278:H281))/N267*N272),F291/N272*N272)),2)</f>
        <v>0</v>
      </c>
      <c r="G292" s="27">
        <f t="shared" si="32"/>
        <v>0</v>
      </c>
      <c r="H292" s="76">
        <f>ROUND(IF(SUM(B290:F291)&lt;(L305*2),IF((SUM(B290:F292))&gt;(L305*3),(((L305*3)-(SUM(B290:F292)-C291))*H289)+((SUM(B292:F292)-C291)*H289),SUM(B292:F292)*H289),IF(SUM(B290:F292)&gt;(L305*3),L305*H289,SUM(B292:F292)*H289)),2)</f>
        <v>0</v>
      </c>
      <c r="I292" s="76">
        <f>ROUND(IF(SUM(B290:F291)&lt;(L306*2),IF((SUM(B290:F292))&gt;(L306*3),(((L306*3)-(SUM(B290:F292)-C291))*I289)+((SUM(B292:F292)-C291)*I289),SUM(B292:F292)*I289),IF(SUM(B290:F292)&gt;(L306*3),L306*I289,SUM(B292:F292)*I289)),2)</f>
        <v>0</v>
      </c>
      <c r="J292" s="76">
        <f>ROUND(IF(SUM(B290:F291)&lt;(L306*2),IF((SUM(B290:F292))&gt;(L306*3),(((L306*3)-(SUM(B290:F292)-C291))*J289)+((SUM(B292:F292)-C291)*J289),SUM(B292:F292)*J289),IF(SUM(B290:F292)&gt;(L306*3),L306*J289,SUM(B292:F292)*J289)),2)</f>
        <v>0</v>
      </c>
      <c r="K292" s="76">
        <f>ROUND(IF(SUM(B290:F291)&lt;(L305*2),IF((SUM(B290:F292))&gt;(L305*3),(((L305*3)-(SUM(B290:F292)-C291))*K289)+((SUM(B292:F292)-C291)*K289),SUM(B292:F292)*K289),IF(SUM(B290:F292)&gt;(L305*3),L305*K289,SUM(B292:F292)*K289)),2)</f>
        <v>0</v>
      </c>
      <c r="L292" s="76">
        <f>ROUND(IF(SUM(B290:F291)&lt;(L306*2),IF((SUM(B290:F292))&gt;(L306*3),(((L306*3)-(SUM(B290:F292)-C292))*L289)+((SUM(B292:F292)-C292)*L289),(SUM(B292:F292)-C292)*L289),IF(SUM(B290:F292)&gt;(L306*3),L306*L289,SUM(B292:F292)*L289)),2)</f>
        <v>0</v>
      </c>
      <c r="M292" s="76">
        <f>ROUND(IF(SUM(B290:F291)&lt;(L306*2),IF((SUM(B290:F292))&gt;(L306*3),(((L306*3)-(SUM(B290:F292)-C292))*M289)+((SUM(B292:F292)-C292)*M289),(SUM(B292:F292)-C292)*M289),IF(SUM(B290:F292)&gt;(L306*3),L306*M289,SUM(B292:F292)*M289)),2)</f>
        <v>0</v>
      </c>
      <c r="N292" s="76">
        <f>ROUND(IF(SUM(B290:F291)&lt;(L306*2),IF((SUM(B290:F292))&gt;(L306*3),(((L306*3)-(SUM(B290:F292)-C291))*N289)+((SUM(B292:F292)-C291)*N289),SUM(B292:F292)*N289),IF(SUM(B290:F292)&gt;(L306*3),L306*N289,SUM(B292:F292)*N289)),2)</f>
        <v>0</v>
      </c>
      <c r="O292" s="23">
        <f>ROUND(SUM(B292+C292+F292)*O289,2)</f>
        <v>0</v>
      </c>
      <c r="P292" s="27">
        <f t="shared" ref="P292:P301" si="33">SUM(G292:O292)</f>
        <v>0</v>
      </c>
    </row>
    <row r="293" spans="1:16" x14ac:dyDescent="0.2">
      <c r="A293" s="100" t="str">
        <f>$A$29</f>
        <v>Apr 2022</v>
      </c>
      <c r="B293" s="24">
        <f>ROUND(IF(N273=0,0,IFERROR(((LOOKUP(2,1/(A278:A281=A293),G278:G281))*N273*4.348),B292/N273*N273)),2)</f>
        <v>0</v>
      </c>
      <c r="C293" s="23">
        <f>ROUND(IFERROR(((LOOKUP(2,1/(B283=A293),((SUM(B296:B298)+SUM(F296:F298))/3)*C283))),0)+IFERROR(((LOOKUP(2,1/(E283=A293),(B302+F302)*F283))),0),2)</f>
        <v>0</v>
      </c>
      <c r="D293" s="23">
        <f>ROUND(IF(B293=0,0,D289/L271*N273),2)</f>
        <v>0</v>
      </c>
      <c r="E293" s="23">
        <f>ROUND(IF(B293=0,0,E289/N267*N273),2)</f>
        <v>0</v>
      </c>
      <c r="F293" s="24">
        <f>ROUND(IF(N273=0,0,IFERROR(((LOOKUP(2,1/(A278:A281=A293),H278:H281))/N267*N273),F292/N273*N273)),2)</f>
        <v>0</v>
      </c>
      <c r="G293" s="27">
        <f t="shared" si="32"/>
        <v>0</v>
      </c>
      <c r="H293" s="76">
        <f>ROUND(IF(SUM(B290:F292)&lt;(L305*3),IF((SUM(B290:F293))&gt;(L305*4),(((L305*4)-(SUM(B290:F293)-C292))*H289)+((SUM(B293:F293)-C292)*H289),SUM(B293:F293)*H289),IF(SUM(B290:F293)&gt;(L305*4),L305*H289,SUM(B293:F293)*H289)),2)</f>
        <v>0</v>
      </c>
      <c r="I293" s="76">
        <f>ROUND(IF(SUM(B290:F292)&lt;(L306*3),IF((SUM(B290:F293))&gt;(L306*4),(((L306*4)-(SUM(B290:F293)-C292))*I289)+((SUM(B293:F293)-C292)*I289),SUM(B293:F293)*I289),IF(SUM(B290:F293)&gt;(L306*4),L306*I289,SUM(B293:F293)*I289)),2)</f>
        <v>0</v>
      </c>
      <c r="J293" s="76">
        <f>ROUND(IF(SUM(B290:F292)&lt;(L306*3),IF((SUM(B290:F293))&gt;(L306*4),(((L306*4)-(SUM(B290:F293)-C292))*J289)+((SUM(B293:F293)-C292)*J289),SUM(B293:F293)*J289),IF(SUM(B290:F293)&gt;(L306*4),L306*J289,SUM(B293:F293)*J289)),2)</f>
        <v>0</v>
      </c>
      <c r="K293" s="76">
        <f>ROUND(IF(SUM(B290:F292)&lt;(L305*3),IF((SUM(B290:F293))&gt;(L305*4),(((L305*4)-(SUM(B290:F293)-C292))*K289)+((SUM(B293:F293)-C292)*K289),SUM(B293:F293)*K289),IF(SUM(B290:F293)&gt;(L305*4),L305*K289,SUM(B293:F293)*K289)),2)</f>
        <v>0</v>
      </c>
      <c r="L293" s="76">
        <f>ROUND(IF(SUM(B290:F292)&lt;(L306*3),IF((SUM(B290:F293))&gt;(L306*4),(((L306*4)-(SUM(B290:F293)-C293))*L289)+((SUM(B293:F293)-C293)*L289),(SUM(B293:F293)-C293)*L289),IF(SUM(B290:F293)&gt;(L306*4),L306*L289,SUM(B293:F293)*L289)),2)</f>
        <v>0</v>
      </c>
      <c r="M293" s="76">
        <f>ROUND(IF(SUM(B290:F292)&lt;(L306*3),IF((SUM(B290:F293))&gt;(L306*4),(((L306*4)-(SUM(B290:F293)-C293))*M289)+((SUM(B293:F293)-C293)*M289),(SUM(B293:F293)-C293)*M289),IF(SUM(B290:F293)&gt;(L306*4),L306*M289,SUM(B293:F293)*M289)),2)</f>
        <v>0</v>
      </c>
      <c r="N293" s="76">
        <f>ROUND(IF(SUM(B290:F292)&lt;(L306*3),IF((SUM(B290:F293))&gt;(L306*4),(((L306*4)-(SUM(B290:F293)-C292))*N289)+((SUM(B293:F293)-C292)*N289),SUM(B293:F293)*N289),IF(SUM(B290:F293)&gt;(L306*4),L306*N289,SUM(B293:F293)*N289)),2)</f>
        <v>0</v>
      </c>
      <c r="O293" s="23">
        <f>ROUND(SUM(B293+C293+F293)*O289,2)</f>
        <v>0</v>
      </c>
      <c r="P293" s="27">
        <f t="shared" si="33"/>
        <v>0</v>
      </c>
    </row>
    <row r="294" spans="1:16" x14ac:dyDescent="0.2">
      <c r="A294" s="100" t="str">
        <f>$A$30</f>
        <v>Mai 2022</v>
      </c>
      <c r="B294" s="24">
        <f>ROUND(IF(N274=0,0,IFERROR(((LOOKUP(2,1/(A278:A281=A294),G278:G281))*N274*4.348),B293/N274*N274)),2)</f>
        <v>0</v>
      </c>
      <c r="C294" s="23">
        <f>ROUND(IFERROR(((LOOKUP(2,1/(B283=A294),((SUM(B296:B298)+SUM(F296:F298))/3)*C283))),0)+IFERROR(((LOOKUP(2,1/(E283=A294),(B302+F302)*F283))),0),2)</f>
        <v>0</v>
      </c>
      <c r="D294" s="23">
        <f>ROUND(IF(B294=0,0,D289/L271*N274),2)</f>
        <v>0</v>
      </c>
      <c r="E294" s="23">
        <f>ROUND(IF(B294=0,0,E289/N267*N274),2)</f>
        <v>0</v>
      </c>
      <c r="F294" s="24">
        <f>ROUND(IF(N274=0,0,IFERROR(((LOOKUP(2,1/(A278:A281=A294),H278:H281))/N267*N274),F293/N274*N274)),2)</f>
        <v>0</v>
      </c>
      <c r="G294" s="27">
        <f t="shared" si="32"/>
        <v>0</v>
      </c>
      <c r="H294" s="76">
        <f>ROUND(IF(SUM(B290:F293)&lt;(L305*4),IF((SUM(B290:F294))&gt;(L305*5),(((L305*5)-(SUM(B290:F294)-C293))*H289)+((SUM(B294:F294)-C293)*H289),SUM(B294:F294)*H289),IF(SUM(B290:F294)&gt;(L305*5),L305*H289,SUM(B294:F294)*H289)),2)</f>
        <v>0</v>
      </c>
      <c r="I294" s="76">
        <f>ROUND(IF(SUM(B290:F293)&lt;(L306*4),IF((SUM(B290:F294))&gt;(L306*5),(((L306*5)-(SUM(B290:F294)-C293))*I289)+((SUM(B294:F294)-C293)*I289),SUM(B294:F294)*I289),IF(SUM(B290:F294)&gt;(L306*5),L306*I289,SUM(B294:F294)*I289)),2)</f>
        <v>0</v>
      </c>
      <c r="J294" s="76">
        <f>ROUND(IF(SUM(B290:F293)&lt;(L306*4),IF((SUM(B290:F294))&gt;(L306*5),(((L306*5)-(SUM(B290:F294)-C293))*J289)+((SUM(B294:F294)-C293)*J289),SUM(B294:F294)*J289),IF(SUM(B290:F294)&gt;(L306*5),L306*J289,SUM(B294:F294)*J289)),2)</f>
        <v>0</v>
      </c>
      <c r="K294" s="76">
        <f>ROUND(IF(SUM(B290:F293)&lt;(L305*4),IF((SUM(B290:F294))&gt;(L305*5),(((L305*5)-(SUM(B290:F294)-C293))*K289)+((SUM(B294:F294)-C293)*K289),SUM(B294:F294)*K289),IF(SUM(B290:F294)&gt;(L305*5),L305*K289,SUM(B294:F294)*K289)),2)</f>
        <v>0</v>
      </c>
      <c r="L294" s="76">
        <f>ROUND(IF(SUM(B290:F293)&lt;(L306*4),IF((SUM(B290:F294))&gt;(L306*5),(((L306*5)-(SUM(B290:F294)-C294))*L289)+((SUM(B294:F294)-C294)*L289),(SUM(B294:F294)-C294)*L289),IF(SUM(B290:F294)&gt;(L306*5),L306*L289,SUM(B294:F294)*L289)),2)</f>
        <v>0</v>
      </c>
      <c r="M294" s="76">
        <f>ROUND(IF(SUM(B290:F293)&lt;(L306*4),IF((SUM(B290:F294))&gt;(L306*5),(((L306*5)-(SUM(B290:F294)-C294))*M289)+((SUM(B294:F294)-C294)*M289),(SUM(B294:F294)-C294)*M289),IF(SUM(B290:F294)&gt;(L306*5),L306*M289,SUM(B294:F294)*M289)),2)</f>
        <v>0</v>
      </c>
      <c r="N294" s="76">
        <f>ROUND(IF(SUM(B290:F293)&lt;(L306*4),IF((SUM(B290:F294))&gt;(L306*5),(((L306*5)-(SUM(B290:F294)-C293))*N289)+((SUM(B294:F294)-C293)*N289),SUM(B294:F294)*N289),IF(SUM(B290:F294)&gt;(L306*5),L306*N289,SUM(B294:F294)*N289)),2)</f>
        <v>0</v>
      </c>
      <c r="O294" s="23">
        <f>ROUND(SUM(B294+C294+F294)*O289,2)</f>
        <v>0</v>
      </c>
      <c r="P294" s="27">
        <f t="shared" si="33"/>
        <v>0</v>
      </c>
    </row>
    <row r="295" spans="1:16" x14ac:dyDescent="0.2">
      <c r="A295" s="100" t="str">
        <f>$A$31</f>
        <v>Jun 2022</v>
      </c>
      <c r="B295" s="24">
        <f>ROUND(IF(N275=0,0,IFERROR(((LOOKUP(2,1/(A278:A281=A295),G278:G281))*N275*4.348),B294/N275*N275)),2)</f>
        <v>0</v>
      </c>
      <c r="C295" s="23">
        <f>ROUND(IFERROR(((LOOKUP(2,1/(B283=A295),((SUM(B296:B298)+SUM(F296:F298))/3)*C283))),0)+IFERROR(((LOOKUP(2,1/(E283=A295),(B302+F302)*F283))),0),2)</f>
        <v>0</v>
      </c>
      <c r="D295" s="23">
        <f>ROUND(IF(B295=0,0,D289/L271*N275),2)</f>
        <v>0</v>
      </c>
      <c r="E295" s="23">
        <f>ROUND(IF(B295=0,0,E289/N267*N275),2)</f>
        <v>0</v>
      </c>
      <c r="F295" s="24">
        <f>ROUND(IF(N275=0,0,IFERROR(((LOOKUP(2,1/(A278:A281=A295),H278:H281))/N267*N275),F294/N275*N275)),2)</f>
        <v>0</v>
      </c>
      <c r="G295" s="27">
        <f t="shared" si="32"/>
        <v>0</v>
      </c>
      <c r="H295" s="76">
        <f>ROUND(IF(SUM(B290:F294)&lt;(L305*5),IF((SUM(B290:F295))&gt;(L305*6),(((L305*6)-(SUM(B290:F295)-C294))*H289)+((SUM(B295:F295)-C294)*H289),SUM(B295:F295)*H289),IF(SUM(B290:F295)&gt;(L305*6),L305*H289,SUM(B295:F295)*H289)),2)</f>
        <v>0</v>
      </c>
      <c r="I295" s="76">
        <f>ROUND(IF(SUM(B290:F294)&lt;(L306*5),IF((SUM(B290:F295))&gt;(L306*6),(((L306*6)-(SUM(B290:F295)-C294))*I289)+((SUM(B295:F295)-C294)*I289),SUM(B295:F295)*I289),IF(SUM(B290:F295)&gt;(L306*6),L306*I289,SUM(B295:F295)*I289)),2)</f>
        <v>0</v>
      </c>
      <c r="J295" s="76">
        <f>ROUND(IF(SUM(B290:F294)&lt;(L306*5),IF((SUM(B290:F295))&gt;(L306*6),(((L306*6)-(SUM(B290:F295)-C294))*J289)+((SUM(B295:F295)-C294)*J289),SUM(B295:F295)*J289),IF(SUM(B290:F295)&gt;(L306*6),L306*J289,SUM(B295:F295)*J289)),2)</f>
        <v>0</v>
      </c>
      <c r="K295" s="76">
        <f>ROUND(IF(SUM(B290:F294)&lt;(L305*5),IF((SUM(B290:F295))&gt;(L305*6),(((L305*6)-(SUM(B290:F295)-C294))*K289)+((SUM(B295:F295)-C294)*K289),SUM(B295:F295)*K289),IF(SUM(B290:F295)&gt;(L305*6),L305*K289,SUM(B295:F295)*K289)),2)</f>
        <v>0</v>
      </c>
      <c r="L295" s="76">
        <f>ROUND(IF(SUM(B290:F294)&lt;(L306*5),IF((SUM(B290:F295))&gt;(L306*6),(((L306*6)-(SUM(B290:F295)-C295))*L289)+((SUM(B295:F295)-C295)*L289),(SUM(B295:F295)-C295)*L289),IF(SUM(B290:F295)&gt;(L306*6),L306*L289,SUM(B295:F295)*L289)),2)</f>
        <v>0</v>
      </c>
      <c r="M295" s="76">
        <f>ROUND(IF(SUM(B290:F294)&lt;(L306*5),IF((SUM(B290:F295))&gt;(L306*6),(((L306*6)-(SUM(B290:F295)-C295))*M289)+((SUM(B295:F295)-C295)*M289),(SUM(B295:F295)-C295)*M289),IF(SUM(B290:F295)&gt;(L306*6),L306*M289,SUM(B295:F295)*M289)),2)</f>
        <v>0</v>
      </c>
      <c r="N295" s="76">
        <f>ROUND(IF(SUM(B290:F294)&lt;(L306*5),IF((SUM(B290:F295))&gt;(L306*6),(((L306*6)-(SUM(B290:F295)-C294))*N289)+((SUM(B295:F295)-C294)*N289),SUM(B295:F295)*N289),IF(SUM(B290:F295)&gt;(L306*6),L306*N289,SUM(B295:F295)*N289)),2)</f>
        <v>0</v>
      </c>
      <c r="O295" s="23">
        <f>ROUND(SUM(B295+C295+F295)*O289,2)</f>
        <v>0</v>
      </c>
      <c r="P295" s="27">
        <f t="shared" si="33"/>
        <v>0</v>
      </c>
    </row>
    <row r="296" spans="1:16" x14ac:dyDescent="0.2">
      <c r="A296" s="100" t="str">
        <f>$A$32</f>
        <v>Jul 2022</v>
      </c>
      <c r="B296" s="24">
        <f>ROUND(IF(P270=0,0,IFERROR(((LOOKUP(2,1/(A278:A281=A296),G278:G281))*P270*4.348),B295/P270*P270)),2)</f>
        <v>0</v>
      </c>
      <c r="C296" s="23">
        <f>ROUND(IFERROR(((LOOKUP(2,1/(B283=A296),((SUM(B296:B298)+SUM(F296:F298))/3)*C283))),0)+IFERROR(((LOOKUP(2,1/(E283=A296),(B302+F302)*F283))),0),2)</f>
        <v>0</v>
      </c>
      <c r="D296" s="23">
        <f>ROUND(IF(B296=0,0,D289/L271*P270),2)</f>
        <v>0</v>
      </c>
      <c r="E296" s="23">
        <f>ROUND(IF(B296=0,0,E289/N267*P270),2)</f>
        <v>0</v>
      </c>
      <c r="F296" s="24">
        <f>ROUND(IF(P270=0,0,IFERROR(((LOOKUP(2,1/(A278:A281=A296),H278:H281))/N267*P270),F295/P270*P270)),2)</f>
        <v>0</v>
      </c>
      <c r="G296" s="27">
        <f t="shared" si="32"/>
        <v>0</v>
      </c>
      <c r="H296" s="76">
        <f>ROUND(IF(SUM(B290:F295)&lt;(L305*6),IF((SUM(B290:F296))&gt;(L305*7),(((L305*7)-(SUM(B290:F296)-C295))*H289)+((SUM(B296:F296)-C295)*H289),SUM(B296:F296)*H289),IF(SUM(B290:F296)&gt;(L305*7),L305*H289,SUM(B296:F296)*H289)),2)</f>
        <v>0</v>
      </c>
      <c r="I296" s="76">
        <f>ROUND(IF(SUM(B290:F295)&lt;(L306*6),IF((SUM(B290:F296))&gt;(L306*7),(((L306*7)-(SUM(B290:F296)-C295))*I289)+((SUM(B296:F296)-C295)*I289),SUM(B296:F296)*I289),IF(SUM(B290:F296)&gt;(L306*7),L306*I289,SUM(B296:F296)*I289)),2)</f>
        <v>0</v>
      </c>
      <c r="J296" s="76">
        <f>ROUND(IF(SUM(B290:F295)&lt;(L306*6),IF((SUM(B290:F296))&gt;(L306*7),(((L306*7)-(SUM(B290:F296)-C295))*J289)+((SUM(B296:F296)-C295)*J289),SUM(B296:F296)*J289),IF(SUM(B290:F296)&gt;(L306*7),L306*J289,SUM(B296:F296)*J289)),2)</f>
        <v>0</v>
      </c>
      <c r="K296" s="76">
        <f>ROUND(IF(SUM(B290:F295)&lt;(L305*6),IF((SUM(B290:F296))&gt;(L305*7),(((L305*7)-(SUM(B290:F296)-C295))*K289)+((SUM(B296:F296)-C295)*K289),SUM(B296:F296)*K289),IF(SUM(B290:F296)&gt;(L305*7),L305*K289,SUM(B296:F296)*K289)),2)</f>
        <v>0</v>
      </c>
      <c r="L296" s="76">
        <f>ROUND(IF(SUM(B290:F295)&lt;(L306*6),IF((SUM(B290:F296))&gt;(L306*7),(((L306*7)-(SUM(B290:F296)-C296))*L289)+((SUM(B296:F296)-C296)*L289),(SUM(B296:F296)-C296)*L289),IF(SUM(B290:F296)&gt;(L306*7),L306*L289,SUM(B296:F296)*L289)),2)</f>
        <v>0</v>
      </c>
      <c r="M296" s="76">
        <f>ROUND(IF(SUM(B290:F295)&lt;(L306*6),IF((SUM(B290:F296))&gt;(L306*7),(((L306*7)-(SUM(B290:F296)-C296))*M289)+((SUM(B296:F296)-C296)*M289),(SUM(B296:F296)-C296)*M289),IF(SUM(B290:F296)&gt;(L306*7),L306*M289,SUM(B296:F296)*M289)),2)</f>
        <v>0</v>
      </c>
      <c r="N296" s="76">
        <f>ROUND(IF(SUM(B290:F295)&lt;(L306*6),IF((SUM(B290:F296))&gt;(L306*7),(((L306*7)-(SUM(B290:F296)-C295))*N289)+((SUM(B296:F296)-C295)*N289),SUM(B296:F296)*N289),IF(SUM(B290:F296)&gt;(L306*7),L306*N289,SUM(B296:F296)*N289)),2)</f>
        <v>0</v>
      </c>
      <c r="O296" s="23">
        <f>ROUND(SUM(B296+C296+F296)*O289,2)</f>
        <v>0</v>
      </c>
      <c r="P296" s="27">
        <f t="shared" si="33"/>
        <v>0</v>
      </c>
    </row>
    <row r="297" spans="1:16" x14ac:dyDescent="0.2">
      <c r="A297" s="100" t="str">
        <f>$A$33</f>
        <v>Aug 2022</v>
      </c>
      <c r="B297" s="24">
        <f>ROUND(IF(P271=0,0,IFERROR(((LOOKUP(2,1/(A278:A281=A297),G278:G281))*P271*4.348),B296/P271*P271)),2)</f>
        <v>0</v>
      </c>
      <c r="C297" s="23">
        <f>ROUND(IFERROR(((LOOKUP(2,1/(B283=A297),((SUM(B296:B298)+SUM(F296:F298))/3)*C283))),0)+IFERROR(((LOOKUP(2,1/(E283=A297),(B302+F302)*F283))),0),2)</f>
        <v>0</v>
      </c>
      <c r="D297" s="23">
        <f>ROUND(IF(B297=0,0,D289/L271*P271),2)</f>
        <v>0</v>
      </c>
      <c r="E297" s="23">
        <f>ROUND(IF(B297=0,0,E289/N267*P271),2)</f>
        <v>0</v>
      </c>
      <c r="F297" s="24">
        <f>ROUND(IF(P271=0,0,IFERROR(((LOOKUP(2,1/(A278:A281=A297),H278:H281))/N267*P271),F296/P271*P271)),2)</f>
        <v>0</v>
      </c>
      <c r="G297" s="27">
        <f t="shared" si="32"/>
        <v>0</v>
      </c>
      <c r="H297" s="76">
        <f>ROUND(IF(SUM(B290:F296)&lt;(L305*7),IF((SUM(B290:F297))&gt;(L305*8),(((L305*8)-(SUM(B290:F297)-C296))*H289)+((SUM(B297:F297)-C296)*H289),SUM(B297:F297)*H289),IF(SUM(B290:F297)&gt;(L305*8),L305*H289,SUM(B297:F297)*H289)),2)</f>
        <v>0</v>
      </c>
      <c r="I297" s="76">
        <f>ROUND(IF(SUM(B290:F296)&lt;(L306*7),IF((SUM(B290:F297))&gt;(L306*8),(((L306*8)-(SUM(B290:F297)-C296))*I289)+((SUM(B297:F297)-C296)*I289),SUM(B297:F297)*I289),IF(SUM(B290:F297)&gt;(L306*8),L306*I289,SUM(B297:F297)*I289)),2)</f>
        <v>0</v>
      </c>
      <c r="J297" s="76">
        <f>ROUND(IF(SUM(B290:F296)&lt;(L306*7),IF((SUM(B290:F297))&gt;(L306*8),(((L306*8)-(SUM(B290:F297)-C296))*J289)+((SUM(B297:F297)-C296)*J289),SUM(B297:F297)*J289),IF(SUM(B290:F297)&gt;(L306*8),L306*J289,SUM(B297:F297)*J289)),2)</f>
        <v>0</v>
      </c>
      <c r="K297" s="76">
        <f>ROUND(IF(SUM(B290:F296)&lt;(L305*7),IF((SUM(B290:F297))&gt;(L305*8),(((L305*8)-(SUM(B290:F297)-C296))*K289)+((SUM(B297:F297)-C296)*K289),SUM(B297:F297)*K289),IF(SUM(B290:F297)&gt;(L305*8),L305*K289,SUM(B297:F297)*K289)),2)</f>
        <v>0</v>
      </c>
      <c r="L297" s="76">
        <f>ROUND(IF(SUM(B290:F296)&lt;(L306*7),IF((SUM(B290:F297))&gt;(L306*8),(((L306*8)-(SUM(B290:F297)-C297))*L289)+((SUM(B297:F297)-C297)*L289),(SUM(B297:F297)-C297)*L289),IF(SUM(B290:F297)&gt;(L306*8),L306*L289,SUM(B297:F297)*L289)),2)</f>
        <v>0</v>
      </c>
      <c r="M297" s="76">
        <f>ROUND(IF(SUM(B290:F296)&lt;(L306*7),IF((SUM(B290:F297))&gt;(L306*8),(((L306*8)-(SUM(B290:F297)-C297))*M289)+((SUM(B297:F297)-C297)*M289),(SUM(B297:F297)-C297)*M289),IF(SUM(B290:F297)&gt;(L306*8),L306*M289,SUM(B297:F297)*M289)),2)</f>
        <v>0</v>
      </c>
      <c r="N297" s="76">
        <f>ROUND(IF(SUM(B290:F296)&lt;(L306*7),IF((SUM(B290:F297))&gt;(L306*8),(((L306*8)-(SUM(B290:F297)-C296))*N289)+((SUM(B297:F297)-C296)*N289),SUM(B297:F297)*N289),IF(SUM(B290:F297)&gt;(L306*8),L306*N289,SUM(B297:F297)*N289)),2)</f>
        <v>0</v>
      </c>
      <c r="O297" s="23">
        <f>ROUND(SUM(B297+C297+F297)*O289,2)</f>
        <v>0</v>
      </c>
      <c r="P297" s="27">
        <f t="shared" si="33"/>
        <v>0</v>
      </c>
    </row>
    <row r="298" spans="1:16" x14ac:dyDescent="0.2">
      <c r="A298" s="100" t="str">
        <f>$A$34</f>
        <v>Sep 2022</v>
      </c>
      <c r="B298" s="24">
        <f>ROUND(IF(P272=0,0,IFERROR(((LOOKUP(2,1/(A278:A281=A298),G278:G281))*P272*4.348),B297/P272*P272)),2)</f>
        <v>0</v>
      </c>
      <c r="C298" s="23">
        <f>ROUND(IFERROR(((LOOKUP(2,1/(B283=A298),((SUM(B296:B298)+SUM(F296:F298))/3)*C283))),0)+IFERROR(((LOOKUP(2,1/(E283=A298),(B302+F302)*F283))),0),2)</f>
        <v>0</v>
      </c>
      <c r="D298" s="23">
        <f>ROUND(IF(B298=0,0,D289/L271*P272),2)</f>
        <v>0</v>
      </c>
      <c r="E298" s="23">
        <f>ROUND(IF(B298=0,0,E289/N267*P272),2)</f>
        <v>0</v>
      </c>
      <c r="F298" s="24">
        <f>ROUND(IF(P272=0,0,IFERROR(((LOOKUP(2,1/(A278:A281=A298),H278:H281))/N267*P272),F297/P272*P272)),2)</f>
        <v>0</v>
      </c>
      <c r="G298" s="27">
        <f t="shared" si="32"/>
        <v>0</v>
      </c>
      <c r="H298" s="76">
        <f>ROUND(IF(SUM(B290:F297)&lt;(L305*8),IF((SUM(B290:F298))&gt;(L305*9),(((L305*9)-(SUM(B290:F298)-C297))*H289)+((SUM(B298:F298)-C297)*H289),SUM(B298:F298)*H289),IF(SUM(B290:F298)&gt;(L305*9),L305*H289,SUM(B298:F298)*H289)),2)</f>
        <v>0</v>
      </c>
      <c r="I298" s="76">
        <f>ROUND(IF(SUM(B290:F297)&lt;(L306*8),IF((SUM(B290:F298))&gt;(L306*9),(((L306*9)-(SUM(B290:F298)-C297))*I289)+((SUM(B298:F298)-C297)*I289),SUM(B298:F298)*I289),IF(SUM(B290:F298)&gt;(L306*9),L306*I289,SUM(B298:F298)*I289)),2)</f>
        <v>0</v>
      </c>
      <c r="J298" s="76">
        <f>ROUND(IF(SUM(B290:F297)&lt;(L306*8),IF((SUM(B290:F298))&gt;(L306*9),(((L306*9)-(SUM(B290:F298)-C297))*J289)+((SUM(B298:F298)-C297)*J289),SUM(B298:F298)*J289),IF(SUM(B290:F298)&gt;(L306*9),L306*J289,SUM(B298:F298)*J289)),2)</f>
        <v>0</v>
      </c>
      <c r="K298" s="76">
        <f>ROUND(IF(SUM(B290:F297)&lt;(L305*8),IF((SUM(B290:F298))&gt;(L305*9),(((L305*9)-(SUM(B290:F298)-C297))*K289)+((SUM(B298:F298)-C297)*K289),SUM(B298:F298)*K289),IF(SUM(B290:F298)&gt;(L305*9),L305*K289,SUM(B298:F298)*K289)),2)</f>
        <v>0</v>
      </c>
      <c r="L298" s="76">
        <f>ROUND(IF(SUM(B290:F297)&lt;(L306*8),IF((SUM(B290:F298))&gt;(L306*9),(((L306*9)-(SUM(B290:F298)-C298))*L289)+((SUM(B298:F298)-C298)*L289),(SUM(B298:F298)-C298)*L289),IF(SUM(B290:F298)&gt;(L306*9),L306*L289,SUM(B298:F298)*L289)),2)</f>
        <v>0</v>
      </c>
      <c r="M298" s="76">
        <f>ROUND(IF(SUM(B290:F297)&lt;(L306*8),IF((SUM(B290:F298))&gt;(L306*9),(((L306*9)-(SUM(B290:F298)-C298))*M289)+((SUM(B298:F298)-C298)*M289),(SUM(B298:F298)-C298)*M289),IF(SUM(B290:F298)&gt;(L306*9),L306*M289,SUM(B298:F298)*M289)),2)</f>
        <v>0</v>
      </c>
      <c r="N298" s="76">
        <f>ROUND(IF(SUM(B290:F297)&lt;(L306*8),IF((SUM(B290:F298))&gt;(L306*9),(((L306*9)-(SUM(B290:F298)-C297))*N289)+((SUM(B298:F298)-C297)*N289),SUM(B298:F298)*N289),IF(SUM(B290:F298)&gt;(L306*9),L306*N289,SUM(B298:F298)*N289)),2)</f>
        <v>0</v>
      </c>
      <c r="O298" s="23">
        <f>ROUND(SUM(B298+C298+F298)*O289,2)</f>
        <v>0</v>
      </c>
      <c r="P298" s="27">
        <f t="shared" si="33"/>
        <v>0</v>
      </c>
    </row>
    <row r="299" spans="1:16" x14ac:dyDescent="0.2">
      <c r="A299" s="100" t="str">
        <f>$A$35</f>
        <v>Okt 2022</v>
      </c>
      <c r="B299" s="24">
        <f>ROUND(IF(P273=0,0,IFERROR(((LOOKUP(2,1/(A278:A281=A299),G278:G281))*P273*4.348),B298/P273*P273)),2)</f>
        <v>0</v>
      </c>
      <c r="C299" s="23">
        <f>ROUND(IFERROR(((LOOKUP(2,1/(B283=A299),((SUM(B296:B298)+SUM(F296:F298))/3)*C283))),0)+IFERROR(((LOOKUP(2,1/(E283=A299),(B302+F302)*F283))),0),2)</f>
        <v>0</v>
      </c>
      <c r="D299" s="23">
        <f>ROUND(IF(B299=0,0,D289/L271*P273),2)</f>
        <v>0</v>
      </c>
      <c r="E299" s="23">
        <f>ROUND(IF(B299=0,0,E289/N267*P273),2)</f>
        <v>0</v>
      </c>
      <c r="F299" s="24">
        <f>ROUND(IF(P273=0,0,IFERROR(((LOOKUP(2,1/(A278:A281=A299),H278:H281))/N267*P273),F298/P273*P273)),2)</f>
        <v>0</v>
      </c>
      <c r="G299" s="27">
        <f t="shared" si="32"/>
        <v>0</v>
      </c>
      <c r="H299" s="76">
        <f>ROUND(IF(SUM(B290:F298)&lt;(L305*9),IF((SUM(B290:F299))&gt;(L305*10),(((L305*10)-(SUM(B290:F299)-C298))*H289)+((SUM(B299:F299)-C298)*H289),SUM(B299:F299)*H289),IF(SUM(B290:F299)&gt;(L305*10),L305*H289,SUM(B299:F299)*H289)),2)</f>
        <v>0</v>
      </c>
      <c r="I299" s="76">
        <f>ROUND(IF(SUM(B290:F298)&lt;(L306*9),IF((SUM(B290:F299))&gt;(L306*10),(((L306*10)-(SUM(B290:F299)-C298))*I289)+((SUM(B299:F299)-C298)*I289),SUM(B299:F299)*I289),IF(SUM(B290:F299)&gt;(L306*10),L306*I289,SUM(B299:F299)*I289)),2)</f>
        <v>0</v>
      </c>
      <c r="J299" s="76">
        <f>ROUND(IF(SUM(B290:F298)&lt;(L306*9),IF((SUM(B290:F299))&gt;(L306*10),(((L306*10)-(SUM(B290:F299)-C298))*J289)+((SUM(B299:F299)-C298)*J289),SUM(B299:F299)*J289),IF(SUM(B290:F299)&gt;(L306*10),L306*J289,SUM(B299:F299)*J289)),2)</f>
        <v>0</v>
      </c>
      <c r="K299" s="76">
        <f>ROUND(IF(SUM(B290:F298)&lt;(L305*9),IF((SUM(B290:F299))&gt;(L305*10),(((L305*10)-(SUM(B290:F299)-C298))*K289)+((SUM(B299:F299)-C298)*K289),SUM(B299:F299)*K289),IF(SUM(B290:F299)&gt;(L305*10),L305*K289,SUM(B299:F299)*K289)),2)</f>
        <v>0</v>
      </c>
      <c r="L299" s="76">
        <f>ROUND(IF(SUM(B290:F298)&lt;(L306*9),IF((SUM(B290:F299))&gt;(L306*10),(((L306*10)-(SUM(B290:F299)-C299))*L289)+((SUM(B299:F299)-C299)*L289),(SUM(B299:F299)-C299)*L289),IF(SUM(B290:F299)&gt;(L306*10),L306*L289,SUM(B299:F299)*L289)),2)</f>
        <v>0</v>
      </c>
      <c r="M299" s="76">
        <f>ROUND(IF(SUM(B290:F298)&lt;(L306*9),IF((SUM(B290:F299))&gt;(L306*10),(((L306*10)-(SUM(B290:F299)-C299))*M289)+((SUM(B299:F299)-C299)*M289),(SUM(B299:F299)-C299)*M289),IF(SUM(B290:F299)&gt;(L306*10),L306*M289,SUM(B299:F299)*M289)),2)</f>
        <v>0</v>
      </c>
      <c r="N299" s="76">
        <f>ROUND(IF(SUM(B290:F298)&lt;(L306*9),IF((SUM(B290:F299))&gt;(L306*10),(((L306*10)-(SUM(B290:F299)-C298))*N289)+((SUM(B299:F299)-C298)*N289),SUM(B299:F299)*N289),IF(SUM(B290:F299)&gt;(L306*10),L306*N289,SUM(B299:F299)*N289)),2)</f>
        <v>0</v>
      </c>
      <c r="O299" s="23">
        <f>ROUND(SUM(B299+C299+F299)*O289,2)</f>
        <v>0</v>
      </c>
      <c r="P299" s="27">
        <f t="shared" si="33"/>
        <v>0</v>
      </c>
    </row>
    <row r="300" spans="1:16" x14ac:dyDescent="0.2">
      <c r="A300" s="100" t="str">
        <f>$A$36</f>
        <v>Nov 2022</v>
      </c>
      <c r="B300" s="24">
        <f>ROUND(IF(P274=0,0,IFERROR(((LOOKUP(2,1/(A278:A281=A300),G278:G281))*P274*4.348),B299/P274*P274)),2)</f>
        <v>0</v>
      </c>
      <c r="C300" s="23">
        <f>ROUND(IFERROR(((LOOKUP(2,1/(B283=A300),((SUM(B296:B298)+SUM(F296:F298))/3)*C283))),0)+IFERROR(((LOOKUP(2,1/(E283=A300),(B302+F302)*F283))),0),2)</f>
        <v>0</v>
      </c>
      <c r="D300" s="23">
        <f>ROUND(IF(B300=0,0,D289/L271*P274),2)</f>
        <v>0</v>
      </c>
      <c r="E300" s="23">
        <f>ROUND(IF(B300=0,0,E289/N267*P274),2)</f>
        <v>0</v>
      </c>
      <c r="F300" s="24">
        <f>ROUND(IF(P274=0,0,IFERROR(((LOOKUP(2,1/(A278:A281=A300),H278:H281))/N267*P274),F299/P274*P274)),2)</f>
        <v>0</v>
      </c>
      <c r="G300" s="27">
        <f t="shared" si="32"/>
        <v>0</v>
      </c>
      <c r="H300" s="76">
        <f>ROUND(IF(SUM(B290:F299)&lt;(L305*10),IF((SUM(B290:F300))&gt;(L305*11),(((L305*11)-(SUM(B290:F300)-C299))*H289)+((SUM(B300:F300)-C299)*H289),SUM(B300:F300)*H289),IF(SUM(B290:F300)&gt;(L305*11),L305*H289,SUM(B300:F300)*H289)),2)</f>
        <v>0</v>
      </c>
      <c r="I300" s="76">
        <f>ROUND(IF(SUM(B290:F299)&lt;(L306*10),IF((SUM(B290:F300))&gt;(L306*11),(((L306*11)-(SUM(B290:F300)-C299))*I289)+((SUM(B300:F300)-C299)*I289),SUM(B300:F300)*I289),IF(SUM(B290:F300)&gt;(L306*11),L306*I289,SUM(B300:F300)*I289)),2)</f>
        <v>0</v>
      </c>
      <c r="J300" s="76">
        <f>ROUND(IF(SUM(B290:F299)&lt;(L306*10),IF((SUM(B290:F300))&gt;(L306*11),(((L306*11)-(SUM(B290:F300)-C299))*J289)+((SUM(B300:F300)-C299)*J289),SUM(B300:F300)*J289),IF(SUM(B290:F300)&gt;(L306*11),L306*J289,SUM(B300:F300)*J289)),2)</f>
        <v>0</v>
      </c>
      <c r="K300" s="76">
        <f>ROUND(IF(SUM(B290:F299)&lt;(L305*10),IF((SUM(B290:F300))&gt;(L305*11),(((L305*11)-(SUM(B290:F300)-C299))*K289)+((SUM(B300:F300)-C299)*K289),SUM(B300:F300)*K289),IF(SUM(B290:F300)&gt;(L305*11),L305*K289,SUM(B300:F300)*K289)),2)</f>
        <v>0</v>
      </c>
      <c r="L300" s="76">
        <f>ROUND(IF(SUM(B290:F299)&lt;(L306*10),IF((SUM(B290:F300))&gt;(L306*11),(((L306*11)-(SUM(B290:F300)-C300))*L289)+((SUM(B300:F300)-C300)*L289),(SUM(B300:F300)-C300)*L289),IF(SUM(B290:F300)&gt;(L306*11),L306*L289,SUM(B300:F300)*L289)),2)</f>
        <v>0</v>
      </c>
      <c r="M300" s="76">
        <f>ROUND(IF(SUM(B290:F299)&lt;(L306*10),IF((SUM(B290:F300))&gt;(L306*11),(((L306*11)-(SUM(B290:F300)-C300))*M289)+((SUM(B300:F300)-C300)*M289),(SUM(B300:F300)-C300)*M289),IF(SUM(B290:F300)&gt;(L306*11),L306*M289,SUM(B300:F300)*M289)),2)</f>
        <v>0</v>
      </c>
      <c r="N300" s="76">
        <f>ROUND(IF(SUM(B290:F299)&lt;(L306*10),IF((SUM(B290:F300))&gt;(L306*11),(((L306*11)-(SUM(B290:F300)-C299))*N289)+((SUM(B300:F300)-C299)*N289),SUM(B300:F300)*N289),IF(SUM(B290:F300)&gt;(L306*11),L306*N289,SUM(B300:F300)*N289)),2)</f>
        <v>0</v>
      </c>
      <c r="O300" s="23">
        <f>ROUND(SUM(B300+C300+F300)*O289,2)</f>
        <v>0</v>
      </c>
      <c r="P300" s="27">
        <f t="shared" si="33"/>
        <v>0</v>
      </c>
    </row>
    <row r="301" spans="1:16" x14ac:dyDescent="0.2">
      <c r="A301" s="100" t="str">
        <f>$A$37</f>
        <v>Dez 2022</v>
      </c>
      <c r="B301" s="24">
        <f>ROUND(IF(P275=0,0,IFERROR(((LOOKUP(2,1/(A278:A281=A301),G278:G281))*P275*4.348),B300/P275*P275)),2)</f>
        <v>0</v>
      </c>
      <c r="C301" s="23">
        <f>ROUND(IFERROR(((LOOKUP(2,1/(B283=A301),((SUM(B296:B298)+SUM(F296:F298))/3)*C283))),0)+IFERROR(((LOOKUP(2,1/(E283=A301),(B302+F302)*F283))),0),2)</f>
        <v>0</v>
      </c>
      <c r="D301" s="23">
        <f>ROUND(IF(B301=0,0,D289/L271*P275),2)</f>
        <v>0</v>
      </c>
      <c r="E301" s="23">
        <f>ROUND(IF(B301=0,0,E289/N267*P275),2)</f>
        <v>0</v>
      </c>
      <c r="F301" s="24">
        <f>ROUND(IF(P275=0,0,IFERROR(((LOOKUP(2,1/(A278:A281=A301),H278:H281))/N267*P275),F300/P275*P275)),2)</f>
        <v>0</v>
      </c>
      <c r="G301" s="27">
        <f t="shared" si="32"/>
        <v>0</v>
      </c>
      <c r="H301" s="76">
        <f>ROUND(IF(SUM(B290:F300)&lt;(L305*11),IF((SUM(B290:F301))&gt;(L305*12),(((L305*12)-(SUM(B290:F301)-C300))*H289)+((SUM(B301:F301)-C300)*H289),SUM(B301:F301)*H289),IF(SUM(B290:F301)&gt;(L305*12),L305*H289,SUM(B301:F301)*H289)),2)</f>
        <v>0</v>
      </c>
      <c r="I301" s="76">
        <f>ROUND(IF(SUM(B290:F300)&lt;(L306*11),IF((SUM(B290:F301))&gt;(L306*12),(((L306*12)-(SUM(B290:F301)-C300))*I289)+((SUM(B301:F301)-C300)*I289),SUM(B301:F301)*I289),IF(SUM(B290:F301)&gt;(L306*12),L306*I289,SUM(B301:F301)*I289)),2)</f>
        <v>0</v>
      </c>
      <c r="J301" s="76">
        <f>ROUND(IF(SUM(B290:F300)&lt;(L306*11),IF((SUM(B290:F301))&gt;(L306*12),(((L306*12)-(SUM(B290:F301)-C300))*J289)+((SUM(B301:F301)-C300)*J289),SUM(B301:F301)*J289),IF(SUM(B290:F301)&gt;(L306*12),L306*J289,SUM(B301:F301)*J289)),2)</f>
        <v>0</v>
      </c>
      <c r="K301" s="76">
        <f>ROUND(IF(SUM(B290:F300)&lt;(L305*11),IF((SUM(B290:F301))&gt;(L305*12),(((L305*12)-(SUM(B290:F301)-C300))*K289)+((SUM(B301:F301)-C300)*K289),SUM(B301:F301)*K289),IF(SUM(B290:F301)&gt;(L305*12),L305*K289,SUM(B301:F301)*K289)),2)</f>
        <v>0</v>
      </c>
      <c r="L301" s="76">
        <f>ROUND(IF(SUM(B290:F300)&lt;(L306*11),IF((SUM(B290:F301))&gt;(L306*12),(((L306*12)-(SUM(B290:F301)-C301))*L289)+((SUM(B301:F301)-C301)*L289),(SUM(B301:F301)-C301)*L289),IF(SUM(B290:F301)&gt;(L306*12),L306*L289,SUM(B301:F301)*L289)),2)</f>
        <v>0</v>
      </c>
      <c r="M301" s="76">
        <f>ROUND(IF(SUM(B290:F300)&lt;(L306*11),IF((SUM(B290:F301))&gt;(L306*12),(((L306*12)-(SUM(B290:F301)-C301))*M289)+((SUM(B301:F301)-C301)*M289),(SUM(B301:F301)-C301)*M289),IF(SUM(B290:F301)&gt;(L306*12),L306*M289,SUM(B301:F301)*M289)),2)</f>
        <v>0</v>
      </c>
      <c r="N301" s="76">
        <f>ROUND(IF(SUM(B290:F300)&lt;(L306*11),IF((SUM(B290:F301))&gt;(L306*12),(((L306*12)-(SUM(B290:F301)-C300))*N289)+((SUM(B301:F301)-C300)*N289),SUM(B301:F301)*N289),IF(SUM(B290:F301)&gt;(L306*12),L306*N289,SUM(B301:F301)*N289)),2)</f>
        <v>0</v>
      </c>
      <c r="O301" s="23">
        <f>ROUND(SUM(B301+C301+F301)*O289,2)</f>
        <v>0</v>
      </c>
      <c r="P301" s="27">
        <f t="shared" si="33"/>
        <v>0</v>
      </c>
    </row>
    <row r="302" spans="1:16" s="14" customFormat="1" ht="15" x14ac:dyDescent="0.25">
      <c r="A302" s="4" t="s">
        <v>2</v>
      </c>
      <c r="B302" s="27">
        <f>SUM(B290:B301)</f>
        <v>0</v>
      </c>
      <c r="C302" s="27">
        <f t="shared" ref="C302:D302" si="34">SUM(C290:C301)</f>
        <v>0</v>
      </c>
      <c r="D302" s="27">
        <f t="shared" si="34"/>
        <v>0</v>
      </c>
      <c r="E302" s="27">
        <f>SUM(E290:E301)</f>
        <v>0</v>
      </c>
      <c r="F302" s="27">
        <f>SUM(F290:F301)</f>
        <v>0</v>
      </c>
      <c r="G302" s="27">
        <f>SUM(G290:G301)</f>
        <v>0</v>
      </c>
      <c r="H302" s="1133">
        <f>SUM(H290:N301)</f>
        <v>0</v>
      </c>
      <c r="I302" s="1134"/>
      <c r="J302" s="1134"/>
      <c r="K302" s="1134"/>
      <c r="L302" s="1134"/>
      <c r="M302" s="1134"/>
      <c r="N302" s="1135"/>
      <c r="O302" s="27">
        <f>SUM(O290:O301)</f>
        <v>0</v>
      </c>
      <c r="P302" s="27">
        <f>SUM(P290:P301)</f>
        <v>0</v>
      </c>
    </row>
    <row r="303" spans="1:16" s="13" customFormat="1" ht="11.25" x14ac:dyDescent="0.2">
      <c r="A303" s="3" t="s">
        <v>1</v>
      </c>
      <c r="B303" s="2"/>
      <c r="C303" s="2"/>
      <c r="D303" s="2"/>
      <c r="E303" s="2"/>
      <c r="F303" s="2"/>
      <c r="G303" s="2"/>
      <c r="H303" s="2"/>
      <c r="I303" s="2"/>
      <c r="J303" s="2"/>
      <c r="K303" s="2"/>
      <c r="L303" s="2"/>
      <c r="M303" s="2"/>
      <c r="N303" s="2"/>
      <c r="O303" s="2"/>
      <c r="P303" s="2"/>
    </row>
    <row r="304" spans="1:16" ht="14.25" customHeight="1" x14ac:dyDescent="0.2">
      <c r="A304" s="1136" t="s">
        <v>133</v>
      </c>
      <c r="B304" s="1137"/>
      <c r="C304" s="1137"/>
      <c r="D304" s="1137" t="s">
        <v>134</v>
      </c>
      <c r="E304" s="1137"/>
      <c r="F304" s="94" t="str">
        <f>IF(IF(G302=0,"",'päd.Personal - Leitung'!$F$40)=0,"",IF(G302=0,"",'päd.Personal - Leitung'!$F$40))</f>
        <v/>
      </c>
      <c r="G304" s="77" t="s">
        <v>135</v>
      </c>
      <c r="H304" s="96" t="str">
        <f>IF(IF(G302=0,"",'päd.Personal - Leitung'!$H$40)=0,"",IF(G302=0,"",'päd.Personal - Leitung'!$H$40))</f>
        <v/>
      </c>
      <c r="I304" s="73"/>
      <c r="J304" s="194" t="s">
        <v>160</v>
      </c>
      <c r="K304" s="194" t="str">
        <f>$K$40</f>
        <v>2021</v>
      </c>
      <c r="L304" s="194" t="str">
        <f>$L$40</f>
        <v>anteilig 2021</v>
      </c>
      <c r="M304" s="1138" t="s">
        <v>140</v>
      </c>
      <c r="N304" s="1138"/>
      <c r="O304" s="1139"/>
      <c r="P304" s="27">
        <f>ROUND(IF(F304="",IF(E308="",0,(E308*H308/K308)/L271*L272),G302*F304*H304/1000),2)</f>
        <v>0</v>
      </c>
    </row>
    <row r="305" spans="1:16" ht="15" customHeight="1" x14ac:dyDescent="0.2">
      <c r="A305" s="1140" t="s">
        <v>145</v>
      </c>
      <c r="B305" s="1141"/>
      <c r="C305" s="1141"/>
      <c r="D305" s="18"/>
      <c r="E305" s="107" t="s">
        <v>135</v>
      </c>
      <c r="F305" s="95" t="str">
        <f>IF(IF(G302=0,"",'päd.Personal - Leitung'!$F$41)=0,"",IF(G302=0,"",'päd.Personal - Leitung'!$F$41))</f>
        <v/>
      </c>
      <c r="G305" s="48"/>
      <c r="H305" s="47"/>
      <c r="I305" s="48"/>
      <c r="J305" s="195" t="s">
        <v>158</v>
      </c>
      <c r="K305" s="198">
        <f>$K$41</f>
        <v>4837.5</v>
      </c>
      <c r="L305" s="197">
        <f>IF(L271="",K305,K305/L271*L272)</f>
        <v>4837.5</v>
      </c>
      <c r="M305" s="1138" t="s">
        <v>139</v>
      </c>
      <c r="N305" s="1138"/>
      <c r="O305" s="1139"/>
      <c r="P305" s="27">
        <f>ROUND(IF(F305="",0,G302*F305/1000),2)</f>
        <v>0</v>
      </c>
    </row>
    <row r="306" spans="1:16" ht="15.75" customHeight="1" x14ac:dyDescent="0.2">
      <c r="A306" s="1142" t="s">
        <v>141</v>
      </c>
      <c r="B306" s="1143"/>
      <c r="C306" s="1143"/>
      <c r="D306" s="1144" t="s">
        <v>143</v>
      </c>
      <c r="E306" s="1144"/>
      <c r="F306" s="1145" t="str">
        <f>IF(IF(G302=0,"",'päd.Personal - Leitung'!$F$42)=0,"",IF(G302=0,"",'päd.Personal - Leitung'!$F$42))</f>
        <v/>
      </c>
      <c r="G306" s="1145"/>
      <c r="H306" s="72"/>
      <c r="I306" s="18"/>
      <c r="J306" s="195" t="s">
        <v>159</v>
      </c>
      <c r="K306" s="198">
        <f>$K$42</f>
        <v>6700</v>
      </c>
      <c r="L306" s="197">
        <f>IF(L271="",K306,K306/L271*L272)</f>
        <v>6700</v>
      </c>
      <c r="M306" s="1138" t="s">
        <v>141</v>
      </c>
      <c r="N306" s="1138"/>
      <c r="O306" s="1139"/>
      <c r="P306" s="23">
        <f>ROUND(IF(F306="",0,IF(G302=0,0,F306/L271*L272)),2)</f>
        <v>0</v>
      </c>
    </row>
    <row r="307" spans="1:16" ht="14.25" customHeight="1" x14ac:dyDescent="0.2">
      <c r="A307" s="18"/>
      <c r="B307" s="18"/>
      <c r="C307" s="18"/>
      <c r="D307" s="18"/>
      <c r="E307" s="18"/>
      <c r="F307" s="18"/>
      <c r="G307" s="18"/>
      <c r="H307" s="18"/>
      <c r="I307" s="18"/>
      <c r="J307" s="18"/>
      <c r="K307" s="74"/>
      <c r="L307" s="82"/>
      <c r="M307" s="1127" t="s">
        <v>146</v>
      </c>
      <c r="N307" s="1127"/>
      <c r="O307" s="1128"/>
      <c r="P307" s="23">
        <f>ROUND(IF(G302=0,0,$P$43),2)</f>
        <v>0</v>
      </c>
    </row>
    <row r="308" spans="1:16" ht="14.25" customHeight="1" x14ac:dyDescent="0.2">
      <c r="A308" s="1129" t="s">
        <v>142</v>
      </c>
      <c r="B308" s="1130"/>
      <c r="C308" s="126" t="s">
        <v>136</v>
      </c>
      <c r="D308" s="126" t="s">
        <v>137</v>
      </c>
      <c r="E308" s="1131" t="str">
        <f>IF(IF(G302=0,"",'päd.Personal - Leitung'!$E$44)=0,"",IF(G302=0,"",'päd.Personal - Leitung'!$E$44))</f>
        <v/>
      </c>
      <c r="F308" s="1131"/>
      <c r="G308" s="83" t="s">
        <v>138</v>
      </c>
      <c r="H308" s="97" t="str">
        <f>IF(IF(G302=0,"",'päd.Personal - Leitung'!$H$44)=0,"",IF(G302=0,"",'päd.Personal - Leitung'!$H$44))</f>
        <v/>
      </c>
      <c r="I308" s="1132" t="s">
        <v>144</v>
      </c>
      <c r="J308" s="1132"/>
      <c r="K308" s="98" t="str">
        <f>IF(IF(G302=0,"",'päd.Personal - Leitung'!$K$44)=0,"",IF(G302=0,"",'päd.Personal - Leitung'!$K$44))</f>
        <v/>
      </c>
      <c r="L308" s="29"/>
      <c r="M308" s="29"/>
      <c r="N308" s="29"/>
      <c r="O308" s="28" t="s">
        <v>0</v>
      </c>
      <c r="P308" s="27">
        <f>P302+SUM(P304:P307)</f>
        <v>0</v>
      </c>
    </row>
    <row r="309" spans="1:16" s="12" customFormat="1" ht="13.5" customHeight="1" x14ac:dyDescent="0.2">
      <c r="A309" s="1178" t="s">
        <v>18</v>
      </c>
      <c r="B309" s="1178"/>
      <c r="C309" s="1178"/>
      <c r="D309" s="1179" t="str">
        <f>IF($D$1="","",$D$1)</f>
        <v/>
      </c>
      <c r="E309" s="1179"/>
      <c r="F309" s="1179"/>
      <c r="G309" s="1179"/>
      <c r="H309" s="1179"/>
      <c r="I309" s="1179"/>
      <c r="J309" s="1179"/>
      <c r="K309" s="1179"/>
      <c r="L309" s="1179"/>
      <c r="M309" s="1179"/>
      <c r="N309" s="1179"/>
    </row>
    <row r="310" spans="1:16" s="12" customFormat="1" ht="15" customHeight="1" x14ac:dyDescent="0.2">
      <c r="A310" s="1178" t="s">
        <v>17</v>
      </c>
      <c r="B310" s="1178"/>
      <c r="C310" s="1178" t="s">
        <v>15</v>
      </c>
      <c r="D310" s="1179" t="str">
        <f>IF($D$2="","",$D$2)</f>
        <v/>
      </c>
      <c r="E310" s="1179"/>
      <c r="F310" s="1179"/>
      <c r="G310" s="1179"/>
      <c r="H310" s="1179"/>
      <c r="I310" s="1179"/>
      <c r="J310" s="1179"/>
      <c r="K310" s="1179"/>
      <c r="L310" s="1179"/>
      <c r="M310" s="1179"/>
      <c r="N310" s="1179"/>
    </row>
    <row r="311" spans="1:16" s="12" customFormat="1" ht="15" customHeight="1" x14ac:dyDescent="0.2">
      <c r="A311" s="1178" t="s">
        <v>16</v>
      </c>
      <c r="B311" s="1178"/>
      <c r="C311" s="1178" t="s">
        <v>15</v>
      </c>
      <c r="D311" s="1179" t="str">
        <f>IF($D$3="","",$D$3)</f>
        <v/>
      </c>
      <c r="E311" s="1179"/>
      <c r="F311" s="1179"/>
      <c r="G311" s="1179"/>
      <c r="H311" s="1179"/>
      <c r="I311" s="1179"/>
      <c r="J311" s="1179"/>
      <c r="K311" s="1178" t="s">
        <v>103</v>
      </c>
      <c r="L311" s="1178"/>
      <c r="M311" s="1178"/>
      <c r="N311" s="41" t="str">
        <f>IF($N$3="","",$N$3)</f>
        <v/>
      </c>
    </row>
    <row r="312" spans="1:16" s="13" customFormat="1" ht="11.25" x14ac:dyDescent="0.2">
      <c r="A312" s="1182"/>
      <c r="B312" s="1182"/>
      <c r="C312" s="1182"/>
      <c r="D312" s="1183"/>
      <c r="E312" s="1183"/>
      <c r="F312" s="1183"/>
      <c r="G312" s="1183"/>
      <c r="H312" s="1183"/>
      <c r="I312" s="1183"/>
      <c r="J312" s="1183"/>
      <c r="K312" s="11"/>
      <c r="L312" s="11"/>
      <c r="M312" s="11"/>
      <c r="N312" s="11"/>
      <c r="O312" s="11"/>
      <c r="P312" s="11"/>
    </row>
    <row r="313" spans="1:16" s="15" customFormat="1" ht="13.5" customHeight="1" x14ac:dyDescent="0.2">
      <c r="A313" s="1177" t="s">
        <v>174</v>
      </c>
      <c r="B313" s="1177"/>
      <c r="C313" s="1177"/>
      <c r="D313" s="1177"/>
      <c r="E313" s="1177"/>
      <c r="F313" s="1177"/>
      <c r="G313" s="1177"/>
      <c r="H313" s="1177"/>
      <c r="I313" s="1177"/>
      <c r="J313" s="1177"/>
      <c r="K313" s="9"/>
      <c r="L313" s="9"/>
      <c r="M313" s="9"/>
      <c r="N313" s="59" t="s">
        <v>154</v>
      </c>
      <c r="O313" s="191">
        <f>$O$5</f>
        <v>2022</v>
      </c>
      <c r="P313" s="59" t="s">
        <v>154</v>
      </c>
    </row>
    <row r="314" spans="1:16" s="10" customFormat="1" ht="13.5" customHeight="1" x14ac:dyDescent="0.25">
      <c r="B314" s="32"/>
      <c r="C314" s="32"/>
      <c r="D314" s="5" t="s">
        <v>65</v>
      </c>
      <c r="E314" s="31"/>
      <c r="F314" s="31"/>
      <c r="G314" s="31"/>
      <c r="H314" s="31"/>
      <c r="I314" s="26"/>
      <c r="J314" s="1174" t="s">
        <v>14</v>
      </c>
      <c r="K314" s="1174"/>
      <c r="L314" s="180"/>
      <c r="N314" s="84">
        <f>IF(L316="","",L316)</f>
        <v>0</v>
      </c>
      <c r="O314" s="58" t="str">
        <f>$O$6</f>
        <v>Jan                Jul</v>
      </c>
      <c r="P314" s="85">
        <f>IF(N319="","",N319)</f>
        <v>0</v>
      </c>
    </row>
    <row r="315" spans="1:16" s="7" customFormat="1" ht="13.5" customHeight="1" x14ac:dyDescent="0.25">
      <c r="A315" s="1180" t="s">
        <v>71</v>
      </c>
      <c r="B315" s="1180"/>
      <c r="C315" s="1180"/>
      <c r="D315" s="1184"/>
      <c r="E315" s="1184"/>
      <c r="F315" s="1184"/>
      <c r="G315" s="1184"/>
      <c r="H315" s="1184"/>
      <c r="I315" s="1184"/>
      <c r="J315" s="1174" t="s">
        <v>104</v>
      </c>
      <c r="K315" s="1174"/>
      <c r="L315" s="145"/>
      <c r="N315" s="85">
        <f>IF(N314="","",N314)</f>
        <v>0</v>
      </c>
      <c r="O315" s="58" t="str">
        <f>$O$7</f>
        <v>Feb              Aug</v>
      </c>
      <c r="P315" s="85">
        <f>IF(P314="","",P314)</f>
        <v>0</v>
      </c>
    </row>
    <row r="316" spans="1:16" ht="13.5" customHeight="1" x14ac:dyDescent="0.2">
      <c r="A316" s="1180" t="s">
        <v>13</v>
      </c>
      <c r="B316" s="1180"/>
      <c r="C316" s="1180"/>
      <c r="D316" s="1181"/>
      <c r="E316" s="1181"/>
      <c r="F316" s="1181"/>
      <c r="G316" s="1181"/>
      <c r="H316" s="1181"/>
      <c r="I316" s="1181"/>
      <c r="J316" s="1174" t="s">
        <v>164</v>
      </c>
      <c r="K316" s="1174"/>
      <c r="L316" s="145">
        <f>IF((L317+L318)&gt;L315,0,L315-L317-L318)</f>
        <v>0</v>
      </c>
      <c r="M316" s="1"/>
      <c r="N316" s="85">
        <f>IF(N315="","",N315)</f>
        <v>0</v>
      </c>
      <c r="O316" s="58" t="str">
        <f>$O$8</f>
        <v>Mrz              Sep</v>
      </c>
      <c r="P316" s="85">
        <f>IF(P315="","",P315)</f>
        <v>0</v>
      </c>
    </row>
    <row r="317" spans="1:16" ht="13.5" customHeight="1" x14ac:dyDescent="0.2">
      <c r="A317" s="1180" t="s">
        <v>12</v>
      </c>
      <c r="B317" s="1180"/>
      <c r="C317" s="1180"/>
      <c r="D317" s="1181"/>
      <c r="E317" s="1181"/>
      <c r="F317" s="1181"/>
      <c r="G317" s="1181"/>
      <c r="H317" s="1181"/>
      <c r="I317" s="1181"/>
      <c r="J317" s="1174" t="s">
        <v>165</v>
      </c>
      <c r="K317" s="1174"/>
      <c r="L317" s="145"/>
      <c r="M317" s="1"/>
      <c r="N317" s="85">
        <f>IF(N316="","",N316)</f>
        <v>0</v>
      </c>
      <c r="O317" s="58" t="str">
        <f>$O$9</f>
        <v>Apr               Okt</v>
      </c>
      <c r="P317" s="85">
        <f t="shared" ref="P317:P319" si="35">IF(P316="","",P316)</f>
        <v>0</v>
      </c>
    </row>
    <row r="318" spans="1:16" ht="13.5" customHeight="1" x14ac:dyDescent="0.2">
      <c r="A318" s="1180" t="s">
        <v>19</v>
      </c>
      <c r="B318" s="1180"/>
      <c r="C318" s="1180"/>
      <c r="D318" s="1181"/>
      <c r="E318" s="1181"/>
      <c r="F318" s="1181"/>
      <c r="G318" s="1181"/>
      <c r="H318" s="1181"/>
      <c r="I318" s="1181"/>
      <c r="J318" s="1174" t="s">
        <v>252</v>
      </c>
      <c r="K318" s="1174"/>
      <c r="L318" s="145"/>
      <c r="M318" s="92"/>
      <c r="N318" s="85">
        <f>IF(N317="","",N317)</f>
        <v>0</v>
      </c>
      <c r="O318" s="58" t="str">
        <f>$O$10</f>
        <v>Mai               Nov</v>
      </c>
      <c r="P318" s="85">
        <f t="shared" si="35"/>
        <v>0</v>
      </c>
    </row>
    <row r="319" spans="1:16" ht="13.5" customHeight="1" x14ac:dyDescent="0.2">
      <c r="A319" s="1"/>
      <c r="B319" s="8"/>
      <c r="C319" s="200" t="s">
        <v>162</v>
      </c>
      <c r="D319" s="1175"/>
      <c r="E319" s="1175"/>
      <c r="F319" s="1176" t="s">
        <v>106</v>
      </c>
      <c r="G319" s="1176"/>
      <c r="H319" s="1186"/>
      <c r="I319" s="1186"/>
      <c r="J319" s="1174" t="s">
        <v>97</v>
      </c>
      <c r="K319" s="1174"/>
      <c r="L319" s="17" t="str">
        <f>IF(IF((COUNTIF(B334:B345,"&gt;0"))=0,0,(COUNTIF(B334:B345,"&gt;0")))&gt;Grundlagen!$C$24,Grundlagen!$C$24,IF((COUNTIF(B334:B345,"&gt;0"))=0,"",(COUNTIF(B334:B345,"&gt;0"))))</f>
        <v/>
      </c>
      <c r="M319" s="1"/>
      <c r="N319" s="85">
        <f>IF(N318="","",N318)</f>
        <v>0</v>
      </c>
      <c r="O319" s="58" t="str">
        <f>'päd.Personal - Leitung'!$O$11</f>
        <v>Jun               Dez</v>
      </c>
      <c r="P319" s="85">
        <f t="shared" si="35"/>
        <v>0</v>
      </c>
    </row>
    <row r="320" spans="1:16" ht="13.5" customHeight="1" x14ac:dyDescent="0.2">
      <c r="A320" s="1"/>
      <c r="B320" s="1"/>
      <c r="C320" s="1"/>
      <c r="D320" s="1"/>
      <c r="E320" s="1"/>
      <c r="F320" s="1"/>
      <c r="G320" s="1"/>
      <c r="H320" s="1"/>
      <c r="I320" s="6"/>
      <c r="J320" s="1"/>
      <c r="K320" s="1"/>
      <c r="L320" s="147" t="str">
        <f>IF((SUM(F322:F325))=0,"",IF(P320&gt;L316,L316,IF(L316="","",IF(L319="","",P320))))</f>
        <v/>
      </c>
      <c r="M320" s="1"/>
      <c r="N320" s="1"/>
      <c r="O320" s="174" t="s">
        <v>251</v>
      </c>
      <c r="P320" s="175">
        <f>IF(L319="",0,((IF(SUMIF(B334,"&gt;0"),N314,0))+(IF(SUMIF(B335,"&gt;0"),N315,0))+(IF(SUMIF(B336,"&gt;0"),N316,0))+(IF(SUMIF(B337,"&gt;0"),N317,0))+(IF(SUMIF(B338,"&gt;0"),N318,0))+(IF(SUMIF(B339,"&gt;0"),N319,0))+(IF(SUMIF(B340,"&gt;0"),P314,0))+(IF(SUMIF(B341,"&gt;0"),P315,0))+(IF(SUMIF(B342,"&gt;0"),P316,0))+(IF(SUMIF(B343,"&gt;0"),P317,0))+(IF(SUMIF(B344,"&gt;0"),P318,0))+(IF(SUMIF(B345,"&gt;0"),P319,0)))/Grundlagen!$C$24)</f>
        <v>0</v>
      </c>
    </row>
    <row r="321" spans="1:16" s="52" customFormat="1" ht="13.5" customHeight="1" x14ac:dyDescent="0.2">
      <c r="A321" s="61" t="s">
        <v>148</v>
      </c>
      <c r="B321" s="1168" t="s">
        <v>149</v>
      </c>
      <c r="C321" s="1168"/>
      <c r="D321" s="62" t="s">
        <v>150</v>
      </c>
      <c r="E321" s="63" t="s">
        <v>151</v>
      </c>
      <c r="F321" s="64" t="str">
        <f>CONCATENATE("Entg. ",N311," h/Wo")</f>
        <v>Entg.  h/Wo</v>
      </c>
      <c r="G321" s="65" t="s">
        <v>152</v>
      </c>
      <c r="H321" s="65" t="s">
        <v>153</v>
      </c>
      <c r="K321" s="1169" t="str">
        <f>CONCATENATE("Zuschläge / Zulagen für ",N311,"h/Wo")</f>
        <v>Zuschläge / Zulagen für h/Wo</v>
      </c>
      <c r="L321" s="1169"/>
      <c r="M321" s="66" t="str">
        <f>IF(A322="","",A322)</f>
        <v>Jan 2022</v>
      </c>
      <c r="N321" s="66" t="str">
        <f>IF(A323="","",A323)</f>
        <v/>
      </c>
      <c r="O321" s="66" t="str">
        <f>IF(A324="","",A324)</f>
        <v/>
      </c>
      <c r="P321" s="66" t="str">
        <f>IF(A325="","",A325)</f>
        <v/>
      </c>
    </row>
    <row r="322" spans="1:16" s="52" customFormat="1" ht="13.5" customHeight="1" x14ac:dyDescent="0.25">
      <c r="A322" s="54" t="str">
        <f>A334</f>
        <v>Jan 2022</v>
      </c>
      <c r="B322" s="1170" t="str">
        <f>IF($D$3="","",$D$3)</f>
        <v/>
      </c>
      <c r="C322" s="1171"/>
      <c r="D322" s="181"/>
      <c r="E322" s="181"/>
      <c r="F322" s="87"/>
      <c r="G322" s="56">
        <f>IF(N311="",0,F322/N311/4.348)</f>
        <v>0</v>
      </c>
      <c r="H322" s="53">
        <f>IF(G322=0,0,M327)</f>
        <v>0</v>
      </c>
      <c r="K322" s="1146"/>
      <c r="L322" s="1146"/>
      <c r="M322" s="86"/>
      <c r="N322" s="86"/>
      <c r="O322" s="86"/>
      <c r="P322" s="86"/>
    </row>
    <row r="323" spans="1:16" s="52" customFormat="1" ht="13.5" customHeight="1" x14ac:dyDescent="0.25">
      <c r="A323" s="55"/>
      <c r="B323" s="1172" t="str">
        <f>IF(A323="","",B322)</f>
        <v/>
      </c>
      <c r="C323" s="1173"/>
      <c r="D323" s="181"/>
      <c r="E323" s="181"/>
      <c r="F323" s="87"/>
      <c r="G323" s="56">
        <f>IF(N311="",0,F323/N311/4.348)</f>
        <v>0</v>
      </c>
      <c r="H323" s="53">
        <f>IF(G323=0,0,N327)</f>
        <v>0</v>
      </c>
      <c r="K323" s="1146"/>
      <c r="L323" s="1146"/>
      <c r="M323" s="86"/>
      <c r="N323" s="86"/>
      <c r="O323" s="86"/>
      <c r="P323" s="86"/>
    </row>
    <row r="324" spans="1:16" s="52" customFormat="1" ht="13.5" customHeight="1" x14ac:dyDescent="0.25">
      <c r="A324" s="55"/>
      <c r="B324" s="1172" t="str">
        <f>IF(A324="","",B323)</f>
        <v/>
      </c>
      <c r="C324" s="1173"/>
      <c r="D324" s="181"/>
      <c r="E324" s="181"/>
      <c r="F324" s="87"/>
      <c r="G324" s="56">
        <f>IF(N311="",0,F324/N311/4.348)</f>
        <v>0</v>
      </c>
      <c r="H324" s="53">
        <f>IF(G324=0,0,O327)</f>
        <v>0</v>
      </c>
      <c r="K324" s="1146"/>
      <c r="L324" s="1146"/>
      <c r="M324" s="86"/>
      <c r="N324" s="86"/>
      <c r="O324" s="86"/>
      <c r="P324" s="86"/>
    </row>
    <row r="325" spans="1:16" s="52" customFormat="1" ht="13.5" customHeight="1" x14ac:dyDescent="0.25">
      <c r="A325" s="55"/>
      <c r="B325" s="1172" t="str">
        <f>IF(A325="","",B324)</f>
        <v/>
      </c>
      <c r="C325" s="1173"/>
      <c r="D325" s="181"/>
      <c r="E325" s="181"/>
      <c r="F325" s="87"/>
      <c r="G325" s="56">
        <f>IF(N311="",0,F325/N311/4.348)</f>
        <v>0</v>
      </c>
      <c r="H325" s="53">
        <f>IF(G325=0,0,P327)</f>
        <v>0</v>
      </c>
      <c r="K325" s="1146"/>
      <c r="L325" s="1146"/>
      <c r="M325" s="86"/>
      <c r="N325" s="86"/>
      <c r="O325" s="86"/>
      <c r="P325" s="86"/>
    </row>
    <row r="326" spans="1:16" s="52" customFormat="1" ht="13.5" customHeight="1" x14ac:dyDescent="0.25">
      <c r="B326" s="1167" t="s">
        <v>157</v>
      </c>
      <c r="C326" s="1167"/>
      <c r="E326" s="1167" t="s">
        <v>156</v>
      </c>
      <c r="F326" s="1167"/>
      <c r="J326" s="69"/>
      <c r="K326" s="1146"/>
      <c r="L326" s="1146"/>
      <c r="M326" s="86"/>
      <c r="N326" s="86"/>
      <c r="O326" s="86"/>
      <c r="P326" s="86"/>
    </row>
    <row r="327" spans="1:16" s="52" customFormat="1" ht="13.5" customHeight="1" x14ac:dyDescent="0.25">
      <c r="A327" s="70" t="s">
        <v>167</v>
      </c>
      <c r="B327" s="67"/>
      <c r="C327" s="99" t="str">
        <f>IF(C283="","",C283)</f>
        <v/>
      </c>
      <c r="D327" s="70" t="s">
        <v>167</v>
      </c>
      <c r="E327" s="67"/>
      <c r="F327" s="99" t="str">
        <f>IF(F283="","",F283)</f>
        <v/>
      </c>
      <c r="J327" s="68"/>
      <c r="M327" s="57">
        <f>SUM(M322:M326)</f>
        <v>0</v>
      </c>
      <c r="N327" s="57">
        <f t="shared" ref="N327:P327" si="36">SUM(N322:N326)</f>
        <v>0</v>
      </c>
      <c r="O327" s="57">
        <f t="shared" si="36"/>
        <v>0</v>
      </c>
      <c r="P327" s="57">
        <f t="shared" si="36"/>
        <v>0</v>
      </c>
    </row>
    <row r="328" spans="1:16" s="52" customFormat="1" ht="13.5" customHeight="1" x14ac:dyDescent="0.2">
      <c r="A328" s="60" t="s">
        <v>155</v>
      </c>
    </row>
    <row r="329" spans="1:16" ht="14.25" customHeight="1" x14ac:dyDescent="0.2">
      <c r="A329" s="1147"/>
      <c r="B329" s="1149" t="s">
        <v>9</v>
      </c>
      <c r="C329" s="1150"/>
      <c r="D329" s="1150"/>
      <c r="E329" s="1150"/>
      <c r="F329" s="1150"/>
      <c r="G329" s="1151"/>
      <c r="H329" s="1152" t="s">
        <v>119</v>
      </c>
      <c r="I329" s="1153"/>
      <c r="J329" s="1153"/>
      <c r="K329" s="1153"/>
      <c r="L329" s="1153"/>
      <c r="M329" s="1153"/>
      <c r="N329" s="1153"/>
      <c r="O329" s="33"/>
      <c r="P329" s="1154" t="s">
        <v>0</v>
      </c>
    </row>
    <row r="330" spans="1:16" ht="14.25" customHeight="1" x14ac:dyDescent="0.2">
      <c r="A330" s="1148"/>
      <c r="B330" s="1157" t="s">
        <v>117</v>
      </c>
      <c r="C330" s="124" t="s">
        <v>115</v>
      </c>
      <c r="D330" s="1159" t="s">
        <v>277</v>
      </c>
      <c r="E330" s="1161" t="s">
        <v>147</v>
      </c>
      <c r="F330" s="127" t="s">
        <v>7</v>
      </c>
      <c r="G330" s="1162" t="s">
        <v>6</v>
      </c>
      <c r="H330" s="1161" t="s">
        <v>129</v>
      </c>
      <c r="I330" s="1161" t="s">
        <v>5</v>
      </c>
      <c r="J330" s="1161" t="s">
        <v>4</v>
      </c>
      <c r="K330" s="1161" t="s">
        <v>3</v>
      </c>
      <c r="L330" s="1161" t="s">
        <v>121</v>
      </c>
      <c r="M330" s="1161" t="s">
        <v>122</v>
      </c>
      <c r="N330" s="1161" t="s">
        <v>123</v>
      </c>
      <c r="O330" s="1160" t="s">
        <v>114</v>
      </c>
      <c r="P330" s="1155"/>
    </row>
    <row r="331" spans="1:16" ht="14.25" customHeight="1" x14ac:dyDescent="0.2">
      <c r="A331" s="1148"/>
      <c r="B331" s="1157"/>
      <c r="C331" s="21" t="str">
        <f>IF(C327="","",C327)</f>
        <v/>
      </c>
      <c r="D331" s="1160"/>
      <c r="E331" s="1161"/>
      <c r="F331" s="1165" t="str">
        <f>IF(H322=0,"","siehe Zuschläge / Zulagen")</f>
        <v/>
      </c>
      <c r="G331" s="1162"/>
      <c r="H331" s="1164" t="s">
        <v>127</v>
      </c>
      <c r="I331" s="1164"/>
      <c r="J331" s="1164"/>
      <c r="K331" s="1164"/>
      <c r="L331" s="1164"/>
      <c r="M331" s="1164"/>
      <c r="N331" s="1164"/>
      <c r="O331" s="1160"/>
      <c r="P331" s="1155"/>
    </row>
    <row r="332" spans="1:16" x14ac:dyDescent="0.2">
      <c r="A332" s="1148"/>
      <c r="B332" s="1157"/>
      <c r="C332" s="122" t="s">
        <v>70</v>
      </c>
      <c r="D332" s="1160"/>
      <c r="E332" s="1161"/>
      <c r="F332" s="1165"/>
      <c r="G332" s="1162"/>
      <c r="H332" s="43" t="s">
        <v>128</v>
      </c>
      <c r="I332" s="43" t="s">
        <v>255</v>
      </c>
      <c r="J332" s="43" t="s">
        <v>256</v>
      </c>
      <c r="K332" s="43" t="s">
        <v>257</v>
      </c>
      <c r="L332" s="43"/>
      <c r="M332" s="43"/>
      <c r="N332" s="43" t="s">
        <v>254</v>
      </c>
      <c r="O332" s="1160"/>
      <c r="P332" s="1155"/>
    </row>
    <row r="333" spans="1:16" x14ac:dyDescent="0.2">
      <c r="A333" s="1148"/>
      <c r="B333" s="1158"/>
      <c r="C333" s="21" t="str">
        <f>IF(F327="","",F327)</f>
        <v/>
      </c>
      <c r="D333" s="51"/>
      <c r="E333" s="51"/>
      <c r="F333" s="1166"/>
      <c r="G333" s="1163"/>
      <c r="H333" s="93"/>
      <c r="I333" s="139">
        <f>$I$25</f>
        <v>0</v>
      </c>
      <c r="J333" s="139">
        <f>$J$25</f>
        <v>0</v>
      </c>
      <c r="K333" s="44">
        <f>$K$25</f>
        <v>0</v>
      </c>
      <c r="L333" s="21"/>
      <c r="M333" s="21"/>
      <c r="N333" s="139">
        <f>$N$25</f>
        <v>0</v>
      </c>
      <c r="O333" s="21">
        <f>O289</f>
        <v>0</v>
      </c>
      <c r="P333" s="1156"/>
    </row>
    <row r="334" spans="1:16" x14ac:dyDescent="0.2">
      <c r="A334" s="100" t="str">
        <f>$A$26</f>
        <v>Jan 2022</v>
      </c>
      <c r="B334" s="24">
        <f>ROUND(IF(N314=0,0,(LOOKUP(2,1/(A322:A325=A334),G322:G325))*N314*4.348),2)</f>
        <v>0</v>
      </c>
      <c r="C334" s="23">
        <f>ROUND(IFERROR(((LOOKUP(2,1/(B327=A334),((SUM(B340:B342)+SUM(F340:F342))/3)*C327))),0)+IFERROR(((LOOKUP(2,1/(E327=A334),(B346+F346)*F327))),0),2)</f>
        <v>0</v>
      </c>
      <c r="D334" s="23">
        <f>ROUND(IF(B334=0,0,D333/L315*N314),2)</f>
        <v>0</v>
      </c>
      <c r="E334" s="23">
        <f>ROUND(IF(B334=0,0,E333/N311*N314),2)</f>
        <v>0</v>
      </c>
      <c r="F334" s="24">
        <f>ROUND(IF(N314=0,0,(LOOKUP(2,1/(A322:A325=A334),H322:H325))/N311*N314),2)</f>
        <v>0</v>
      </c>
      <c r="G334" s="27">
        <f>SUM(B334+C334+E334+F334)</f>
        <v>0</v>
      </c>
      <c r="H334" s="76">
        <f>ROUND(IF((SUM(B334:F334))&gt;L349,L349*H333,SUM(B334:F334)*H333),2)</f>
        <v>0</v>
      </c>
      <c r="I334" s="76">
        <f>ROUND(IF((SUM(B334:F334))&gt;L350,L350*I333,SUM(B334:F334)*I333),2)</f>
        <v>0</v>
      </c>
      <c r="J334" s="76">
        <f>ROUND(IF((SUM(B334:F334))&gt;L350,L350*J333,SUM(B334:F334)*J333),2)</f>
        <v>0</v>
      </c>
      <c r="K334" s="76">
        <f>ROUND(IF((SUM(B334:F334))&gt;L349,L349*K333,SUM(B334:F334)*K333),2)</f>
        <v>0</v>
      </c>
      <c r="L334" s="76">
        <f>ROUND(IF((SUM(B334:F334))&gt;L350,L350*L333,(SUM(B334:F334)-C334)*L333),2)</f>
        <v>0</v>
      </c>
      <c r="M334" s="76">
        <f>ROUND(IF((SUM(B334:F334))&gt;L350,L350*M333,(SUM(B334:F334)-C334)*M333),2)</f>
        <v>0</v>
      </c>
      <c r="N334" s="76">
        <f>ROUND(IF((SUM(B334:F334))&gt;L350,L350*N333,SUM(B334:F334)*N333),2)</f>
        <v>0</v>
      </c>
      <c r="O334" s="23">
        <f>ROUND(SUM(B334+C334+F334)*O333,2)</f>
        <v>0</v>
      </c>
      <c r="P334" s="27">
        <f>SUM(G334:O334)</f>
        <v>0</v>
      </c>
    </row>
    <row r="335" spans="1:16" x14ac:dyDescent="0.2">
      <c r="A335" s="100" t="str">
        <f>$A$27</f>
        <v>Feb 2022</v>
      </c>
      <c r="B335" s="24">
        <f>ROUND(IF(N315=0,0,IFERROR(((LOOKUP(2,1/(A322:A325=A335),G322:G325))*N315*4.348),B334/N315*N315)),2)</f>
        <v>0</v>
      </c>
      <c r="C335" s="23">
        <f>ROUND(IFERROR(((LOOKUP(2,1/(B327=A335),((SUM(B340:B342)+SUM(F340:F342))/3)*C327))),0)+IFERROR(((LOOKUP(2,1/(E327=A335),(B346+F346)*F327))),0),2)</f>
        <v>0</v>
      </c>
      <c r="D335" s="23">
        <f>ROUND(IF(B335=0,0,D333/L315*N315),2)</f>
        <v>0</v>
      </c>
      <c r="E335" s="23">
        <f>ROUND(IF(B335=0,0,E333/N311*N315),2)</f>
        <v>0</v>
      </c>
      <c r="F335" s="24">
        <f>ROUND(IF(N315=0,0,IFERROR(((LOOKUP(2,1/(A322:A325=A335),H322:H325))/N311*N315),F334/N315*N315)),2)</f>
        <v>0</v>
      </c>
      <c r="G335" s="27">
        <f t="shared" ref="G335:G345" si="37">SUM(B335+C335+E335+F335)</f>
        <v>0</v>
      </c>
      <c r="H335" s="76">
        <f>ROUND(IF(SUM(B334:F334)&lt;(L349*1),IF((SUM(B334:F335))&gt;(L349*2),(((L349*2)-(SUM(B334:F335)-C334))*H333)+((SUM(B335:F335)-C334)*H333),SUM(B335:F335)*H333),IF(SUM(B334:F335)&gt;(L349*2),L349*H333,SUM(B335:F335)*H333)),2)</f>
        <v>0</v>
      </c>
      <c r="I335" s="76">
        <f>ROUND(IF(SUM(B334:F334)&lt;(L350*1),IF((SUM(B334:F335))&gt;(L350*2),(((L350*2)-(SUM(B334:F335)-C334))*I333)+((SUM(B335:F335)-C334)*I333),SUM(B335:F335)*I333),IF(SUM(B334:F335)&gt;(L350*2),L350*I333,SUM(B335:F335)*I333)),2)</f>
        <v>0</v>
      </c>
      <c r="J335" s="76">
        <f>ROUND(IF(SUM(B334:F334)&lt;(L350*1),IF((SUM(B334:F335))&gt;(L350*2),(((L350*2)-(SUM(B334:F335)-C334))*J333)+((SUM(B335:F335)-C334)*J333),SUM(B335:F335)*J333),IF(SUM(B334:F335)&gt;(L350*2),L350*J333,SUM(B335:F335)*J333)),2)</f>
        <v>0</v>
      </c>
      <c r="K335" s="76">
        <f>ROUND(IF(SUM(B334:F334)&lt;(L349*1),IF((SUM(B334:F335))&gt;(L349*2),(((L349*2)-(SUM(B334:F335)-C334))*K333)+((SUM(B335:F335)-C334)*K333),SUM(B335:F335)*K333),IF(SUM(B334:F335)&gt;(L349*2),L349*K333,SUM(B335:F335)*K333)),2)</f>
        <v>0</v>
      </c>
      <c r="L335" s="76">
        <f>ROUND(IF(SUM(B334:F334)&lt;(L350*1),IF((SUM(B334:F335))&gt;(L350*2),(((L350*2)-(SUM(B334:F335)-C335))*L333)+((SUM(B335:F335)-C335)*L333),(SUM(B335:F335)-C335)*L333),IF(SUM(B334:F335)&gt;(L350*2),L350*L333,SUM(B335:F335)*L333)),2)</f>
        <v>0</v>
      </c>
      <c r="M335" s="76">
        <f>ROUND(IF(SUM(B334:F334)&lt;(L350*1),IF((SUM(B334:F335))&gt;(L350*2),(((L350*2)-(SUM(B334:F335)-C335))*M333)+((SUM(B335:F335)-C335)*M333),(SUM(B335:F335)-C335)*M333),IF(SUM(B334:F335)&gt;(L350*2),L350*M333,SUM(B335:F335)*M333)),2)</f>
        <v>0</v>
      </c>
      <c r="N335" s="76">
        <f>ROUND(IF(SUM(B334:F334)&lt;(L350*1),IF((SUM(B334:F335))&gt;(L350*2),(((L350*2)-(SUM(B334:F335)-C334))*N333)+((SUM(B335:F335)-C334)*N333),SUM(B335:F335)*N333),IF(SUM(B334:F335)&gt;(L350*2),L350*N333,SUM(B335:F335)*N333)),2)</f>
        <v>0</v>
      </c>
      <c r="O335" s="23">
        <f>ROUND(SUM(B335+C335+F335)*O333,2)</f>
        <v>0</v>
      </c>
      <c r="P335" s="27">
        <f>SUM(G335:O335)</f>
        <v>0</v>
      </c>
    </row>
    <row r="336" spans="1:16" x14ac:dyDescent="0.2">
      <c r="A336" s="100" t="str">
        <f>$A$28</f>
        <v>Mrz 2022</v>
      </c>
      <c r="B336" s="24">
        <f>ROUND(IF(N316=0,0,IFERROR(((LOOKUP(2,1/(A322:A325=A336),G322:G325))*N316*4.348),B335/N316*N316)),2)</f>
        <v>0</v>
      </c>
      <c r="C336" s="23">
        <f>ROUND(IFERROR(((LOOKUP(2,1/(B327=A336),((SUM(B340:B342)+SUM(F340:F342))/3)*C327))),0)+IFERROR(((LOOKUP(2,1/(E327=A336),(B346+F346)*F327))),0),2)</f>
        <v>0</v>
      </c>
      <c r="D336" s="23">
        <f>ROUND(IF(B336=0,0,D333/L315*N316),2)</f>
        <v>0</v>
      </c>
      <c r="E336" s="23">
        <f>ROUND(IF(B336=0,0,E333/N311*N316),2)</f>
        <v>0</v>
      </c>
      <c r="F336" s="24">
        <f>ROUND(IF(N316=0,0,IFERROR(((LOOKUP(2,1/(A322:A325=A336),H322:H325))/N311*N316),F335/N316*N316)),2)</f>
        <v>0</v>
      </c>
      <c r="G336" s="27">
        <f t="shared" si="37"/>
        <v>0</v>
      </c>
      <c r="H336" s="76">
        <f>ROUND(IF(SUM(B334:F335)&lt;(L349*2),IF((SUM(B334:F336))&gt;(L349*3),(((L349*3)-(SUM(B334:F336)-C335))*H333)+((SUM(B336:F336)-C335)*H333),SUM(B336:F336)*H333),IF(SUM(B334:F336)&gt;(L349*3),L349*H333,SUM(B336:F336)*H333)),2)</f>
        <v>0</v>
      </c>
      <c r="I336" s="76">
        <f>ROUND(IF(SUM(B334:F335)&lt;(L350*2),IF((SUM(B334:F336))&gt;(L350*3),(((L350*3)-(SUM(B334:F336)-C335))*I333)+((SUM(B336:F336)-C335)*I333),SUM(B336:F336)*I333),IF(SUM(B334:F336)&gt;(L350*3),L350*I333,SUM(B336:F336)*I333)),2)</f>
        <v>0</v>
      </c>
      <c r="J336" s="76">
        <f>ROUND(IF(SUM(B334:F335)&lt;(L350*2),IF((SUM(B334:F336))&gt;(L350*3),(((L350*3)-(SUM(B334:F336)-C335))*J333)+((SUM(B336:F336)-C335)*J333),SUM(B336:F336)*J333),IF(SUM(B334:F336)&gt;(L350*3),L350*J333,SUM(B336:F336)*J333)),2)</f>
        <v>0</v>
      </c>
      <c r="K336" s="76">
        <f>ROUND(IF(SUM(B334:F335)&lt;(L349*2),IF((SUM(B334:F336))&gt;(L349*3),(((L349*3)-(SUM(B334:F336)-C335))*K333)+((SUM(B336:F336)-C335)*K333),SUM(B336:F336)*K333),IF(SUM(B334:F336)&gt;(L349*3),L349*K333,SUM(B336:F336)*K333)),2)</f>
        <v>0</v>
      </c>
      <c r="L336" s="76">
        <f>ROUND(IF(SUM(B334:F335)&lt;(L350*2),IF((SUM(B334:F336))&gt;(L350*3),(((L350*3)-(SUM(B334:F336)-C336))*L333)+((SUM(B336:F336)-C336)*L333),(SUM(B336:F336)-C336)*L333),IF(SUM(B334:F336)&gt;(L350*3),L350*L333,SUM(B336:F336)*L333)),2)</f>
        <v>0</v>
      </c>
      <c r="M336" s="76">
        <f>ROUND(IF(SUM(B334:F335)&lt;(L350*2),IF((SUM(B334:F336))&gt;(L350*3),(((L350*3)-(SUM(B334:F336)-C336))*M333)+((SUM(B336:F336)-C336)*M333),(SUM(B336:F336)-C336)*M333),IF(SUM(B334:F336)&gt;(L350*3),L350*M333,SUM(B336:F336)*M333)),2)</f>
        <v>0</v>
      </c>
      <c r="N336" s="76">
        <f>ROUND(IF(SUM(B334:F335)&lt;(L350*2),IF((SUM(B334:F336))&gt;(L350*3),(((L350*3)-(SUM(B334:F336)-C335))*N333)+((SUM(B336:F336)-C335)*N333),SUM(B336:F336)*N333),IF(SUM(B334:F336)&gt;(L350*3),L350*N333,SUM(B336:F336)*N333)),2)</f>
        <v>0</v>
      </c>
      <c r="O336" s="23">
        <f>ROUND(SUM(B336+C336+F336)*O333,2)</f>
        <v>0</v>
      </c>
      <c r="P336" s="27">
        <f t="shared" ref="P336:P345" si="38">SUM(G336:O336)</f>
        <v>0</v>
      </c>
    </row>
    <row r="337" spans="1:16" x14ac:dyDescent="0.2">
      <c r="A337" s="100" t="str">
        <f>$A$29</f>
        <v>Apr 2022</v>
      </c>
      <c r="B337" s="24">
        <f>ROUND(IF(N317=0,0,IFERROR(((LOOKUP(2,1/(A322:A325=A337),G322:G325))*N317*4.348),B336/N317*N317)),2)</f>
        <v>0</v>
      </c>
      <c r="C337" s="23">
        <f>ROUND(IFERROR(((LOOKUP(2,1/(B327=A337),((SUM(B340:B342)+SUM(F340:F342))/3)*C327))),0)+IFERROR(((LOOKUP(2,1/(E327=A337),(B346+F346)*F327))),0),2)</f>
        <v>0</v>
      </c>
      <c r="D337" s="23">
        <f>ROUND(IF(B337=0,0,D333/L315*N317),2)</f>
        <v>0</v>
      </c>
      <c r="E337" s="23">
        <f>ROUND(IF(B337=0,0,E333/N311*N317),2)</f>
        <v>0</v>
      </c>
      <c r="F337" s="24">
        <f>ROUND(IF(N317=0,0,IFERROR(((LOOKUP(2,1/(A322:A325=A337),H322:H325))/N311*N317),F336/N317*N317)),2)</f>
        <v>0</v>
      </c>
      <c r="G337" s="27">
        <f t="shared" si="37"/>
        <v>0</v>
      </c>
      <c r="H337" s="76">
        <f>ROUND(IF(SUM(B334:F336)&lt;(L349*3),IF((SUM(B334:F337))&gt;(L349*4),(((L349*4)-(SUM(B334:F337)-C336))*H333)+((SUM(B337:F337)-C336)*H333),SUM(B337:F337)*H333),IF(SUM(B334:F337)&gt;(L349*4),L349*H333,SUM(B337:F337)*H333)),2)</f>
        <v>0</v>
      </c>
      <c r="I337" s="76">
        <f>ROUND(IF(SUM(B334:F336)&lt;(L350*3),IF((SUM(B334:F337))&gt;(L350*4),(((L350*4)-(SUM(B334:F337)-C336))*I333)+((SUM(B337:F337)-C336)*I333),SUM(B337:F337)*I333),IF(SUM(B334:F337)&gt;(L350*4),L350*I333,SUM(B337:F337)*I333)),2)</f>
        <v>0</v>
      </c>
      <c r="J337" s="76">
        <f>ROUND(IF(SUM(B334:F336)&lt;(L350*3),IF((SUM(B334:F337))&gt;(L350*4),(((L350*4)-(SUM(B334:F337)-C336))*J333)+((SUM(B337:F337)-C336)*J333),SUM(B337:F337)*J333),IF(SUM(B334:F337)&gt;(L350*4),L350*J333,SUM(B337:F337)*J333)),2)</f>
        <v>0</v>
      </c>
      <c r="K337" s="76">
        <f>ROUND(IF(SUM(B334:F336)&lt;(L349*3),IF((SUM(B334:F337))&gt;(L349*4),(((L349*4)-(SUM(B334:F337)-C336))*K333)+((SUM(B337:F337)-C336)*K333),SUM(B337:F337)*K333),IF(SUM(B334:F337)&gt;(L349*4),L349*K333,SUM(B337:F337)*K333)),2)</f>
        <v>0</v>
      </c>
      <c r="L337" s="76">
        <f>ROUND(IF(SUM(B334:F336)&lt;(L350*3),IF((SUM(B334:F337))&gt;(L350*4),(((L350*4)-(SUM(B334:F337)-C337))*L333)+((SUM(B337:F337)-C337)*L333),(SUM(B337:F337)-C337)*L333),IF(SUM(B334:F337)&gt;(L350*4),L350*L333,SUM(B337:F337)*L333)),2)</f>
        <v>0</v>
      </c>
      <c r="M337" s="76">
        <f>ROUND(IF(SUM(B334:F336)&lt;(L350*3),IF((SUM(B334:F337))&gt;(L350*4),(((L350*4)-(SUM(B334:F337)-C337))*M333)+((SUM(B337:F337)-C337)*M333),(SUM(B337:F337)-C337)*M333),IF(SUM(B334:F337)&gt;(L350*4),L350*M333,SUM(B337:F337)*M333)),2)</f>
        <v>0</v>
      </c>
      <c r="N337" s="76">
        <f>ROUND(IF(SUM(B334:F336)&lt;(L350*3),IF((SUM(B334:F337))&gt;(L350*4),(((L350*4)-(SUM(B334:F337)-C336))*N333)+((SUM(B337:F337)-C336)*N333),SUM(B337:F337)*N333),IF(SUM(B334:F337)&gt;(L350*4),L350*N333,SUM(B337:F337)*N333)),2)</f>
        <v>0</v>
      </c>
      <c r="O337" s="23">
        <f>ROUND(SUM(B337+C337+F337)*O333,2)</f>
        <v>0</v>
      </c>
      <c r="P337" s="27">
        <f t="shared" si="38"/>
        <v>0</v>
      </c>
    </row>
    <row r="338" spans="1:16" x14ac:dyDescent="0.2">
      <c r="A338" s="100" t="str">
        <f>$A$30</f>
        <v>Mai 2022</v>
      </c>
      <c r="B338" s="24">
        <f>ROUND(IF(N318=0,0,IFERROR(((LOOKUP(2,1/(A322:A325=A338),G322:G325))*N318*4.348),B337/N318*N318)),2)</f>
        <v>0</v>
      </c>
      <c r="C338" s="23">
        <f>ROUND(IFERROR(((LOOKUP(2,1/(B327=A338),((SUM(B340:B342)+SUM(F340:F342))/3)*C327))),0)+IFERROR(((LOOKUP(2,1/(E327=A338),(B346+F346)*F327))),0),2)</f>
        <v>0</v>
      </c>
      <c r="D338" s="23">
        <f>ROUND(IF(B338=0,0,D333/L315*N318),2)</f>
        <v>0</v>
      </c>
      <c r="E338" s="23">
        <f>ROUND(IF(B338=0,0,E333/N311*N318),2)</f>
        <v>0</v>
      </c>
      <c r="F338" s="24">
        <f>ROUND(IF(N318=0,0,IFERROR(((LOOKUP(2,1/(A322:A325=A338),H322:H325))/N311*N318),F337/N318*N318)),2)</f>
        <v>0</v>
      </c>
      <c r="G338" s="27">
        <f t="shared" si="37"/>
        <v>0</v>
      </c>
      <c r="H338" s="76">
        <f>ROUND(IF(SUM(B334:F337)&lt;(L349*4),IF((SUM(B334:F338))&gt;(L349*5),(((L349*5)-(SUM(B334:F338)-C337))*H333)+((SUM(B338:F338)-C337)*H333),SUM(B338:F338)*H333),IF(SUM(B334:F338)&gt;(L349*5),L349*H333,SUM(B338:F338)*H333)),2)</f>
        <v>0</v>
      </c>
      <c r="I338" s="76">
        <f>ROUND(IF(SUM(B334:F337)&lt;(L350*4),IF((SUM(B334:F338))&gt;(L350*5),(((L350*5)-(SUM(B334:F338)-C337))*I333)+((SUM(B338:F338)-C337)*I333),SUM(B338:F338)*I333),IF(SUM(B334:F338)&gt;(L350*5),L350*I333,SUM(B338:F338)*I333)),2)</f>
        <v>0</v>
      </c>
      <c r="J338" s="76">
        <f>ROUND(IF(SUM(B334:F337)&lt;(L350*4),IF((SUM(B334:F338))&gt;(L350*5),(((L350*5)-(SUM(B334:F338)-C337))*J333)+((SUM(B338:F338)-C337)*J333),SUM(B338:F338)*J333),IF(SUM(B334:F338)&gt;(L350*5),L350*J333,SUM(B338:F338)*J333)),2)</f>
        <v>0</v>
      </c>
      <c r="K338" s="76">
        <f>ROUND(IF(SUM(B334:F337)&lt;(L349*4),IF((SUM(B334:F338))&gt;(L349*5),(((L349*5)-(SUM(B334:F338)-C337))*K333)+((SUM(B338:F338)-C337)*K333),SUM(B338:F338)*K333),IF(SUM(B334:F338)&gt;(L349*5),L349*K333,SUM(B338:F338)*K333)),2)</f>
        <v>0</v>
      </c>
      <c r="L338" s="76">
        <f>ROUND(IF(SUM(B334:F337)&lt;(L350*4),IF((SUM(B334:F338))&gt;(L350*5),(((L350*5)-(SUM(B334:F338)-C338))*L333)+((SUM(B338:F338)-C338)*L333),(SUM(B338:F338)-C338)*L333),IF(SUM(B334:F338)&gt;(L350*5),L350*L333,SUM(B338:F338)*L333)),2)</f>
        <v>0</v>
      </c>
      <c r="M338" s="76">
        <f>ROUND(IF(SUM(B334:F337)&lt;(L350*4),IF((SUM(B334:F338))&gt;(L350*5),(((L350*5)-(SUM(B334:F338)-C338))*M333)+((SUM(B338:F338)-C338)*M333),(SUM(B338:F338)-C338)*M333),IF(SUM(B334:F338)&gt;(L350*5),L350*M333,SUM(B338:F338)*M333)),2)</f>
        <v>0</v>
      </c>
      <c r="N338" s="76">
        <f>ROUND(IF(SUM(B334:F337)&lt;(L350*4),IF((SUM(B334:F338))&gt;(L350*5),(((L350*5)-(SUM(B334:F338)-C337))*N333)+((SUM(B338:F338)-C337)*N333),SUM(B338:F338)*N333),IF(SUM(B334:F338)&gt;(L350*5),L350*N333,SUM(B338:F338)*N333)),2)</f>
        <v>0</v>
      </c>
      <c r="O338" s="23">
        <f>ROUND(SUM(B338+C338+F338)*O333,2)</f>
        <v>0</v>
      </c>
      <c r="P338" s="27">
        <f t="shared" si="38"/>
        <v>0</v>
      </c>
    </row>
    <row r="339" spans="1:16" x14ac:dyDescent="0.2">
      <c r="A339" s="100" t="str">
        <f>$A$31</f>
        <v>Jun 2022</v>
      </c>
      <c r="B339" s="24">
        <f>ROUND(IF(N319=0,0,IFERROR(((LOOKUP(2,1/(A322:A325=A339),G322:G325))*N319*4.348),B338/N319*N319)),2)</f>
        <v>0</v>
      </c>
      <c r="C339" s="23">
        <f>ROUND(IFERROR(((LOOKUP(2,1/(B327=A339),((SUM(B340:B342)+SUM(F340:F342))/3)*C327))),0)+IFERROR(((LOOKUP(2,1/(E327=A339),(B346+F346)*F327))),0),2)</f>
        <v>0</v>
      </c>
      <c r="D339" s="23">
        <f>ROUND(IF(B339=0,0,D333/L315*N319),2)</f>
        <v>0</v>
      </c>
      <c r="E339" s="23">
        <f>ROUND(IF(B339=0,0,E333/N311*N319),2)</f>
        <v>0</v>
      </c>
      <c r="F339" s="24">
        <f>ROUND(IF(N319=0,0,IFERROR(((LOOKUP(2,1/(A322:A325=A339),H322:H325))/N311*N319),F338/N319*N319)),2)</f>
        <v>0</v>
      </c>
      <c r="G339" s="27">
        <f t="shared" si="37"/>
        <v>0</v>
      </c>
      <c r="H339" s="76">
        <f>ROUND(IF(SUM(B334:F338)&lt;(L349*5),IF((SUM(B334:F339))&gt;(L349*6),(((L349*6)-(SUM(B334:F339)-C338))*H333)+((SUM(B339:F339)-C338)*H333),SUM(B339:F339)*H333),IF(SUM(B334:F339)&gt;(L349*6),L349*H333,SUM(B339:F339)*H333)),2)</f>
        <v>0</v>
      </c>
      <c r="I339" s="76">
        <f>ROUND(IF(SUM(B334:F338)&lt;(L350*5),IF((SUM(B334:F339))&gt;(L350*6),(((L350*6)-(SUM(B334:F339)-C338))*I333)+((SUM(B339:F339)-C338)*I333),SUM(B339:F339)*I333),IF(SUM(B334:F339)&gt;(L350*6),L350*I333,SUM(B339:F339)*I333)),2)</f>
        <v>0</v>
      </c>
      <c r="J339" s="76">
        <f>ROUND(IF(SUM(B334:F338)&lt;(L350*5),IF((SUM(B334:F339))&gt;(L350*6),(((L350*6)-(SUM(B334:F339)-C338))*J333)+((SUM(B339:F339)-C338)*J333),SUM(B339:F339)*J333),IF(SUM(B334:F339)&gt;(L350*6),L350*J333,SUM(B339:F339)*J333)),2)</f>
        <v>0</v>
      </c>
      <c r="K339" s="76">
        <f>ROUND(IF(SUM(B334:F338)&lt;(L349*5),IF((SUM(B334:F339))&gt;(L349*6),(((L349*6)-(SUM(B334:F339)-C338))*K333)+((SUM(B339:F339)-C338)*K333),SUM(B339:F339)*K333),IF(SUM(B334:F339)&gt;(L349*6),L349*K333,SUM(B339:F339)*K333)),2)</f>
        <v>0</v>
      </c>
      <c r="L339" s="76">
        <f>ROUND(IF(SUM(B334:F338)&lt;(L350*5),IF((SUM(B334:F339))&gt;(L350*6),(((L350*6)-(SUM(B334:F339)-C339))*L333)+((SUM(B339:F339)-C339)*L333),(SUM(B339:F339)-C339)*L333),IF(SUM(B334:F339)&gt;(L350*6),L350*L333,SUM(B339:F339)*L333)),2)</f>
        <v>0</v>
      </c>
      <c r="M339" s="76">
        <f>ROUND(IF(SUM(B334:F338)&lt;(L350*5),IF((SUM(B334:F339))&gt;(L350*6),(((L350*6)-(SUM(B334:F339)-C339))*M333)+((SUM(B339:F339)-C339)*M333),(SUM(B339:F339)-C339)*M333),IF(SUM(B334:F339)&gt;(L350*6),L350*M333,SUM(B339:F339)*M333)),2)</f>
        <v>0</v>
      </c>
      <c r="N339" s="76">
        <f>ROUND(IF(SUM(B334:F338)&lt;(L350*5),IF((SUM(B334:F339))&gt;(L350*6),(((L350*6)-(SUM(B334:F339)-C338))*N333)+((SUM(B339:F339)-C338)*N333),SUM(B339:F339)*N333),IF(SUM(B334:F339)&gt;(L350*6),L350*N333,SUM(B339:F339)*N333)),2)</f>
        <v>0</v>
      </c>
      <c r="O339" s="23">
        <f>ROUND(SUM(B339+C339+F339)*O333,2)</f>
        <v>0</v>
      </c>
      <c r="P339" s="27">
        <f t="shared" si="38"/>
        <v>0</v>
      </c>
    </row>
    <row r="340" spans="1:16" x14ac:dyDescent="0.2">
      <c r="A340" s="100" t="str">
        <f>$A$32</f>
        <v>Jul 2022</v>
      </c>
      <c r="B340" s="24">
        <f>ROUND(IF(P314=0,0,IFERROR(((LOOKUP(2,1/(A322:A325=A340),G322:G325))*P314*4.348),B339/P314*P314)),2)</f>
        <v>0</v>
      </c>
      <c r="C340" s="23">
        <f>ROUND(IFERROR(((LOOKUP(2,1/(B327=A340),((SUM(B340:B342)+SUM(F340:F342))/3)*C327))),0)+IFERROR(((LOOKUP(2,1/(E327=A340),(B346+F346)*F327))),0),2)</f>
        <v>0</v>
      </c>
      <c r="D340" s="23">
        <f>ROUND(IF(B340=0,0,D333/L315*P314),2)</f>
        <v>0</v>
      </c>
      <c r="E340" s="23">
        <f>ROUND(IF(B340=0,0,E333/N311*P314),2)</f>
        <v>0</v>
      </c>
      <c r="F340" s="24">
        <f>ROUND(IF(P314=0,0,IFERROR(((LOOKUP(2,1/(A322:A325=A340),H322:H325))/N311*P314),F339/P314*P314)),2)</f>
        <v>0</v>
      </c>
      <c r="G340" s="27">
        <f t="shared" si="37"/>
        <v>0</v>
      </c>
      <c r="H340" s="76">
        <f>ROUND(IF(SUM(B334:F339)&lt;(L349*6),IF((SUM(B334:F340))&gt;(L349*7),(((L349*7)-(SUM(B334:F340)-C339))*H333)+((SUM(B340:F340)-C339)*H333),SUM(B340:F340)*H333),IF(SUM(B334:F340)&gt;(L349*7),L349*H333,SUM(B340:F340)*H333)),2)</f>
        <v>0</v>
      </c>
      <c r="I340" s="76">
        <f>ROUND(IF(SUM(B334:F339)&lt;(L350*6),IF((SUM(B334:F340))&gt;(L350*7),(((L350*7)-(SUM(B334:F340)-C339))*I333)+((SUM(B340:F340)-C339)*I333),SUM(B340:F340)*I333),IF(SUM(B334:F340)&gt;(L350*7),L350*I333,SUM(B340:F340)*I333)),2)</f>
        <v>0</v>
      </c>
      <c r="J340" s="76">
        <f>ROUND(IF(SUM(B334:F339)&lt;(L350*6),IF((SUM(B334:F340))&gt;(L350*7),(((L350*7)-(SUM(B334:F340)-C339))*J333)+((SUM(B340:F340)-C339)*J333),SUM(B340:F340)*J333),IF(SUM(B334:F340)&gt;(L350*7),L350*J333,SUM(B340:F340)*J333)),2)</f>
        <v>0</v>
      </c>
      <c r="K340" s="76">
        <f>ROUND(IF(SUM(B334:F339)&lt;(L349*6),IF((SUM(B334:F340))&gt;(L349*7),(((L349*7)-(SUM(B334:F340)-C339))*K333)+((SUM(B340:F340)-C339)*K333),SUM(B340:F340)*K333),IF(SUM(B334:F340)&gt;(L349*7),L349*K333,SUM(B340:F340)*K333)),2)</f>
        <v>0</v>
      </c>
      <c r="L340" s="76">
        <f>ROUND(IF(SUM(B334:F339)&lt;(L350*6),IF((SUM(B334:F340))&gt;(L350*7),(((L350*7)-(SUM(B334:F340)-C340))*L333)+((SUM(B340:F340)-C340)*L333),(SUM(B340:F340)-C340)*L333),IF(SUM(B334:F340)&gt;(L350*7),L350*L333,SUM(B340:F340)*L333)),2)</f>
        <v>0</v>
      </c>
      <c r="M340" s="76">
        <f>ROUND(IF(SUM(B334:F339)&lt;(L350*6),IF((SUM(B334:F340))&gt;(L350*7),(((L350*7)-(SUM(B334:F340)-C340))*M333)+((SUM(B340:F340)-C340)*M333),(SUM(B340:F340)-C340)*M333),IF(SUM(B334:F340)&gt;(L350*7),L350*M333,SUM(B340:F340)*M333)),2)</f>
        <v>0</v>
      </c>
      <c r="N340" s="76">
        <f>ROUND(IF(SUM(B334:F339)&lt;(L350*6),IF((SUM(B334:F340))&gt;(L350*7),(((L350*7)-(SUM(B334:F340)-C339))*N333)+((SUM(B340:F340)-C339)*N333),SUM(B340:F340)*N333),IF(SUM(B334:F340)&gt;(L350*7),L350*N333,SUM(B340:F340)*N333)),2)</f>
        <v>0</v>
      </c>
      <c r="O340" s="23">
        <f>ROUND(SUM(B340+C340+F340)*O333,2)</f>
        <v>0</v>
      </c>
      <c r="P340" s="27">
        <f t="shared" si="38"/>
        <v>0</v>
      </c>
    </row>
    <row r="341" spans="1:16" x14ac:dyDescent="0.2">
      <c r="A341" s="100" t="str">
        <f>$A$33</f>
        <v>Aug 2022</v>
      </c>
      <c r="B341" s="24">
        <f>ROUND(IF(P315=0,0,IFERROR(((LOOKUP(2,1/(A322:A325=A341),G322:G325))*P315*4.348),B340/P315*P315)),2)</f>
        <v>0</v>
      </c>
      <c r="C341" s="23">
        <f>ROUND(IFERROR(((LOOKUP(2,1/(B327=A341),((SUM(B340:B342)+SUM(F340:F342))/3)*C327))),0)+IFERROR(((LOOKUP(2,1/(E327=A341),(B346+F346)*F327))),0),2)</f>
        <v>0</v>
      </c>
      <c r="D341" s="23">
        <f>ROUND(IF(B341=0,0,D333/L315*P315),2)</f>
        <v>0</v>
      </c>
      <c r="E341" s="23">
        <f>ROUND(IF(B341=0,0,E333/N311*P315),2)</f>
        <v>0</v>
      </c>
      <c r="F341" s="24">
        <f>ROUND(IF(P315=0,0,IFERROR(((LOOKUP(2,1/(A322:A325=A341),H322:H325))/N311*P315),F340/P315*P315)),2)</f>
        <v>0</v>
      </c>
      <c r="G341" s="27">
        <f t="shared" si="37"/>
        <v>0</v>
      </c>
      <c r="H341" s="76">
        <f>ROUND(IF(SUM(B334:F340)&lt;(L349*7),IF((SUM(B334:F341))&gt;(L349*8),(((L349*8)-(SUM(B334:F341)-C340))*H333)+((SUM(B341:F341)-C340)*H333),SUM(B341:F341)*H333),IF(SUM(B334:F341)&gt;(L349*8),L349*H333,SUM(B341:F341)*H333)),2)</f>
        <v>0</v>
      </c>
      <c r="I341" s="76">
        <f>ROUND(IF(SUM(B334:F340)&lt;(L350*7),IF((SUM(B334:F341))&gt;(L350*8),(((L350*8)-(SUM(B334:F341)-C340))*I333)+((SUM(B341:F341)-C340)*I333),SUM(B341:F341)*I333),IF(SUM(B334:F341)&gt;(L350*8),L350*I333,SUM(B341:F341)*I333)),2)</f>
        <v>0</v>
      </c>
      <c r="J341" s="76">
        <f>ROUND(IF(SUM(B334:F340)&lt;(L350*7),IF((SUM(B334:F341))&gt;(L350*8),(((L350*8)-(SUM(B334:F341)-C340))*J333)+((SUM(B341:F341)-C340)*J333),SUM(B341:F341)*J333),IF(SUM(B334:F341)&gt;(L350*8),L350*J333,SUM(B341:F341)*J333)),2)</f>
        <v>0</v>
      </c>
      <c r="K341" s="76">
        <f>ROUND(IF(SUM(B334:F340)&lt;(L349*7),IF((SUM(B334:F341))&gt;(L349*8),(((L349*8)-(SUM(B334:F341)-C340))*K333)+((SUM(B341:F341)-C340)*K333),SUM(B341:F341)*K333),IF(SUM(B334:F341)&gt;(L349*8),L349*K333,SUM(B341:F341)*K333)),2)</f>
        <v>0</v>
      </c>
      <c r="L341" s="76">
        <f>ROUND(IF(SUM(B334:F340)&lt;(L350*7),IF((SUM(B334:F341))&gt;(L350*8),(((L350*8)-(SUM(B334:F341)-C341))*L333)+((SUM(B341:F341)-C341)*L333),(SUM(B341:F341)-C341)*L333),IF(SUM(B334:F341)&gt;(L350*8),L350*L333,SUM(B341:F341)*L333)),2)</f>
        <v>0</v>
      </c>
      <c r="M341" s="76">
        <f>ROUND(IF(SUM(B334:F340)&lt;(L350*7),IF((SUM(B334:F341))&gt;(L350*8),(((L350*8)-(SUM(B334:F341)-C341))*M333)+((SUM(B341:F341)-C341)*M333),(SUM(B341:F341)-C341)*M333),IF(SUM(B334:F341)&gt;(L350*8),L350*M333,SUM(B341:F341)*M333)),2)</f>
        <v>0</v>
      </c>
      <c r="N341" s="76">
        <f>ROUND(IF(SUM(B334:F340)&lt;(L350*7),IF((SUM(B334:F341))&gt;(L350*8),(((L350*8)-(SUM(B334:F341)-C340))*N333)+((SUM(B341:F341)-C340)*N333),SUM(B341:F341)*N333),IF(SUM(B334:F341)&gt;(L350*8),L350*N333,SUM(B341:F341)*N333)),2)</f>
        <v>0</v>
      </c>
      <c r="O341" s="23">
        <f>ROUND(SUM(B341+C341+F341)*O333,2)</f>
        <v>0</v>
      </c>
      <c r="P341" s="27">
        <f t="shared" si="38"/>
        <v>0</v>
      </c>
    </row>
    <row r="342" spans="1:16" x14ac:dyDescent="0.2">
      <c r="A342" s="100" t="str">
        <f>$A$34</f>
        <v>Sep 2022</v>
      </c>
      <c r="B342" s="24">
        <f>ROUND(IF(P316=0,0,IFERROR(((LOOKUP(2,1/(A322:A325=A342),G322:G325))*P316*4.348),B341/P316*P316)),2)</f>
        <v>0</v>
      </c>
      <c r="C342" s="23">
        <f>ROUND(IFERROR(((LOOKUP(2,1/(B327=A342),((SUM(B340:B342)+SUM(F340:F342))/3)*C327))),0)+IFERROR(((LOOKUP(2,1/(E327=A342),(B346+F346)*F327))),0),2)</f>
        <v>0</v>
      </c>
      <c r="D342" s="23">
        <f>ROUND(IF(B342=0,0,D333/L315*P316),2)</f>
        <v>0</v>
      </c>
      <c r="E342" s="23">
        <f>ROUND(IF(B342=0,0,E333/N311*P316),2)</f>
        <v>0</v>
      </c>
      <c r="F342" s="24">
        <f>ROUND(IF(P316=0,0,IFERROR(((LOOKUP(2,1/(A322:A325=A342),H322:H325))/N311*P316),F341/P316*P316)),2)</f>
        <v>0</v>
      </c>
      <c r="G342" s="27">
        <f t="shared" si="37"/>
        <v>0</v>
      </c>
      <c r="H342" s="76">
        <f>ROUND(IF(SUM(B334:F341)&lt;(L349*8),IF((SUM(B334:F342))&gt;(L349*9),(((L349*9)-(SUM(B334:F342)-C341))*H333)+((SUM(B342:F342)-C341)*H333),SUM(B342:F342)*H333),IF(SUM(B334:F342)&gt;(L349*9),L349*H333,SUM(B342:F342)*H333)),2)</f>
        <v>0</v>
      </c>
      <c r="I342" s="76">
        <f>ROUND(IF(SUM(B334:F341)&lt;(L350*8),IF((SUM(B334:F342))&gt;(L350*9),(((L350*9)-(SUM(B334:F342)-C341))*I333)+((SUM(B342:F342)-C341)*I333),SUM(B342:F342)*I333),IF(SUM(B334:F342)&gt;(L350*9),L350*I333,SUM(B342:F342)*I333)),2)</f>
        <v>0</v>
      </c>
      <c r="J342" s="76">
        <f>ROUND(IF(SUM(B334:F341)&lt;(L350*8),IF((SUM(B334:F342))&gt;(L350*9),(((L350*9)-(SUM(B334:F342)-C341))*J333)+((SUM(B342:F342)-C341)*J333),SUM(B342:F342)*J333),IF(SUM(B334:F342)&gt;(L350*9),L350*J333,SUM(B342:F342)*J333)),2)</f>
        <v>0</v>
      </c>
      <c r="K342" s="76">
        <f>ROUND(IF(SUM(B334:F341)&lt;(L349*8),IF((SUM(B334:F342))&gt;(L349*9),(((L349*9)-(SUM(B334:F342)-C341))*K333)+((SUM(B342:F342)-C341)*K333),SUM(B342:F342)*K333),IF(SUM(B334:F342)&gt;(L349*9),L349*K333,SUM(B342:F342)*K333)),2)</f>
        <v>0</v>
      </c>
      <c r="L342" s="76">
        <f>ROUND(IF(SUM(B334:F341)&lt;(L350*8),IF((SUM(B334:F342))&gt;(L350*9),(((L350*9)-(SUM(B334:F342)-C342))*L333)+((SUM(B342:F342)-C342)*L333),(SUM(B342:F342)-C342)*L333),IF(SUM(B334:F342)&gt;(L350*9),L350*L333,SUM(B342:F342)*L333)),2)</f>
        <v>0</v>
      </c>
      <c r="M342" s="76">
        <f>ROUND(IF(SUM(B334:F341)&lt;(L350*8),IF((SUM(B334:F342))&gt;(L350*9),(((L350*9)-(SUM(B334:F342)-C342))*M333)+((SUM(B342:F342)-C342)*M333),(SUM(B342:F342)-C342)*M333),IF(SUM(B334:F342)&gt;(L350*9),L350*M333,SUM(B342:F342)*M333)),2)</f>
        <v>0</v>
      </c>
      <c r="N342" s="76">
        <f>ROUND(IF(SUM(B334:F341)&lt;(L350*8),IF((SUM(B334:F342))&gt;(L350*9),(((L350*9)-(SUM(B334:F342)-C341))*N333)+((SUM(B342:F342)-C341)*N333),SUM(B342:F342)*N333),IF(SUM(B334:F342)&gt;(L350*9),L350*N333,SUM(B342:F342)*N333)),2)</f>
        <v>0</v>
      </c>
      <c r="O342" s="23">
        <f>ROUND(SUM(B342+C342+F342)*O333,2)</f>
        <v>0</v>
      </c>
      <c r="P342" s="27">
        <f t="shared" si="38"/>
        <v>0</v>
      </c>
    </row>
    <row r="343" spans="1:16" x14ac:dyDescent="0.2">
      <c r="A343" s="100" t="str">
        <f>$A$35</f>
        <v>Okt 2022</v>
      </c>
      <c r="B343" s="24">
        <f>ROUND(IF(P317=0,0,IFERROR(((LOOKUP(2,1/(A322:A325=A343),G322:G325))*P317*4.348),B342/P317*P317)),2)</f>
        <v>0</v>
      </c>
      <c r="C343" s="23">
        <f>ROUND(IFERROR(((LOOKUP(2,1/(B327=A343),((SUM(B340:B342)+SUM(F340:F342))/3)*C327))),0)+IFERROR(((LOOKUP(2,1/(E327=A343),(B346+F346)*F327))),0),2)</f>
        <v>0</v>
      </c>
      <c r="D343" s="23">
        <f>ROUND(IF(B343=0,0,D333/L315*P317),2)</f>
        <v>0</v>
      </c>
      <c r="E343" s="23">
        <f>ROUND(IF(B343=0,0,E333/N311*P317),2)</f>
        <v>0</v>
      </c>
      <c r="F343" s="24">
        <f>ROUND(IF(P317=0,0,IFERROR(((LOOKUP(2,1/(A322:A325=A343),H322:H325))/N311*P317),F342/P317*P317)),2)</f>
        <v>0</v>
      </c>
      <c r="G343" s="27">
        <f t="shared" si="37"/>
        <v>0</v>
      </c>
      <c r="H343" s="76">
        <f>ROUND(IF(SUM(B334:F342)&lt;(L349*9),IF((SUM(B334:F343))&gt;(L349*10),(((L349*10)-(SUM(B334:F343)-C342))*H333)+((SUM(B343:F343)-C342)*H333),SUM(B343:F343)*H333),IF(SUM(B334:F343)&gt;(L349*10),L349*H333,SUM(B343:F343)*H333)),2)</f>
        <v>0</v>
      </c>
      <c r="I343" s="76">
        <f>ROUND(IF(SUM(B334:F342)&lt;(L350*9),IF((SUM(B334:F343))&gt;(L350*10),(((L350*10)-(SUM(B334:F343)-C342))*I333)+((SUM(B343:F343)-C342)*I333),SUM(B343:F343)*I333),IF(SUM(B334:F343)&gt;(L350*10),L350*I333,SUM(B343:F343)*I333)),2)</f>
        <v>0</v>
      </c>
      <c r="J343" s="76">
        <f>ROUND(IF(SUM(B334:F342)&lt;(L350*9),IF((SUM(B334:F343))&gt;(L350*10),(((L350*10)-(SUM(B334:F343)-C342))*J333)+((SUM(B343:F343)-C342)*J333),SUM(B343:F343)*J333),IF(SUM(B334:F343)&gt;(L350*10),L350*J333,SUM(B343:F343)*J333)),2)</f>
        <v>0</v>
      </c>
      <c r="K343" s="76">
        <f>ROUND(IF(SUM(B334:F342)&lt;(L349*9),IF((SUM(B334:F343))&gt;(L349*10),(((L349*10)-(SUM(B334:F343)-C342))*K333)+((SUM(B343:F343)-C342)*K333),SUM(B343:F343)*K333),IF(SUM(B334:F343)&gt;(L349*10),L349*K333,SUM(B343:F343)*K333)),2)</f>
        <v>0</v>
      </c>
      <c r="L343" s="76">
        <f>ROUND(IF(SUM(B334:F342)&lt;(L350*9),IF((SUM(B334:F343))&gt;(L350*10),(((L350*10)-(SUM(B334:F343)-C343))*L333)+((SUM(B343:F343)-C343)*L333),(SUM(B343:F343)-C343)*L333),IF(SUM(B334:F343)&gt;(L350*10),L350*L333,SUM(B343:F343)*L333)),2)</f>
        <v>0</v>
      </c>
      <c r="M343" s="76">
        <f>ROUND(IF(SUM(B334:F342)&lt;(L350*9),IF((SUM(B334:F343))&gt;(L350*10),(((L350*10)-(SUM(B334:F343)-C343))*M333)+((SUM(B343:F343)-C343)*M333),(SUM(B343:F343)-C343)*M333),IF(SUM(B334:F343)&gt;(L350*10),L350*M333,SUM(B343:F343)*M333)),2)</f>
        <v>0</v>
      </c>
      <c r="N343" s="76">
        <f>ROUND(IF(SUM(B334:F342)&lt;(L350*9),IF((SUM(B334:F343))&gt;(L350*10),(((L350*10)-(SUM(B334:F343)-C342))*N333)+((SUM(B343:F343)-C342)*N333),SUM(B343:F343)*N333),IF(SUM(B334:F343)&gt;(L350*10),L350*N333,SUM(B343:F343)*N333)),2)</f>
        <v>0</v>
      </c>
      <c r="O343" s="23">
        <f>ROUND(SUM(B343+C343+F343)*O333,2)</f>
        <v>0</v>
      </c>
      <c r="P343" s="27">
        <f t="shared" si="38"/>
        <v>0</v>
      </c>
    </row>
    <row r="344" spans="1:16" x14ac:dyDescent="0.2">
      <c r="A344" s="100" t="str">
        <f>$A$36</f>
        <v>Nov 2022</v>
      </c>
      <c r="B344" s="24">
        <f>ROUND(IF(P318=0,0,IFERROR(((LOOKUP(2,1/(A322:A325=A344),G322:G325))*P318*4.348),B343/P318*P318)),2)</f>
        <v>0</v>
      </c>
      <c r="C344" s="23">
        <f>ROUND(IFERROR(((LOOKUP(2,1/(B327=A344),((SUM(B340:B342)+SUM(F340:F342))/3)*C327))),0)+IFERROR(((LOOKUP(2,1/(E327=A344),(B346+F346)*F327))),0),2)</f>
        <v>0</v>
      </c>
      <c r="D344" s="23">
        <f>ROUND(IF(B344=0,0,D333/L315*P318),2)</f>
        <v>0</v>
      </c>
      <c r="E344" s="23">
        <f>ROUND(IF(B344=0,0,E333/N311*P318),2)</f>
        <v>0</v>
      </c>
      <c r="F344" s="24">
        <f>ROUND(IF(P318=0,0,IFERROR(((LOOKUP(2,1/(A322:A325=A344),H322:H325))/N311*P318),F343/P318*P318)),2)</f>
        <v>0</v>
      </c>
      <c r="G344" s="27">
        <f t="shared" si="37"/>
        <v>0</v>
      </c>
      <c r="H344" s="76">
        <f>ROUND(IF(SUM(B334:F343)&lt;(L349*10),IF((SUM(B334:F344))&gt;(L349*11),(((L349*11)-(SUM(B334:F344)-C343))*H333)+((SUM(B344:F344)-C343)*H333),SUM(B344:F344)*H333),IF(SUM(B334:F344)&gt;(L349*11),L349*H333,SUM(B344:F344)*H333)),2)</f>
        <v>0</v>
      </c>
      <c r="I344" s="76">
        <f>ROUND(IF(SUM(B334:F343)&lt;(L350*10),IF((SUM(B334:F344))&gt;(L350*11),(((L350*11)-(SUM(B334:F344)-C343))*I333)+((SUM(B344:F344)-C343)*I333),SUM(B344:F344)*I333),IF(SUM(B334:F344)&gt;(L350*11),L350*I333,SUM(B344:F344)*I333)),2)</f>
        <v>0</v>
      </c>
      <c r="J344" s="76">
        <f>ROUND(IF(SUM(B334:F343)&lt;(L350*10),IF((SUM(B334:F344))&gt;(L350*11),(((L350*11)-(SUM(B334:F344)-C343))*J333)+((SUM(B344:F344)-C343)*J333),SUM(B344:F344)*J333),IF(SUM(B334:F344)&gt;(L350*11),L350*J333,SUM(B344:F344)*J333)),2)</f>
        <v>0</v>
      </c>
      <c r="K344" s="76">
        <f>ROUND(IF(SUM(B334:F343)&lt;(L349*10),IF((SUM(B334:F344))&gt;(L349*11),(((L349*11)-(SUM(B334:F344)-C343))*K333)+((SUM(B344:F344)-C343)*K333),SUM(B344:F344)*K333),IF(SUM(B334:F344)&gt;(L349*11),L349*K333,SUM(B344:F344)*K333)),2)</f>
        <v>0</v>
      </c>
      <c r="L344" s="76">
        <f>ROUND(IF(SUM(B334:F343)&lt;(L350*10),IF((SUM(B334:F344))&gt;(L350*11),(((L350*11)-(SUM(B334:F344)-C344))*L333)+((SUM(B344:F344)-C344)*L333),(SUM(B344:F344)-C344)*L333),IF(SUM(B334:F344)&gt;(L350*11),L350*L333,SUM(B344:F344)*L333)),2)</f>
        <v>0</v>
      </c>
      <c r="M344" s="76">
        <f>ROUND(IF(SUM(B334:F343)&lt;(L350*10),IF((SUM(B334:F344))&gt;(L350*11),(((L350*11)-(SUM(B334:F344)-C344))*M333)+((SUM(B344:F344)-C344)*M333),(SUM(B344:F344)-C344)*M333),IF(SUM(B334:F344)&gt;(L350*11),L350*M333,SUM(B344:F344)*M333)),2)</f>
        <v>0</v>
      </c>
      <c r="N344" s="76">
        <f>ROUND(IF(SUM(B334:F343)&lt;(L350*10),IF((SUM(B334:F344))&gt;(L350*11),(((L350*11)-(SUM(B334:F344)-C343))*N333)+((SUM(B344:F344)-C343)*N333),SUM(B344:F344)*N333),IF(SUM(B334:F344)&gt;(L350*11),L350*N333,SUM(B344:F344)*N333)),2)</f>
        <v>0</v>
      </c>
      <c r="O344" s="23">
        <f>ROUND(SUM(B344+C344+F344)*O333,2)</f>
        <v>0</v>
      </c>
      <c r="P344" s="27">
        <f t="shared" si="38"/>
        <v>0</v>
      </c>
    </row>
    <row r="345" spans="1:16" x14ac:dyDescent="0.2">
      <c r="A345" s="100" t="str">
        <f>$A$37</f>
        <v>Dez 2022</v>
      </c>
      <c r="B345" s="24">
        <f>ROUND(IF(P319=0,0,IFERROR(((LOOKUP(2,1/(A322:A325=A345),G322:G325))*P319*4.348),B344/P319*P319)),2)</f>
        <v>0</v>
      </c>
      <c r="C345" s="23">
        <f>ROUND(IFERROR(((LOOKUP(2,1/(B327=A345),((SUM(B340:B342)+SUM(F340:F342))/3)*C327))),0)+IFERROR(((LOOKUP(2,1/(E327=A345),(B346+F346)*F327))),0),2)</f>
        <v>0</v>
      </c>
      <c r="D345" s="23">
        <f>ROUND(IF(B345=0,0,D333/L315*P319),2)</f>
        <v>0</v>
      </c>
      <c r="E345" s="23">
        <f>ROUND(IF(B345=0,0,E333/N311*P319),2)</f>
        <v>0</v>
      </c>
      <c r="F345" s="24">
        <f>ROUND(IF(P319=0,0,IFERROR(((LOOKUP(2,1/(A322:A325=A345),H322:H325))/N311*P319),F344/P319*P319)),2)</f>
        <v>0</v>
      </c>
      <c r="G345" s="27">
        <f t="shared" si="37"/>
        <v>0</v>
      </c>
      <c r="H345" s="76">
        <f>ROUND(IF(SUM(B334:F344)&lt;(L349*11),IF((SUM(B334:F345))&gt;(L349*12),(((L349*12)-(SUM(B334:F345)-C344))*H333)+((SUM(B345:F345)-C344)*H333),SUM(B345:F345)*H333),IF(SUM(B334:F345)&gt;(L349*12),L349*H333,SUM(B345:F345)*H333)),2)</f>
        <v>0</v>
      </c>
      <c r="I345" s="76">
        <f>ROUND(IF(SUM(B334:F344)&lt;(L350*11),IF((SUM(B334:F345))&gt;(L350*12),(((L350*12)-(SUM(B334:F345)-C344))*I333)+((SUM(B345:F345)-C344)*I333),SUM(B345:F345)*I333),IF(SUM(B334:F345)&gt;(L350*12),L350*I333,SUM(B345:F345)*I333)),2)</f>
        <v>0</v>
      </c>
      <c r="J345" s="76">
        <f>ROUND(IF(SUM(B334:F344)&lt;(L350*11),IF((SUM(B334:F345))&gt;(L350*12),(((L350*12)-(SUM(B334:F345)-C344))*J333)+((SUM(B345:F345)-C344)*J333),SUM(B345:F345)*J333),IF(SUM(B334:F345)&gt;(L350*12),L350*J333,SUM(B345:F345)*J333)),2)</f>
        <v>0</v>
      </c>
      <c r="K345" s="76">
        <f>ROUND(IF(SUM(B334:F344)&lt;(L349*11),IF((SUM(B334:F345))&gt;(L349*12),(((L349*12)-(SUM(B334:F345)-C344))*K333)+((SUM(B345:F345)-C344)*K333),SUM(B345:F345)*K333),IF(SUM(B334:F345)&gt;(L349*12),L349*K333,SUM(B345:F345)*K333)),2)</f>
        <v>0</v>
      </c>
      <c r="L345" s="76">
        <f>ROUND(IF(SUM(B334:F344)&lt;(L350*11),IF((SUM(B334:F345))&gt;(L350*12),(((L350*12)-(SUM(B334:F345)-C345))*L333)+((SUM(B345:F345)-C345)*L333),(SUM(B345:F345)-C345)*L333),IF(SUM(B334:F345)&gt;(L350*12),L350*L333,SUM(B345:F345)*L333)),2)</f>
        <v>0</v>
      </c>
      <c r="M345" s="76">
        <f>ROUND(IF(SUM(B334:F344)&lt;(L350*11),IF((SUM(B334:F345))&gt;(L350*12),(((L350*12)-(SUM(B334:F345)-C345))*M333)+((SUM(B345:F345)-C345)*M333),(SUM(B345:F345)-C345)*M333),IF(SUM(B334:F345)&gt;(L350*12),L350*M333,SUM(B345:F345)*M333)),2)</f>
        <v>0</v>
      </c>
      <c r="N345" s="76">
        <f>ROUND(IF(SUM(B334:F344)&lt;(L350*11),IF((SUM(B334:F345))&gt;(L350*12),(((L350*12)-(SUM(B334:F345)-C344))*N333)+((SUM(B345:F345)-C344)*N333),SUM(B345:F345)*N333),IF(SUM(B334:F345)&gt;(L350*12),L350*N333,SUM(B345:F345)*N333)),2)</f>
        <v>0</v>
      </c>
      <c r="O345" s="23">
        <f>ROUND(SUM(B345+C345+F345)*O333,2)</f>
        <v>0</v>
      </c>
      <c r="P345" s="27">
        <f t="shared" si="38"/>
        <v>0</v>
      </c>
    </row>
    <row r="346" spans="1:16" s="14" customFormat="1" ht="15" x14ac:dyDescent="0.25">
      <c r="A346" s="4" t="s">
        <v>2</v>
      </c>
      <c r="B346" s="27">
        <f>SUM(B334:B345)</f>
        <v>0</v>
      </c>
      <c r="C346" s="27">
        <f t="shared" ref="C346:D346" si="39">SUM(C334:C345)</f>
        <v>0</v>
      </c>
      <c r="D346" s="27">
        <f t="shared" si="39"/>
        <v>0</v>
      </c>
      <c r="E346" s="27">
        <f>SUM(E334:E345)</f>
        <v>0</v>
      </c>
      <c r="F346" s="27">
        <f>SUM(F334:F345)</f>
        <v>0</v>
      </c>
      <c r="G346" s="27">
        <f>SUM(G334:G345)</f>
        <v>0</v>
      </c>
      <c r="H346" s="1133">
        <f>SUM(H334:N345)</f>
        <v>0</v>
      </c>
      <c r="I346" s="1134"/>
      <c r="J346" s="1134"/>
      <c r="K346" s="1134"/>
      <c r="L346" s="1134"/>
      <c r="M346" s="1134"/>
      <c r="N346" s="1135"/>
      <c r="O346" s="27">
        <f>SUM(O334:O345)</f>
        <v>0</v>
      </c>
      <c r="P346" s="27">
        <f>SUM(P334:P345)</f>
        <v>0</v>
      </c>
    </row>
    <row r="347" spans="1:16" s="13" customFormat="1" ht="11.25" x14ac:dyDescent="0.2">
      <c r="A347" s="3" t="s">
        <v>1</v>
      </c>
      <c r="B347" s="2"/>
      <c r="C347" s="2"/>
      <c r="D347" s="2"/>
      <c r="E347" s="2"/>
      <c r="F347" s="2"/>
      <c r="G347" s="2"/>
      <c r="H347" s="2"/>
      <c r="I347" s="2"/>
      <c r="J347" s="2"/>
      <c r="K347" s="2"/>
      <c r="L347" s="2"/>
      <c r="M347" s="2"/>
      <c r="N347" s="2"/>
      <c r="O347" s="2"/>
      <c r="P347" s="2"/>
    </row>
    <row r="348" spans="1:16" ht="14.25" customHeight="1" x14ac:dyDescent="0.2">
      <c r="A348" s="1136" t="s">
        <v>133</v>
      </c>
      <c r="B348" s="1137"/>
      <c r="C348" s="1137"/>
      <c r="D348" s="1137" t="s">
        <v>134</v>
      </c>
      <c r="E348" s="1137"/>
      <c r="F348" s="94" t="str">
        <f>IF(IF(G346=0,"",'päd.Personal - Leitung'!$F$40)=0,"",IF(G346=0,"",'päd.Personal - Leitung'!$F$40))</f>
        <v/>
      </c>
      <c r="G348" s="77" t="s">
        <v>135</v>
      </c>
      <c r="H348" s="96" t="str">
        <f>IF(IF(G346=0,"",'päd.Personal - Leitung'!$H$40)=0,"",IF(G346=0,"",'päd.Personal - Leitung'!$H$40))</f>
        <v/>
      </c>
      <c r="I348" s="73"/>
      <c r="J348" s="194" t="s">
        <v>160</v>
      </c>
      <c r="K348" s="194" t="str">
        <f>$K$40</f>
        <v>2021</v>
      </c>
      <c r="L348" s="194" t="str">
        <f>$L$40</f>
        <v>anteilig 2021</v>
      </c>
      <c r="M348" s="1138" t="s">
        <v>140</v>
      </c>
      <c r="N348" s="1138"/>
      <c r="O348" s="1139"/>
      <c r="P348" s="27">
        <f>ROUND(IF(F348="",IF(E352="",0,(E352*H352/K352)/L315*L316),G346*F348*H348/1000),2)</f>
        <v>0</v>
      </c>
    </row>
    <row r="349" spans="1:16" ht="15" customHeight="1" x14ac:dyDescent="0.2">
      <c r="A349" s="1140" t="s">
        <v>145</v>
      </c>
      <c r="B349" s="1141"/>
      <c r="C349" s="1141"/>
      <c r="D349" s="18"/>
      <c r="E349" s="107" t="s">
        <v>135</v>
      </c>
      <c r="F349" s="95" t="str">
        <f>IF(IF(G346=0,"",'päd.Personal - Leitung'!$F$41)=0,"",IF(G346=0,"",'päd.Personal - Leitung'!$F$41))</f>
        <v/>
      </c>
      <c r="G349" s="48"/>
      <c r="H349" s="47"/>
      <c r="I349" s="48"/>
      <c r="J349" s="195" t="s">
        <v>158</v>
      </c>
      <c r="K349" s="198">
        <f>$K$41</f>
        <v>4837.5</v>
      </c>
      <c r="L349" s="197">
        <f>IF(L315="",K349,K349/L315*L316)</f>
        <v>4837.5</v>
      </c>
      <c r="M349" s="1138" t="s">
        <v>139</v>
      </c>
      <c r="N349" s="1138"/>
      <c r="O349" s="1139"/>
      <c r="P349" s="27">
        <f>ROUND(IF(F349="",0,G346*F349/1000),2)</f>
        <v>0</v>
      </c>
    </row>
    <row r="350" spans="1:16" ht="15.75" customHeight="1" x14ac:dyDescent="0.2">
      <c r="A350" s="1142" t="s">
        <v>141</v>
      </c>
      <c r="B350" s="1143"/>
      <c r="C350" s="1143"/>
      <c r="D350" s="1144" t="s">
        <v>143</v>
      </c>
      <c r="E350" s="1144"/>
      <c r="F350" s="1145" t="str">
        <f>IF(IF(G346=0,"",'päd.Personal - Leitung'!$F$42)=0,"",IF(G346=0,"",'päd.Personal - Leitung'!$F$42))</f>
        <v/>
      </c>
      <c r="G350" s="1145"/>
      <c r="H350" s="72"/>
      <c r="I350" s="18"/>
      <c r="J350" s="195" t="s">
        <v>159</v>
      </c>
      <c r="K350" s="198">
        <f>$K$42</f>
        <v>6700</v>
      </c>
      <c r="L350" s="197">
        <f>IF(L315="",K350,K350/L315*L316)</f>
        <v>6700</v>
      </c>
      <c r="M350" s="1138" t="s">
        <v>141</v>
      </c>
      <c r="N350" s="1138"/>
      <c r="O350" s="1139"/>
      <c r="P350" s="23">
        <f>ROUND(IF(F350="",0,IF(G346=0,0,F350/L315*L316)),2)</f>
        <v>0</v>
      </c>
    </row>
    <row r="351" spans="1:16" ht="14.25" customHeight="1" x14ac:dyDescent="0.2">
      <c r="A351" s="18"/>
      <c r="B351" s="18"/>
      <c r="C351" s="18"/>
      <c r="D351" s="18"/>
      <c r="E351" s="18"/>
      <c r="F351" s="18"/>
      <c r="G351" s="18"/>
      <c r="H351" s="18"/>
      <c r="I351" s="18"/>
      <c r="J351" s="18"/>
      <c r="K351" s="74"/>
      <c r="L351" s="82"/>
      <c r="M351" s="1127" t="s">
        <v>146</v>
      </c>
      <c r="N351" s="1127"/>
      <c r="O351" s="1128"/>
      <c r="P351" s="23">
        <f>ROUND(IF(G346=0,0,$P$43),2)</f>
        <v>0</v>
      </c>
    </row>
    <row r="352" spans="1:16" ht="14.25" customHeight="1" x14ac:dyDescent="0.2">
      <c r="A352" s="1129" t="s">
        <v>142</v>
      </c>
      <c r="B352" s="1130"/>
      <c r="C352" s="126" t="s">
        <v>136</v>
      </c>
      <c r="D352" s="126" t="s">
        <v>137</v>
      </c>
      <c r="E352" s="1131" t="str">
        <f>IF(IF(G346=0,"",'päd.Personal - Leitung'!$E$44)=0,"",IF(G346=0,"",'päd.Personal - Leitung'!$E$44))</f>
        <v/>
      </c>
      <c r="F352" s="1131"/>
      <c r="G352" s="83" t="s">
        <v>138</v>
      </c>
      <c r="H352" s="97" t="str">
        <f>IF(IF(G346=0,"",'päd.Personal - Leitung'!$H$44)=0,"",IF(G346=0,"",'päd.Personal - Leitung'!$H$44))</f>
        <v/>
      </c>
      <c r="I352" s="1132" t="s">
        <v>144</v>
      </c>
      <c r="J352" s="1132"/>
      <c r="K352" s="98" t="str">
        <f>IF(IF(G346=0,"",'päd.Personal - Leitung'!$K$44)=0,"",IF(G346=0,"",'päd.Personal - Leitung'!$K$44))</f>
        <v/>
      </c>
      <c r="L352" s="29"/>
      <c r="M352" s="29"/>
      <c r="N352" s="29"/>
      <c r="O352" s="28" t="s">
        <v>0</v>
      </c>
      <c r="P352" s="27">
        <f>P346+SUM(P348:P351)</f>
        <v>0</v>
      </c>
    </row>
  </sheetData>
  <sheetProtection algorithmName="SHA-512" hashValue="5o06mDRcUNA0WVoHjzP7VxYD7r9KZ17BwrXjRgG/jL0jHOVudc5ujk9ze0ghNj7lXKVdjzT2VWbmEaRCuBaMOw==" saltValue="x0lhMRamy1TS0w/hijh/TQ==" spinCount="100000" sheet="1" objects="1" scenarios="1"/>
  <mergeCells count="568">
    <mergeCell ref="J54:K54"/>
    <mergeCell ref="J99:K99"/>
    <mergeCell ref="J143:K143"/>
    <mergeCell ref="J187:K187"/>
    <mergeCell ref="J231:K231"/>
    <mergeCell ref="J275:K275"/>
    <mergeCell ref="J319:K319"/>
    <mergeCell ref="D230:I230"/>
    <mergeCell ref="J230:K230"/>
    <mergeCell ref="D231:E231"/>
    <mergeCell ref="F231:G231"/>
    <mergeCell ref="H231:I231"/>
    <mergeCell ref="K233:L233"/>
    <mergeCell ref="D260:E260"/>
    <mergeCell ref="D224:J224"/>
    <mergeCell ref="A225:J225"/>
    <mergeCell ref="J226:K226"/>
    <mergeCell ref="D218:E218"/>
    <mergeCell ref="F218:G218"/>
    <mergeCell ref="B146:C146"/>
    <mergeCell ref="K146:L146"/>
    <mergeCell ref="H126:N126"/>
    <mergeCell ref="M128:O128"/>
    <mergeCell ref="A137:J137"/>
    <mergeCell ref="B233:C233"/>
    <mergeCell ref="B234:C234"/>
    <mergeCell ref="K234:L234"/>
    <mergeCell ref="B237:C237"/>
    <mergeCell ref="A266:C266"/>
    <mergeCell ref="A267:C267"/>
    <mergeCell ref="A268:C268"/>
    <mergeCell ref="K267:M267"/>
    <mergeCell ref="M263:O263"/>
    <mergeCell ref="K237:L237"/>
    <mergeCell ref="B238:C238"/>
    <mergeCell ref="E238:F238"/>
    <mergeCell ref="K238:L238"/>
    <mergeCell ref="A241:A245"/>
    <mergeCell ref="B241:G241"/>
    <mergeCell ref="H241:N241"/>
    <mergeCell ref="A264:B264"/>
    <mergeCell ref="E264:F264"/>
    <mergeCell ref="I264:J264"/>
    <mergeCell ref="A265:C265"/>
    <mergeCell ref="D265:N265"/>
    <mergeCell ref="D266:N266"/>
    <mergeCell ref="D267:J267"/>
    <mergeCell ref="H258:N258"/>
    <mergeCell ref="M260:O260"/>
    <mergeCell ref="M261:O261"/>
    <mergeCell ref="D262:E262"/>
    <mergeCell ref="F262:G262"/>
    <mergeCell ref="M262:O262"/>
    <mergeCell ref="A180:C180"/>
    <mergeCell ref="K190:L190"/>
    <mergeCell ref="B191:C191"/>
    <mergeCell ref="A217:C217"/>
    <mergeCell ref="A230:C230"/>
    <mergeCell ref="M217:O217"/>
    <mergeCell ref="A229:C229"/>
    <mergeCell ref="A227:C227"/>
    <mergeCell ref="D227:I227"/>
    <mergeCell ref="J227:K227"/>
    <mergeCell ref="A228:C228"/>
    <mergeCell ref="D228:I228"/>
    <mergeCell ref="J228:K228"/>
    <mergeCell ref="B235:C235"/>
    <mergeCell ref="K235:L235"/>
    <mergeCell ref="B236:C236"/>
    <mergeCell ref="K236:L236"/>
    <mergeCell ref="D229:I229"/>
    <mergeCell ref="J229:K229"/>
    <mergeCell ref="M218:O218"/>
    <mergeCell ref="M219:O219"/>
    <mergeCell ref="A220:B220"/>
    <mergeCell ref="E220:F220"/>
    <mergeCell ref="A218:C218"/>
    <mergeCell ref="I220:J220"/>
    <mergeCell ref="A223:C223"/>
    <mergeCell ref="A224:C224"/>
    <mergeCell ref="A89:C89"/>
    <mergeCell ref="D89:N89"/>
    <mergeCell ref="A90:C90"/>
    <mergeCell ref="D90:N90"/>
    <mergeCell ref="A91:C91"/>
    <mergeCell ref="D91:J91"/>
    <mergeCell ref="K91:M91"/>
    <mergeCell ref="A92:C92"/>
    <mergeCell ref="D92:J92"/>
    <mergeCell ref="A93:J93"/>
    <mergeCell ref="A109:A113"/>
    <mergeCell ref="B109:G109"/>
    <mergeCell ref="H109:N109"/>
    <mergeCell ref="A128:C128"/>
    <mergeCell ref="D128:E128"/>
    <mergeCell ref="D143:E143"/>
    <mergeCell ref="J138:K138"/>
    <mergeCell ref="A139:C139"/>
    <mergeCell ref="D139:I139"/>
    <mergeCell ref="J139:K139"/>
    <mergeCell ref="A140:C140"/>
    <mergeCell ref="D140:I140"/>
    <mergeCell ref="J140:K140"/>
    <mergeCell ref="B102:C102"/>
    <mergeCell ref="K102:L102"/>
    <mergeCell ref="B103:C103"/>
    <mergeCell ref="K103:L103"/>
    <mergeCell ref="B104:C104"/>
    <mergeCell ref="K104:L104"/>
    <mergeCell ref="B105:C105"/>
    <mergeCell ref="K105:L105"/>
    <mergeCell ref="B106:C106"/>
    <mergeCell ref="E106:F106"/>
    <mergeCell ref="K106:L106"/>
    <mergeCell ref="A133:C133"/>
    <mergeCell ref="D133:N133"/>
    <mergeCell ref="A134:C134"/>
    <mergeCell ref="D134:N134"/>
    <mergeCell ref="A135:C135"/>
    <mergeCell ref="D135:J135"/>
    <mergeCell ref="A7:C7"/>
    <mergeCell ref="D7:I7"/>
    <mergeCell ref="J7:K7"/>
    <mergeCell ref="D8:I8"/>
    <mergeCell ref="A1:C1"/>
    <mergeCell ref="A2:C2"/>
    <mergeCell ref="A3:C3"/>
    <mergeCell ref="A8:C8"/>
    <mergeCell ref="A4:C4"/>
    <mergeCell ref="D1:N1"/>
    <mergeCell ref="D2:N2"/>
    <mergeCell ref="D3:J3"/>
    <mergeCell ref="K3:M3"/>
    <mergeCell ref="D4:J4"/>
    <mergeCell ref="A5:J5"/>
    <mergeCell ref="J6:K6"/>
    <mergeCell ref="J8:K8"/>
    <mergeCell ref="A41:C41"/>
    <mergeCell ref="A46:C46"/>
    <mergeCell ref="A47:C47"/>
    <mergeCell ref="H38:N38"/>
    <mergeCell ref="D40:E40"/>
    <mergeCell ref="M40:O40"/>
    <mergeCell ref="M41:O41"/>
    <mergeCell ref="D42:E42"/>
    <mergeCell ref="F42:G42"/>
    <mergeCell ref="M42:O42"/>
    <mergeCell ref="M43:O43"/>
    <mergeCell ref="E44:F44"/>
    <mergeCell ref="I44:J44"/>
    <mergeCell ref="K47:M47"/>
    <mergeCell ref="A84:C84"/>
    <mergeCell ref="H82:N82"/>
    <mergeCell ref="D84:E84"/>
    <mergeCell ref="B14:C14"/>
    <mergeCell ref="K14:L14"/>
    <mergeCell ref="B15:C15"/>
    <mergeCell ref="K15:L15"/>
    <mergeCell ref="B16:C16"/>
    <mergeCell ref="K16:L16"/>
    <mergeCell ref="B17:C17"/>
    <mergeCell ref="K17:L17"/>
    <mergeCell ref="B18:C18"/>
    <mergeCell ref="E18:F18"/>
    <mergeCell ref="K18:L18"/>
    <mergeCell ref="D47:J47"/>
    <mergeCell ref="A48:C48"/>
    <mergeCell ref="D48:J48"/>
    <mergeCell ref="A49:J49"/>
    <mergeCell ref="J50:K50"/>
    <mergeCell ref="A51:C51"/>
    <mergeCell ref="D51:I51"/>
    <mergeCell ref="J51:K51"/>
    <mergeCell ref="A52:C52"/>
    <mergeCell ref="D52:I52"/>
    <mergeCell ref="D9:I9"/>
    <mergeCell ref="J9:K9"/>
    <mergeCell ref="D10:I10"/>
    <mergeCell ref="J11:K11"/>
    <mergeCell ref="D11:E11"/>
    <mergeCell ref="F11:G11"/>
    <mergeCell ref="H11:I11"/>
    <mergeCell ref="B13:C13"/>
    <mergeCell ref="K13:L13"/>
    <mergeCell ref="A10:C10"/>
    <mergeCell ref="A9:C9"/>
    <mergeCell ref="J10:K10"/>
    <mergeCell ref="J52:K52"/>
    <mergeCell ref="A21:A25"/>
    <mergeCell ref="B21:G21"/>
    <mergeCell ref="H21:N21"/>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D45:N45"/>
    <mergeCell ref="D46:N46"/>
    <mergeCell ref="A42:C42"/>
    <mergeCell ref="A44:B44"/>
    <mergeCell ref="A45:C45"/>
    <mergeCell ref="A40:C40"/>
    <mergeCell ref="M86:O86"/>
    <mergeCell ref="M87:O87"/>
    <mergeCell ref="A88:B88"/>
    <mergeCell ref="E88:F88"/>
    <mergeCell ref="I88:J88"/>
    <mergeCell ref="A53:C53"/>
    <mergeCell ref="D53:I53"/>
    <mergeCell ref="J53:K53"/>
    <mergeCell ref="A54:C54"/>
    <mergeCell ref="D54:I54"/>
    <mergeCell ref="J55:K55"/>
    <mergeCell ref="D55:E55"/>
    <mergeCell ref="F55:G55"/>
    <mergeCell ref="H55:I55"/>
    <mergeCell ref="B57:C57"/>
    <mergeCell ref="K57:L57"/>
    <mergeCell ref="B58:C58"/>
    <mergeCell ref="K58:L58"/>
    <mergeCell ref="B59:C59"/>
    <mergeCell ref="K59:L59"/>
    <mergeCell ref="B60:C60"/>
    <mergeCell ref="K60:L60"/>
    <mergeCell ref="B61:C61"/>
    <mergeCell ref="K61:L61"/>
    <mergeCell ref="B62:C62"/>
    <mergeCell ref="E62:F62"/>
    <mergeCell ref="K62:L62"/>
    <mergeCell ref="A65:A69"/>
    <mergeCell ref="B65:G65"/>
    <mergeCell ref="H65:N65"/>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M84:O84"/>
    <mergeCell ref="A98:C98"/>
    <mergeCell ref="D98:I98"/>
    <mergeCell ref="J98:K98"/>
    <mergeCell ref="D99:E99"/>
    <mergeCell ref="F99:G99"/>
    <mergeCell ref="H99:I99"/>
    <mergeCell ref="B101:C101"/>
    <mergeCell ref="K101:L101"/>
    <mergeCell ref="J94:K94"/>
    <mergeCell ref="A95:C95"/>
    <mergeCell ref="D95:I95"/>
    <mergeCell ref="J95:K95"/>
    <mergeCell ref="A96:C96"/>
    <mergeCell ref="D96:I96"/>
    <mergeCell ref="J96:K96"/>
    <mergeCell ref="A97:C97"/>
    <mergeCell ref="D97:I97"/>
    <mergeCell ref="J97:K97"/>
    <mergeCell ref="A85:C85"/>
    <mergeCell ref="M85:O85"/>
    <mergeCell ref="A86:C86"/>
    <mergeCell ref="D86:E86"/>
    <mergeCell ref="F86:G86"/>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K135:M135"/>
    <mergeCell ref="A136:C136"/>
    <mergeCell ref="D136:J136"/>
    <mergeCell ref="A129:C129"/>
    <mergeCell ref="M129:O129"/>
    <mergeCell ref="A130:C130"/>
    <mergeCell ref="D130:E130"/>
    <mergeCell ref="F130:G130"/>
    <mergeCell ref="M130:O130"/>
    <mergeCell ref="M131:O131"/>
    <mergeCell ref="A132:B132"/>
    <mergeCell ref="E132:F132"/>
    <mergeCell ref="I132:J132"/>
    <mergeCell ref="P153:P157"/>
    <mergeCell ref="B154:B157"/>
    <mergeCell ref="D154:D156"/>
    <mergeCell ref="E154:E156"/>
    <mergeCell ref="G154:G157"/>
    <mergeCell ref="H154:H155"/>
    <mergeCell ref="I154:I155"/>
    <mergeCell ref="J154:J155"/>
    <mergeCell ref="K154:K155"/>
    <mergeCell ref="L154:L155"/>
    <mergeCell ref="M154:M155"/>
    <mergeCell ref="N154:N155"/>
    <mergeCell ref="O154:O156"/>
    <mergeCell ref="F155:F157"/>
    <mergeCell ref="A141:C141"/>
    <mergeCell ref="D141:I141"/>
    <mergeCell ref="J141:K141"/>
    <mergeCell ref="A142:C142"/>
    <mergeCell ref="D142:I142"/>
    <mergeCell ref="J142:K142"/>
    <mergeCell ref="F143:G143"/>
    <mergeCell ref="H143:I143"/>
    <mergeCell ref="B145:C145"/>
    <mergeCell ref="K145:L145"/>
    <mergeCell ref="B147:C147"/>
    <mergeCell ref="K147:L147"/>
    <mergeCell ref="B148:C148"/>
    <mergeCell ref="K148:L148"/>
    <mergeCell ref="B149:C149"/>
    <mergeCell ref="K149:L149"/>
    <mergeCell ref="M175:O175"/>
    <mergeCell ref="A176:B176"/>
    <mergeCell ref="E176:F176"/>
    <mergeCell ref="I176:J176"/>
    <mergeCell ref="A177:C177"/>
    <mergeCell ref="D177:N177"/>
    <mergeCell ref="A178:C178"/>
    <mergeCell ref="D178:N178"/>
    <mergeCell ref="A179:C179"/>
    <mergeCell ref="D179:J179"/>
    <mergeCell ref="K179:M179"/>
    <mergeCell ref="B150:C150"/>
    <mergeCell ref="E150:F150"/>
    <mergeCell ref="K150:L150"/>
    <mergeCell ref="A153:A157"/>
    <mergeCell ref="B153:G153"/>
    <mergeCell ref="H153:N153"/>
    <mergeCell ref="H170:N170"/>
    <mergeCell ref="A172:C172"/>
    <mergeCell ref="D172:E172"/>
    <mergeCell ref="M172:O172"/>
    <mergeCell ref="A173:C173"/>
    <mergeCell ref="M173:O173"/>
    <mergeCell ref="A174:C174"/>
    <mergeCell ref="D174:E174"/>
    <mergeCell ref="F174:G174"/>
    <mergeCell ref="M174:O174"/>
    <mergeCell ref="D180:J180"/>
    <mergeCell ref="A181:J181"/>
    <mergeCell ref="J182:K182"/>
    <mergeCell ref="A183:C183"/>
    <mergeCell ref="D183:I183"/>
    <mergeCell ref="J183:K183"/>
    <mergeCell ref="A184:C184"/>
    <mergeCell ref="D184:I184"/>
    <mergeCell ref="J184:K184"/>
    <mergeCell ref="A186:C186"/>
    <mergeCell ref="A185:C185"/>
    <mergeCell ref="D185:I185"/>
    <mergeCell ref="J185:K185"/>
    <mergeCell ref="D186:I186"/>
    <mergeCell ref="J186:K186"/>
    <mergeCell ref="D187:E187"/>
    <mergeCell ref="F187:G187"/>
    <mergeCell ref="H187:I187"/>
    <mergeCell ref="B189:C189"/>
    <mergeCell ref="K189:L189"/>
    <mergeCell ref="B190:C190"/>
    <mergeCell ref="A221:C221"/>
    <mergeCell ref="D221:N221"/>
    <mergeCell ref="A222:C222"/>
    <mergeCell ref="D222:N222"/>
    <mergeCell ref="D223:J223"/>
    <mergeCell ref="K223:M223"/>
    <mergeCell ref="K191:L191"/>
    <mergeCell ref="B192:C192"/>
    <mergeCell ref="K192:L192"/>
    <mergeCell ref="B193:C193"/>
    <mergeCell ref="K193:L193"/>
    <mergeCell ref="B194:C194"/>
    <mergeCell ref="E194:F194"/>
    <mergeCell ref="K194:L194"/>
    <mergeCell ref="A197:A201"/>
    <mergeCell ref="B197:G197"/>
    <mergeCell ref="H197:N197"/>
    <mergeCell ref="H214:N214"/>
    <mergeCell ref="A216:C216"/>
    <mergeCell ref="D216:E216"/>
    <mergeCell ref="M216:O216"/>
    <mergeCell ref="P197:P201"/>
    <mergeCell ref="B198:B201"/>
    <mergeCell ref="D198:D200"/>
    <mergeCell ref="E198:E200"/>
    <mergeCell ref="G198:G201"/>
    <mergeCell ref="H198:H199"/>
    <mergeCell ref="I198:I199"/>
    <mergeCell ref="J198:J199"/>
    <mergeCell ref="K198:K199"/>
    <mergeCell ref="L198:L199"/>
    <mergeCell ref="M198:M199"/>
    <mergeCell ref="N198:N199"/>
    <mergeCell ref="O198:O200"/>
    <mergeCell ref="F199:F201"/>
    <mergeCell ref="J271:K271"/>
    <mergeCell ref="A272:C272"/>
    <mergeCell ref="D272:I272"/>
    <mergeCell ref="J272:K272"/>
    <mergeCell ref="A273:C273"/>
    <mergeCell ref="D273:I273"/>
    <mergeCell ref="J273:K273"/>
    <mergeCell ref="P241:P245"/>
    <mergeCell ref="B242:B245"/>
    <mergeCell ref="D242:D244"/>
    <mergeCell ref="E242:E244"/>
    <mergeCell ref="G242:G245"/>
    <mergeCell ref="H242:H243"/>
    <mergeCell ref="I242:I243"/>
    <mergeCell ref="J242:J243"/>
    <mergeCell ref="K242:K243"/>
    <mergeCell ref="L242:L243"/>
    <mergeCell ref="M242:M243"/>
    <mergeCell ref="N242:N243"/>
    <mergeCell ref="O242:O244"/>
    <mergeCell ref="F243:F245"/>
    <mergeCell ref="A260:C260"/>
    <mergeCell ref="A261:C261"/>
    <mergeCell ref="A262:C262"/>
    <mergeCell ref="D268:J268"/>
    <mergeCell ref="A269:J269"/>
    <mergeCell ref="B279:C279"/>
    <mergeCell ref="K279:L279"/>
    <mergeCell ref="B280:C280"/>
    <mergeCell ref="K280:L280"/>
    <mergeCell ref="B281:C281"/>
    <mergeCell ref="K281:L281"/>
    <mergeCell ref="B282:C282"/>
    <mergeCell ref="E282:F282"/>
    <mergeCell ref="K282:L282"/>
    <mergeCell ref="A274:C274"/>
    <mergeCell ref="D274:I274"/>
    <mergeCell ref="J274:K274"/>
    <mergeCell ref="D275:E275"/>
    <mergeCell ref="F275:G275"/>
    <mergeCell ref="H275:I275"/>
    <mergeCell ref="B277:C277"/>
    <mergeCell ref="K277:L277"/>
    <mergeCell ref="B278:C278"/>
    <mergeCell ref="K278:L278"/>
    <mergeCell ref="J270:K270"/>
    <mergeCell ref="A271:C271"/>
    <mergeCell ref="D271:I271"/>
    <mergeCell ref="H302:N302"/>
    <mergeCell ref="A304:C304"/>
    <mergeCell ref="D304:E304"/>
    <mergeCell ref="M304:O304"/>
    <mergeCell ref="A305:C305"/>
    <mergeCell ref="M305:O305"/>
    <mergeCell ref="A306:C306"/>
    <mergeCell ref="D306:E306"/>
    <mergeCell ref="F306:G306"/>
    <mergeCell ref="M306:O306"/>
    <mergeCell ref="A285:A289"/>
    <mergeCell ref="B285:G285"/>
    <mergeCell ref="H285:N285"/>
    <mergeCell ref="P285:P289"/>
    <mergeCell ref="B286:B289"/>
    <mergeCell ref="D286:D288"/>
    <mergeCell ref="E286:E288"/>
    <mergeCell ref="G286:G289"/>
    <mergeCell ref="H286:H287"/>
    <mergeCell ref="I286:I287"/>
    <mergeCell ref="J286:J287"/>
    <mergeCell ref="K286:K287"/>
    <mergeCell ref="L286:L287"/>
    <mergeCell ref="M286:M287"/>
    <mergeCell ref="N286:N287"/>
    <mergeCell ref="O286:O288"/>
    <mergeCell ref="F287:F289"/>
    <mergeCell ref="A312:C312"/>
    <mergeCell ref="D312:J312"/>
    <mergeCell ref="A313:J313"/>
    <mergeCell ref="J314:K314"/>
    <mergeCell ref="A315:C315"/>
    <mergeCell ref="D315:I315"/>
    <mergeCell ref="J315:K315"/>
    <mergeCell ref="A316:C316"/>
    <mergeCell ref="D316:I316"/>
    <mergeCell ref="J316:K316"/>
    <mergeCell ref="M307:O307"/>
    <mergeCell ref="A308:B308"/>
    <mergeCell ref="E308:F308"/>
    <mergeCell ref="I308:J308"/>
    <mergeCell ref="A309:C309"/>
    <mergeCell ref="D309:N309"/>
    <mergeCell ref="A310:C310"/>
    <mergeCell ref="D310:N310"/>
    <mergeCell ref="A311:C311"/>
    <mergeCell ref="D311:J311"/>
    <mergeCell ref="K311:M311"/>
    <mergeCell ref="B321:C321"/>
    <mergeCell ref="K321:L321"/>
    <mergeCell ref="B322:C322"/>
    <mergeCell ref="K322:L322"/>
    <mergeCell ref="B323:C323"/>
    <mergeCell ref="K323:L323"/>
    <mergeCell ref="B324:C324"/>
    <mergeCell ref="K324:L324"/>
    <mergeCell ref="B325:C325"/>
    <mergeCell ref="K325:L325"/>
    <mergeCell ref="A317:C317"/>
    <mergeCell ref="D317:I317"/>
    <mergeCell ref="J317:K317"/>
    <mergeCell ref="A318:C318"/>
    <mergeCell ref="D318:I318"/>
    <mergeCell ref="J318:K318"/>
    <mergeCell ref="D319:E319"/>
    <mergeCell ref="F319:G319"/>
    <mergeCell ref="H319:I319"/>
    <mergeCell ref="P329:P333"/>
    <mergeCell ref="B330:B333"/>
    <mergeCell ref="D330:D332"/>
    <mergeCell ref="E330:E332"/>
    <mergeCell ref="G330:G333"/>
    <mergeCell ref="H330:H331"/>
    <mergeCell ref="I330:I331"/>
    <mergeCell ref="J330:J331"/>
    <mergeCell ref="K330:K331"/>
    <mergeCell ref="L330:L331"/>
    <mergeCell ref="M330:M331"/>
    <mergeCell ref="N330:N331"/>
    <mergeCell ref="O330:O332"/>
    <mergeCell ref="F331:F333"/>
    <mergeCell ref="M351:O351"/>
    <mergeCell ref="A352:B352"/>
    <mergeCell ref="E352:F352"/>
    <mergeCell ref="I352:J352"/>
    <mergeCell ref="B326:C326"/>
    <mergeCell ref="E326:F326"/>
    <mergeCell ref="K326:L326"/>
    <mergeCell ref="A329:A333"/>
    <mergeCell ref="B329:G329"/>
    <mergeCell ref="H329:N329"/>
    <mergeCell ref="H346:N346"/>
    <mergeCell ref="A348:C348"/>
    <mergeCell ref="D348:E348"/>
    <mergeCell ref="M348:O348"/>
    <mergeCell ref="A349:C349"/>
    <mergeCell ref="M349:O349"/>
    <mergeCell ref="A350:C350"/>
    <mergeCell ref="D350:E350"/>
    <mergeCell ref="F350:G350"/>
    <mergeCell ref="M350:O350"/>
  </mergeCells>
  <dataValidations count="1">
    <dataValidation type="list" allowBlank="1" showInputMessage="1" showErrorMessage="1" sqref="B19 E19 B283 E283 B63 E63 B107 E107 B151 E151 B195 E195 B239 E239 B327 E327">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Hilfstätigkeiten&amp;R&amp;G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A279:A281 A59:A61 A103:A105 A147:A149 A191:A193 A235:A237 A323:A325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264"/>
  <sheetViews>
    <sheetView showGridLines="0" view="pageLayout" zoomScaleNormal="100" workbookViewId="0">
      <selection activeCell="D7" sqref="D7:I7"/>
    </sheetView>
  </sheetViews>
  <sheetFormatPr baseColWidth="10" defaultRowHeight="14.25" x14ac:dyDescent="0.2"/>
  <cols>
    <col min="1" max="1" width="10.140625" style="20" customWidth="1"/>
    <col min="2" max="2" width="12.140625" style="20" customWidth="1"/>
    <col min="3" max="3" width="11.42578125" style="20"/>
    <col min="4" max="4" width="10.42578125" style="20" customWidth="1"/>
    <col min="5" max="5" width="10.85546875" style="20" customWidth="1"/>
    <col min="6" max="6" width="10.7109375" style="20" customWidth="1"/>
    <col min="7" max="7" width="11" style="20" customWidth="1"/>
    <col min="8" max="8" width="11.28515625" style="20" customWidth="1"/>
    <col min="9" max="9" width="11.5703125" style="20" customWidth="1"/>
    <col min="10" max="13" width="11.42578125" style="20"/>
    <col min="14" max="14" width="11" style="20" customWidth="1"/>
    <col min="15" max="15" width="11.5703125" style="16" customWidth="1"/>
    <col min="16" max="16" width="9.85546875" style="20" customWidth="1"/>
    <col min="17" max="16384" width="11.42578125" style="20"/>
  </cols>
  <sheetData>
    <row r="1" spans="1:16" s="12" customFormat="1" ht="13.5" customHeight="1" x14ac:dyDescent="0.2">
      <c r="A1" s="1178" t="s">
        <v>18</v>
      </c>
      <c r="B1" s="1178"/>
      <c r="C1" s="1178"/>
      <c r="D1" s="1179" t="str">
        <f>IF('päd.Personal - Leitung'!D1="","",'päd.Personal - Leitung'!D1)</f>
        <v/>
      </c>
      <c r="E1" s="1179"/>
      <c r="F1" s="1179"/>
      <c r="G1" s="1179"/>
      <c r="H1" s="1179"/>
      <c r="I1" s="1179"/>
      <c r="J1" s="1179"/>
      <c r="K1" s="1179"/>
      <c r="L1" s="1179"/>
      <c r="M1" s="1179"/>
      <c r="N1" s="1179"/>
    </row>
    <row r="2" spans="1:16" s="12" customFormat="1" ht="15" customHeight="1" x14ac:dyDescent="0.2">
      <c r="A2" s="1178" t="s">
        <v>17</v>
      </c>
      <c r="B2" s="1178"/>
      <c r="C2" s="1178" t="s">
        <v>15</v>
      </c>
      <c r="D2" s="1179" t="str">
        <f>IF('päd.Personal - Leitung'!D2="","",'päd.Personal - Leitung'!D2)</f>
        <v/>
      </c>
      <c r="E2" s="1179"/>
      <c r="F2" s="1179"/>
      <c r="G2" s="1179"/>
      <c r="H2" s="1179"/>
      <c r="I2" s="1179"/>
      <c r="J2" s="1179"/>
      <c r="K2" s="1179"/>
      <c r="L2" s="1179"/>
      <c r="M2" s="1179"/>
      <c r="N2" s="1179"/>
    </row>
    <row r="3" spans="1:16" s="12" customFormat="1" ht="15" customHeight="1" x14ac:dyDescent="0.2">
      <c r="A3" s="1178" t="s">
        <v>16</v>
      </c>
      <c r="B3" s="1178"/>
      <c r="C3" s="1178" t="s">
        <v>15</v>
      </c>
      <c r="D3" s="1179" t="str">
        <f>IF('päd.Personal - Leitung'!D3="","",'päd.Personal - Leitung'!D3)</f>
        <v/>
      </c>
      <c r="E3" s="1179"/>
      <c r="F3" s="1179"/>
      <c r="G3" s="1179"/>
      <c r="H3" s="1179"/>
      <c r="I3" s="1179"/>
      <c r="J3" s="1179"/>
      <c r="K3" s="1178" t="s">
        <v>103</v>
      </c>
      <c r="L3" s="1178"/>
      <c r="M3" s="1178"/>
      <c r="N3" s="41" t="str">
        <f>IF('päd.Personal - Leitung'!N3="","",'päd.Personal - Leitung'!N3)</f>
        <v/>
      </c>
    </row>
    <row r="4" spans="1:16" s="13" customFormat="1" ht="11.25" x14ac:dyDescent="0.2">
      <c r="A4" s="1182"/>
      <c r="B4" s="1182"/>
      <c r="C4" s="1182"/>
      <c r="D4" s="1183"/>
      <c r="E4" s="1183"/>
      <c r="F4" s="1183"/>
      <c r="G4" s="1183"/>
      <c r="H4" s="1183"/>
      <c r="I4" s="1183"/>
      <c r="J4" s="1183"/>
      <c r="K4" s="11"/>
      <c r="L4" s="11"/>
      <c r="M4" s="11"/>
      <c r="N4" s="11"/>
      <c r="O4" s="11"/>
      <c r="P4" s="11"/>
    </row>
    <row r="5" spans="1:16" x14ac:dyDescent="0.2">
      <c r="A5" s="1177" t="s">
        <v>181</v>
      </c>
      <c r="B5" s="1177"/>
      <c r="C5" s="1177"/>
      <c r="D5" s="1177"/>
      <c r="E5" s="1177"/>
      <c r="F5" s="1177"/>
      <c r="G5" s="1177"/>
      <c r="H5" s="1177"/>
      <c r="I5" s="1177"/>
      <c r="J5" s="1177"/>
      <c r="K5" s="1177"/>
      <c r="L5" s="1177"/>
      <c r="M5" s="1177"/>
      <c r="N5" s="59" t="s">
        <v>154</v>
      </c>
      <c r="O5" s="191">
        <f>'päd.Personal - Leitung'!$O$5</f>
        <v>2022</v>
      </c>
      <c r="P5" s="59" t="s">
        <v>154</v>
      </c>
    </row>
    <row r="6" spans="1:16" s="10" customFormat="1" ht="13.5" customHeight="1" x14ac:dyDescent="0.25">
      <c r="B6" s="32"/>
      <c r="C6" s="32"/>
      <c r="D6" s="5" t="s">
        <v>179</v>
      </c>
      <c r="E6" s="31"/>
      <c r="F6" s="31"/>
      <c r="G6" s="31"/>
      <c r="H6" s="31"/>
      <c r="I6" s="26"/>
      <c r="J6" s="1174" t="s">
        <v>14</v>
      </c>
      <c r="K6" s="1174"/>
      <c r="L6" s="180"/>
      <c r="N6" s="84">
        <f>IF(L8="","",L8)</f>
        <v>0</v>
      </c>
      <c r="O6" s="58" t="str">
        <f>'päd.Personal - Leitung'!$O$6</f>
        <v>Jan                Jul</v>
      </c>
      <c r="P6" s="85">
        <f>IF(N11="","",N11)</f>
        <v>0</v>
      </c>
    </row>
    <row r="7" spans="1:16" s="7" customFormat="1" ht="13.5" customHeight="1" x14ac:dyDescent="0.25">
      <c r="A7" s="1180" t="s">
        <v>71</v>
      </c>
      <c r="B7" s="1180"/>
      <c r="C7" s="1180"/>
      <c r="D7" s="1184"/>
      <c r="E7" s="1184"/>
      <c r="F7" s="1184"/>
      <c r="G7" s="1184"/>
      <c r="H7" s="1184"/>
      <c r="I7" s="1184"/>
      <c r="J7" s="1174" t="s">
        <v>104</v>
      </c>
      <c r="K7" s="1174"/>
      <c r="L7" s="145"/>
      <c r="N7" s="85">
        <f>IF(N6="","",N6)</f>
        <v>0</v>
      </c>
      <c r="O7" s="58" t="str">
        <f>'päd.Personal - Leitung'!$O$7</f>
        <v>Feb              Aug</v>
      </c>
      <c r="P7" s="85">
        <f>IF(P6="","",P6)</f>
        <v>0</v>
      </c>
    </row>
    <row r="8" spans="1:16" s="1" customFormat="1" ht="13.5" customHeight="1" x14ac:dyDescent="0.2">
      <c r="A8" s="1180" t="s">
        <v>13</v>
      </c>
      <c r="B8" s="1180"/>
      <c r="C8" s="1180"/>
      <c r="D8" s="1181"/>
      <c r="E8" s="1181"/>
      <c r="F8" s="1181"/>
      <c r="G8" s="1181"/>
      <c r="H8" s="1181"/>
      <c r="I8" s="1181"/>
      <c r="J8" s="1174" t="s">
        <v>164</v>
      </c>
      <c r="K8" s="1174"/>
      <c r="L8" s="145">
        <f>IF((L9+L10)&gt;L7,0,L7-L9-L10)</f>
        <v>0</v>
      </c>
      <c r="N8" s="85">
        <f>IF(N7="","",N7)</f>
        <v>0</v>
      </c>
      <c r="O8" s="58" t="str">
        <f>'päd.Personal - Leitung'!$O$8</f>
        <v>Mrz              Sep</v>
      </c>
      <c r="P8" s="85">
        <f>IF(P7="","",P7)</f>
        <v>0</v>
      </c>
    </row>
    <row r="9" spans="1:16" s="1" customFormat="1" ht="13.5" customHeight="1" x14ac:dyDescent="0.2">
      <c r="A9" s="1180" t="s">
        <v>12</v>
      </c>
      <c r="B9" s="1180"/>
      <c r="C9" s="1180"/>
      <c r="D9" s="1181"/>
      <c r="E9" s="1181"/>
      <c r="F9" s="1181"/>
      <c r="G9" s="1181"/>
      <c r="H9" s="1181"/>
      <c r="I9" s="1181"/>
      <c r="J9" s="1174" t="s">
        <v>165</v>
      </c>
      <c r="K9" s="1174"/>
      <c r="L9" s="145"/>
      <c r="N9" s="85">
        <f>IF(N8="","",N8)</f>
        <v>0</v>
      </c>
      <c r="O9" s="58" t="str">
        <f>'päd.Personal - Leitung'!$O$9</f>
        <v>Apr               Okt</v>
      </c>
      <c r="P9" s="85">
        <f t="shared" ref="P9:P11" si="0">IF(P8="","",P8)</f>
        <v>0</v>
      </c>
    </row>
    <row r="10" spans="1:16" s="1" customFormat="1" ht="13.5" customHeight="1" x14ac:dyDescent="0.2">
      <c r="A10" s="1180" t="s">
        <v>19</v>
      </c>
      <c r="B10" s="1180"/>
      <c r="C10" s="1180"/>
      <c r="D10" s="1181"/>
      <c r="E10" s="1181"/>
      <c r="F10" s="1181"/>
      <c r="G10" s="1181"/>
      <c r="H10" s="1181"/>
      <c r="I10" s="1181"/>
      <c r="J10" s="1174" t="s">
        <v>252</v>
      </c>
      <c r="K10" s="1174"/>
      <c r="L10" s="145"/>
      <c r="M10" s="92"/>
      <c r="N10" s="85">
        <f>IF(N9="","",N9)</f>
        <v>0</v>
      </c>
      <c r="O10" s="58" t="str">
        <f>'päd.Personal - Leitung'!$O$10</f>
        <v>Mai               Nov</v>
      </c>
      <c r="P10" s="85">
        <f t="shared" si="0"/>
        <v>0</v>
      </c>
    </row>
    <row r="11" spans="1:16" s="1" customFormat="1" ht="13.5" customHeight="1" x14ac:dyDescent="0.2">
      <c r="B11" s="8"/>
      <c r="C11" s="132" t="s">
        <v>162</v>
      </c>
      <c r="D11" s="1175"/>
      <c r="E11" s="1175"/>
      <c r="F11" s="1176" t="s">
        <v>110</v>
      </c>
      <c r="G11" s="1176"/>
      <c r="H11" s="1186"/>
      <c r="I11" s="1186"/>
      <c r="J11" s="1174" t="s">
        <v>97</v>
      </c>
      <c r="K11" s="1174"/>
      <c r="L11" s="17" t="str">
        <f>IF(IF((COUNTIF(B26:B37,"&gt;0"))=0,0,(COUNTIF(B26:B37,"&gt;0")))&gt;Grundlagen!$C$24,Grundlagen!$C$24,IF((COUNTIF(B26:B37,"&gt;0"))=0,"",(COUNTIF(B26:B37,"&gt;0"))))</f>
        <v/>
      </c>
      <c r="N11" s="85">
        <f>IF(N10="","",N10)</f>
        <v>0</v>
      </c>
      <c r="O11" s="58" t="str">
        <f>'päd.Personal - Leitung'!$O$11</f>
        <v>Jun               Dez</v>
      </c>
      <c r="P11" s="85">
        <f t="shared" si="0"/>
        <v>0</v>
      </c>
    </row>
    <row r="12" spans="1:16" s="1" customFormat="1" ht="13.5" customHeight="1" x14ac:dyDescent="0.2">
      <c r="F12" s="1176" t="s">
        <v>180</v>
      </c>
      <c r="G12" s="1176"/>
      <c r="H12" s="1186"/>
      <c r="I12" s="1186"/>
      <c r="L12" s="147" t="str">
        <f>IF((SUM(F14:F17))=0,"",IF(P12&gt;L8,L8,IF(L8="","",IF(L11="","",P12))))</f>
        <v/>
      </c>
      <c r="O12" s="174" t="s">
        <v>251</v>
      </c>
      <c r="P12" s="175">
        <f>IF(L11="",0,((IF(SUMIF(B26,"&gt;0"),N6,0))+(IF(SUMIF(B27,"&gt;0"),N7,0))+(IF(SUMIF(B28,"&gt;0"),N8,0))+(IF(SUMIF(B29,"&gt;0"),N9,0))+(IF(SUMIF(B30,"&gt;0"),N10,0))+(IF(SUMIF(B31,"&gt;0"),N11,0))+(IF(SUMIF(B32,"&gt;0"),P6,0))+(IF(SUMIF(B33,"&gt;0"),P7,0))+(IF(SUMIF(B34,"&gt;0"),P8,0))+(IF(SUMIF(B35,"&gt;0"),P9,0))+(IF(SUMIF(B36,"&gt;0"),P10,0))+(IF(SUMIF(B37,"&gt;0"),P11,0)))/Grundlagen!$C$24)</f>
        <v>0</v>
      </c>
    </row>
    <row r="13" spans="1:16" s="52" customFormat="1" ht="13.5" customHeight="1" x14ac:dyDescent="0.2">
      <c r="A13" s="61" t="s">
        <v>148</v>
      </c>
      <c r="B13" s="1168" t="s">
        <v>149</v>
      </c>
      <c r="C13" s="1168"/>
      <c r="D13" s="62" t="s">
        <v>150</v>
      </c>
      <c r="E13" s="63" t="s">
        <v>151</v>
      </c>
      <c r="F13" s="64" t="str">
        <f>CONCATENATE("Entg. ",N3," h/Wo")</f>
        <v>Entg.  h/Wo</v>
      </c>
      <c r="G13" s="65" t="s">
        <v>152</v>
      </c>
      <c r="H13" s="65" t="s">
        <v>153</v>
      </c>
      <c r="K13" s="1169" t="str">
        <f>CONCATENATE("Zuschläge / Zulagen für ",N3,"h/Wo")</f>
        <v>Zuschläge / Zulagen für h/Wo</v>
      </c>
      <c r="L13" s="1169"/>
      <c r="M13" s="66" t="str">
        <f>IF(A14="","",A14)</f>
        <v>Jan 2022</v>
      </c>
      <c r="N13" s="66" t="str">
        <f>IF(A15="","",A15)</f>
        <v/>
      </c>
      <c r="O13" s="66" t="str">
        <f>IF(A16="","",A16)</f>
        <v/>
      </c>
      <c r="P13" s="66" t="str">
        <f>IF(A17="","",A17)</f>
        <v/>
      </c>
    </row>
    <row r="14" spans="1:16" s="52" customFormat="1" ht="13.5" customHeight="1" x14ac:dyDescent="0.25">
      <c r="A14" s="54" t="str">
        <f>A26</f>
        <v>Jan 2022</v>
      </c>
      <c r="B14" s="1170" t="str">
        <f>IF($D$3="","",$D$3)</f>
        <v/>
      </c>
      <c r="C14" s="1171"/>
      <c r="D14" s="181"/>
      <c r="E14" s="181"/>
      <c r="F14" s="87"/>
      <c r="G14" s="56">
        <f>IF(N3="",0,F14/N3/4.348)</f>
        <v>0</v>
      </c>
      <c r="H14" s="53">
        <f>IF(G14=0,0,M19)</f>
        <v>0</v>
      </c>
      <c r="K14" s="1146"/>
      <c r="L14" s="1146"/>
      <c r="M14" s="86"/>
      <c r="N14" s="86"/>
      <c r="O14" s="86"/>
      <c r="P14" s="86"/>
    </row>
    <row r="15" spans="1:16" s="52" customFormat="1" ht="13.5" customHeight="1" x14ac:dyDescent="0.25">
      <c r="A15" s="55"/>
      <c r="B15" s="1172" t="str">
        <f>IF(A15="","",B14)</f>
        <v/>
      </c>
      <c r="C15" s="1173"/>
      <c r="D15" s="181"/>
      <c r="E15" s="181"/>
      <c r="F15" s="87"/>
      <c r="G15" s="56">
        <f>IF(N3="",0,F15/N3/4.348)</f>
        <v>0</v>
      </c>
      <c r="H15" s="53">
        <f>IF(G15=0,0,N19)</f>
        <v>0</v>
      </c>
      <c r="K15" s="1146"/>
      <c r="L15" s="1146"/>
      <c r="M15" s="86"/>
      <c r="N15" s="86"/>
      <c r="O15" s="86"/>
      <c r="P15" s="86"/>
    </row>
    <row r="16" spans="1:16" s="52" customFormat="1" ht="13.5" customHeight="1" x14ac:dyDescent="0.25">
      <c r="A16" s="55"/>
      <c r="B16" s="1172" t="str">
        <f>IF(A16="","",B15)</f>
        <v/>
      </c>
      <c r="C16" s="1173"/>
      <c r="D16" s="181"/>
      <c r="E16" s="181"/>
      <c r="F16" s="87"/>
      <c r="G16" s="56">
        <f>IF(N3="",0,F16/N3/4.348)</f>
        <v>0</v>
      </c>
      <c r="H16" s="53">
        <f>IF(G16=0,0,O19)</f>
        <v>0</v>
      </c>
      <c r="K16" s="1146"/>
      <c r="L16" s="1146"/>
      <c r="M16" s="86"/>
      <c r="N16" s="86"/>
      <c r="O16" s="86"/>
      <c r="P16" s="86"/>
    </row>
    <row r="17" spans="1:16" s="52" customFormat="1" ht="13.5" customHeight="1" x14ac:dyDescent="0.25">
      <c r="A17" s="55"/>
      <c r="B17" s="1172" t="str">
        <f>IF(A17="","",B16)</f>
        <v/>
      </c>
      <c r="C17" s="1173"/>
      <c r="D17" s="181"/>
      <c r="E17" s="181"/>
      <c r="F17" s="87"/>
      <c r="G17" s="56">
        <f>IF(N3="",0,F17/N3/4.348)</f>
        <v>0</v>
      </c>
      <c r="H17" s="53">
        <f>IF(G17=0,0,P19)</f>
        <v>0</v>
      </c>
      <c r="K17" s="1146"/>
      <c r="L17" s="1146"/>
      <c r="M17" s="86"/>
      <c r="N17" s="86"/>
      <c r="O17" s="86"/>
      <c r="P17" s="86"/>
    </row>
    <row r="18" spans="1:16" s="52" customFormat="1" ht="13.5" customHeight="1" x14ac:dyDescent="0.25">
      <c r="B18" s="1167" t="s">
        <v>157</v>
      </c>
      <c r="C18" s="1167"/>
      <c r="E18" s="1167" t="s">
        <v>156</v>
      </c>
      <c r="F18" s="1167"/>
      <c r="J18" s="69"/>
      <c r="K18" s="1146"/>
      <c r="L18" s="1146"/>
      <c r="M18" s="86"/>
      <c r="N18" s="86"/>
      <c r="O18" s="86"/>
      <c r="P18" s="86"/>
    </row>
    <row r="19" spans="1:16" s="52" customFormat="1" ht="13.5" customHeight="1" x14ac:dyDescent="0.25">
      <c r="A19" s="70" t="s">
        <v>167</v>
      </c>
      <c r="B19" s="67"/>
      <c r="C19" s="99"/>
      <c r="D19" s="70" t="s">
        <v>167</v>
      </c>
      <c r="E19" s="67"/>
      <c r="F19" s="99"/>
      <c r="J19" s="68"/>
      <c r="M19" s="57">
        <f>SUM(M14:M18)</f>
        <v>0</v>
      </c>
      <c r="N19" s="57">
        <f t="shared" ref="N19:P19" si="1">SUM(N14:N18)</f>
        <v>0</v>
      </c>
      <c r="O19" s="57">
        <f t="shared" si="1"/>
        <v>0</v>
      </c>
      <c r="P19" s="57">
        <f t="shared" si="1"/>
        <v>0</v>
      </c>
    </row>
    <row r="20" spans="1:16" s="52" customFormat="1" ht="13.5" customHeight="1" x14ac:dyDescent="0.2">
      <c r="A20" s="60" t="s">
        <v>155</v>
      </c>
    </row>
    <row r="21" spans="1:16" ht="14.25" customHeight="1" x14ac:dyDescent="0.2">
      <c r="A21" s="1147"/>
      <c r="B21" s="1149" t="s">
        <v>9</v>
      </c>
      <c r="C21" s="1150"/>
      <c r="D21" s="1150"/>
      <c r="E21" s="1150"/>
      <c r="F21" s="1150"/>
      <c r="G21" s="1151"/>
      <c r="H21" s="1152" t="s">
        <v>119</v>
      </c>
      <c r="I21" s="1153"/>
      <c r="J21" s="1153"/>
      <c r="K21" s="1153"/>
      <c r="L21" s="1153"/>
      <c r="M21" s="1153"/>
      <c r="N21" s="1195" t="s">
        <v>112</v>
      </c>
      <c r="O21" s="33"/>
      <c r="P21" s="1154" t="s">
        <v>0</v>
      </c>
    </row>
    <row r="22" spans="1:16" ht="14.25" customHeight="1" x14ac:dyDescent="0.2">
      <c r="A22" s="1148"/>
      <c r="B22" s="1157" t="s">
        <v>117</v>
      </c>
      <c r="C22" s="130" t="s">
        <v>115</v>
      </c>
      <c r="D22" s="1159" t="s">
        <v>277</v>
      </c>
      <c r="E22" s="1161" t="s">
        <v>147</v>
      </c>
      <c r="F22" s="134" t="s">
        <v>7</v>
      </c>
      <c r="G22" s="1162" t="s">
        <v>6</v>
      </c>
      <c r="H22" s="1161" t="s">
        <v>129</v>
      </c>
      <c r="I22" s="1161" t="s">
        <v>111</v>
      </c>
      <c r="J22" s="1161" t="s">
        <v>5</v>
      </c>
      <c r="K22" s="1161" t="s">
        <v>4</v>
      </c>
      <c r="L22" s="1161" t="s">
        <v>3</v>
      </c>
      <c r="M22" s="1161" t="s">
        <v>98</v>
      </c>
      <c r="N22" s="1196"/>
      <c r="O22" s="1160" t="s">
        <v>114</v>
      </c>
      <c r="P22" s="1155"/>
    </row>
    <row r="23" spans="1:16" ht="14.25" customHeight="1" x14ac:dyDescent="0.2">
      <c r="A23" s="1148"/>
      <c r="B23" s="1157"/>
      <c r="C23" s="21" t="str">
        <f>IF(C19="","",C19)</f>
        <v/>
      </c>
      <c r="D23" s="1160"/>
      <c r="E23" s="1161"/>
      <c r="F23" s="1165" t="str">
        <f>IF(H14=0,"","siehe Zuschläge / Zulagen")</f>
        <v/>
      </c>
      <c r="G23" s="1162"/>
      <c r="H23" s="1164" t="s">
        <v>127</v>
      </c>
      <c r="I23" s="1161"/>
      <c r="J23" s="1164"/>
      <c r="K23" s="1164"/>
      <c r="L23" s="1164"/>
      <c r="M23" s="1161"/>
      <c r="N23" s="1196"/>
      <c r="O23" s="1160"/>
      <c r="P23" s="1155"/>
    </row>
    <row r="24" spans="1:16" x14ac:dyDescent="0.2">
      <c r="A24" s="1148"/>
      <c r="B24" s="1157"/>
      <c r="C24" s="128" t="s">
        <v>70</v>
      </c>
      <c r="D24" s="1160"/>
      <c r="E24" s="1161"/>
      <c r="F24" s="1165"/>
      <c r="G24" s="1162"/>
      <c r="H24" s="43" t="s">
        <v>128</v>
      </c>
      <c r="I24" s="1161"/>
      <c r="J24" s="43" t="s">
        <v>255</v>
      </c>
      <c r="K24" s="43" t="s">
        <v>256</v>
      </c>
      <c r="L24" s="43" t="s">
        <v>257</v>
      </c>
      <c r="M24" s="1161"/>
      <c r="N24" s="1196"/>
      <c r="O24" s="1160"/>
      <c r="P24" s="1155"/>
    </row>
    <row r="25" spans="1:16" x14ac:dyDescent="0.2">
      <c r="A25" s="1148"/>
      <c r="B25" s="1158"/>
      <c r="C25" s="21" t="str">
        <f>IF(F19="","",F19)</f>
        <v/>
      </c>
      <c r="D25" s="51"/>
      <c r="E25" s="51"/>
      <c r="F25" s="1166"/>
      <c r="G25" s="1163"/>
      <c r="H25" s="93"/>
      <c r="I25" s="21"/>
      <c r="J25" s="139">
        <f>'päd.Personal - Leitung'!$I$69</f>
        <v>0</v>
      </c>
      <c r="K25" s="139">
        <f>'päd.Personal - Leitung'!$J$69</f>
        <v>0</v>
      </c>
      <c r="L25" s="44">
        <f>'päd.Personal - Leitung'!$K$69</f>
        <v>0</v>
      </c>
      <c r="M25" s="21"/>
      <c r="N25" s="21"/>
      <c r="O25" s="21">
        <f>'päd.Personal - Leitung'!$O$69</f>
        <v>0</v>
      </c>
      <c r="P25" s="1156"/>
    </row>
    <row r="26" spans="1:16" x14ac:dyDescent="0.2">
      <c r="A26" s="100" t="str">
        <f>'päd.Personal - Leitung'!$A$26</f>
        <v>Jan 2022</v>
      </c>
      <c r="B26" s="24">
        <f>ROUND(IF(N6=0,0,(LOOKUP(2,1/(A14:A17=A26),G14:G17))*N6*4.348*50%),2)</f>
        <v>0</v>
      </c>
      <c r="C26" s="23">
        <f>ROUND(IFERROR(((LOOKUP(2,1/(B19=A26),((SUM(B32:B34)+SUM(F32:F34))/3)*C19))),0)+IFERROR(((LOOKUP(2,1/(E19=A26),(B38+F38)*F19))),0),2)</f>
        <v>0</v>
      </c>
      <c r="D26" s="23">
        <f>ROUND(IF(B26=0,0,D25/L7*N6*50%),2)</f>
        <v>0</v>
      </c>
      <c r="E26" s="23">
        <f>ROUND(IF(B26=0,0,E25/N3*N6*50%),2)</f>
        <v>0</v>
      </c>
      <c r="F26" s="24">
        <f>ROUND(IF(N6=0,0,(LOOKUP(2,1/(A14:A17=A26),H14:H17))/N3*N6*50%),2)</f>
        <v>0</v>
      </c>
      <c r="G26" s="27">
        <f>SUM(B26+C26+E26+F26)</f>
        <v>0</v>
      </c>
      <c r="H26" s="76">
        <f>ROUND(IF((SUM(B26:F26))&gt;L41,L41*H25,SUM(B26:F26)*H25),2)</f>
        <v>0</v>
      </c>
      <c r="I26" s="76">
        <f>ROUND(IF((SUM(B26:F26)*80%)&gt;((L42*1)*90%),((((L42*1)*90%)-((SUM(B26:F26)-C26))*I25)+((SUM(B26:F26)-C26)*I25)*80%),((SUM(B26:F26)-C26)*I25)*80%),2)</f>
        <v>0</v>
      </c>
      <c r="J26" s="76">
        <f>ROUND(IF((SUM(B26:F26))&gt;L42,L42*J25,SUM(B26:F26)*J25),2)</f>
        <v>0</v>
      </c>
      <c r="K26" s="76">
        <f>ROUND(IF((SUM(B26:F26))&gt;L42,L42*K25,SUM(B26:F26)*K25),2)</f>
        <v>0</v>
      </c>
      <c r="L26" s="76">
        <f>ROUND(IF((SUM(B26:F26))&gt;L41,L41*L25,SUM(B26:F26)*L25),2)</f>
        <v>0</v>
      </c>
      <c r="M26" s="76">
        <f>ROUND(IF((SUM(B26:F26))&gt;L42,L42*M25,(SUM(B26:F26)-C26)*M25),2)</f>
        <v>0</v>
      </c>
      <c r="N26" s="23">
        <f>ROUND((B26+E26+F26)*N25,2)</f>
        <v>0</v>
      </c>
      <c r="O26" s="23">
        <f>ROUND(SUM(B26+C26+F26)*O25,2)</f>
        <v>0</v>
      </c>
      <c r="P26" s="27">
        <f>SUM(G26:O26)</f>
        <v>0</v>
      </c>
    </row>
    <row r="27" spans="1:16" x14ac:dyDescent="0.2">
      <c r="A27" s="100" t="str">
        <f>'päd.Personal - Leitung'!$A$27</f>
        <v>Feb 2022</v>
      </c>
      <c r="B27" s="24">
        <f>ROUND(IF(N7=0,0,IFERROR(((LOOKUP(2,1/(A14:A17=A27),G14:G17))*N7*4.348*50%),B26/N7*N7)),2)</f>
        <v>0</v>
      </c>
      <c r="C27" s="23">
        <f>ROUND(IFERROR(((LOOKUP(2,1/(B19=A27),((SUM(B32:B34)+SUM(F32:F34))/3)*C19))),0)+IFERROR(((LOOKUP(2,1/(E19=A27),(B38+F38)*F19))),0),2)</f>
        <v>0</v>
      </c>
      <c r="D27" s="23">
        <f>ROUND(IF(B27=0,0,D25/L7*N7*50%),2)</f>
        <v>0</v>
      </c>
      <c r="E27" s="23">
        <f>ROUND(IF(B27=0,0,E25/N3*N7*50%),2)</f>
        <v>0</v>
      </c>
      <c r="F27" s="24">
        <f>ROUND(IF(N7=0,0,IFERROR(((LOOKUP(2,1/(A14:A17=A27),H14:H17))/N3*N7),F26/N7*N7*50%)),2)</f>
        <v>0</v>
      </c>
      <c r="G27" s="27">
        <f t="shared" ref="G27:G37" si="2">SUM(B27+C27+E27+F27)</f>
        <v>0</v>
      </c>
      <c r="H27" s="76">
        <f>ROUND(IF(SUM(B26:F26)&lt;(L41*1),IF((SUM(B26:F27))&gt;(L41*2),(((L41*2)-(SUM(B26:F27)-C26))*H25)+((SUM(B27:F27)-C26)*H25),SUM(B27:F27)*H25),IF(SUM(B26:F27)&gt;(L41*2),L41*H25,SUM(B27:F27)*H25)),2)</f>
        <v>0</v>
      </c>
      <c r="I27" s="76">
        <f>ROUND(IF((SUM(B26:F27)*80%)&gt;((L42*2)*90%),((((L42*2)*90%)-((SUM(B26:F27)-C27))*I25)+((SUM(B27:F27)-C27)*I25)*80%),((SUM(B27:F27)-C27)*I25)*80%),2)</f>
        <v>0</v>
      </c>
      <c r="J27" s="76">
        <f>ROUND(IF(SUM(B26:F26)&lt;(L42*1),IF((SUM(B26:F27))&gt;(L42*2),(((L42*2)-(SUM(B26:F27)-C26))*J25)+((SUM(B27:F27)-C26)*J25),SUM(B27:F27)*J25),IF(SUM(B26:F27)&gt;(L42*2),L42*J25,SUM(B27:F27)*J25)),2)</f>
        <v>0</v>
      </c>
      <c r="K27" s="76">
        <f>ROUND(IF(SUM(B26:F26)&lt;(L42*1),IF((SUM(B26:F27))&gt;(L42*2),(((L42*2)-(SUM(B26:F27)-C26))*K25)+((SUM(B27:F27)-C26)*K25),SUM(B27:F27)*K25),IF(SUM(B26:F27)&gt;(L42*2),L42*K25,SUM(B27:F27)*K25)),2)</f>
        <v>0</v>
      </c>
      <c r="L27" s="76">
        <f>ROUND(IF(SUM(B26:F26)&lt;(L41*1),IF((SUM(B26:F27))&gt;(L41*2),(((L41*2)-(SUM(B26:F27)-C26))*L25)+((SUM(B27:F27)-C26)*L25),SUM(B27:F27)*L25),IF(SUM(B26:F27)&gt;(L41*2),L41*L25,SUM(B27:F27)*L25)),2)</f>
        <v>0</v>
      </c>
      <c r="M27" s="76">
        <f>ROUND(IF(SUM(B26:F26)&lt;(L42*1),IF((SUM(B26:F27))&gt;(L42*2),(((L42*2)-(SUM(B26:F27)-C27))*M25)+((SUM(B27:F27)-C27)*M25),(SUM(B27:F27)-C27)*M25),IF(SUM(B26:F27)&gt;(L42*2),L42*M25,SUM(B27:F27)*M25)),2)</f>
        <v>0</v>
      </c>
      <c r="N27" s="23">
        <f>ROUND((B27+E27+F27)*N25,2)</f>
        <v>0</v>
      </c>
      <c r="O27" s="23">
        <f>ROUND(SUM(B27+C27+F27)*O25,2)</f>
        <v>0</v>
      </c>
      <c r="P27" s="27">
        <f t="shared" ref="P27:P36" si="3">SUM(G27:O27)</f>
        <v>0</v>
      </c>
    </row>
    <row r="28" spans="1:16" x14ac:dyDescent="0.2">
      <c r="A28" s="100" t="str">
        <f>'päd.Personal - Leitung'!$A$28</f>
        <v>Mrz 2022</v>
      </c>
      <c r="B28" s="24">
        <f>ROUND(IF(N8=0,0,IFERROR(((LOOKUP(2,1/(A14:A17=A28),G14:G17))*N8*4.348*50%),B27/N8*N8)),2)</f>
        <v>0</v>
      </c>
      <c r="C28" s="23">
        <f>ROUND(IFERROR(((LOOKUP(2,1/(B19=A28),((SUM(B32:B34)+SUM(F32:F34))/3)*C19))),0)+IFERROR(((LOOKUP(2,1/(E19=A28),(B38+F38)*F19))),0),2)</f>
        <v>0</v>
      </c>
      <c r="D28" s="23">
        <f>ROUND(IF(B28=0,0,D25/L7*N8*50%),2)</f>
        <v>0</v>
      </c>
      <c r="E28" s="23">
        <f>ROUND(IF(B28=0,0,E25/N3*N8*50%),2)</f>
        <v>0</v>
      </c>
      <c r="F28" s="24">
        <f>ROUND(IF(N8=0,0,IFERROR(((LOOKUP(2,1/(A14:A17=A28),H14:H17))/N3*N8),F27/N8*N8*50%)),2)</f>
        <v>0</v>
      </c>
      <c r="G28" s="27">
        <f t="shared" si="2"/>
        <v>0</v>
      </c>
      <c r="H28" s="76">
        <f>ROUND(IF(SUM(B26:F27)&lt;(L41*2),IF((SUM(B26:F28))&gt;(L41*3),(((L41*3)-(SUM(B26:F28)-C27))*H25)+((SUM(B28:F28)-C27)*H25),SUM(B28:F28)*H25),IF(SUM(B26:F28)&gt;(L41*3),L41*H25,SUM(B28:F28)*H25)),2)</f>
        <v>0</v>
      </c>
      <c r="I28" s="76">
        <f>ROUND(IF((SUM(B26:F28)*80%)&gt;((L42*3)*90%),((((L42*3)*90%)-((SUM(B26:F28)-C28))*I25)+((SUM(B28:F28)-C28)*I25)*80%),((SUM(B28:F28)-C28)*I25)*80%),2)</f>
        <v>0</v>
      </c>
      <c r="J28" s="76">
        <f>ROUND(IF(SUM(B26:F27)&lt;(L42*2),IF((SUM(B26:F28))&gt;(L42*3),(((L42*3)-(SUM(B26:F28)-C27))*J25)+((SUM(B28:F28)-C27)*J25),SUM(B28:F28)*J25),IF(SUM(B26:F28)&gt;(L42*3),L42*J25,SUM(B28:F28)*J25)),2)</f>
        <v>0</v>
      </c>
      <c r="K28" s="76">
        <f>ROUND(IF(SUM(B26:F27)&lt;(L42*2),IF((SUM(B26:F28))&gt;(L42*3),(((L42*3)-(SUM(B26:F28)-C27))*K25)+((SUM(B28:F28)-C27)*K25),SUM(B28:F28)*K25),IF(SUM(B26:F28)&gt;(L42*3),L42*K25,SUM(B28:F28)*K25)),2)</f>
        <v>0</v>
      </c>
      <c r="L28" s="76">
        <f>ROUND(IF(SUM(B26:F27)&lt;(L41*2),IF((SUM(B26:F28))&gt;(L41*3),(((L41*3)-(SUM(B26:F28)-C27))*L25)+((SUM(B28:F28)-C27)*L25),SUM(B28:F28)*L25),IF(SUM(B26:F28)&gt;(L41*3),L41*L25,SUM(B28:F28)*L25)),2)</f>
        <v>0</v>
      </c>
      <c r="M28" s="76">
        <f>ROUND(IF(SUM(B26:F27)&lt;(L42*2),IF((SUM(B26:F28))&gt;(L42*3),(((L42*3)-(SUM(B26:F28)-C28))*M25)+((SUM(B28:F28)-C28)*M25),(SUM(B28:F28)-C28)*M25),IF(SUM(B26:F28)&gt;(L42*3),L42*M25,SUM(B28:F28)*M25)),2)</f>
        <v>0</v>
      </c>
      <c r="N28" s="23">
        <f>ROUND((B28+E28+F28)*N25,2)</f>
        <v>0</v>
      </c>
      <c r="O28" s="23">
        <f>ROUND(SUM(B28+C28+F28)*O25,2)</f>
        <v>0</v>
      </c>
      <c r="P28" s="27">
        <f t="shared" si="3"/>
        <v>0</v>
      </c>
    </row>
    <row r="29" spans="1:16" x14ac:dyDescent="0.2">
      <c r="A29" s="100" t="str">
        <f>'päd.Personal - Leitung'!$A$29</f>
        <v>Apr 2022</v>
      </c>
      <c r="B29" s="24">
        <f>ROUND(IF(N9=0,0,IFERROR(((LOOKUP(2,1/(A14:A17=A29),G14:G17))*N9*4.348*50%),B28/N9*N9)),2)</f>
        <v>0</v>
      </c>
      <c r="C29" s="23">
        <f>ROUND(IFERROR(((LOOKUP(2,1/(B19=A29),((SUM(B32:B34)+SUM(F32:F34))/3)*C19))),0)+IFERROR(((LOOKUP(2,1/(E19=A29),(B38+F38)*F19))),0),2)</f>
        <v>0</v>
      </c>
      <c r="D29" s="23">
        <f>ROUND(IF(B29=0,0,D25/L7*N9*50%),2)</f>
        <v>0</v>
      </c>
      <c r="E29" s="23">
        <f>ROUND(IF(B29=0,0,E25/N3*N9*50%),2)</f>
        <v>0</v>
      </c>
      <c r="F29" s="24">
        <f>ROUND(IF(N9=0,0,IFERROR(((LOOKUP(2,1/(A14:A17=A29),H14:H17))/N3*N9),F28/N9*N9*50%)),2)</f>
        <v>0</v>
      </c>
      <c r="G29" s="27">
        <f t="shared" si="2"/>
        <v>0</v>
      </c>
      <c r="H29" s="76">
        <f>ROUND(IF(SUM(B26:F28)&lt;(L41*3),IF((SUM(B26:F29))&gt;(L41*4),(((L41*4)-(SUM(B26:F29)-C28))*H25)+((SUM(B29:F29)-C28)*H25),SUM(B29:F29)*H25),IF(SUM(B26:F29)&gt;(L41*4),L41*H25,SUM(B29:F29)*H25)),2)</f>
        <v>0</v>
      </c>
      <c r="I29" s="76">
        <f>ROUND(IF((SUM(B26:F29)*80%)&gt;((L42*4)*90%),((((L42*4)*90%)-((SUM(B26:F29)-C29))*I25)+((SUM(B29:F29)-C29)*I25)*80%),((SUM(B29:F29)-C29)*I25)*80%),2)</f>
        <v>0</v>
      </c>
      <c r="J29" s="76">
        <f>ROUND(IF(SUM(B26:F28)&lt;(L42*3),IF((SUM(B26:F29))&gt;(L42*4),(((L42*4)-(SUM(B26:F29)-C28))*J25)+((SUM(B29:F29)-C28)*J25),SUM(B29:F29)*J25),IF(SUM(B26:F29)&gt;(L42*4),L42*J25,SUM(B29:F29)*J25)),2)</f>
        <v>0</v>
      </c>
      <c r="K29" s="76">
        <f>ROUND(IF(SUM(B26:F28)&lt;(L42*3),IF((SUM(B26:F29))&gt;(L42*4),(((L42*4)-(SUM(B26:F29)-C28))*K25)+((SUM(B29:F29)-C28)*K25),SUM(B29:F29)*K25),IF(SUM(B26:F29)&gt;(L42*4),L42*K25,SUM(B29:F29)*K25)),2)</f>
        <v>0</v>
      </c>
      <c r="L29" s="76">
        <f>ROUND(IF(SUM(B26:F28)&lt;(L41*3),IF((SUM(B26:F29))&gt;(L41*4),(((L41*4)-(SUM(B26:F29)-C28))*L25)+((SUM(B29:F29)-C28)*L25),SUM(B29:F29)*L25),IF(SUM(B26:F29)&gt;(L41*4),L41*L25,SUM(B29:F29)*L25)),2)</f>
        <v>0</v>
      </c>
      <c r="M29" s="76">
        <f>ROUND(IF(SUM(B26:F28)&lt;(L42*3),IF((SUM(B26:F29))&gt;(L42*4),(((L42*4)-(SUM(B26:F29)-C29))*M25)+((SUM(B29:F29)-C29)*M25),(SUM(B29:F29)-C29)*M25),IF(SUM(B26:F29)&gt;(L42*4),L42*M25,SUM(B29:F29)*M25)),2)</f>
        <v>0</v>
      </c>
      <c r="N29" s="23">
        <f>ROUND((B29+E29+F29)*N25,2)</f>
        <v>0</v>
      </c>
      <c r="O29" s="23">
        <f>ROUND(SUM(B29+C29+F29)*O25,2)</f>
        <v>0</v>
      </c>
      <c r="P29" s="27">
        <f t="shared" si="3"/>
        <v>0</v>
      </c>
    </row>
    <row r="30" spans="1:16" x14ac:dyDescent="0.2">
      <c r="A30" s="100" t="str">
        <f>'päd.Personal - Leitung'!$A$30</f>
        <v>Mai 2022</v>
      </c>
      <c r="B30" s="24">
        <f>ROUND(IF(N10=0,0,IFERROR(((LOOKUP(2,1/(A14:A17=A30),G14:G17))*N10*4.348*50%),B29/N10*N10)),2)</f>
        <v>0</v>
      </c>
      <c r="C30" s="23">
        <f>ROUND(IFERROR(((LOOKUP(2,1/(B19=A30),((SUM(B32:B34)+SUM(F32:F34))/3)*C19))),0)+IFERROR(((LOOKUP(2,1/(E19=A30),(B38+F38)*F19))),0),2)</f>
        <v>0</v>
      </c>
      <c r="D30" s="23">
        <f>ROUND(IF(B30=0,0,D25/L7*N10*50%),2)</f>
        <v>0</v>
      </c>
      <c r="E30" s="23">
        <f>ROUND(IF(B30=0,0,E25/N3*N10*50%),2)</f>
        <v>0</v>
      </c>
      <c r="F30" s="24">
        <f>ROUND(IF(N10=0,0,IFERROR(((LOOKUP(2,1/(A14:A17=A30),H14:H17))/N3*N10),F29/N10*N10*50%)),2)</f>
        <v>0</v>
      </c>
      <c r="G30" s="27">
        <f t="shared" si="2"/>
        <v>0</v>
      </c>
      <c r="H30" s="76">
        <f>ROUND(IF(SUM(B26:F29)&lt;(L41*4),IF((SUM(B26:F30))&gt;(L41*5),(((L41*5)-(SUM(B26:F30)-C29))*H25)+((SUM(B30:F30)-C29)*H25),SUM(B30:F30)*H25),IF(SUM(B26:F30)&gt;(L41*5),L41*H25,SUM(B30:F30)*H25)),2)</f>
        <v>0</v>
      </c>
      <c r="I30" s="76">
        <f>ROUND(IF((SUM(B26:F30)*80%)&gt;((L42*5)*90%),((((L42*5)*90%)-((SUM(B26:F30)-C30))*I25)+((SUM(B30:F30)-C30)*I25)*80%),((SUM(B30:F30)-C30)*I25)*80%),2)</f>
        <v>0</v>
      </c>
      <c r="J30" s="76">
        <f>ROUND(IF(SUM(B26:F29)&lt;(L42*4),IF((SUM(B26:F30))&gt;(L42*5),(((L42*5)-(SUM(B26:F30)-C29))*J25)+((SUM(B30:F30)-C29)*J25),SUM(B30:F30)*J25),IF(SUM(B26:F30)&gt;(L42*5),L42*J25,SUM(B30:F30)*J25)),2)</f>
        <v>0</v>
      </c>
      <c r="K30" s="76">
        <f>ROUND(IF(SUM(B26:F29)&lt;(L42*4),IF((SUM(B26:F30))&gt;(L42*5),(((L42*5)-(SUM(B26:F30)-C29))*K25)+((SUM(B30:F30)-C29)*K25),SUM(B30:F30)*K25),IF(SUM(B26:F30)&gt;(L42*5),L42*K25,SUM(B30:F30)*K25)),2)</f>
        <v>0</v>
      </c>
      <c r="L30" s="76">
        <f>ROUND(IF(SUM(B26:F29)&lt;(L41*4),IF((SUM(B26:F30))&gt;(L41*5),(((L41*5)-(SUM(B26:F30)-C29))*L25)+((SUM(B30:F30)-C29)*L25),SUM(B30:F30)*L25),IF(SUM(B26:F30)&gt;(L41*5),L41*L25,SUM(B30:F30)*L25)),2)</f>
        <v>0</v>
      </c>
      <c r="M30" s="76">
        <f>ROUND(IF(SUM(B26:F29)&lt;(L42*4),IF((SUM(B26:F30))&gt;(L42*5),(((L42*5)-(SUM(B26:F30)-C30))*M25)+((SUM(B30:F30)-C30)*M25),(SUM(B30:F30)-C30)*M25),IF(SUM(B26:F30)&gt;(L42*5),L42*M25,SUM(B30:F30)*M25)),2)</f>
        <v>0</v>
      </c>
      <c r="N30" s="23">
        <f>ROUND((B30+E30+F30)*N25,2)</f>
        <v>0</v>
      </c>
      <c r="O30" s="23">
        <f>ROUND(SUM(B30+C30+F30)*O25,2)</f>
        <v>0</v>
      </c>
      <c r="P30" s="27">
        <f t="shared" si="3"/>
        <v>0</v>
      </c>
    </row>
    <row r="31" spans="1:16" x14ac:dyDescent="0.2">
      <c r="A31" s="100" t="str">
        <f>'päd.Personal - Leitung'!$A$31</f>
        <v>Jun 2022</v>
      </c>
      <c r="B31" s="24">
        <f>ROUND(IF(N11=0,0,IFERROR(((LOOKUP(2,1/(A14:A17=A31),G14:G17))*N11*4.348*50%),B30/N11*N11)),2)</f>
        <v>0</v>
      </c>
      <c r="C31" s="23">
        <f>ROUND(IFERROR(((LOOKUP(2,1/(B19=A31),((SUM(B32:B34)+SUM(F32:F34))/3)*C19))),0)+IFERROR(((LOOKUP(2,1/(E19=A31),(B38+F38)*F19))),0),2)</f>
        <v>0</v>
      </c>
      <c r="D31" s="23">
        <f>ROUND(IF(B31=0,0,D25/L7*N11*50%),2)</f>
        <v>0</v>
      </c>
      <c r="E31" s="23">
        <f>ROUND(IF(B31=0,0,E25/N3*N11*50%),2)</f>
        <v>0</v>
      </c>
      <c r="F31" s="24">
        <f>ROUND(IF(N11=0,0,IFERROR(((LOOKUP(2,1/(A14:A17=A31),H14:H17))/N3*N11),F30/N11*N11*50%)),2)</f>
        <v>0</v>
      </c>
      <c r="G31" s="27">
        <f t="shared" si="2"/>
        <v>0</v>
      </c>
      <c r="H31" s="76">
        <f>ROUND(IF(SUM(B26:F30)&lt;(L41*5),IF((SUM(B26:F31))&gt;(L41*6),(((L41*6)-(SUM(B26:F31)-C30))*H25)+((SUM(B31:F31)-C30)*H25),SUM(B31:F31)*H25),IF(SUM(B26:F31)&gt;(L41*6),L41*H25,SUM(B31:F31)*H25)),2)</f>
        <v>0</v>
      </c>
      <c r="I31" s="76">
        <f>ROUND(IF((SUM(B26:F31)*80%)&gt;((L42*6)*90%),((((L42*6)*90%)-((SUM(B26:F31)-C31))*I25)+((SUM(B31:F31)-C31)*I25)*80%),((SUM(B31:F31)-C31)*I25)*80%),2)</f>
        <v>0</v>
      </c>
      <c r="J31" s="76">
        <f>ROUND(IF(SUM(B26:F30)&lt;(L42*5),IF((SUM(B26:F31))&gt;(L42*6),(((L42*6)-(SUM(B26:F31)-C30))*J25)+((SUM(B31:F31)-C30)*J25),SUM(B31:F31)*J25),IF(SUM(B26:F31)&gt;(L42*6),L42*J25,SUM(B31:F31)*J25)),2)</f>
        <v>0</v>
      </c>
      <c r="K31" s="76">
        <f>ROUND(IF(SUM(B26:F30)&lt;(L42*5),IF((SUM(B26:F31))&gt;(L42*6),(((L42*6)-(SUM(B26:F31)-C30))*K25)+((SUM(B31:F31)-C30)*K25),SUM(B31:F31)*K25),IF(SUM(B26:F31)&gt;(L42*6),L42*K25,SUM(B31:F31)*K25)),2)</f>
        <v>0</v>
      </c>
      <c r="L31" s="76">
        <f>ROUND(IF(SUM(B26:F30)&lt;(L41*5),IF((SUM(B26:F31))&gt;(L41*6),(((L41*6)-(SUM(B26:F31)-C30))*L25)+((SUM(B31:F31)-C30)*L25),SUM(B31:F31)*L25),IF(SUM(B26:F31)&gt;(L41*6),L41*L25,SUM(B31:F31)*L25)),2)</f>
        <v>0</v>
      </c>
      <c r="M31" s="76">
        <f>ROUND(IF(SUM(B26:F30)&lt;(L42*5),IF((SUM(B26:F31))&gt;(L42*6),(((L42*6)-(SUM(B26:F31)-C31))*M25)+((SUM(B31:F31)-C31)*M25),(SUM(B31:F31)-C31)*M25),IF(SUM(B26:F31)&gt;(L42*6),L42*M25,SUM(B31:F31)*M25)),2)</f>
        <v>0</v>
      </c>
      <c r="N31" s="23">
        <f>ROUND((B31+E31+F31)*N25,2)</f>
        <v>0</v>
      </c>
      <c r="O31" s="23">
        <f>ROUND(SUM(B31+C31+F31)*O25,2)</f>
        <v>0</v>
      </c>
      <c r="P31" s="27">
        <f t="shared" si="3"/>
        <v>0</v>
      </c>
    </row>
    <row r="32" spans="1:16" x14ac:dyDescent="0.2">
      <c r="A32" s="100" t="str">
        <f>'päd.Personal - Leitung'!$A$32</f>
        <v>Jul 2022</v>
      </c>
      <c r="B32" s="24">
        <f>ROUND(IF(P6=0,0,IFERROR(((LOOKUP(2,1/(A14:A17=A32),G14:G17))*P6*4.348*50%),B31/P6*P6)),2)</f>
        <v>0</v>
      </c>
      <c r="C32" s="23">
        <f>ROUND(IFERROR(((LOOKUP(2,1/(B19=A32),((SUM(B32:B34)+SUM(F32:F34))/3)*C19))),0)+IFERROR(((LOOKUP(2,1/(E19=A32),(B38+F38)*F19))),0),2)</f>
        <v>0</v>
      </c>
      <c r="D32" s="23">
        <f>ROUND(IF(B32=0,0,D25/L7*P6*50%),2)</f>
        <v>0</v>
      </c>
      <c r="E32" s="23">
        <f>ROUND(IF(B32=0,0,E25/N3*P6*50%),2)</f>
        <v>0</v>
      </c>
      <c r="F32" s="24">
        <f>ROUND(IF(P6=0,0,IFERROR(((LOOKUP(2,1/(A14:A17=A32),H14:H17))/N3*P6),F31/P6*P6*50%)),2)</f>
        <v>0</v>
      </c>
      <c r="G32" s="27">
        <f t="shared" si="2"/>
        <v>0</v>
      </c>
      <c r="H32" s="76">
        <f>ROUND(IF(SUM(B26:F31)&lt;(L41*6),IF((SUM(B26:F32))&gt;(L41*7),(((L41*7)-(SUM(B26:F32)-C31))*H25)+((SUM(B32:F32)-C31)*H25),SUM(B32:F32)*H25),IF(SUM(B26:F32)&gt;(L41*7),L41*H25,SUM(B32:F32)*H25)),2)</f>
        <v>0</v>
      </c>
      <c r="I32" s="76">
        <f>ROUND(IF((SUM(B26:F32)*80%)&gt;((L42*7)*90%),((((L42*7)*90%)-((SUM(B26:F32)-C32))*I25)+((SUM(B32:F32)-C32)*I25)*80%),((SUM(B32:F32)-C32)*I25)*80%),2)</f>
        <v>0</v>
      </c>
      <c r="J32" s="76">
        <f>ROUND(IF(SUM(B26:F31)&lt;(L42*6),IF((SUM(B26:F32))&gt;(L42*7),(((L42*7)-(SUM(B26:F32)-C31))*J25)+((SUM(B32:F32)-C31)*J25),SUM(B32:F32)*J25),IF(SUM(B26:F32)&gt;(L42*7),L42*J25,SUM(B32:F32)*J25)),2)</f>
        <v>0</v>
      </c>
      <c r="K32" s="76">
        <f>ROUND(IF(SUM(B26:F31)&lt;(L42*6),IF((SUM(B26:F32))&gt;(L42*7),(((L42*7)-(SUM(B26:F32)-C31))*K25)+((SUM(B32:F32)-C31)*K25),SUM(B32:F32)*K25),IF(SUM(B26:F32)&gt;(L42*7),L42*K25,SUM(B32:F32)*K25)),2)</f>
        <v>0</v>
      </c>
      <c r="L32" s="76">
        <f>ROUND(IF(SUM(B26:F31)&lt;(L41*6),IF((SUM(B26:F32))&gt;(L41*7),(((L41*7)-(SUM(B26:F32)-C31))*L25)+((SUM(B32:F32)-C31)*L25),SUM(B32:F32)*L25),IF(SUM(B26:F32)&gt;(L41*7),L41*L25,SUM(B32:F32)*L25)),2)</f>
        <v>0</v>
      </c>
      <c r="M32" s="76">
        <f>ROUND(IF(SUM(B26:F31)&lt;(L42*6),IF((SUM(B26:F32))&gt;(L42*7),(((L42*7)-(SUM(B26:F32)-C32))*M25)+((SUM(B32:F32)-C32)*M25),(SUM(B32:F32)-C32)*M25),IF(SUM(B26:F32)&gt;(L42*7),L42*M25,SUM(B32:F32)*M25)),2)</f>
        <v>0</v>
      </c>
      <c r="N32" s="23">
        <f>ROUND((B32+E32+F32)*N25,2)</f>
        <v>0</v>
      </c>
      <c r="O32" s="23">
        <f>ROUND(SUM(B32+C32+F32)*O25,2)</f>
        <v>0</v>
      </c>
      <c r="P32" s="27">
        <f t="shared" si="3"/>
        <v>0</v>
      </c>
    </row>
    <row r="33" spans="1:16" x14ac:dyDescent="0.2">
      <c r="A33" s="100" t="str">
        <f>'päd.Personal - Leitung'!$A$33</f>
        <v>Aug 2022</v>
      </c>
      <c r="B33" s="24">
        <f>ROUND(IF(P7=0,0,IFERROR(((LOOKUP(2,1/(A14:A17=A33),G14:G17))*P7*4.348*50%),B32/P7*P7)),2)</f>
        <v>0</v>
      </c>
      <c r="C33" s="23">
        <f>ROUND(IFERROR(((LOOKUP(2,1/(B19=A33),((SUM(B32:B34)+SUM(F32:F34))/3)*C19))),0)+IFERROR(((LOOKUP(2,1/(E19=A33),(B38+F38)*F19))),0),2)</f>
        <v>0</v>
      </c>
      <c r="D33" s="23">
        <f>ROUND(IF(B33=0,0,D25/L7*P7*50%),2)</f>
        <v>0</v>
      </c>
      <c r="E33" s="23">
        <f>ROUND(IF(B33=0,0,E25/N3*P7*50%),2)</f>
        <v>0</v>
      </c>
      <c r="F33" s="24">
        <f>ROUND(IF(P7=0,0,IFERROR(((LOOKUP(2,1/(A14:A17=A33),H14:H17))/N3*P7),F32/P7*P7*50%)),2)</f>
        <v>0</v>
      </c>
      <c r="G33" s="27">
        <f t="shared" si="2"/>
        <v>0</v>
      </c>
      <c r="H33" s="76">
        <f>ROUND(IF(SUM(B26:F32)&lt;(L41*7),IF((SUM(B26:F33))&gt;(L41*8),(((L41*8)-(SUM(B26:F33)-C32))*H25)+((SUM(B33:F33)-C32)*H25),SUM(B33:F33)*H25),IF(SUM(B26:F33)&gt;(L41*8),L41*H25,SUM(B33:F33)*H25)),2)</f>
        <v>0</v>
      </c>
      <c r="I33" s="76">
        <f>ROUND(IF((SUM(B26:F33)*80%)&gt;((L42*8)*90%),((((L42*8)*90%)-((SUM(B26:F33)-C33))*I25)+((SUM(B33:F33)-C33)*I25)*80%),((SUM(B33:F33)-C33)*I25)*80%),2)</f>
        <v>0</v>
      </c>
      <c r="J33" s="76">
        <f>ROUND(IF(SUM(B26:F32)&lt;(L42*7),IF((SUM(B26:F33))&gt;(L42*8),(((L42*8)-(SUM(B26:F33)-C32))*J25)+((SUM(B33:F33)-C32)*J25),SUM(B33:F33)*J25),IF(SUM(B26:F33)&gt;(L42*8),L42*J25,SUM(B33:F33)*J25)),2)</f>
        <v>0</v>
      </c>
      <c r="K33" s="76">
        <f>ROUND(IF(SUM(B26:F32)&lt;(L42*7),IF((SUM(B26:F33))&gt;(L42*8),(((L42*8)-(SUM(B26:F33)-C32))*K25)+((SUM(B33:F33)-C32)*K25),SUM(B33:F33)*K25),IF(SUM(B26:F33)&gt;(L42*8),L42*K25,SUM(B33:F33)*K25)),2)</f>
        <v>0</v>
      </c>
      <c r="L33" s="76">
        <f>ROUND(IF(SUM(B26:F32)&lt;(L41*7),IF((SUM(B26:F33))&gt;(L41*8),(((L41*8)-(SUM(B26:F33)-C32))*L25)+((SUM(B33:F33)-C32)*L25),SUM(B33:F33)*L25),IF(SUM(B26:F33)&gt;(L41*8),L41*L25,SUM(B33:F33)*L25)),2)</f>
        <v>0</v>
      </c>
      <c r="M33" s="76">
        <f>ROUND(IF(SUM(B26:F32)&lt;(L42*7),IF((SUM(B26:F33))&gt;(L42*8),(((L42*8)-(SUM(B26:F33)-C33))*M25)+((SUM(B33:F33)-C33)*M25),(SUM(B33:F33)-C33)*M25),IF(SUM(B26:F33)&gt;(L42*8),L42*M25,SUM(B33:F33)*M25)),2)</f>
        <v>0</v>
      </c>
      <c r="N33" s="23">
        <f>ROUND((B33+E33+F33)*N25,2)</f>
        <v>0</v>
      </c>
      <c r="O33" s="23">
        <f>ROUND(SUM(B33+C33+F33)*O25,2)</f>
        <v>0</v>
      </c>
      <c r="P33" s="27">
        <f t="shared" si="3"/>
        <v>0</v>
      </c>
    </row>
    <row r="34" spans="1:16" x14ac:dyDescent="0.2">
      <c r="A34" s="100" t="str">
        <f>'päd.Personal - Leitung'!$A$34</f>
        <v>Sep 2022</v>
      </c>
      <c r="B34" s="24">
        <f>ROUND(IF(P8=0,0,IFERROR(((LOOKUP(2,1/(A14:A17=A34),G14:G17))*P8*4.348*50%),B33/P8*P8)),2)</f>
        <v>0</v>
      </c>
      <c r="C34" s="23">
        <f>ROUND(IFERROR(((LOOKUP(2,1/(B19=A34),((SUM(B32:B34)+SUM(F32:F34))/3)*C19))),0)+IFERROR(((LOOKUP(2,1/(E19=A34),(B38+F38)*F19))),0),2)</f>
        <v>0</v>
      </c>
      <c r="D34" s="23">
        <f>ROUND(IF(B34=0,0,D25/L7*P8*50%),2)</f>
        <v>0</v>
      </c>
      <c r="E34" s="23">
        <f>ROUND(IF(B34=0,0,E25/N3*P8*50),2)</f>
        <v>0</v>
      </c>
      <c r="F34" s="24">
        <f>ROUND(IF(P8=0,0,IFERROR(((LOOKUP(2,1/(A14:A17=A34),H14:H17))/N3*P8),F33/P8*P8*50%)),2)</f>
        <v>0</v>
      </c>
      <c r="G34" s="27">
        <f t="shared" si="2"/>
        <v>0</v>
      </c>
      <c r="H34" s="76">
        <f>ROUND(IF(SUM(B26:F33)&lt;(L41*8),IF((SUM(B26:F34))&gt;(L41*9),(((L41*9)-(SUM(B26:F34)-C33))*H25)+((SUM(B34:F34)-C33)*H25),SUM(B34:F34)*H25),IF(SUM(B26:F34)&gt;(L41*9),L41*H25,SUM(B34:F34)*H25)),2)</f>
        <v>0</v>
      </c>
      <c r="I34" s="76">
        <f>ROUND(IF((SUM(B26:F34)*80%)&gt;((L42*9)*90%),((((L42*9)*90%)-((SUM(B26:F34)-C34))*I25)+((SUM(B34:F34)-C34)*I25)*80%),((SUM(B34:F34)-C34)*I25)*80%),2)</f>
        <v>0</v>
      </c>
      <c r="J34" s="76">
        <f>ROUND(IF(SUM(B26:F33)&lt;(L42*8),IF((SUM(B26:F34))&gt;(L42*9),(((L42*9)-(SUM(B26:F34)-C33))*J25)+((SUM(B34:F34)-C33)*J25),SUM(B34:F34)*J25),IF(SUM(B26:F34)&gt;(L42*9),L42*J25,SUM(B34:F34)*J25)),2)</f>
        <v>0</v>
      </c>
      <c r="K34" s="76">
        <f>ROUND(IF(SUM(B26:F33)&lt;(L42*8),IF((SUM(B26:F34))&gt;(L42*9),(((L42*9)-(SUM(B26:F34)-C33))*K25)+((SUM(B34:F34)-C33)*K25),SUM(B34:F34)*K25),IF(SUM(B26:F34)&gt;(L42*9),L42*K25,SUM(B34:F34)*K25)),2)</f>
        <v>0</v>
      </c>
      <c r="L34" s="76">
        <f>ROUND(IF(SUM(B26:F33)&lt;(L41*8),IF((SUM(B26:F34))&gt;(L41*9),(((L41*9)-(SUM(B26:F34)-C33))*L25)+((SUM(B34:F34)-C33)*L25),SUM(B34:F34)*L25),IF(SUM(B26:F34)&gt;(L41*9),L41*L25,SUM(B34:F34)*L25)),2)</f>
        <v>0</v>
      </c>
      <c r="M34" s="76">
        <f>ROUND(IF(SUM(B26:F33)&lt;(L42*8),IF((SUM(B26:F34))&gt;(L42*9),(((L42*9)-(SUM(B26:F34)-C34))*M25)+((SUM(B34:F34)-C34)*M25),(SUM(B34:F34)-C34)*M25),IF(SUM(B26:F34)&gt;(L42*9),L42*M25,SUM(B34:F34)*M25)),2)</f>
        <v>0</v>
      </c>
      <c r="N34" s="23">
        <f>ROUND((B34+E34+F34)*N25,2)</f>
        <v>0</v>
      </c>
      <c r="O34" s="23">
        <f>ROUND(SUM(B34+C34+F34)*O25,2)</f>
        <v>0</v>
      </c>
      <c r="P34" s="27">
        <f t="shared" si="3"/>
        <v>0</v>
      </c>
    </row>
    <row r="35" spans="1:16" x14ac:dyDescent="0.2">
      <c r="A35" s="100" t="str">
        <f>'päd.Personal - Leitung'!$A$35</f>
        <v>Okt 2022</v>
      </c>
      <c r="B35" s="24">
        <f>ROUND(IF(P9=0,0,IFERROR(((LOOKUP(2,1/(A14:A17=A35),G14:G17))*P9*4.348*50%),B34/P9*P9)),2)</f>
        <v>0</v>
      </c>
      <c r="C35" s="23">
        <f>ROUND(IFERROR(((LOOKUP(2,1/(B19=A35),((SUM(B32:B34)+SUM(F32:F34))/3)*C19))),0)+IFERROR(((LOOKUP(2,1/(E19=A35),(B38+F38)*F19))),0),2)</f>
        <v>0</v>
      </c>
      <c r="D35" s="23">
        <f>ROUND(IF(B35=0,0,D25/L7*P9*50%),2)</f>
        <v>0</v>
      </c>
      <c r="E35" s="23">
        <f>ROUND(IF(B35=0,0,E25/N3*P9*50%),2)</f>
        <v>0</v>
      </c>
      <c r="F35" s="24">
        <f>ROUND(IF(P9=0,0,IFERROR(((LOOKUP(2,1/(A14:A17=A35),H14:H17))/N3*P9),F34/P9*P9*50%)),2)</f>
        <v>0</v>
      </c>
      <c r="G35" s="27">
        <f t="shared" si="2"/>
        <v>0</v>
      </c>
      <c r="H35" s="76">
        <f>ROUND(IF(SUM(B26:F34)&lt;(L41*9),IF((SUM(B26:F35))&gt;(L41*10),(((L41*10)-(SUM(B26:F35)-C34))*H25)+((SUM(B35:F35)-C34)*H25),SUM(B35:F35)*H25),IF(SUM(B26:F35)&gt;(L41*10),L41*H25,SUM(B35:F35)*H25)),2)</f>
        <v>0</v>
      </c>
      <c r="I35" s="76">
        <f>ROUND(IF((SUM(B26:F35)*80%)&gt;((L42*10)*90%),((((L42*10)*90%)-((SUM(B26:F35)-C35))*I25)+((SUM(B35:F35)-C35)*I25)*80%),((SUM(B35:F35)-C35)*I25)*80%),2)</f>
        <v>0</v>
      </c>
      <c r="J35" s="76">
        <f>ROUND(IF(SUM(B26:F34)&lt;(L42*9),IF((SUM(B26:F35))&gt;(L42*10),(((L42*10)-(SUM(B26:F35)-C34))*J25)+((SUM(B35:F35)-C34)*J25),SUM(B35:F35)*J25),IF(SUM(B26:F35)&gt;(L42*10),L42*J25,SUM(B35:F35)*J25)),2)</f>
        <v>0</v>
      </c>
      <c r="K35" s="76">
        <f>ROUND(IF(SUM(B26:F34)&lt;(L42*9),IF((SUM(B26:F35))&gt;(L42*10),(((L42*10)-(SUM(B26:F35)-C34))*K25)+((SUM(B35:F35)-C34)*K25),SUM(B35:F35)*K25),IF(SUM(B26:F35)&gt;(L42*10),L42*K25,SUM(B35:F35)*K25)),2)</f>
        <v>0</v>
      </c>
      <c r="L35" s="76">
        <f>ROUND(IF(SUM(B26:F34)&lt;(L41*9),IF((SUM(B26:F35))&gt;(L41*10),(((L41*10)-(SUM(B26:F35)-C34))*L25)+((SUM(B35:F35)-C34)*L25),SUM(B35:F35)*L25),IF(SUM(B26:F35)&gt;(L41*10),L41*L25,SUM(B35:F35)*L25)),2)</f>
        <v>0</v>
      </c>
      <c r="M35" s="76">
        <f>ROUND(IF(SUM(B26:F34)&lt;(L42*9),IF((SUM(B26:F35))&gt;(L42*10),(((L42*10)-(SUM(B26:F35)-C35))*M25)+((SUM(B35:F35)-C35)*M25),(SUM(B35:F35)-C35)*M25),IF(SUM(B26:F35)&gt;(L42*10),L42*M25,SUM(B35:F35)*M25)),2)</f>
        <v>0</v>
      </c>
      <c r="N35" s="23">
        <f>ROUND((B35+E35+F35)*N25,2)</f>
        <v>0</v>
      </c>
      <c r="O35" s="23">
        <f>ROUND(SUM(B35+C35+F35)*O25,2)</f>
        <v>0</v>
      </c>
      <c r="P35" s="27">
        <f t="shared" si="3"/>
        <v>0</v>
      </c>
    </row>
    <row r="36" spans="1:16" x14ac:dyDescent="0.2">
      <c r="A36" s="100" t="str">
        <f>'päd.Personal - Leitung'!$A$36</f>
        <v>Nov 2022</v>
      </c>
      <c r="B36" s="24">
        <f>ROUND(IF(P10=0,0,IFERROR(((LOOKUP(2,1/(A14:A17=A36),G14:G17))*P10*4.348*50%),B35/P10*P10)),2)</f>
        <v>0</v>
      </c>
      <c r="C36" s="23">
        <f>ROUND(IFERROR(((LOOKUP(2,1/(B19=A36),((SUM(B32:B34)+SUM(F32:F34))/3)*C19))),0)+IFERROR(((LOOKUP(2,1/(E19=A36),(B38+F38)*F19))),0),2)</f>
        <v>0</v>
      </c>
      <c r="D36" s="23">
        <f>ROUND(IF(B36=0,0,D25/L7*P10*50%),2)</f>
        <v>0</v>
      </c>
      <c r="E36" s="23">
        <f>ROUND(IF(B36=0,0,E25/N3*P10*50%),2)</f>
        <v>0</v>
      </c>
      <c r="F36" s="24">
        <f>ROUND(IF(P10=0,0,IFERROR(((LOOKUP(2,1/(A14:A17=A36),H14:H17))/N3*P10),F35/P10*P10*50%)),2)</f>
        <v>0</v>
      </c>
      <c r="G36" s="27">
        <f t="shared" si="2"/>
        <v>0</v>
      </c>
      <c r="H36" s="76">
        <f>ROUND(IF(SUM(B26:F35)&lt;(L41*10),IF((SUM(B26:F36))&gt;(L41*11),(((L41*11)-(SUM(B26:F36)-C35))*H25)+((SUM(B36:F36)-C35)*H25),SUM(B36:F36)*H25),IF(SUM(B26:F36)&gt;(L41*11),L41*H25,SUM(B36:F36)*H25)),2)</f>
        <v>0</v>
      </c>
      <c r="I36" s="76">
        <f>ROUND(IF((SUM(B26:F36)*80%)&gt;((L42*11)*90%),((((L42*11)*90%)-((SUM(B26:F36)-C36))*I25)+((SUM(B36:F36)-C36)*I25)*80%),((SUM(B36:F36)-C36)*I25)*80%),2)</f>
        <v>0</v>
      </c>
      <c r="J36" s="76">
        <f>ROUND(IF(SUM(B26:F35)&lt;(L42*10),IF((SUM(B26:F36))&gt;(L42*11),(((L42*11)-(SUM(B26:F36)-C35))*J25)+((SUM(B36:F36)-C35)*J25),SUM(B36:F36)*J25),IF(SUM(B26:F36)&gt;(L42*11),L42*J25,SUM(B36:F36)*J25)),2)</f>
        <v>0</v>
      </c>
      <c r="K36" s="76">
        <f>ROUND(IF(SUM(B26:F35)&lt;(L42*10),IF((SUM(B26:F36))&gt;(L42*11),(((L42*11)-(SUM(B26:F36)-C35))*K25)+((SUM(B36:F36)-C35)*K25),SUM(B36:F36)*K25),IF(SUM(B26:F36)&gt;(L42*11),L42*K25,SUM(B36:F36)*K25)),2)</f>
        <v>0</v>
      </c>
      <c r="L36" s="76">
        <f>ROUND(IF(SUM(B26:F35)&lt;(L41*10),IF((SUM(B26:F36))&gt;(L41*11),(((L41*11)-(SUM(B26:F36)-C35))*L25)+((SUM(B36:F36)-C35)*L25),SUM(B36:F36)*L25),IF(SUM(B26:F36)&gt;(L41*11),L41*L25,SUM(B36:F36)*L25)),2)</f>
        <v>0</v>
      </c>
      <c r="M36" s="76">
        <f>ROUND(IF(SUM(B26:F35)&lt;(L42*10),IF((SUM(B26:F36))&gt;(L42*11),(((L42*11)-(SUM(B26:F36)-C36))*M25)+((SUM(B36:F36)-C36)*M25),(SUM(B36:F36)-C36)*M25),IF(SUM(B26:F36)&gt;(L42*11),L42*M25,SUM(B36:F36)*M25)),2)</f>
        <v>0</v>
      </c>
      <c r="N36" s="23">
        <f>ROUND((B36+E36+F36)*N25,2)</f>
        <v>0</v>
      </c>
      <c r="O36" s="23">
        <f>ROUND(SUM(B36+C36+F36)*O25,2)</f>
        <v>0</v>
      </c>
      <c r="P36" s="27">
        <f t="shared" si="3"/>
        <v>0</v>
      </c>
    </row>
    <row r="37" spans="1:16" x14ac:dyDescent="0.2">
      <c r="A37" s="100" t="str">
        <f>'päd.Personal - Leitung'!$A$37</f>
        <v>Dez 2022</v>
      </c>
      <c r="B37" s="24">
        <f>ROUND(IF(P11=0,0,IFERROR(((LOOKUP(2,1/(A14:A17=A37),G14:G17))*P11*4.348*50%),B36/P11*P11)),2)</f>
        <v>0</v>
      </c>
      <c r="C37" s="23">
        <f>ROUND(IFERROR(((LOOKUP(2,1/(B19=A37),((SUM(B32:B34)+SUM(F32:F34))/3)*C19))),0)+IFERROR(((LOOKUP(2,1/(E19=A37),(B38+F38)*F19))),0),2)</f>
        <v>0</v>
      </c>
      <c r="D37" s="23">
        <f>ROUND(IF(B37=0,0,D25/L7*P11*50%),2)</f>
        <v>0</v>
      </c>
      <c r="E37" s="23">
        <f>ROUND(IF(B37=0,0,E25/N3*P11*50%),2)</f>
        <v>0</v>
      </c>
      <c r="F37" s="24">
        <f>ROUND(IF(P11=0,0,IFERROR(((LOOKUP(2,1/(A14:A17=A37),H14:H17))/N3*P11),F36/P11*P11*50%)),2)</f>
        <v>0</v>
      </c>
      <c r="G37" s="27">
        <f t="shared" si="2"/>
        <v>0</v>
      </c>
      <c r="H37" s="76">
        <f>ROUND(IF(SUM(B26:F36)&lt;(L41*11),IF((SUM(B26:F37))&gt;(L41*12),(((L41*12)-(SUM(B26:F37)-C36))*H25)+((SUM(B37:F37)-C36)*H25),SUM(B37:F37)*H25),IF(SUM(B26:F37)&gt;(L41*12),L41*H25,SUM(B37:F37)*H25)),2)</f>
        <v>0</v>
      </c>
      <c r="I37" s="76">
        <f>ROUND(IF((SUM(B26:F37)*80%)&gt;((L42*12)*90%),((((L42*12)*90%)-((SUM(B26:F37)-C37))*I25)+((SUM(B37:F37)-C37)*I25)*80%),((SUM(B37:F37)-C37)*I25)*80%),2)</f>
        <v>0</v>
      </c>
      <c r="J37" s="76">
        <f>ROUND(IF(SUM(B26:F36)&lt;(L42*11),IF((SUM(B26:F37))&gt;(L42*12),(((L42*12)-(SUM(B26:F37)-C36))*J25)+((SUM(B37:F37)-C36)*J25),SUM(B37:F37)*J25),IF(SUM(B26:F37)&gt;(L42*12),L42*J25,SUM(B37:F37)*J25)),2)</f>
        <v>0</v>
      </c>
      <c r="K37" s="76">
        <f>ROUND(IF(SUM(B26:F36)&lt;(L42*11),IF((SUM(B26:F37))&gt;(L42*12),(((L42*12)-(SUM(B26:F37)-C36))*K25)+((SUM(B37:F37)-C36)*K25),SUM(B37:F37)*K25),IF(SUM(B26:F37)&gt;(L42*12),L42*K25,SUM(B37:F37)*K25)),2)</f>
        <v>0</v>
      </c>
      <c r="L37" s="76">
        <f>ROUND(IF(SUM(B26:F36)&lt;(L41*11),IF((SUM(B26:F37))&gt;(L41*12),(((L41*12)-(SUM(B26:F37)-C36))*L25)+((SUM(B37:F37)-C36)*L25),SUM(B37:F37)*L25),IF(SUM(B26:F37)&gt;(L41*12),L41*L25,SUM(B37:F37)*L25)),2)</f>
        <v>0</v>
      </c>
      <c r="M37" s="76">
        <f>ROUND(IF(SUM(B26:F36)&lt;(L42*11),IF((SUM(B26:F37))&gt;(L42*12),(((L42*12)-(SUM(B26:F37)-C37))*M25)+((SUM(B37:F37)-C37)*M25),(SUM(B37:F37)-C37)*M25),IF(SUM(B26:F37)&gt;(L42*12),L42*M25,SUM(B37:F37)*M25)),2)</f>
        <v>0</v>
      </c>
      <c r="N37" s="23">
        <f>ROUND((B37+E37+F37)*N25,2)</f>
        <v>0</v>
      </c>
      <c r="O37" s="23">
        <f>ROUND(SUM(B37+C37+F37)*O25,2)</f>
        <v>0</v>
      </c>
      <c r="P37" s="27">
        <f>SUM(G37:O37)</f>
        <v>0</v>
      </c>
    </row>
    <row r="38" spans="1:16" x14ac:dyDescent="0.2">
      <c r="A38" s="4" t="s">
        <v>2</v>
      </c>
      <c r="B38" s="27">
        <f>SUM(B26:B37)</f>
        <v>0</v>
      </c>
      <c r="C38" s="27">
        <f t="shared" ref="C38:G38" si="4">SUM(C26:C37)</f>
        <v>0</v>
      </c>
      <c r="D38" s="27">
        <f>SUM(D26:D37)</f>
        <v>0</v>
      </c>
      <c r="E38" s="27">
        <f t="shared" si="4"/>
        <v>0</v>
      </c>
      <c r="F38" s="27">
        <f t="shared" si="4"/>
        <v>0</v>
      </c>
      <c r="G38" s="27">
        <f t="shared" si="4"/>
        <v>0</v>
      </c>
      <c r="H38" s="1133">
        <f>SUM(H26:M37)</f>
        <v>0</v>
      </c>
      <c r="I38" s="1134"/>
      <c r="J38" s="1134"/>
      <c r="K38" s="1134"/>
      <c r="L38" s="1134"/>
      <c r="M38" s="1134"/>
      <c r="N38" s="27">
        <f>SUM(N26:N37)</f>
        <v>0</v>
      </c>
      <c r="O38" s="27">
        <f>SUM(O26:O37)</f>
        <v>0</v>
      </c>
      <c r="P38" s="27">
        <f>SUM(P26:P37)</f>
        <v>0</v>
      </c>
    </row>
    <row r="39" spans="1:16" s="13" customFormat="1" ht="11.25" x14ac:dyDescent="0.2">
      <c r="A39" s="3" t="s">
        <v>1</v>
      </c>
      <c r="B39" s="2"/>
      <c r="C39" s="2"/>
      <c r="D39" s="2"/>
      <c r="E39" s="2"/>
      <c r="F39" s="2"/>
      <c r="G39" s="2"/>
      <c r="H39" s="2"/>
      <c r="I39" s="2"/>
      <c r="J39" s="2"/>
      <c r="K39" s="2"/>
      <c r="L39" s="2"/>
      <c r="M39" s="2"/>
      <c r="N39" s="2"/>
      <c r="O39" s="2"/>
      <c r="P39" s="2"/>
    </row>
    <row r="40" spans="1:16" s="1" customFormat="1" ht="14.25" customHeight="1" x14ac:dyDescent="0.2">
      <c r="A40" s="1136" t="s">
        <v>133</v>
      </c>
      <c r="B40" s="1137"/>
      <c r="C40" s="1137"/>
      <c r="D40" s="1137" t="s">
        <v>134</v>
      </c>
      <c r="E40" s="1137"/>
      <c r="F40" s="94" t="str">
        <f>IF(IF(G38=0,"",'päd.Personal - Leitung'!$F$40)=0,"",IF(G38=0,"",'päd.Personal - Leitung'!$F$40))</f>
        <v/>
      </c>
      <c r="G40" s="77" t="s">
        <v>135</v>
      </c>
      <c r="H40" s="96" t="str">
        <f>IF(IF(G38=0,"",'päd.Personal - Leitung'!$H$40)=0,"",IF(G38=0,"",'päd.Personal - Leitung'!$H$40))</f>
        <v/>
      </c>
      <c r="I40" s="73"/>
      <c r="J40" s="194" t="s">
        <v>160</v>
      </c>
      <c r="K40" s="194" t="str">
        <f>'päd.Personal - Leitung'!$K$40</f>
        <v>2021</v>
      </c>
      <c r="L40" s="194" t="str">
        <f>'päd.Personal - Leitung'!$L$40</f>
        <v>anteilig 2021</v>
      </c>
      <c r="M40" s="1138" t="s">
        <v>140</v>
      </c>
      <c r="N40" s="1138"/>
      <c r="O40" s="1139"/>
      <c r="P40" s="27">
        <f>ROUND(IF(F40="",IF(E44="",0,(E44*H44/K44)/L7*L8),G38*F40*H40/1000),2)</f>
        <v>0</v>
      </c>
    </row>
    <row r="41" spans="1:16" s="1" customFormat="1" ht="15" customHeight="1" x14ac:dyDescent="0.2">
      <c r="A41" s="1140" t="s">
        <v>145</v>
      </c>
      <c r="B41" s="1141"/>
      <c r="C41" s="1141"/>
      <c r="D41" s="18"/>
      <c r="E41" s="107" t="s">
        <v>135</v>
      </c>
      <c r="F41" s="95" t="str">
        <f>IF(IF(G38=0,"",'päd.Personal - Leitung'!$F$41)=0,"",IF(G38=0,"",'päd.Personal - Leitung'!$F$41))</f>
        <v/>
      </c>
      <c r="G41" s="48"/>
      <c r="H41" s="47"/>
      <c r="I41" s="48"/>
      <c r="J41" s="195" t="s">
        <v>158</v>
      </c>
      <c r="K41" s="198">
        <f>'päd.Personal - Leitung'!$K$41</f>
        <v>4837.5</v>
      </c>
      <c r="L41" s="197">
        <f>IF(L7="",K41,K41/L7*L8)</f>
        <v>4837.5</v>
      </c>
      <c r="M41" s="1138" t="s">
        <v>139</v>
      </c>
      <c r="N41" s="1138"/>
      <c r="O41" s="1139"/>
      <c r="P41" s="27">
        <f>ROUND(IF(F41="",0,G38*F41/1000),2)</f>
        <v>0</v>
      </c>
    </row>
    <row r="42" spans="1:16" s="1" customFormat="1" ht="15.75" customHeight="1" x14ac:dyDescent="0.2">
      <c r="A42" s="1142" t="s">
        <v>141</v>
      </c>
      <c r="B42" s="1143"/>
      <c r="C42" s="1143"/>
      <c r="D42" s="1144" t="s">
        <v>143</v>
      </c>
      <c r="E42" s="1144"/>
      <c r="F42" s="1145" t="str">
        <f>IF(IF(G38=0,"",'päd.Personal - Leitung'!$F$42)=0,"",IF(G38=0,"",'päd.Personal - Leitung'!$F$42))</f>
        <v/>
      </c>
      <c r="G42" s="1145"/>
      <c r="H42" s="72"/>
      <c r="I42" s="18"/>
      <c r="J42" s="195" t="s">
        <v>159</v>
      </c>
      <c r="K42" s="198">
        <f>'päd.Personal - Leitung'!$K$42</f>
        <v>6700</v>
      </c>
      <c r="L42" s="197">
        <f>IF(L7="",K42,K42/L7*L8)</f>
        <v>6700</v>
      </c>
      <c r="M42" s="1138" t="s">
        <v>141</v>
      </c>
      <c r="N42" s="1138"/>
      <c r="O42" s="1139"/>
      <c r="P42" s="23">
        <f>ROUND(IF(F42="",0,IF(G38=0,0,F42/L7*L8)),2)</f>
        <v>0</v>
      </c>
    </row>
    <row r="43" spans="1:16" s="1" customFormat="1" ht="14.25" customHeight="1" x14ac:dyDescent="0.2">
      <c r="A43" s="18"/>
      <c r="B43" s="18"/>
      <c r="C43" s="18"/>
      <c r="D43" s="18"/>
      <c r="E43" s="18"/>
      <c r="F43" s="18"/>
      <c r="G43" s="18"/>
      <c r="H43" s="18"/>
      <c r="I43" s="18"/>
      <c r="J43" s="18"/>
      <c r="K43" s="74"/>
      <c r="L43" s="82"/>
      <c r="M43" s="1127" t="s">
        <v>146</v>
      </c>
      <c r="N43" s="1127"/>
      <c r="O43" s="1128"/>
      <c r="P43" s="23">
        <f>ROUND(IF(G38=0,0,'päd.Personal - Leitung'!$P$43),2)</f>
        <v>0</v>
      </c>
    </row>
    <row r="44" spans="1:16" s="1" customFormat="1" ht="14.25" customHeight="1" x14ac:dyDescent="0.2">
      <c r="A44" s="1129" t="s">
        <v>142</v>
      </c>
      <c r="B44" s="1130"/>
      <c r="C44" s="133" t="s">
        <v>136</v>
      </c>
      <c r="D44" s="133" t="s">
        <v>137</v>
      </c>
      <c r="E44" s="1131" t="str">
        <f>IF(IF(G38=0,"",'päd.Personal - Leitung'!$E$44)=0,"",IF(G38=0,"",'päd.Personal - Leitung'!$E$44))</f>
        <v/>
      </c>
      <c r="F44" s="1131"/>
      <c r="G44" s="83" t="s">
        <v>138</v>
      </c>
      <c r="H44" s="97" t="str">
        <f>IF(IF(G38=0,"",'päd.Personal - Leitung'!$H$44)=0,"",IF(G38=0,"",'päd.Personal - Leitung'!$H$44))</f>
        <v/>
      </c>
      <c r="I44" s="1132" t="s">
        <v>144</v>
      </c>
      <c r="J44" s="1132"/>
      <c r="K44" s="98" t="str">
        <f>IF(IF(G38=0,"",'päd.Personal - Leitung'!$K$44)=0,"",IF(G38=0,"",'päd.Personal - Leitung'!$K$44))</f>
        <v/>
      </c>
      <c r="L44" s="29"/>
      <c r="M44" s="29"/>
      <c r="N44" s="29"/>
      <c r="O44" s="28" t="s">
        <v>0</v>
      </c>
      <c r="P44" s="27">
        <f>P38+SUM(P40:P43)</f>
        <v>0</v>
      </c>
    </row>
    <row r="45" spans="1:16" s="12" customFormat="1" ht="13.5" customHeight="1" x14ac:dyDescent="0.2">
      <c r="A45" s="1178" t="s">
        <v>18</v>
      </c>
      <c r="B45" s="1178"/>
      <c r="C45" s="1178"/>
      <c r="D45" s="1179" t="str">
        <f>IF($D$1="","",$D$1)</f>
        <v/>
      </c>
      <c r="E45" s="1179"/>
      <c r="F45" s="1179"/>
      <c r="G45" s="1179"/>
      <c r="H45" s="1179"/>
      <c r="I45" s="1179"/>
      <c r="J45" s="1179"/>
      <c r="K45" s="1179"/>
      <c r="L45" s="1179"/>
      <c r="M45" s="1179"/>
      <c r="N45" s="1179"/>
    </row>
    <row r="46" spans="1:16" s="12" customFormat="1" ht="15" customHeight="1" x14ac:dyDescent="0.2">
      <c r="A46" s="1178" t="s">
        <v>17</v>
      </c>
      <c r="B46" s="1178"/>
      <c r="C46" s="1178" t="s">
        <v>15</v>
      </c>
      <c r="D46" s="1179" t="str">
        <f>IF($D$2="","",$D$2)</f>
        <v/>
      </c>
      <c r="E46" s="1179"/>
      <c r="F46" s="1179"/>
      <c r="G46" s="1179"/>
      <c r="H46" s="1179"/>
      <c r="I46" s="1179"/>
      <c r="J46" s="1179"/>
      <c r="K46" s="1179"/>
      <c r="L46" s="1179"/>
      <c r="M46" s="1179"/>
      <c r="N46" s="1179"/>
    </row>
    <row r="47" spans="1:16" s="12" customFormat="1" ht="15" customHeight="1" x14ac:dyDescent="0.2">
      <c r="A47" s="1178" t="s">
        <v>16</v>
      </c>
      <c r="B47" s="1178"/>
      <c r="C47" s="1178" t="s">
        <v>15</v>
      </c>
      <c r="D47" s="1179" t="str">
        <f>IF($D$3="","",$D$3)</f>
        <v/>
      </c>
      <c r="E47" s="1179"/>
      <c r="F47" s="1179"/>
      <c r="G47" s="1179"/>
      <c r="H47" s="1179"/>
      <c r="I47" s="1179"/>
      <c r="J47" s="1179"/>
      <c r="K47" s="1178" t="s">
        <v>103</v>
      </c>
      <c r="L47" s="1178"/>
      <c r="M47" s="1178"/>
      <c r="N47" s="41" t="str">
        <f>IF($N$3="","",$N$3)</f>
        <v/>
      </c>
    </row>
    <row r="48" spans="1:16" s="13" customFormat="1" ht="11.25" x14ac:dyDescent="0.2">
      <c r="A48" s="1182"/>
      <c r="B48" s="1182"/>
      <c r="C48" s="1182"/>
      <c r="D48" s="1183"/>
      <c r="E48" s="1183"/>
      <c r="F48" s="1183"/>
      <c r="G48" s="1183"/>
      <c r="H48" s="1183"/>
      <c r="I48" s="1183"/>
      <c r="J48" s="1183"/>
      <c r="K48" s="11"/>
      <c r="L48" s="11"/>
      <c r="M48" s="11"/>
      <c r="N48" s="11"/>
      <c r="O48" s="11"/>
      <c r="P48" s="11"/>
    </row>
    <row r="49" spans="1:16" s="15" customFormat="1" ht="13.5" customHeight="1" x14ac:dyDescent="0.2">
      <c r="A49" s="1177" t="s">
        <v>181</v>
      </c>
      <c r="B49" s="1177"/>
      <c r="C49" s="1177"/>
      <c r="D49" s="1177"/>
      <c r="E49" s="1177"/>
      <c r="F49" s="1177"/>
      <c r="G49" s="1177"/>
      <c r="H49" s="1177"/>
      <c r="I49" s="1177"/>
      <c r="J49" s="1177"/>
      <c r="K49" s="1177"/>
      <c r="L49" s="1177"/>
      <c r="M49" s="1177"/>
      <c r="N49" s="59" t="s">
        <v>154</v>
      </c>
      <c r="O49" s="191">
        <f>$O$5</f>
        <v>2022</v>
      </c>
      <c r="P49" s="59" t="s">
        <v>154</v>
      </c>
    </row>
    <row r="50" spans="1:16" s="10" customFormat="1" ht="13.5" customHeight="1" x14ac:dyDescent="0.25">
      <c r="B50" s="32"/>
      <c r="C50" s="32"/>
      <c r="D50" s="5" t="s">
        <v>182</v>
      </c>
      <c r="E50" s="31"/>
      <c r="F50" s="31"/>
      <c r="G50" s="31"/>
      <c r="H50" s="31"/>
      <c r="I50" s="26"/>
      <c r="J50" s="1174" t="s">
        <v>14</v>
      </c>
      <c r="K50" s="1174"/>
      <c r="L50" s="180"/>
      <c r="N50" s="84">
        <f>IF(L52="","",L52)</f>
        <v>0</v>
      </c>
      <c r="O50" s="58" t="str">
        <f>$O$6</f>
        <v>Jan                Jul</v>
      </c>
      <c r="P50" s="85">
        <f>IF(N55="","",N55)</f>
        <v>0</v>
      </c>
    </row>
    <row r="51" spans="1:16" s="7" customFormat="1" ht="13.5" customHeight="1" x14ac:dyDescent="0.25">
      <c r="A51" s="1180" t="s">
        <v>71</v>
      </c>
      <c r="B51" s="1180"/>
      <c r="C51" s="1180"/>
      <c r="D51" s="1184"/>
      <c r="E51" s="1184"/>
      <c r="F51" s="1184"/>
      <c r="G51" s="1184"/>
      <c r="H51" s="1184"/>
      <c r="I51" s="1184"/>
      <c r="J51" s="1174" t="s">
        <v>104</v>
      </c>
      <c r="K51" s="1174"/>
      <c r="L51" s="145"/>
      <c r="N51" s="85">
        <f>IF(N50="","",N50)</f>
        <v>0</v>
      </c>
      <c r="O51" s="58" t="str">
        <f>$O$7</f>
        <v>Feb              Aug</v>
      </c>
      <c r="P51" s="85">
        <f>IF(P50="","",P50)</f>
        <v>0</v>
      </c>
    </row>
    <row r="52" spans="1:16" s="1" customFormat="1" ht="13.5" customHeight="1" x14ac:dyDescent="0.2">
      <c r="A52" s="1180" t="s">
        <v>13</v>
      </c>
      <c r="B52" s="1180"/>
      <c r="C52" s="1180"/>
      <c r="D52" s="1181"/>
      <c r="E52" s="1181"/>
      <c r="F52" s="1181"/>
      <c r="G52" s="1181"/>
      <c r="H52" s="1181"/>
      <c r="I52" s="1181"/>
      <c r="J52" s="1174" t="s">
        <v>164</v>
      </c>
      <c r="K52" s="1174"/>
      <c r="L52" s="145">
        <f>IF((L53+L54)&gt;L51,0,L51-L53-L54)</f>
        <v>0</v>
      </c>
      <c r="N52" s="85">
        <f>IF(N51="","",N51)</f>
        <v>0</v>
      </c>
      <c r="O52" s="58" t="str">
        <f>$O$8</f>
        <v>Mrz              Sep</v>
      </c>
      <c r="P52" s="85">
        <f>IF(P51="","",P51)</f>
        <v>0</v>
      </c>
    </row>
    <row r="53" spans="1:16" s="1" customFormat="1" ht="13.5" customHeight="1" x14ac:dyDescent="0.2">
      <c r="A53" s="1180" t="s">
        <v>12</v>
      </c>
      <c r="B53" s="1180"/>
      <c r="C53" s="1180"/>
      <c r="D53" s="1181"/>
      <c r="E53" s="1181"/>
      <c r="F53" s="1181"/>
      <c r="G53" s="1181"/>
      <c r="H53" s="1181"/>
      <c r="I53" s="1181"/>
      <c r="J53" s="1174" t="s">
        <v>165</v>
      </c>
      <c r="K53" s="1174"/>
      <c r="L53" s="145"/>
      <c r="N53" s="85">
        <f>IF(N52="","",N52)</f>
        <v>0</v>
      </c>
      <c r="O53" s="58" t="str">
        <f>$O$9</f>
        <v>Apr               Okt</v>
      </c>
      <c r="P53" s="85">
        <f t="shared" ref="P53:P55" si="5">IF(P52="","",P52)</f>
        <v>0</v>
      </c>
    </row>
    <row r="54" spans="1:16" s="1" customFormat="1" ht="13.5" customHeight="1" x14ac:dyDescent="0.2">
      <c r="A54" s="1180" t="s">
        <v>19</v>
      </c>
      <c r="B54" s="1180"/>
      <c r="C54" s="1180"/>
      <c r="D54" s="1181"/>
      <c r="E54" s="1181"/>
      <c r="F54" s="1181"/>
      <c r="G54" s="1181"/>
      <c r="H54" s="1181"/>
      <c r="I54" s="1181"/>
      <c r="J54" s="1174" t="s">
        <v>252</v>
      </c>
      <c r="K54" s="1174"/>
      <c r="L54" s="145"/>
      <c r="M54" s="92"/>
      <c r="N54" s="85">
        <f>IF(N53="","",N53)</f>
        <v>0</v>
      </c>
      <c r="O54" s="58" t="str">
        <f>$O$10</f>
        <v>Mai               Nov</v>
      </c>
      <c r="P54" s="85">
        <f t="shared" si="5"/>
        <v>0</v>
      </c>
    </row>
    <row r="55" spans="1:16" s="1" customFormat="1" ht="13.5" customHeight="1" x14ac:dyDescent="0.2">
      <c r="B55" s="8"/>
      <c r="C55" s="132" t="s">
        <v>162</v>
      </c>
      <c r="D55" s="1175"/>
      <c r="E55" s="1175"/>
      <c r="F55" s="1176" t="s">
        <v>110</v>
      </c>
      <c r="G55" s="1176"/>
      <c r="H55" s="1186"/>
      <c r="I55" s="1186"/>
      <c r="J55" s="1174" t="s">
        <v>97</v>
      </c>
      <c r="K55" s="1174"/>
      <c r="L55" s="17" t="str">
        <f>IF(IF((COUNTIF(B70:B81,"&gt;0"))=0,0,(COUNTIF(B70:B81,"&gt;0")))&gt;Grundlagen!$C$24,Grundlagen!$C$24,IF((COUNTIF(B70:B81,"&gt;0"))=0,"",(COUNTIF(B70:B81,"&gt;0"))))</f>
        <v/>
      </c>
      <c r="N55" s="85">
        <f>IF(N54="","",N54)</f>
        <v>0</v>
      </c>
      <c r="O55" s="58" t="str">
        <f>'päd.Personal - Leitung'!$O$11</f>
        <v>Jun               Dez</v>
      </c>
      <c r="P55" s="85">
        <f t="shared" si="5"/>
        <v>0</v>
      </c>
    </row>
    <row r="56" spans="1:16" s="1" customFormat="1" ht="13.5" customHeight="1" x14ac:dyDescent="0.2">
      <c r="F56" s="1176" t="s">
        <v>180</v>
      </c>
      <c r="G56" s="1176"/>
      <c r="H56" s="1186"/>
      <c r="I56" s="1186"/>
      <c r="L56" s="147" t="str">
        <f>IF((SUM(F58:F61))=0,"",IF(P56&gt;L52,L52,IF(L52="","",IF(L55="","",P56))))</f>
        <v/>
      </c>
      <c r="O56" s="174" t="s">
        <v>251</v>
      </c>
      <c r="P56" s="175">
        <f>IF(L55="",0,((IF(SUMIF(B70,"&gt;0"),N50,0))+(IF(SUMIF(B71,"&gt;0"),N51,0))+(IF(SUMIF(B72,"&gt;0"),N52,0))+(IF(SUMIF(B73,"&gt;0"),N53,0))+(IF(SUMIF(B74,"&gt;0"),N54,0))+(IF(SUMIF(B75,"&gt;0"),N55,0))+(IF(SUMIF(B76,"&gt;0"),P50,0))+(IF(SUMIF(B77,"&gt;0"),P51,0))+(IF(SUMIF(B78,"&gt;0"),P52,0))+(IF(SUMIF(B79,"&gt;0"),P53,0))+(IF(SUMIF(B80,"&gt;0"),P54,0))+(IF(SUMIF(B81,"&gt;0"),P55,0)))/Grundlagen!$C$24)</f>
        <v>0</v>
      </c>
    </row>
    <row r="57" spans="1:16" s="52" customFormat="1" ht="13.5" customHeight="1" x14ac:dyDescent="0.2">
      <c r="A57" s="61" t="s">
        <v>148</v>
      </c>
      <c r="B57" s="1168" t="s">
        <v>149</v>
      </c>
      <c r="C57" s="1168"/>
      <c r="D57" s="62" t="s">
        <v>150</v>
      </c>
      <c r="E57" s="63" t="s">
        <v>151</v>
      </c>
      <c r="F57" s="64" t="str">
        <f>CONCATENATE("Entg. ",N47," h/Wo")</f>
        <v>Entg.  h/Wo</v>
      </c>
      <c r="G57" s="65" t="s">
        <v>152</v>
      </c>
      <c r="H57" s="65" t="s">
        <v>153</v>
      </c>
      <c r="K57" s="1169" t="str">
        <f>CONCATENATE("Zuschläge / Zulagen für ",N47,"h/Wo")</f>
        <v>Zuschläge / Zulagen für h/Wo</v>
      </c>
      <c r="L57" s="1169"/>
      <c r="M57" s="66" t="str">
        <f>IF(A58="","",A58)</f>
        <v>Jan 2022</v>
      </c>
      <c r="N57" s="66" t="str">
        <f>IF(A59="","",A59)</f>
        <v/>
      </c>
      <c r="O57" s="66" t="str">
        <f>IF(A60="","",A60)</f>
        <v/>
      </c>
      <c r="P57" s="66" t="str">
        <f>IF(A61="","",A61)</f>
        <v/>
      </c>
    </row>
    <row r="58" spans="1:16" s="52" customFormat="1" ht="13.5" customHeight="1" x14ac:dyDescent="0.25">
      <c r="A58" s="54" t="str">
        <f>A70</f>
        <v>Jan 2022</v>
      </c>
      <c r="B58" s="1170" t="str">
        <f>IF($D$3="","",$D$3)</f>
        <v/>
      </c>
      <c r="C58" s="1171"/>
      <c r="D58" s="181"/>
      <c r="E58" s="181"/>
      <c r="F58" s="87"/>
      <c r="G58" s="56">
        <f>IF(N47="",0,F58/N47/4.348)</f>
        <v>0</v>
      </c>
      <c r="H58" s="53">
        <f>IF(G58=0,0,M63)</f>
        <v>0</v>
      </c>
      <c r="K58" s="1146"/>
      <c r="L58" s="1146"/>
      <c r="M58" s="86"/>
      <c r="N58" s="86"/>
      <c r="O58" s="86"/>
      <c r="P58" s="86"/>
    </row>
    <row r="59" spans="1:16" s="52" customFormat="1" ht="13.5" customHeight="1" x14ac:dyDescent="0.25">
      <c r="A59" s="55"/>
      <c r="B59" s="1172" t="str">
        <f>IF(A59="","",B58)</f>
        <v/>
      </c>
      <c r="C59" s="1173"/>
      <c r="D59" s="181"/>
      <c r="E59" s="181"/>
      <c r="F59" s="87"/>
      <c r="G59" s="56">
        <f>IF(N47="",0,F59/N47/4.348)</f>
        <v>0</v>
      </c>
      <c r="H59" s="53">
        <f>IF(G59=0,0,N63)</f>
        <v>0</v>
      </c>
      <c r="K59" s="1146"/>
      <c r="L59" s="1146"/>
      <c r="M59" s="86"/>
      <c r="N59" s="86"/>
      <c r="O59" s="86"/>
      <c r="P59" s="86"/>
    </row>
    <row r="60" spans="1:16" s="52" customFormat="1" ht="13.5" customHeight="1" x14ac:dyDescent="0.25">
      <c r="A60" s="55"/>
      <c r="B60" s="1172" t="str">
        <f>IF(A60="","",B59)</f>
        <v/>
      </c>
      <c r="C60" s="1173"/>
      <c r="D60" s="181"/>
      <c r="E60" s="181"/>
      <c r="F60" s="87"/>
      <c r="G60" s="56">
        <f>IF(N47="",0,F60/N47/4.348)</f>
        <v>0</v>
      </c>
      <c r="H60" s="53">
        <f>IF(G60=0,0,O63)</f>
        <v>0</v>
      </c>
      <c r="K60" s="1146"/>
      <c r="L60" s="1146"/>
      <c r="M60" s="86"/>
      <c r="N60" s="86"/>
      <c r="O60" s="86"/>
      <c r="P60" s="86"/>
    </row>
    <row r="61" spans="1:16" s="52" customFormat="1" ht="13.5" customHeight="1" x14ac:dyDescent="0.25">
      <c r="A61" s="55"/>
      <c r="B61" s="1172" t="str">
        <f>IF(A61="","",B60)</f>
        <v/>
      </c>
      <c r="C61" s="1173"/>
      <c r="D61" s="181"/>
      <c r="E61" s="181"/>
      <c r="F61" s="87"/>
      <c r="G61" s="56">
        <f>IF(N47="",0,F61/N47/4.348)</f>
        <v>0</v>
      </c>
      <c r="H61" s="53">
        <f>IF(G61=0,0,P63)</f>
        <v>0</v>
      </c>
      <c r="K61" s="1146"/>
      <c r="L61" s="1146"/>
      <c r="M61" s="86"/>
      <c r="N61" s="86"/>
      <c r="O61" s="86"/>
      <c r="P61" s="86"/>
    </row>
    <row r="62" spans="1:16" s="52" customFormat="1" ht="13.5" customHeight="1" x14ac:dyDescent="0.25">
      <c r="B62" s="1167" t="s">
        <v>157</v>
      </c>
      <c r="C62" s="1167"/>
      <c r="E62" s="1167" t="s">
        <v>156</v>
      </c>
      <c r="F62" s="1167"/>
      <c r="J62" s="69"/>
      <c r="K62" s="1146"/>
      <c r="L62" s="1146"/>
      <c r="M62" s="86"/>
      <c r="N62" s="86"/>
      <c r="O62" s="86"/>
      <c r="P62" s="86"/>
    </row>
    <row r="63" spans="1:16" s="52" customFormat="1" ht="13.5" customHeight="1" x14ac:dyDescent="0.25">
      <c r="A63" s="70" t="s">
        <v>167</v>
      </c>
      <c r="B63" s="67"/>
      <c r="C63" s="99" t="str">
        <f>IF(C19="","",C19)</f>
        <v/>
      </c>
      <c r="D63" s="70" t="s">
        <v>167</v>
      </c>
      <c r="E63" s="67"/>
      <c r="F63" s="99" t="str">
        <f>IF(F19="","",F19)</f>
        <v/>
      </c>
      <c r="J63" s="68"/>
      <c r="M63" s="57">
        <f>SUM(M58:M62)</f>
        <v>0</v>
      </c>
      <c r="N63" s="57">
        <f t="shared" ref="N63:P63" si="6">SUM(N58:N62)</f>
        <v>0</v>
      </c>
      <c r="O63" s="57">
        <f t="shared" si="6"/>
        <v>0</v>
      </c>
      <c r="P63" s="57">
        <f t="shared" si="6"/>
        <v>0</v>
      </c>
    </row>
    <row r="64" spans="1:16" s="52" customFormat="1" ht="13.5" customHeight="1" x14ac:dyDescent="0.2">
      <c r="A64" s="60" t="s">
        <v>155</v>
      </c>
    </row>
    <row r="65" spans="1:16" ht="14.25" customHeight="1" x14ac:dyDescent="0.2">
      <c r="A65" s="1147"/>
      <c r="B65" s="1149" t="s">
        <v>9</v>
      </c>
      <c r="C65" s="1150"/>
      <c r="D65" s="1150"/>
      <c r="E65" s="1150"/>
      <c r="F65" s="1150"/>
      <c r="G65" s="1151"/>
      <c r="H65" s="1152" t="s">
        <v>119</v>
      </c>
      <c r="I65" s="1153"/>
      <c r="J65" s="1153"/>
      <c r="K65" s="1153"/>
      <c r="L65" s="1153"/>
      <c r="M65" s="1153"/>
      <c r="N65" s="1195" t="s">
        <v>112</v>
      </c>
      <c r="O65" s="33"/>
      <c r="P65" s="1154" t="s">
        <v>0</v>
      </c>
    </row>
    <row r="66" spans="1:16" ht="14.25" customHeight="1" x14ac:dyDescent="0.2">
      <c r="A66" s="1148"/>
      <c r="B66" s="1157" t="s">
        <v>117</v>
      </c>
      <c r="C66" s="130" t="s">
        <v>115</v>
      </c>
      <c r="D66" s="1159" t="s">
        <v>277</v>
      </c>
      <c r="E66" s="1161" t="s">
        <v>147</v>
      </c>
      <c r="F66" s="134" t="s">
        <v>7</v>
      </c>
      <c r="G66" s="1162" t="s">
        <v>6</v>
      </c>
      <c r="H66" s="1161" t="s">
        <v>129</v>
      </c>
      <c r="I66" s="1161" t="s">
        <v>111</v>
      </c>
      <c r="J66" s="1161" t="s">
        <v>5</v>
      </c>
      <c r="K66" s="1161" t="s">
        <v>4</v>
      </c>
      <c r="L66" s="1161" t="s">
        <v>3</v>
      </c>
      <c r="M66" s="1161" t="s">
        <v>98</v>
      </c>
      <c r="N66" s="1196"/>
      <c r="O66" s="1160" t="s">
        <v>114</v>
      </c>
      <c r="P66" s="1155"/>
    </row>
    <row r="67" spans="1:16" ht="14.25" customHeight="1" x14ac:dyDescent="0.2">
      <c r="A67" s="1148"/>
      <c r="B67" s="1157"/>
      <c r="C67" s="21" t="str">
        <f>IF(C63="","",C63)</f>
        <v/>
      </c>
      <c r="D67" s="1160"/>
      <c r="E67" s="1161"/>
      <c r="F67" s="1165" t="str">
        <f>IF(H58=0,"","siehe Zuschläge / Zulagen")</f>
        <v/>
      </c>
      <c r="G67" s="1162"/>
      <c r="H67" s="1164" t="s">
        <v>127</v>
      </c>
      <c r="I67" s="1161"/>
      <c r="J67" s="1164"/>
      <c r="K67" s="1164"/>
      <c r="L67" s="1164"/>
      <c r="M67" s="1161"/>
      <c r="N67" s="1196"/>
      <c r="O67" s="1160"/>
      <c r="P67" s="1155"/>
    </row>
    <row r="68" spans="1:16" x14ac:dyDescent="0.2">
      <c r="A68" s="1148"/>
      <c r="B68" s="1157"/>
      <c r="C68" s="128" t="s">
        <v>70</v>
      </c>
      <c r="D68" s="1160"/>
      <c r="E68" s="1161"/>
      <c r="F68" s="1165"/>
      <c r="G68" s="1162"/>
      <c r="H68" s="43" t="s">
        <v>128</v>
      </c>
      <c r="I68" s="1161"/>
      <c r="J68" s="43" t="s">
        <v>255</v>
      </c>
      <c r="K68" s="43" t="s">
        <v>256</v>
      </c>
      <c r="L68" s="43" t="s">
        <v>257</v>
      </c>
      <c r="M68" s="1161"/>
      <c r="N68" s="1196"/>
      <c r="O68" s="1160"/>
      <c r="P68" s="1155"/>
    </row>
    <row r="69" spans="1:16" x14ac:dyDescent="0.2">
      <c r="A69" s="1148"/>
      <c r="B69" s="1158"/>
      <c r="C69" s="21" t="str">
        <f>IF(F63="","",F63)</f>
        <v/>
      </c>
      <c r="D69" s="51"/>
      <c r="E69" s="51"/>
      <c r="F69" s="1166"/>
      <c r="G69" s="1163"/>
      <c r="H69" s="93"/>
      <c r="I69" s="21"/>
      <c r="J69" s="139">
        <f>$J$25</f>
        <v>0</v>
      </c>
      <c r="K69" s="139">
        <f>$K$25</f>
        <v>0</v>
      </c>
      <c r="L69" s="44">
        <f>$L$25</f>
        <v>0</v>
      </c>
      <c r="M69" s="21"/>
      <c r="N69" s="21"/>
      <c r="O69" s="21">
        <f>O25</f>
        <v>0</v>
      </c>
      <c r="P69" s="1156"/>
    </row>
    <row r="70" spans="1:16" x14ac:dyDescent="0.2">
      <c r="A70" s="100" t="str">
        <f>$A$26</f>
        <v>Jan 2022</v>
      </c>
      <c r="B70" s="24">
        <f>ROUND(IF(N50=0,0,(LOOKUP(2,1/(A58:A61=A70),G58:G61))*N50*4.348*50%),2)</f>
        <v>0</v>
      </c>
      <c r="C70" s="23">
        <f>ROUND(IFERROR(((LOOKUP(2,1/(B63=A70),((SUM(B76:B78)+SUM(F76:F78))/3)*C63))),0)+IFERROR(((LOOKUP(2,1/(E63=A70),(B82+F82)*F63))),0),2)</f>
        <v>0</v>
      </c>
      <c r="D70" s="23">
        <f>ROUND(IF(B70=0,0,D69/L51*N50*50%),2)</f>
        <v>0</v>
      </c>
      <c r="E70" s="23">
        <f>ROUND(IF(B70=0,0,E69/N47*N50*50%),2)</f>
        <v>0</v>
      </c>
      <c r="F70" s="24">
        <f>ROUND(IF(N50=0,0,(LOOKUP(2,1/(A58:A61=A70),H58:H61))/N47*N50*50%),2)</f>
        <v>0</v>
      </c>
      <c r="G70" s="27">
        <f>SUM(B70+C70+E70+F70)</f>
        <v>0</v>
      </c>
      <c r="H70" s="76">
        <f>ROUND(IF((SUM(B70:F70))&gt;L85,L85*H69,SUM(B70:F70)*H69),2)</f>
        <v>0</v>
      </c>
      <c r="I70" s="76">
        <f>ROUND(IF((SUM(B70:F70)*80%)&gt;((L86*1)*90%),((((L86*1)*90%)-((SUM(B70:F70)-C70))*I69)+((SUM(B70:F70)-C70)*I69)*80%),((SUM(B70:F70)-C70)*I69)*80%),2)</f>
        <v>0</v>
      </c>
      <c r="J70" s="76">
        <f>ROUND(IF((SUM(B70:F70))&gt;L86,L86*J69,SUM(B70:F70)*J69),2)</f>
        <v>0</v>
      </c>
      <c r="K70" s="76">
        <f>ROUND(IF((SUM(B70:F70))&gt;L86,L86*K69,SUM(B70:F70)*K69),2)</f>
        <v>0</v>
      </c>
      <c r="L70" s="76">
        <f>ROUND(IF((SUM(B70:F70))&gt;L85,L85*L69,SUM(B70:F70)*L69),2)</f>
        <v>0</v>
      </c>
      <c r="M70" s="76">
        <f>ROUND(IF((SUM(B70:F70))&gt;L86,L86*M69,(SUM(B70:F70)-C70)*M69),2)</f>
        <v>0</v>
      </c>
      <c r="N70" s="23">
        <f>ROUND((B70+E70+F70)*N69,2)</f>
        <v>0</v>
      </c>
      <c r="O70" s="23">
        <f>ROUND(SUM(B70+C70+F70)*O69,2)</f>
        <v>0</v>
      </c>
      <c r="P70" s="27">
        <f>SUM(G70:O70)</f>
        <v>0</v>
      </c>
    </row>
    <row r="71" spans="1:16" x14ac:dyDescent="0.2">
      <c r="A71" s="100" t="str">
        <f>$A$27</f>
        <v>Feb 2022</v>
      </c>
      <c r="B71" s="24">
        <f>ROUND(IF(N51=0,0,IFERROR(((LOOKUP(2,1/(A58:A61=A71),G58:G61))*N51*4.348*50%),B70/N51*N51)),2)</f>
        <v>0</v>
      </c>
      <c r="C71" s="23">
        <f>ROUND(IFERROR(((LOOKUP(2,1/(B63=A71),((SUM(B76:B78)+SUM(F76:F78))/3)*C63))),0)+IFERROR(((LOOKUP(2,1/(E63=A71),(B82+F82)*F63))),0),2)</f>
        <v>0</v>
      </c>
      <c r="D71" s="23">
        <f>ROUND(IF(B71=0,0,D69/L51*N51*50%),2)</f>
        <v>0</v>
      </c>
      <c r="E71" s="23">
        <f>ROUND(IF(B71=0,0,E69/N47*N51*50%),2)</f>
        <v>0</v>
      </c>
      <c r="F71" s="24">
        <f>ROUND(IF(N51=0,0,IFERROR(((LOOKUP(2,1/(A58:A61=A71),H58:H61))/N47*N51),F70/N51*N51*50%)),2)</f>
        <v>0</v>
      </c>
      <c r="G71" s="27">
        <f t="shared" ref="G71:G81" si="7">SUM(B71+C71+E71+F71)</f>
        <v>0</v>
      </c>
      <c r="H71" s="76">
        <f>ROUND(IF(SUM(B70:F70)&lt;(L85*1),IF((SUM(B70:F71))&gt;(L85*2),(((L85*2)-(SUM(B70:F71)-C70))*H69)+((SUM(B71:F71)-C70)*H69),SUM(B71:F71)*H69),IF(SUM(B70:F71)&gt;(L85*2),L85*H69,SUM(B71:F71)*H69)),2)</f>
        <v>0</v>
      </c>
      <c r="I71" s="76">
        <f>ROUND(IF((SUM(B70:F71)*80%)&gt;((L86*2)*90%),((((L86*2)*90%)-((SUM(B70:F71)-C71))*I69)+((SUM(B71:F71)-C71)*I69)*80%),((SUM(B71:F71)-C71)*I69)*80%),2)</f>
        <v>0</v>
      </c>
      <c r="J71" s="76">
        <f>ROUND(IF(SUM(B70:F70)&lt;(L86*1),IF((SUM(B70:F71))&gt;(L86*2),(((L86*2)-(SUM(B70:F71)-C70))*J69)+((SUM(B71:F71)-C70)*J69),SUM(B71:F71)*J69),IF(SUM(B70:F71)&gt;(L86*2),L86*J69,SUM(B71:F71)*J69)),2)</f>
        <v>0</v>
      </c>
      <c r="K71" s="76">
        <f>ROUND(IF(SUM(B70:F70)&lt;(L86*1),IF((SUM(B70:F71))&gt;(L86*2),(((L86*2)-(SUM(B70:F71)-C70))*K69)+((SUM(B71:F71)-C70)*K69),SUM(B71:F71)*K69),IF(SUM(B70:F71)&gt;(L86*2),L86*K69,SUM(B71:F71)*K69)),2)</f>
        <v>0</v>
      </c>
      <c r="L71" s="76">
        <f>ROUND(IF(SUM(B70:F70)&lt;(L85*1),IF((SUM(B70:F71))&gt;(L85*2),(((L85*2)-(SUM(B70:F71)-C70))*L69)+((SUM(B71:F71)-C70)*L69),SUM(B71:F71)*L69),IF(SUM(B70:F71)&gt;(L85*2),L85*L69,SUM(B71:F71)*L69)),2)</f>
        <v>0</v>
      </c>
      <c r="M71" s="76">
        <f>ROUND(IF(SUM(B70:F70)&lt;(L86*1),IF((SUM(B70:F71))&gt;(L86*2),(((L86*2)-(SUM(B70:F71)-C71))*M69)+((SUM(B71:F71)-C71)*M69),(SUM(B71:F71)-C71)*M69),IF(SUM(B70:F71)&gt;(L86*2),L86*M69,SUM(B71:F71)*M69)),2)</f>
        <v>0</v>
      </c>
      <c r="N71" s="23">
        <f>ROUND((B71+E71+F71)*N69,2)</f>
        <v>0</v>
      </c>
      <c r="O71" s="23">
        <f>ROUND(SUM(B71+C71+F71)*O69,2)</f>
        <v>0</v>
      </c>
      <c r="P71" s="27">
        <f t="shared" ref="P71:P80" si="8">SUM(G71:O71)</f>
        <v>0</v>
      </c>
    </row>
    <row r="72" spans="1:16" x14ac:dyDescent="0.2">
      <c r="A72" s="100" t="str">
        <f>$A$28</f>
        <v>Mrz 2022</v>
      </c>
      <c r="B72" s="24">
        <f>ROUND(IF(N52=0,0,IFERROR(((LOOKUP(2,1/(A58:A61=A72),G58:G61))*N52*4.348*50%),B71/N52*N52)),2)</f>
        <v>0</v>
      </c>
      <c r="C72" s="23">
        <f>ROUND(IFERROR(((LOOKUP(2,1/(B63=A72),((SUM(B76:B78)+SUM(F76:F78))/3)*C63))),0)+IFERROR(((LOOKUP(2,1/(E63=A72),(B82+F82)*F63))),0),2)</f>
        <v>0</v>
      </c>
      <c r="D72" s="23">
        <f>ROUND(IF(B72=0,0,D69/L51*N52*50%),2)</f>
        <v>0</v>
      </c>
      <c r="E72" s="23">
        <f>ROUND(IF(B72=0,0,E69/N47*N52*50%),2)</f>
        <v>0</v>
      </c>
      <c r="F72" s="24">
        <f>ROUND(IF(N52=0,0,IFERROR(((LOOKUP(2,1/(A58:A61=A72),H58:H61))/N47*N52),F71/N52*N52*50%)),2)</f>
        <v>0</v>
      </c>
      <c r="G72" s="27">
        <f t="shared" si="7"/>
        <v>0</v>
      </c>
      <c r="H72" s="76">
        <f>ROUND(IF(SUM(B70:F71)&lt;(L85*2),IF((SUM(B70:F72))&gt;(L85*3),(((L85*3)-(SUM(B70:F72)-C71))*H69)+((SUM(B72:F72)-C71)*H69),SUM(B72:F72)*H69),IF(SUM(B70:F72)&gt;(L85*3),L85*H69,SUM(B72:F72)*H69)),2)</f>
        <v>0</v>
      </c>
      <c r="I72" s="76">
        <f>ROUND(IF((SUM(B70:F72)*80%)&gt;((L86*3)*90%),((((L86*3)*90%)-((SUM(B70:F72)-C72))*I69)+((SUM(B72:F72)-C72)*I69)*80%),((SUM(B72:F72)-C72)*I69)*80%),2)</f>
        <v>0</v>
      </c>
      <c r="J72" s="76">
        <f>ROUND(IF(SUM(B70:F71)&lt;(L86*2),IF((SUM(B70:F72))&gt;(L86*3),(((L86*3)-(SUM(B70:F72)-C71))*J69)+((SUM(B72:F72)-C71)*J69),SUM(B72:F72)*J69),IF(SUM(B70:F72)&gt;(L86*3),L86*J69,SUM(B72:F72)*J69)),2)</f>
        <v>0</v>
      </c>
      <c r="K72" s="76">
        <f>ROUND(IF(SUM(B70:F71)&lt;(L86*2),IF((SUM(B70:F72))&gt;(L86*3),(((L86*3)-(SUM(B70:F72)-C71))*K69)+((SUM(B72:F72)-C71)*K69),SUM(B72:F72)*K69),IF(SUM(B70:F72)&gt;(L86*3),L86*K69,SUM(B72:F72)*K69)),2)</f>
        <v>0</v>
      </c>
      <c r="L72" s="76">
        <f>ROUND(IF(SUM(B70:F71)&lt;(L85*2),IF((SUM(B70:F72))&gt;(L85*3),(((L85*3)-(SUM(B70:F72)-C71))*L69)+((SUM(B72:F72)-C71)*L69),SUM(B72:F72)*L69),IF(SUM(B70:F72)&gt;(L85*3),L85*L69,SUM(B72:F72)*L69)),2)</f>
        <v>0</v>
      </c>
      <c r="M72" s="76">
        <f>ROUND(IF(SUM(B70:F71)&lt;(L86*2),IF((SUM(B70:F72))&gt;(L86*3),(((L86*3)-(SUM(B70:F72)-C72))*M69)+((SUM(B72:F72)-C72)*M69),(SUM(B72:F72)-C72)*M69),IF(SUM(B70:F72)&gt;(L86*3),L86*M69,SUM(B72:F72)*M69)),2)</f>
        <v>0</v>
      </c>
      <c r="N72" s="23">
        <f>ROUND((B72+E72+F72)*N69,2)</f>
        <v>0</v>
      </c>
      <c r="O72" s="23">
        <f>ROUND(SUM(B72+C72+F72)*O69,2)</f>
        <v>0</v>
      </c>
      <c r="P72" s="27">
        <f t="shared" si="8"/>
        <v>0</v>
      </c>
    </row>
    <row r="73" spans="1:16" ht="14.25" customHeight="1" x14ac:dyDescent="0.2">
      <c r="A73" s="100" t="str">
        <f>$A$29</f>
        <v>Apr 2022</v>
      </c>
      <c r="B73" s="24">
        <f>ROUND(IF(N53=0,0,IFERROR(((LOOKUP(2,1/(A58:A61=A73),G58:G61))*N53*4.348*50%),B72/N53*N53)),2)</f>
        <v>0</v>
      </c>
      <c r="C73" s="23">
        <f>ROUND(IFERROR(((LOOKUP(2,1/(B63=A73),((SUM(B76:B78)+SUM(F76:F78))/3)*C63))),0)+IFERROR(((LOOKUP(2,1/(E63=A73),(B82+F82)*F63))),0),2)</f>
        <v>0</v>
      </c>
      <c r="D73" s="23">
        <f>ROUND(IF(B73=0,0,D69/L51*N53*50%),2)</f>
        <v>0</v>
      </c>
      <c r="E73" s="23">
        <f>ROUND(IF(B73=0,0,E69/N47*N53*50%),2)</f>
        <v>0</v>
      </c>
      <c r="F73" s="24">
        <f>ROUND(IF(N53=0,0,IFERROR(((LOOKUP(2,1/(A58:A61=A73),H58:H61))/N47*N53),F72/N53*N53*50%)),2)</f>
        <v>0</v>
      </c>
      <c r="G73" s="27">
        <f t="shared" si="7"/>
        <v>0</v>
      </c>
      <c r="H73" s="76">
        <f>ROUND(IF(SUM(B70:F72)&lt;(L85*3),IF((SUM(B70:F73))&gt;(L85*4),(((L85*4)-(SUM(B70:F73)-C72))*H69)+((SUM(B73:F73)-C72)*H69),SUM(B73:F73)*H69),IF(SUM(B70:F73)&gt;(L85*4),L85*H69,SUM(B73:F73)*H69)),2)</f>
        <v>0</v>
      </c>
      <c r="I73" s="76">
        <f>ROUND(IF((SUM(B70:F73)*80%)&gt;((L86*4)*90%),((((L86*4)*90%)-((SUM(B70:F73)-C73))*I69)+((SUM(B73:F73)-C73)*I69)*80%),((SUM(B73:F73)-C73)*I69)*80%),2)</f>
        <v>0</v>
      </c>
      <c r="J73" s="76">
        <f>ROUND(IF(SUM(B70:F72)&lt;(L86*3),IF((SUM(B70:F73))&gt;(L86*4),(((L86*4)-(SUM(B70:F73)-C72))*J69)+((SUM(B73:F73)-C72)*J69),SUM(B73:F73)*J69),IF(SUM(B70:F73)&gt;(L86*4),L86*J69,SUM(B73:F73)*J69)),2)</f>
        <v>0</v>
      </c>
      <c r="K73" s="76">
        <f>ROUND(IF(SUM(B70:F72)&lt;(L86*3),IF((SUM(B70:F73))&gt;(L86*4),(((L86*4)-(SUM(B70:F73)-C72))*K69)+((SUM(B73:F73)-C72)*K69),SUM(B73:F73)*K69),IF(SUM(B70:F73)&gt;(L86*4),L86*K69,SUM(B73:F73)*K69)),2)</f>
        <v>0</v>
      </c>
      <c r="L73" s="76">
        <f>ROUND(IF(SUM(B70:F72)&lt;(L85*3),IF((SUM(B70:F73))&gt;(L85*4),(((L85*4)-(SUM(B70:F73)-C72))*L69)+((SUM(B73:F73)-C72)*L69),SUM(B73:F73)*L69),IF(SUM(B70:F73)&gt;(L85*4),L85*L69,SUM(B73:F73)*L69)),2)</f>
        <v>0</v>
      </c>
      <c r="M73" s="76">
        <f>ROUND(IF(SUM(B70:F72)&lt;(L86*3),IF((SUM(B70:F73))&gt;(L86*4),(((L86*4)-(SUM(B70:F73)-C73))*M69)+((SUM(B73:F73)-C73)*M69),(SUM(B73:F73)-C73)*M69),IF(SUM(B70:F73)&gt;(L86*4),L86*M69,SUM(B73:F73)*M69)),2)</f>
        <v>0</v>
      </c>
      <c r="N73" s="23">
        <f>ROUND((B73+E73+F73)*N69,2)</f>
        <v>0</v>
      </c>
      <c r="O73" s="23">
        <f>ROUND(SUM(B73+C73+F73)*O69,2)</f>
        <v>0</v>
      </c>
      <c r="P73" s="27">
        <f t="shared" si="8"/>
        <v>0</v>
      </c>
    </row>
    <row r="74" spans="1:16" x14ac:dyDescent="0.2">
      <c r="A74" s="100" t="str">
        <f>$A$30</f>
        <v>Mai 2022</v>
      </c>
      <c r="B74" s="24">
        <f>ROUND(IF(N54=0,0,IFERROR(((LOOKUP(2,1/(A58:A61=A74),G58:G61))*N54*4.348*50%),B73/N54*N54)),2)</f>
        <v>0</v>
      </c>
      <c r="C74" s="23">
        <f>ROUND(IFERROR(((LOOKUP(2,1/(B63=A74),((SUM(B76:B78)+SUM(F76:F78))/3)*C63))),0)+IFERROR(((LOOKUP(2,1/(E63=A74),(B82+F82)*F63))),0),2)</f>
        <v>0</v>
      </c>
      <c r="D74" s="23">
        <f>ROUND(IF(B74=0,0,D69/L51*N54*50%),2)</f>
        <v>0</v>
      </c>
      <c r="E74" s="23">
        <f>ROUND(IF(B74=0,0,E69/N47*N54*50%),2)</f>
        <v>0</v>
      </c>
      <c r="F74" s="24">
        <f>ROUND(IF(N54=0,0,IFERROR(((LOOKUP(2,1/(A58:A61=A74),H58:H61))/N47*N54),F73/N54*N54*50%)),2)</f>
        <v>0</v>
      </c>
      <c r="G74" s="27">
        <f t="shared" si="7"/>
        <v>0</v>
      </c>
      <c r="H74" s="76">
        <f>ROUND(IF(SUM(B70:F73)&lt;(L85*4),IF((SUM(B70:F74))&gt;(L85*5),(((L85*5)-(SUM(B70:F74)-C73))*H69)+((SUM(B74:F74)-C73)*H69),SUM(B74:F74)*H69),IF(SUM(B70:F74)&gt;(L85*5),L85*H69,SUM(B74:F74)*H69)),2)</f>
        <v>0</v>
      </c>
      <c r="I74" s="76">
        <f>ROUND(IF((SUM(B70:F74)*80%)&gt;((L86*5)*90%),((((L86*5)*90%)-((SUM(B70:F74)-C74))*I69)+((SUM(B74:F74)-C74)*I69)*80%),((SUM(B74:F74)-C74)*I69)*80%),2)</f>
        <v>0</v>
      </c>
      <c r="J74" s="76">
        <f>ROUND(IF(SUM(B70:F73)&lt;(L86*4),IF((SUM(B70:F74))&gt;(L86*5),(((L86*5)-(SUM(B70:F74)-C73))*J69)+((SUM(B74:F74)-C73)*J69),SUM(B74:F74)*J69),IF(SUM(B70:F74)&gt;(L86*5),L86*J69,SUM(B74:F74)*J69)),2)</f>
        <v>0</v>
      </c>
      <c r="K74" s="76">
        <f>ROUND(IF(SUM(B70:F73)&lt;(L86*4),IF((SUM(B70:F74))&gt;(L86*5),(((L86*5)-(SUM(B70:F74)-C73))*K69)+((SUM(B74:F74)-C73)*K69),SUM(B74:F74)*K69),IF(SUM(B70:F74)&gt;(L86*5),L86*K69,SUM(B74:F74)*K69)),2)</f>
        <v>0</v>
      </c>
      <c r="L74" s="76">
        <f>ROUND(IF(SUM(B70:F73)&lt;(L85*4),IF((SUM(B70:F74))&gt;(L85*5),(((L85*5)-(SUM(B70:F74)-C73))*L69)+((SUM(B74:F74)-C73)*L69),SUM(B74:F74)*L69),IF(SUM(B70:F74)&gt;(L85*5),L85*L69,SUM(B74:F74)*L69)),2)</f>
        <v>0</v>
      </c>
      <c r="M74" s="76">
        <f>ROUND(IF(SUM(B70:F73)&lt;(L86*4),IF((SUM(B70:F74))&gt;(L86*5),(((L86*5)-(SUM(B70:F74)-C74))*M69)+((SUM(B74:F74)-C74)*M69),(SUM(B74:F74)-C74)*M69),IF(SUM(B70:F74)&gt;(L86*5),L86*M69,SUM(B74:F74)*M69)),2)</f>
        <v>0</v>
      </c>
      <c r="N74" s="23">
        <f>ROUND((B74+E74+F74)*N69,2)</f>
        <v>0</v>
      </c>
      <c r="O74" s="23">
        <f>ROUND(SUM(B74+C74+F74)*O69,2)</f>
        <v>0</v>
      </c>
      <c r="P74" s="27">
        <f t="shared" si="8"/>
        <v>0</v>
      </c>
    </row>
    <row r="75" spans="1:16" x14ac:dyDescent="0.2">
      <c r="A75" s="100" t="str">
        <f>$A$31</f>
        <v>Jun 2022</v>
      </c>
      <c r="B75" s="24">
        <f>ROUND(IF(N55=0,0,IFERROR(((LOOKUP(2,1/(A58:A61=A75),G58:G61))*N55*4.348*50%),B74/N55*N55)),2)</f>
        <v>0</v>
      </c>
      <c r="C75" s="23">
        <f>ROUND(IFERROR(((LOOKUP(2,1/(B63=A75),((SUM(B76:B78)+SUM(F76:F78))/3)*C63))),0)+IFERROR(((LOOKUP(2,1/(E63=A75),(B82+F82)*F63))),0),2)</f>
        <v>0</v>
      </c>
      <c r="D75" s="23">
        <f>ROUND(IF(B75=0,0,D69/L51*N55*50%),2)</f>
        <v>0</v>
      </c>
      <c r="E75" s="23">
        <f>ROUND(IF(B75=0,0,E69/N47*N55*50%),2)</f>
        <v>0</v>
      </c>
      <c r="F75" s="24">
        <f>ROUND(IF(N55=0,0,IFERROR(((LOOKUP(2,1/(A58:A61=A75),H58:H61))/N47*N55),F74/N55*N55*50%)),2)</f>
        <v>0</v>
      </c>
      <c r="G75" s="27">
        <f t="shared" si="7"/>
        <v>0</v>
      </c>
      <c r="H75" s="76">
        <f>ROUND(IF(SUM(B70:F74)&lt;(L85*5),IF((SUM(B70:F75))&gt;(L85*6),(((L85*6)-(SUM(B70:F75)-C74))*H69)+((SUM(B75:F75)-C74)*H69),SUM(B75:F75)*H69),IF(SUM(B70:F75)&gt;(L85*6),L85*H69,SUM(B75:F75)*H69)),2)</f>
        <v>0</v>
      </c>
      <c r="I75" s="76">
        <f>ROUND(IF((SUM(B70:F75)*80%)&gt;((L86*6)*90%),((((L86*6)*90%)-((SUM(B70:F75)-C75))*I69)+((SUM(B75:F75)-C75)*I69)*80%),((SUM(B75:F75)-C75)*I69)*80%),2)</f>
        <v>0</v>
      </c>
      <c r="J75" s="76">
        <f>ROUND(IF(SUM(B70:F74)&lt;(L86*5),IF((SUM(B70:F75))&gt;(L86*6),(((L86*6)-(SUM(B70:F75)-C74))*J69)+((SUM(B75:F75)-C74)*J69),SUM(B75:F75)*J69),IF(SUM(B70:F75)&gt;(L86*6),L86*J69,SUM(B75:F75)*J69)),2)</f>
        <v>0</v>
      </c>
      <c r="K75" s="76">
        <f>ROUND(IF(SUM(B70:F74)&lt;(L86*5),IF((SUM(B70:F75))&gt;(L86*6),(((L86*6)-(SUM(B70:F75)-C74))*K69)+((SUM(B75:F75)-C74)*K69),SUM(B75:F75)*K69),IF(SUM(B70:F75)&gt;(L86*6),L86*K69,SUM(B75:F75)*K69)),2)</f>
        <v>0</v>
      </c>
      <c r="L75" s="76">
        <f>ROUND(IF(SUM(B70:F74)&lt;(L85*5),IF((SUM(B70:F75))&gt;(L85*6),(((L85*6)-(SUM(B70:F75)-C74))*L69)+((SUM(B75:F75)-C74)*L69),SUM(B75:F75)*L69),IF(SUM(B70:F75)&gt;(L85*6),L85*L69,SUM(B75:F75)*L69)),2)</f>
        <v>0</v>
      </c>
      <c r="M75" s="76">
        <f>ROUND(IF(SUM(B70:F74)&lt;(L86*5),IF((SUM(B70:F75))&gt;(L86*6),(((L86*6)-(SUM(B70:F75)-C75))*M69)+((SUM(B75:F75)-C75)*M69),(SUM(B75:F75)-C75)*M69),IF(SUM(B70:F75)&gt;(L86*6),L86*M69,SUM(B75:F75)*M69)),2)</f>
        <v>0</v>
      </c>
      <c r="N75" s="23">
        <f>ROUND((B75+E75+F75)*N69,2)</f>
        <v>0</v>
      </c>
      <c r="O75" s="23">
        <f>ROUND(SUM(B75+C75+F75)*O69,2)</f>
        <v>0</v>
      </c>
      <c r="P75" s="27">
        <f t="shared" si="8"/>
        <v>0</v>
      </c>
    </row>
    <row r="76" spans="1:16" x14ac:dyDescent="0.2">
      <c r="A76" s="100" t="str">
        <f>$A$32</f>
        <v>Jul 2022</v>
      </c>
      <c r="B76" s="24">
        <f>ROUND(IF(P50=0,0,IFERROR(((LOOKUP(2,1/(A58:A61=A76),G58:G61))*P50*4.348*50%),B75/P50*P50)),2)</f>
        <v>0</v>
      </c>
      <c r="C76" s="23">
        <f>ROUND(IFERROR(((LOOKUP(2,1/(B63=A76),((SUM(B76:B78)+SUM(F76:F78))/3)*C63))),0)+IFERROR(((LOOKUP(2,1/(E63=A76),(B82+F82)*F63))),0),2)</f>
        <v>0</v>
      </c>
      <c r="D76" s="23">
        <f>ROUND(IF(B76=0,0,D69/L51*P50*50%),2)</f>
        <v>0</v>
      </c>
      <c r="E76" s="23">
        <f>ROUND(IF(B76=0,0,E69/N47*P50*50%),2)</f>
        <v>0</v>
      </c>
      <c r="F76" s="24">
        <f>ROUND(IF(P50=0,0,IFERROR(((LOOKUP(2,1/(A58:A61=A76),H58:H61))/N47*P50),F75/P50*P50*50%)),2)</f>
        <v>0</v>
      </c>
      <c r="G76" s="27">
        <f t="shared" si="7"/>
        <v>0</v>
      </c>
      <c r="H76" s="76">
        <f>ROUND(IF(SUM(B70:F75)&lt;(L85*6),IF((SUM(B70:F76))&gt;(L85*7),(((L85*7)-(SUM(B70:F76)-C75))*H69)+((SUM(B76:F76)-C75)*H69),SUM(B76:F76)*H69),IF(SUM(B70:F76)&gt;(L85*7),L85*H69,SUM(B76:F76)*H69)),2)</f>
        <v>0</v>
      </c>
      <c r="I76" s="76">
        <f>ROUND(IF((SUM(B70:F76)*80%)&gt;((L86*7)*90%),((((L86*7)*90%)-((SUM(B70:F76)-C76))*I69)+((SUM(B76:F76)-C76)*I69)*80%),((SUM(B76:F76)-C76)*I69)*80%),2)</f>
        <v>0</v>
      </c>
      <c r="J76" s="76">
        <f>ROUND(IF(SUM(B70:F75)&lt;(L86*6),IF((SUM(B70:F76))&gt;(L86*7),(((L86*7)-(SUM(B70:F76)-C75))*J69)+((SUM(B76:F76)-C75)*J69),SUM(B76:F76)*J69),IF(SUM(B70:F76)&gt;(L86*7),L86*J69,SUM(B76:F76)*J69)),2)</f>
        <v>0</v>
      </c>
      <c r="K76" s="76">
        <f>ROUND(IF(SUM(B70:F75)&lt;(L86*6),IF((SUM(B70:F76))&gt;(L86*7),(((L86*7)-(SUM(B70:F76)-C75))*K69)+((SUM(B76:F76)-C75)*K69),SUM(B76:F76)*K69),IF(SUM(B70:F76)&gt;(L86*7),L86*K69,SUM(B76:F76)*K69)),2)</f>
        <v>0</v>
      </c>
      <c r="L76" s="76">
        <f>ROUND(IF(SUM(B70:F75)&lt;(L85*6),IF((SUM(B70:F76))&gt;(L85*7),(((L85*7)-(SUM(B70:F76)-C75))*L69)+((SUM(B76:F76)-C75)*L69),SUM(B76:F76)*L69),IF(SUM(B70:F76)&gt;(L85*7),L85*L69,SUM(B76:F76)*L69)),2)</f>
        <v>0</v>
      </c>
      <c r="M76" s="76">
        <f>ROUND(IF(SUM(B70:F75)&lt;(L86*6),IF((SUM(B70:F76))&gt;(L86*7),(((L86*7)-(SUM(B70:F76)-C76))*M69)+((SUM(B76:F76)-C76)*M69),(SUM(B76:F76)-C76)*M69),IF(SUM(B70:F76)&gt;(L86*7),L86*M69,SUM(B76:F76)*M69)),2)</f>
        <v>0</v>
      </c>
      <c r="N76" s="23">
        <f>ROUND((B76+E76+F76)*N69,2)</f>
        <v>0</v>
      </c>
      <c r="O76" s="23">
        <f>ROUND(SUM(B76+C76+F76)*O69,2)</f>
        <v>0</v>
      </c>
      <c r="P76" s="27">
        <f t="shared" si="8"/>
        <v>0</v>
      </c>
    </row>
    <row r="77" spans="1:16" x14ac:dyDescent="0.2">
      <c r="A77" s="100" t="str">
        <f>$A$33</f>
        <v>Aug 2022</v>
      </c>
      <c r="B77" s="24">
        <f>ROUND(IF(P51=0,0,IFERROR(((LOOKUP(2,1/(A58:A61=A77),G58:G61))*P51*4.348*50%),B76/P51*P51)),2)</f>
        <v>0</v>
      </c>
      <c r="C77" s="23">
        <f>ROUND(IFERROR(((LOOKUP(2,1/(B63=A77),((SUM(B76:B78)+SUM(F76:F78))/3)*C63))),0)+IFERROR(((LOOKUP(2,1/(E63=A77),(B82+F82)*F63))),0),2)</f>
        <v>0</v>
      </c>
      <c r="D77" s="23">
        <f>ROUND(IF(B77=0,0,D69/L51*P51*50%),2)</f>
        <v>0</v>
      </c>
      <c r="E77" s="23">
        <f>ROUND(IF(B77=0,0,E69/N47*P51*50%),2)</f>
        <v>0</v>
      </c>
      <c r="F77" s="24">
        <f>ROUND(IF(P51=0,0,IFERROR(((LOOKUP(2,1/(A58:A61=A77),H58:H61))/N47*P51),F76/P51*P51*50%)),2)</f>
        <v>0</v>
      </c>
      <c r="G77" s="27">
        <f t="shared" si="7"/>
        <v>0</v>
      </c>
      <c r="H77" s="76">
        <f>ROUND(IF(SUM(B70:F76)&lt;(L85*7),IF((SUM(B70:F77))&gt;(L85*8),(((L85*8)-(SUM(B70:F77)-C76))*H69)+((SUM(B77:F77)-C76)*H69),SUM(B77:F77)*H69),IF(SUM(B70:F77)&gt;(L85*8),L85*H69,SUM(B77:F77)*H69)),2)</f>
        <v>0</v>
      </c>
      <c r="I77" s="76">
        <f>ROUND(IF((SUM(B70:F77)*80%)&gt;((L86*8)*90%),((((L86*8)*90%)-((SUM(B70:F77)-C77))*I69)+((SUM(B77:F77)-C77)*I69)*80%),((SUM(B77:F77)-C77)*I69)*80%),2)</f>
        <v>0</v>
      </c>
      <c r="J77" s="76">
        <f>ROUND(IF(SUM(B70:F76)&lt;(L86*7),IF((SUM(B70:F77))&gt;(L86*8),(((L86*8)-(SUM(B70:F77)-C76))*J69)+((SUM(B77:F77)-C76)*J69),SUM(B77:F77)*J69),IF(SUM(B70:F77)&gt;(L86*8),L86*J69,SUM(B77:F77)*J69)),2)</f>
        <v>0</v>
      </c>
      <c r="K77" s="76">
        <f>ROUND(IF(SUM(B70:F76)&lt;(L86*7),IF((SUM(B70:F77))&gt;(L86*8),(((L86*8)-(SUM(B70:F77)-C76))*K69)+((SUM(B77:F77)-C76)*K69),SUM(B77:F77)*K69),IF(SUM(B70:F77)&gt;(L86*8),L86*K69,SUM(B77:F77)*K69)),2)</f>
        <v>0</v>
      </c>
      <c r="L77" s="76">
        <f>ROUND(IF(SUM(B70:F76)&lt;(L85*7),IF((SUM(B70:F77))&gt;(L85*8),(((L85*8)-(SUM(B70:F77)-C76))*L69)+((SUM(B77:F77)-C76)*L69),SUM(B77:F77)*L69),IF(SUM(B70:F77)&gt;(L85*8),L85*L69,SUM(B77:F77)*L69)),2)</f>
        <v>0</v>
      </c>
      <c r="M77" s="76">
        <f>ROUND(IF(SUM(B70:F76)&lt;(L86*7),IF((SUM(B70:F77))&gt;(L86*8),(((L86*8)-(SUM(B70:F77)-C77))*M69)+((SUM(B77:F77)-C77)*M69),(SUM(B77:F77)-C77)*M69),IF(SUM(B70:F77)&gt;(L86*8),L86*M69,SUM(B77:F77)*M69)),2)</f>
        <v>0</v>
      </c>
      <c r="N77" s="23">
        <f>ROUND((B77+E77+F77)*N69,2)</f>
        <v>0</v>
      </c>
      <c r="O77" s="23">
        <f>ROUND(SUM(B77+C77+F77)*O69,2)</f>
        <v>0</v>
      </c>
      <c r="P77" s="27">
        <f t="shared" si="8"/>
        <v>0</v>
      </c>
    </row>
    <row r="78" spans="1:16" x14ac:dyDescent="0.2">
      <c r="A78" s="100" t="str">
        <f>$A$34</f>
        <v>Sep 2022</v>
      </c>
      <c r="B78" s="24">
        <f>ROUND(IF(P52=0,0,IFERROR(((LOOKUP(2,1/(A58:A61=A78),G58:G61))*P52*4.348*50%),B77/P52*P52)),2)</f>
        <v>0</v>
      </c>
      <c r="C78" s="23">
        <f>ROUND(IFERROR(((LOOKUP(2,1/(B63=A78),((SUM(B76:B78)+SUM(F76:F78))/3)*C63))),0)+IFERROR(((LOOKUP(2,1/(E63=A78),(B82+F82)*F63))),0),2)</f>
        <v>0</v>
      </c>
      <c r="D78" s="23">
        <f>ROUND(IF(B78=0,0,D69/L51*P52*50%),2)</f>
        <v>0</v>
      </c>
      <c r="E78" s="23">
        <f>ROUND(IF(B78=0,0,E69/N47*P52*50),2)</f>
        <v>0</v>
      </c>
      <c r="F78" s="24">
        <f>ROUND(IF(P52=0,0,IFERROR(((LOOKUP(2,1/(A58:A61=A78),H58:H61))/N47*P52),F77/P52*P52*50%)),2)</f>
        <v>0</v>
      </c>
      <c r="G78" s="27">
        <f t="shared" si="7"/>
        <v>0</v>
      </c>
      <c r="H78" s="76">
        <f>ROUND(IF(SUM(B70:F77)&lt;(L85*8),IF((SUM(B70:F78))&gt;(L85*9),(((L85*9)-(SUM(B70:F78)-C77))*H69)+((SUM(B78:F78)-C77)*H69),SUM(B78:F78)*H69),IF(SUM(B70:F78)&gt;(L85*9),L85*H69,SUM(B78:F78)*H69)),2)</f>
        <v>0</v>
      </c>
      <c r="I78" s="76">
        <f>ROUND(IF((SUM(B70:F78)*80%)&gt;((L86*9)*90%),((((L86*9)*90%)-((SUM(B70:F78)-C78))*I69)+((SUM(B78:F78)-C78)*I69)*80%),((SUM(B78:F78)-C78)*I69)*80%),2)</f>
        <v>0</v>
      </c>
      <c r="J78" s="76">
        <f>ROUND(IF(SUM(B70:F77)&lt;(L86*8),IF((SUM(B70:F78))&gt;(L86*9),(((L86*9)-(SUM(B70:F78)-C77))*J69)+((SUM(B78:F78)-C77)*J69),SUM(B78:F78)*J69),IF(SUM(B70:F78)&gt;(L86*9),L86*J69,SUM(B78:F78)*J69)),2)</f>
        <v>0</v>
      </c>
      <c r="K78" s="76">
        <f>ROUND(IF(SUM(B70:F77)&lt;(L86*8),IF((SUM(B70:F78))&gt;(L86*9),(((L86*9)-(SUM(B70:F78)-C77))*K69)+((SUM(B78:F78)-C77)*K69),SUM(B78:F78)*K69),IF(SUM(B70:F78)&gt;(L86*9),L86*K69,SUM(B78:F78)*K69)),2)</f>
        <v>0</v>
      </c>
      <c r="L78" s="76">
        <f>ROUND(IF(SUM(B70:F77)&lt;(L85*8),IF((SUM(B70:F78))&gt;(L85*9),(((L85*9)-(SUM(B70:F78)-C77))*L69)+((SUM(B78:F78)-C77)*L69),SUM(B78:F78)*L69),IF(SUM(B70:F78)&gt;(L85*9),L85*L69,SUM(B78:F78)*L69)),2)</f>
        <v>0</v>
      </c>
      <c r="M78" s="76">
        <f>ROUND(IF(SUM(B70:F77)&lt;(L86*8),IF((SUM(B70:F78))&gt;(L86*9),(((L86*9)-(SUM(B70:F78)-C78))*M69)+((SUM(B78:F78)-C78)*M69),(SUM(B78:F78)-C78)*M69),IF(SUM(B70:F78)&gt;(L86*9),L86*M69,SUM(B78:F78)*M69)),2)</f>
        <v>0</v>
      </c>
      <c r="N78" s="23">
        <f>ROUND((B78+E78+F78)*N69,2)</f>
        <v>0</v>
      </c>
      <c r="O78" s="23">
        <f>ROUND(SUM(B78+C78+F78)*O69,2)</f>
        <v>0</v>
      </c>
      <c r="P78" s="27">
        <f t="shared" si="8"/>
        <v>0</v>
      </c>
    </row>
    <row r="79" spans="1:16" x14ac:dyDescent="0.2">
      <c r="A79" s="100" t="str">
        <f>$A$35</f>
        <v>Okt 2022</v>
      </c>
      <c r="B79" s="24">
        <f>ROUND(IF(P53=0,0,IFERROR(((LOOKUP(2,1/(A58:A61=A79),G58:G61))*P53*4.348*50%),B78/P53*P53)),2)</f>
        <v>0</v>
      </c>
      <c r="C79" s="23">
        <f>ROUND(IFERROR(((LOOKUP(2,1/(B63=A79),((SUM(B76:B78)+SUM(F76:F78))/3)*C63))),0)+IFERROR(((LOOKUP(2,1/(E63=A79),(B82+F82)*F63))),0),2)</f>
        <v>0</v>
      </c>
      <c r="D79" s="23">
        <f>ROUND(IF(B79=0,0,D69/L51*P53*50%),2)</f>
        <v>0</v>
      </c>
      <c r="E79" s="23">
        <f>ROUND(IF(B79=0,0,E69/N47*P53*50%),2)</f>
        <v>0</v>
      </c>
      <c r="F79" s="24">
        <f>ROUND(IF(P53=0,0,IFERROR(((LOOKUP(2,1/(A58:A61=A79),H58:H61))/N47*P53),F78/P53*P53*50%)),2)</f>
        <v>0</v>
      </c>
      <c r="G79" s="27">
        <f t="shared" si="7"/>
        <v>0</v>
      </c>
      <c r="H79" s="76">
        <f>ROUND(IF(SUM(B70:F78)&lt;(L85*9),IF((SUM(B70:F79))&gt;(L85*10),(((L85*10)-(SUM(B70:F79)-C78))*H69)+((SUM(B79:F79)-C78)*H69),SUM(B79:F79)*H69),IF(SUM(B70:F79)&gt;(L85*10),L85*H69,SUM(B79:F79)*H69)),2)</f>
        <v>0</v>
      </c>
      <c r="I79" s="76">
        <f>ROUND(IF((SUM(B70:F79)*80%)&gt;((L86*10)*90%),((((L86*10)*90%)-((SUM(B70:F79)-C79))*I69)+((SUM(B79:F79)-C79)*I69)*80%),((SUM(B79:F79)-C79)*I69)*80%),2)</f>
        <v>0</v>
      </c>
      <c r="J79" s="76">
        <f>ROUND(IF(SUM(B70:F78)&lt;(L86*9),IF((SUM(B70:F79))&gt;(L86*10),(((L86*10)-(SUM(B70:F79)-C78))*J69)+((SUM(B79:F79)-C78)*J69),SUM(B79:F79)*J69),IF(SUM(B70:F79)&gt;(L86*10),L86*J69,SUM(B79:F79)*J69)),2)</f>
        <v>0</v>
      </c>
      <c r="K79" s="76">
        <f>ROUND(IF(SUM(B70:F78)&lt;(L86*9),IF((SUM(B70:F79))&gt;(L86*10),(((L86*10)-(SUM(B70:F79)-C78))*K69)+((SUM(B79:F79)-C78)*K69),SUM(B79:F79)*K69),IF(SUM(B70:F79)&gt;(L86*10),L86*K69,SUM(B79:F79)*K69)),2)</f>
        <v>0</v>
      </c>
      <c r="L79" s="76">
        <f>ROUND(IF(SUM(B70:F78)&lt;(L85*9),IF((SUM(B70:F79))&gt;(L85*10),(((L85*10)-(SUM(B70:F79)-C78))*L69)+((SUM(B79:F79)-C78)*L69),SUM(B79:F79)*L69),IF(SUM(B70:F79)&gt;(L85*10),L85*L69,SUM(B79:F79)*L69)),2)</f>
        <v>0</v>
      </c>
      <c r="M79" s="76">
        <f>ROUND(IF(SUM(B70:F78)&lt;(L86*9),IF((SUM(B70:F79))&gt;(L86*10),(((L86*10)-(SUM(B70:F79)-C79))*M69)+((SUM(B79:F79)-C79)*M69),(SUM(B79:F79)-C79)*M69),IF(SUM(B70:F79)&gt;(L86*10),L86*M69,SUM(B79:F79)*M69)),2)</f>
        <v>0</v>
      </c>
      <c r="N79" s="23">
        <f>ROUND((B79+E79+F79)*N69,2)</f>
        <v>0</v>
      </c>
      <c r="O79" s="23">
        <f>ROUND(SUM(B79+C79+F79)*O69,2)</f>
        <v>0</v>
      </c>
      <c r="P79" s="27">
        <f t="shared" si="8"/>
        <v>0</v>
      </c>
    </row>
    <row r="80" spans="1:16" x14ac:dyDescent="0.2">
      <c r="A80" s="100" t="str">
        <f>$A$36</f>
        <v>Nov 2022</v>
      </c>
      <c r="B80" s="24">
        <f>ROUND(IF(P54=0,0,IFERROR(((LOOKUP(2,1/(A58:A61=A80),G58:G61))*P54*4.348*50%),B79/P54*P54)),2)</f>
        <v>0</v>
      </c>
      <c r="C80" s="23">
        <f>ROUND(IFERROR(((LOOKUP(2,1/(B63=A80),((SUM(B76:B78)+SUM(F76:F78))/3)*C63))),0)+IFERROR(((LOOKUP(2,1/(E63=A80),(B82+F82)*F63))),0),2)</f>
        <v>0</v>
      </c>
      <c r="D80" s="23">
        <f>ROUND(IF(B80=0,0,D69/L51*P54*50%),2)</f>
        <v>0</v>
      </c>
      <c r="E80" s="23">
        <f>ROUND(IF(B80=0,0,E69/N47*P54*50%),2)</f>
        <v>0</v>
      </c>
      <c r="F80" s="24">
        <f>ROUND(IF(P54=0,0,IFERROR(((LOOKUP(2,1/(A58:A61=A80),H58:H61))/N47*P54),F79/P54*P54*50%)),2)</f>
        <v>0</v>
      </c>
      <c r="G80" s="27">
        <f t="shared" si="7"/>
        <v>0</v>
      </c>
      <c r="H80" s="76">
        <f>ROUND(IF(SUM(B70:F79)&lt;(L85*10),IF((SUM(B70:F80))&gt;(L85*11),(((L85*11)-(SUM(B70:F80)-C79))*H69)+((SUM(B80:F80)-C79)*H69),SUM(B80:F80)*H69),IF(SUM(B70:F80)&gt;(L85*11),L85*H69,SUM(B80:F80)*H69)),2)</f>
        <v>0</v>
      </c>
      <c r="I80" s="76">
        <f>ROUND(IF((SUM(B70:F80)*80%)&gt;((L86*11)*90%),((((L86*11)*90%)-((SUM(B70:F80)-C80))*I69)+((SUM(B80:F80)-C80)*I69)*80%),((SUM(B80:F80)-C80)*I69)*80%),2)</f>
        <v>0</v>
      </c>
      <c r="J80" s="76">
        <f>ROUND(IF(SUM(B70:F79)&lt;(L86*10),IF((SUM(B70:F80))&gt;(L86*11),(((L86*11)-(SUM(B70:F80)-C79))*J69)+((SUM(B80:F80)-C79)*J69),SUM(B80:F80)*J69),IF(SUM(B70:F80)&gt;(L86*11),L86*J69,SUM(B80:F80)*J69)),2)</f>
        <v>0</v>
      </c>
      <c r="K80" s="76">
        <f>ROUND(IF(SUM(B70:F79)&lt;(L86*10),IF((SUM(B70:F80))&gt;(L86*11),(((L86*11)-(SUM(B70:F80)-C79))*K69)+((SUM(B80:F80)-C79)*K69),SUM(B80:F80)*K69),IF(SUM(B70:F80)&gt;(L86*11),L86*K69,SUM(B80:F80)*K69)),2)</f>
        <v>0</v>
      </c>
      <c r="L80" s="76">
        <f>ROUND(IF(SUM(B70:F79)&lt;(L85*10),IF((SUM(B70:F80))&gt;(L85*11),(((L85*11)-(SUM(B70:F80)-C79))*L69)+((SUM(B80:F80)-C79)*L69),SUM(B80:F80)*L69),IF(SUM(B70:F80)&gt;(L85*11),L85*L69,SUM(B80:F80)*L69)),2)</f>
        <v>0</v>
      </c>
      <c r="M80" s="76">
        <f>ROUND(IF(SUM(B70:F79)&lt;(L86*10),IF((SUM(B70:F80))&gt;(L86*11),(((L86*11)-(SUM(B70:F80)-C80))*M69)+((SUM(B80:F80)-C80)*M69),(SUM(B80:F80)-C80)*M69),IF(SUM(B70:F80)&gt;(L86*11),L86*M69,SUM(B80:F80)*M69)),2)</f>
        <v>0</v>
      </c>
      <c r="N80" s="23">
        <f>ROUND((B80+E80+F80)*N69,2)</f>
        <v>0</v>
      </c>
      <c r="O80" s="23">
        <f>ROUND(SUM(B80+C80+F80)*O69,2)</f>
        <v>0</v>
      </c>
      <c r="P80" s="27">
        <f t="shared" si="8"/>
        <v>0</v>
      </c>
    </row>
    <row r="81" spans="1:16" x14ac:dyDescent="0.2">
      <c r="A81" s="100" t="str">
        <f>$A$37</f>
        <v>Dez 2022</v>
      </c>
      <c r="B81" s="24">
        <f>ROUND(IF(P55=0,0,IFERROR(((LOOKUP(2,1/(A58:A61=A81),G58:G61))*P55*4.348*50%),B80/P55*P55)),2)</f>
        <v>0</v>
      </c>
      <c r="C81" s="23">
        <f>ROUND(IFERROR(((LOOKUP(2,1/(B63=A81),((SUM(B76:B78)+SUM(F76:F78))/3)*C63))),0)+IFERROR(((LOOKUP(2,1/(E63=A81),(B82+F82)*F63))),0),2)</f>
        <v>0</v>
      </c>
      <c r="D81" s="23">
        <f>ROUND(IF(B81=0,0,D69/L51*P55*50%),2)</f>
        <v>0</v>
      </c>
      <c r="E81" s="23">
        <f>ROUND(IF(B81=0,0,E69/N47*P55*50%),2)</f>
        <v>0</v>
      </c>
      <c r="F81" s="24">
        <f>ROUND(IF(P55=0,0,IFERROR(((LOOKUP(2,1/(A58:A61=A81),H58:H61))/N47*P55),F80/P55*P55*50%)),2)</f>
        <v>0</v>
      </c>
      <c r="G81" s="27">
        <f t="shared" si="7"/>
        <v>0</v>
      </c>
      <c r="H81" s="76">
        <f>ROUND(IF(SUM(B70:F80)&lt;(L85*11),IF((SUM(B70:F81))&gt;(L85*12),(((L85*12)-(SUM(B70:F81)-C80))*H69)+((SUM(B81:F81)-C80)*H69),SUM(B81:F81)*H69),IF(SUM(B70:F81)&gt;(L85*12),L85*H69,SUM(B81:F81)*H69)),2)</f>
        <v>0</v>
      </c>
      <c r="I81" s="76">
        <f>ROUND(IF((SUM(B70:F81)*80%)&gt;((L86*12)*90%),((((L86*12)*90%)-((SUM(B70:F81)-C81))*I69)+((SUM(B81:F81)-C81)*I69)*80%),((SUM(B81:F81)-C81)*I69)*80%),2)</f>
        <v>0</v>
      </c>
      <c r="J81" s="76">
        <f>ROUND(IF(SUM(B70:F80)&lt;(L86*11),IF((SUM(B70:F81))&gt;(L86*12),(((L86*12)-(SUM(B70:F81)-C80))*J69)+((SUM(B81:F81)-C80)*J69),SUM(B81:F81)*J69),IF(SUM(B70:F81)&gt;(L86*12),L86*J69,SUM(B81:F81)*J69)),2)</f>
        <v>0</v>
      </c>
      <c r="K81" s="76">
        <f>ROUND(IF(SUM(B70:F80)&lt;(L86*11),IF((SUM(B70:F81))&gt;(L86*12),(((L86*12)-(SUM(B70:F81)-C80))*K69)+((SUM(B81:F81)-C80)*K69),SUM(B81:F81)*K69),IF(SUM(B70:F81)&gt;(L86*12),L86*K69,SUM(B81:F81)*K69)),2)</f>
        <v>0</v>
      </c>
      <c r="L81" s="76">
        <f>ROUND(IF(SUM(B70:F80)&lt;(L85*11),IF((SUM(B70:F81))&gt;(L85*12),(((L85*12)-(SUM(B70:F81)-C80))*L69)+((SUM(B81:F81)-C80)*L69),SUM(B81:F81)*L69),IF(SUM(B70:F81)&gt;(L85*12),L85*L69,SUM(B81:F81)*L69)),2)</f>
        <v>0</v>
      </c>
      <c r="M81" s="76">
        <f>ROUND(IF(SUM(B70:F80)&lt;(L86*11),IF((SUM(B70:F81))&gt;(L86*12),(((L86*12)-(SUM(B70:F81)-C81))*M69)+((SUM(B81:F81)-C81)*M69),(SUM(B81:F81)-C81)*M69),IF(SUM(B70:F81)&gt;(L86*12),L86*M69,SUM(B81:F81)*M69)),2)</f>
        <v>0</v>
      </c>
      <c r="N81" s="23">
        <f>ROUND((B81+E81+F81)*N69,2)</f>
        <v>0</v>
      </c>
      <c r="O81" s="23">
        <f>ROUND(SUM(B81+C81+F81)*O69,2)</f>
        <v>0</v>
      </c>
      <c r="P81" s="27">
        <f>SUM(G81:O81)</f>
        <v>0</v>
      </c>
    </row>
    <row r="82" spans="1:16" x14ac:dyDescent="0.2">
      <c r="A82" s="4" t="s">
        <v>2</v>
      </c>
      <c r="B82" s="27">
        <f>SUM(B70:B81)</f>
        <v>0</v>
      </c>
      <c r="C82" s="27">
        <f t="shared" ref="C82" si="9">SUM(C70:C81)</f>
        <v>0</v>
      </c>
      <c r="D82" s="27">
        <f>SUM(D70:D81)</f>
        <v>0</v>
      </c>
      <c r="E82" s="27">
        <f t="shared" ref="E82:G82" si="10">SUM(E70:E81)</f>
        <v>0</v>
      </c>
      <c r="F82" s="27">
        <f t="shared" si="10"/>
        <v>0</v>
      </c>
      <c r="G82" s="27">
        <f t="shared" si="10"/>
        <v>0</v>
      </c>
      <c r="H82" s="1133">
        <f>SUM(H70:M81)</f>
        <v>0</v>
      </c>
      <c r="I82" s="1134"/>
      <c r="J82" s="1134"/>
      <c r="K82" s="1134"/>
      <c r="L82" s="1134"/>
      <c r="M82" s="1134"/>
      <c r="N82" s="27">
        <f>SUM(N70:N81)</f>
        <v>0</v>
      </c>
      <c r="O82" s="27">
        <f>SUM(O70:O81)</f>
        <v>0</v>
      </c>
      <c r="P82" s="27">
        <f>SUM(P70:P81)</f>
        <v>0</v>
      </c>
    </row>
    <row r="83" spans="1:16" s="13" customFormat="1" ht="11.25" x14ac:dyDescent="0.2">
      <c r="A83" s="3" t="s">
        <v>1</v>
      </c>
      <c r="B83" s="2"/>
      <c r="C83" s="2"/>
      <c r="D83" s="2"/>
      <c r="E83" s="2"/>
      <c r="F83" s="2"/>
      <c r="G83" s="2"/>
      <c r="H83" s="2"/>
      <c r="I83" s="2"/>
      <c r="J83" s="2"/>
      <c r="K83" s="2"/>
      <c r="L83" s="2"/>
      <c r="M83" s="2"/>
      <c r="N83" s="2"/>
      <c r="O83" s="2"/>
      <c r="P83" s="2"/>
    </row>
    <row r="84" spans="1:16" s="1" customFormat="1" ht="14.25" customHeight="1" x14ac:dyDescent="0.2">
      <c r="A84" s="1136" t="s">
        <v>133</v>
      </c>
      <c r="B84" s="1137"/>
      <c r="C84" s="1137"/>
      <c r="D84" s="1137" t="s">
        <v>134</v>
      </c>
      <c r="E84" s="1137"/>
      <c r="F84" s="94" t="str">
        <f>IF(IF(G82=0,"",'päd.Personal - Leitung'!$F$40)=0,"",IF(G82=0,"",'päd.Personal - Leitung'!$F$40))</f>
        <v/>
      </c>
      <c r="G84" s="77" t="s">
        <v>135</v>
      </c>
      <c r="H84" s="96" t="str">
        <f>IF(IF(G82=0,"",'päd.Personal - Leitung'!$H$40)=0,"",IF(G82=0,"",'päd.Personal - Leitung'!$H$40))</f>
        <v/>
      </c>
      <c r="I84" s="73"/>
      <c r="J84" s="194" t="s">
        <v>160</v>
      </c>
      <c r="K84" s="194" t="str">
        <f>$K$40</f>
        <v>2021</v>
      </c>
      <c r="L84" s="194" t="str">
        <f>$L$40</f>
        <v>anteilig 2021</v>
      </c>
      <c r="M84" s="1138" t="s">
        <v>140</v>
      </c>
      <c r="N84" s="1138"/>
      <c r="O84" s="1139"/>
      <c r="P84" s="27">
        <f>ROUND(IF(F84="",IF(E88="",0,(E88*H88/K88)/L51*L52),G82*F84*H84/1000),2)</f>
        <v>0</v>
      </c>
    </row>
    <row r="85" spans="1:16" s="1" customFormat="1" ht="15" customHeight="1" x14ac:dyDescent="0.2">
      <c r="A85" s="1140" t="s">
        <v>145</v>
      </c>
      <c r="B85" s="1141"/>
      <c r="C85" s="1141"/>
      <c r="D85" s="18"/>
      <c r="E85" s="107" t="s">
        <v>135</v>
      </c>
      <c r="F85" s="95" t="str">
        <f>IF(IF(G82=0,"",'päd.Personal - Leitung'!$F$41)=0,"",IF(G82=0,"",'päd.Personal - Leitung'!$F$41))</f>
        <v/>
      </c>
      <c r="G85" s="48"/>
      <c r="H85" s="47"/>
      <c r="I85" s="48"/>
      <c r="J85" s="195" t="s">
        <v>158</v>
      </c>
      <c r="K85" s="198">
        <f>$K$41</f>
        <v>4837.5</v>
      </c>
      <c r="L85" s="197">
        <f>IF(L51="",K85,K85/L51*L52)</f>
        <v>4837.5</v>
      </c>
      <c r="M85" s="1138" t="s">
        <v>139</v>
      </c>
      <c r="N85" s="1138"/>
      <c r="O85" s="1139"/>
      <c r="P85" s="27">
        <f>ROUND(IF(F85="",0,G82*F85/1000),2)</f>
        <v>0</v>
      </c>
    </row>
    <row r="86" spans="1:16" s="1" customFormat="1" ht="15.75" customHeight="1" x14ac:dyDescent="0.2">
      <c r="A86" s="1142" t="s">
        <v>141</v>
      </c>
      <c r="B86" s="1143"/>
      <c r="C86" s="1143"/>
      <c r="D86" s="1144" t="s">
        <v>143</v>
      </c>
      <c r="E86" s="1144"/>
      <c r="F86" s="1145" t="str">
        <f>IF(IF(G82=0,"",'päd.Personal - Leitung'!$F$42)=0,"",IF(G82=0,"",'päd.Personal - Leitung'!$F$42))</f>
        <v/>
      </c>
      <c r="G86" s="1145"/>
      <c r="H86" s="72"/>
      <c r="I86" s="18"/>
      <c r="J86" s="195" t="s">
        <v>159</v>
      </c>
      <c r="K86" s="198">
        <f>$K$42</f>
        <v>6700</v>
      </c>
      <c r="L86" s="197">
        <f>IF(L51="",K86,K86/L51*L52)</f>
        <v>6700</v>
      </c>
      <c r="M86" s="1138" t="s">
        <v>141</v>
      </c>
      <c r="N86" s="1138"/>
      <c r="O86" s="1139"/>
      <c r="P86" s="23">
        <f>ROUND(IF(F86="",0,IF(G82=0,0,F86/L51*L52)),2)</f>
        <v>0</v>
      </c>
    </row>
    <row r="87" spans="1:16" s="1" customFormat="1" ht="14.25" customHeight="1" x14ac:dyDescent="0.2">
      <c r="A87" s="18"/>
      <c r="B87" s="18"/>
      <c r="C87" s="18"/>
      <c r="D87" s="18"/>
      <c r="E87" s="18"/>
      <c r="F87" s="18"/>
      <c r="G87" s="18"/>
      <c r="H87" s="18"/>
      <c r="I87" s="18"/>
      <c r="J87" s="18"/>
      <c r="K87" s="74"/>
      <c r="L87" s="82"/>
      <c r="M87" s="1127" t="s">
        <v>146</v>
      </c>
      <c r="N87" s="1127"/>
      <c r="O87" s="1128"/>
      <c r="P87" s="23">
        <f>ROUND(IF(G82=0,0,$P$43),2)</f>
        <v>0</v>
      </c>
    </row>
    <row r="88" spans="1:16" s="1" customFormat="1" ht="14.25" customHeight="1" x14ac:dyDescent="0.2">
      <c r="A88" s="1129" t="s">
        <v>142</v>
      </c>
      <c r="B88" s="1130"/>
      <c r="C88" s="133" t="s">
        <v>136</v>
      </c>
      <c r="D88" s="133" t="s">
        <v>137</v>
      </c>
      <c r="E88" s="1131" t="str">
        <f>IF(IF(G82=0,"",'päd.Personal - Leitung'!$E$44)=0,"",IF(G82=0,"",'päd.Personal - Leitung'!$E$44))</f>
        <v/>
      </c>
      <c r="F88" s="1131"/>
      <c r="G88" s="83" t="s">
        <v>138</v>
      </c>
      <c r="H88" s="97" t="str">
        <f>IF(IF(G82=0,"",'päd.Personal - Leitung'!$H$44)=0,"",IF(G82=0,"",'päd.Personal - Leitung'!$H$44))</f>
        <v/>
      </c>
      <c r="I88" s="1132" t="s">
        <v>144</v>
      </c>
      <c r="J88" s="1132"/>
      <c r="K88" s="98" t="str">
        <f>IF(IF(G82=0,"",'päd.Personal - Leitung'!$K$44)=0,"",IF(G82=0,"",'päd.Personal - Leitung'!$K$44))</f>
        <v/>
      </c>
      <c r="L88" s="29"/>
      <c r="M88" s="29"/>
      <c r="N88" s="29"/>
      <c r="O88" s="28" t="s">
        <v>0</v>
      </c>
      <c r="P88" s="27">
        <f>P82+SUM(P84:P87)</f>
        <v>0</v>
      </c>
    </row>
    <row r="89" spans="1:16" s="12" customFormat="1" ht="13.5" customHeight="1" x14ac:dyDescent="0.2">
      <c r="A89" s="1178" t="s">
        <v>18</v>
      </c>
      <c r="B89" s="1178"/>
      <c r="C89" s="1178"/>
      <c r="D89" s="1179" t="str">
        <f>IF($D$1="","",$D$1)</f>
        <v/>
      </c>
      <c r="E89" s="1179"/>
      <c r="F89" s="1179"/>
      <c r="G89" s="1179"/>
      <c r="H89" s="1179"/>
      <c r="I89" s="1179"/>
      <c r="J89" s="1179"/>
      <c r="K89" s="1179"/>
      <c r="L89" s="1179"/>
      <c r="M89" s="1179"/>
      <c r="N89" s="1179"/>
    </row>
    <row r="90" spans="1:16" s="12" customFormat="1" ht="15" customHeight="1" x14ac:dyDescent="0.2">
      <c r="A90" s="1178" t="s">
        <v>17</v>
      </c>
      <c r="B90" s="1178"/>
      <c r="C90" s="1178" t="s">
        <v>15</v>
      </c>
      <c r="D90" s="1179" t="str">
        <f>IF($D$2="","",$D$2)</f>
        <v/>
      </c>
      <c r="E90" s="1179"/>
      <c r="F90" s="1179"/>
      <c r="G90" s="1179"/>
      <c r="H90" s="1179"/>
      <c r="I90" s="1179"/>
      <c r="J90" s="1179"/>
      <c r="K90" s="1179"/>
      <c r="L90" s="1179"/>
      <c r="M90" s="1179"/>
      <c r="N90" s="1179"/>
    </row>
    <row r="91" spans="1:16" s="12" customFormat="1" ht="15" customHeight="1" x14ac:dyDescent="0.2">
      <c r="A91" s="1178" t="s">
        <v>16</v>
      </c>
      <c r="B91" s="1178"/>
      <c r="C91" s="1178" t="s">
        <v>15</v>
      </c>
      <c r="D91" s="1179" t="str">
        <f>IF($D$3="","",$D$3)</f>
        <v/>
      </c>
      <c r="E91" s="1179"/>
      <c r="F91" s="1179"/>
      <c r="G91" s="1179"/>
      <c r="H91" s="1179"/>
      <c r="I91" s="1179"/>
      <c r="J91" s="1179"/>
      <c r="K91" s="1178" t="s">
        <v>103</v>
      </c>
      <c r="L91" s="1178"/>
      <c r="M91" s="1178"/>
      <c r="N91" s="41" t="str">
        <f>IF($N$3="","",$N$3)</f>
        <v/>
      </c>
    </row>
    <row r="92" spans="1:16" s="13" customFormat="1" ht="11.25" x14ac:dyDescent="0.2">
      <c r="A92" s="1182"/>
      <c r="B92" s="1182"/>
      <c r="C92" s="1182"/>
      <c r="D92" s="1183"/>
      <c r="E92" s="1183"/>
      <c r="F92" s="1183"/>
      <c r="G92" s="1183"/>
      <c r="H92" s="1183"/>
      <c r="I92" s="1183"/>
      <c r="J92" s="1183"/>
      <c r="K92" s="11"/>
      <c r="L92" s="11"/>
      <c r="M92" s="11"/>
      <c r="N92" s="11"/>
      <c r="O92" s="11"/>
      <c r="P92" s="11"/>
    </row>
    <row r="93" spans="1:16" s="15" customFormat="1" ht="13.5" customHeight="1" x14ac:dyDescent="0.2">
      <c r="A93" s="1177" t="s">
        <v>181</v>
      </c>
      <c r="B93" s="1177"/>
      <c r="C93" s="1177"/>
      <c r="D93" s="1177"/>
      <c r="E93" s="1177"/>
      <c r="F93" s="1177"/>
      <c r="G93" s="1177"/>
      <c r="H93" s="1177"/>
      <c r="I93" s="1177"/>
      <c r="J93" s="1177"/>
      <c r="K93" s="1177"/>
      <c r="L93" s="1177"/>
      <c r="M93" s="1177"/>
      <c r="N93" s="59" t="s">
        <v>154</v>
      </c>
      <c r="O93" s="191">
        <f>$O$5</f>
        <v>2022</v>
      </c>
      <c r="P93" s="59" t="s">
        <v>154</v>
      </c>
    </row>
    <row r="94" spans="1:16" s="10" customFormat="1" ht="13.5" customHeight="1" x14ac:dyDescent="0.25">
      <c r="B94" s="32"/>
      <c r="C94" s="32"/>
      <c r="D94" s="5" t="s">
        <v>183</v>
      </c>
      <c r="E94" s="31"/>
      <c r="F94" s="31"/>
      <c r="G94" s="31"/>
      <c r="H94" s="31"/>
      <c r="I94" s="26"/>
      <c r="J94" s="1174" t="s">
        <v>14</v>
      </c>
      <c r="K94" s="1174"/>
      <c r="L94" s="180"/>
      <c r="N94" s="84">
        <f>IF(L96="","",L96)</f>
        <v>0</v>
      </c>
      <c r="O94" s="58" t="str">
        <f>$O$6</f>
        <v>Jan                Jul</v>
      </c>
      <c r="P94" s="85">
        <f>IF(N99="","",N99)</f>
        <v>0</v>
      </c>
    </row>
    <row r="95" spans="1:16" s="7" customFormat="1" ht="13.5" customHeight="1" x14ac:dyDescent="0.25">
      <c r="A95" s="1180" t="s">
        <v>71</v>
      </c>
      <c r="B95" s="1180"/>
      <c r="C95" s="1180"/>
      <c r="D95" s="1184"/>
      <c r="E95" s="1184"/>
      <c r="F95" s="1184"/>
      <c r="G95" s="1184"/>
      <c r="H95" s="1184"/>
      <c r="I95" s="1184"/>
      <c r="J95" s="1174" t="s">
        <v>104</v>
      </c>
      <c r="K95" s="1174"/>
      <c r="L95" s="145"/>
      <c r="N95" s="85">
        <f>IF(N94="","",N94)</f>
        <v>0</v>
      </c>
      <c r="O95" s="58" t="str">
        <f>$O$7</f>
        <v>Feb              Aug</v>
      </c>
      <c r="P95" s="85">
        <f>IF(P94="","",P94)</f>
        <v>0</v>
      </c>
    </row>
    <row r="96" spans="1:16" s="1" customFormat="1" ht="13.5" customHeight="1" x14ac:dyDescent="0.2">
      <c r="A96" s="1180" t="s">
        <v>13</v>
      </c>
      <c r="B96" s="1180"/>
      <c r="C96" s="1180"/>
      <c r="D96" s="1181"/>
      <c r="E96" s="1181"/>
      <c r="F96" s="1181"/>
      <c r="G96" s="1181"/>
      <c r="H96" s="1181"/>
      <c r="I96" s="1181"/>
      <c r="J96" s="1174" t="s">
        <v>164</v>
      </c>
      <c r="K96" s="1174"/>
      <c r="L96" s="145">
        <f>IF((L97+L98)&gt;L95,0,L95-L97-L98)</f>
        <v>0</v>
      </c>
      <c r="N96" s="85">
        <f>IF(N95="","",N95)</f>
        <v>0</v>
      </c>
      <c r="O96" s="58" t="str">
        <f>$O$8</f>
        <v>Mrz              Sep</v>
      </c>
      <c r="P96" s="85">
        <f>IF(P95="","",P95)</f>
        <v>0</v>
      </c>
    </row>
    <row r="97" spans="1:16" s="1" customFormat="1" ht="13.5" customHeight="1" x14ac:dyDescent="0.2">
      <c r="A97" s="1180" t="s">
        <v>12</v>
      </c>
      <c r="B97" s="1180"/>
      <c r="C97" s="1180"/>
      <c r="D97" s="1181"/>
      <c r="E97" s="1181"/>
      <c r="F97" s="1181"/>
      <c r="G97" s="1181"/>
      <c r="H97" s="1181"/>
      <c r="I97" s="1181"/>
      <c r="J97" s="1174" t="s">
        <v>165</v>
      </c>
      <c r="K97" s="1174"/>
      <c r="L97" s="145"/>
      <c r="N97" s="85">
        <f>IF(N96="","",N96)</f>
        <v>0</v>
      </c>
      <c r="O97" s="58" t="str">
        <f>$O$9</f>
        <v>Apr               Okt</v>
      </c>
      <c r="P97" s="85">
        <f t="shared" ref="P97:P99" si="11">IF(P96="","",P96)</f>
        <v>0</v>
      </c>
    </row>
    <row r="98" spans="1:16" s="1" customFormat="1" ht="13.5" customHeight="1" x14ac:dyDescent="0.2">
      <c r="A98" s="1180" t="s">
        <v>19</v>
      </c>
      <c r="B98" s="1180"/>
      <c r="C98" s="1180"/>
      <c r="D98" s="1181"/>
      <c r="E98" s="1181"/>
      <c r="F98" s="1181"/>
      <c r="G98" s="1181"/>
      <c r="H98" s="1181"/>
      <c r="I98" s="1181"/>
      <c r="J98" s="1174" t="s">
        <v>252</v>
      </c>
      <c r="K98" s="1174"/>
      <c r="L98" s="145"/>
      <c r="M98" s="92"/>
      <c r="N98" s="85">
        <f>IF(N97="","",N97)</f>
        <v>0</v>
      </c>
      <c r="O98" s="58" t="str">
        <f>$O$10</f>
        <v>Mai               Nov</v>
      </c>
      <c r="P98" s="85">
        <f t="shared" si="11"/>
        <v>0</v>
      </c>
    </row>
    <row r="99" spans="1:16" s="1" customFormat="1" ht="13.5" customHeight="1" x14ac:dyDescent="0.2">
      <c r="B99" s="8"/>
      <c r="C99" s="132" t="s">
        <v>162</v>
      </c>
      <c r="D99" s="1175"/>
      <c r="E99" s="1175"/>
      <c r="F99" s="1176" t="s">
        <v>110</v>
      </c>
      <c r="G99" s="1176"/>
      <c r="H99" s="1186"/>
      <c r="I99" s="1186"/>
      <c r="J99" s="1174" t="s">
        <v>97</v>
      </c>
      <c r="K99" s="1174"/>
      <c r="L99" s="17" t="str">
        <f>IF(IF((COUNTIF(B114:B125,"&gt;0"))=0,0,(COUNTIF(B114:B125,"&gt;0")))&gt;Grundlagen!$C$24,Grundlagen!$C$24,IF((COUNTIF(B114:B125,"&gt;0"))=0,"",(COUNTIF(B114:B125,"&gt;0"))))</f>
        <v/>
      </c>
      <c r="N99" s="85">
        <f>IF(N98="","",N98)</f>
        <v>0</v>
      </c>
      <c r="O99" s="58" t="str">
        <f>'päd.Personal - Leitung'!$O$11</f>
        <v>Jun               Dez</v>
      </c>
      <c r="P99" s="85">
        <f t="shared" si="11"/>
        <v>0</v>
      </c>
    </row>
    <row r="100" spans="1:16" s="1" customFormat="1" ht="13.5" customHeight="1" x14ac:dyDescent="0.2">
      <c r="F100" s="1176" t="s">
        <v>180</v>
      </c>
      <c r="G100" s="1176"/>
      <c r="H100" s="1186"/>
      <c r="I100" s="1186"/>
      <c r="L100" s="147" t="str">
        <f>IF((SUM(F102:F105))=0,"",IF(P100&gt;L96,L96,IF(L96="","",IF(L99="","",P100))))</f>
        <v/>
      </c>
      <c r="O100" s="174" t="s">
        <v>251</v>
      </c>
      <c r="P100" s="175">
        <f>IF(L99="",0,((IF(SUMIF(B114,"&gt;0"),N94,0))+(IF(SUMIF(B115,"&gt;0"),N95,0))+(IF(SUMIF(B116,"&gt;0"),N96,0))+(IF(SUMIF(B117,"&gt;0"),N97,0))+(IF(SUMIF(B118,"&gt;0"),N98,0))+(IF(SUMIF(B119,"&gt;0"),N99,0))+(IF(SUMIF(B120,"&gt;0"),P94,0))+(IF(SUMIF(B121,"&gt;0"),P95,0))+(IF(SUMIF(B122,"&gt;0"),P96,0))+(IF(SUMIF(B123,"&gt;0"),P97,0))+(IF(SUMIF(B124,"&gt;0"),P98,0))+(IF(SUMIF(B125,"&gt;0"),P99,0)))/Grundlagen!$C$24)</f>
        <v>0</v>
      </c>
    </row>
    <row r="101" spans="1:16" s="52" customFormat="1" ht="13.5" customHeight="1" x14ac:dyDescent="0.2">
      <c r="A101" s="61" t="s">
        <v>148</v>
      </c>
      <c r="B101" s="1168" t="s">
        <v>149</v>
      </c>
      <c r="C101" s="1168"/>
      <c r="D101" s="62" t="s">
        <v>150</v>
      </c>
      <c r="E101" s="63" t="s">
        <v>151</v>
      </c>
      <c r="F101" s="64" t="str">
        <f>CONCATENATE("Entg. ",N91," h/Wo")</f>
        <v>Entg.  h/Wo</v>
      </c>
      <c r="G101" s="65" t="s">
        <v>152</v>
      </c>
      <c r="H101" s="65" t="s">
        <v>153</v>
      </c>
      <c r="K101" s="1169" t="str">
        <f>CONCATENATE("Zuschläge / Zulagen für ",N91,"h/Wo")</f>
        <v>Zuschläge / Zulagen für h/Wo</v>
      </c>
      <c r="L101" s="1169"/>
      <c r="M101" s="66" t="str">
        <f>IF(A102="","",A102)</f>
        <v>Jan 2022</v>
      </c>
      <c r="N101" s="66" t="str">
        <f>IF(A103="","",A103)</f>
        <v/>
      </c>
      <c r="O101" s="66" t="str">
        <f>IF(A104="","",A104)</f>
        <v/>
      </c>
      <c r="P101" s="66" t="str">
        <f>IF(A105="","",A105)</f>
        <v/>
      </c>
    </row>
    <row r="102" spans="1:16" s="52" customFormat="1" ht="13.5" customHeight="1" x14ac:dyDescent="0.25">
      <c r="A102" s="54" t="str">
        <f>A114</f>
        <v>Jan 2022</v>
      </c>
      <c r="B102" s="1170" t="str">
        <f>IF($D$3="","",$D$3)</f>
        <v/>
      </c>
      <c r="C102" s="1171"/>
      <c r="D102" s="181"/>
      <c r="E102" s="181"/>
      <c r="F102" s="87"/>
      <c r="G102" s="56">
        <f>IF(N91="",0,F102/N91/4.348)</f>
        <v>0</v>
      </c>
      <c r="H102" s="53">
        <f>IF(G102=0,0,M107)</f>
        <v>0</v>
      </c>
      <c r="K102" s="1146"/>
      <c r="L102" s="1146"/>
      <c r="M102" s="86"/>
      <c r="N102" s="86"/>
      <c r="O102" s="86"/>
      <c r="P102" s="86"/>
    </row>
    <row r="103" spans="1:16" s="52" customFormat="1" ht="13.5" customHeight="1" x14ac:dyDescent="0.25">
      <c r="A103" s="55"/>
      <c r="B103" s="1172" t="str">
        <f>IF(A103="","",B102)</f>
        <v/>
      </c>
      <c r="C103" s="1173"/>
      <c r="D103" s="181"/>
      <c r="E103" s="181"/>
      <c r="F103" s="87"/>
      <c r="G103" s="56">
        <f>IF(N91="",0,F103/N91/4.348)</f>
        <v>0</v>
      </c>
      <c r="H103" s="53">
        <f>IF(G103=0,0,N107)</f>
        <v>0</v>
      </c>
      <c r="K103" s="1146"/>
      <c r="L103" s="1146"/>
      <c r="M103" s="86"/>
      <c r="N103" s="86"/>
      <c r="O103" s="86"/>
      <c r="P103" s="86"/>
    </row>
    <row r="104" spans="1:16" s="52" customFormat="1" ht="13.5" customHeight="1" x14ac:dyDescent="0.25">
      <c r="A104" s="55"/>
      <c r="B104" s="1172" t="str">
        <f>IF(A104="","",B103)</f>
        <v/>
      </c>
      <c r="C104" s="1173"/>
      <c r="D104" s="181"/>
      <c r="E104" s="181"/>
      <c r="F104" s="87"/>
      <c r="G104" s="56">
        <f>IF(N91="",0,F104/N91/4.348)</f>
        <v>0</v>
      </c>
      <c r="H104" s="53">
        <f>IF(G104=0,0,O107)</f>
        <v>0</v>
      </c>
      <c r="K104" s="1146"/>
      <c r="L104" s="1146"/>
      <c r="M104" s="86"/>
      <c r="N104" s="86"/>
      <c r="O104" s="86"/>
      <c r="P104" s="86"/>
    </row>
    <row r="105" spans="1:16" s="52" customFormat="1" ht="13.5" customHeight="1" x14ac:dyDescent="0.25">
      <c r="A105" s="55"/>
      <c r="B105" s="1172" t="str">
        <f>IF(A105="","",B104)</f>
        <v/>
      </c>
      <c r="C105" s="1173"/>
      <c r="D105" s="181"/>
      <c r="E105" s="181"/>
      <c r="F105" s="87"/>
      <c r="G105" s="56">
        <f>IF(N91="",0,F105/N91/4.348)</f>
        <v>0</v>
      </c>
      <c r="H105" s="53">
        <f>IF(G105=0,0,P107)</f>
        <v>0</v>
      </c>
      <c r="K105" s="1146"/>
      <c r="L105" s="1146"/>
      <c r="M105" s="86"/>
      <c r="N105" s="86"/>
      <c r="O105" s="86"/>
      <c r="P105" s="86"/>
    </row>
    <row r="106" spans="1:16" s="52" customFormat="1" ht="13.5" customHeight="1" x14ac:dyDescent="0.25">
      <c r="B106" s="1167" t="s">
        <v>157</v>
      </c>
      <c r="C106" s="1167"/>
      <c r="E106" s="1167" t="s">
        <v>156</v>
      </c>
      <c r="F106" s="1167"/>
      <c r="J106" s="69"/>
      <c r="K106" s="1146"/>
      <c r="L106" s="1146"/>
      <c r="M106" s="86"/>
      <c r="N106" s="86"/>
      <c r="O106" s="86"/>
      <c r="P106" s="86"/>
    </row>
    <row r="107" spans="1:16" s="52" customFormat="1" ht="13.5" customHeight="1" x14ac:dyDescent="0.25">
      <c r="A107" s="70" t="s">
        <v>167</v>
      </c>
      <c r="B107" s="67"/>
      <c r="C107" s="99" t="str">
        <f>IF(C63="","",C63)</f>
        <v/>
      </c>
      <c r="D107" s="70" t="s">
        <v>167</v>
      </c>
      <c r="E107" s="67"/>
      <c r="F107" s="99" t="str">
        <f>IF(F63="","",F63)</f>
        <v/>
      </c>
      <c r="J107" s="68"/>
      <c r="M107" s="57">
        <f>SUM(M102:M106)</f>
        <v>0</v>
      </c>
      <c r="N107" s="57">
        <f t="shared" ref="N107:P107" si="12">SUM(N102:N106)</f>
        <v>0</v>
      </c>
      <c r="O107" s="57">
        <f t="shared" si="12"/>
        <v>0</v>
      </c>
      <c r="P107" s="57">
        <f t="shared" si="12"/>
        <v>0</v>
      </c>
    </row>
    <row r="108" spans="1:16" s="52" customFormat="1" ht="13.5" customHeight="1" x14ac:dyDescent="0.2">
      <c r="A108" s="60" t="s">
        <v>155</v>
      </c>
    </row>
    <row r="109" spans="1:16" ht="14.25" customHeight="1" x14ac:dyDescent="0.2">
      <c r="A109" s="1147"/>
      <c r="B109" s="1149" t="s">
        <v>9</v>
      </c>
      <c r="C109" s="1150"/>
      <c r="D109" s="1150"/>
      <c r="E109" s="1150"/>
      <c r="F109" s="1150"/>
      <c r="G109" s="1151"/>
      <c r="H109" s="1152" t="s">
        <v>119</v>
      </c>
      <c r="I109" s="1153"/>
      <c r="J109" s="1153"/>
      <c r="K109" s="1153"/>
      <c r="L109" s="1153"/>
      <c r="M109" s="1153"/>
      <c r="N109" s="1195" t="s">
        <v>112</v>
      </c>
      <c r="O109" s="33"/>
      <c r="P109" s="1154" t="s">
        <v>0</v>
      </c>
    </row>
    <row r="110" spans="1:16" ht="14.25" customHeight="1" x14ac:dyDescent="0.2">
      <c r="A110" s="1148"/>
      <c r="B110" s="1157" t="s">
        <v>117</v>
      </c>
      <c r="C110" s="130" t="s">
        <v>115</v>
      </c>
      <c r="D110" s="1159" t="s">
        <v>277</v>
      </c>
      <c r="E110" s="1161" t="s">
        <v>147</v>
      </c>
      <c r="F110" s="134" t="s">
        <v>7</v>
      </c>
      <c r="G110" s="1162" t="s">
        <v>6</v>
      </c>
      <c r="H110" s="1161" t="s">
        <v>129</v>
      </c>
      <c r="I110" s="1161" t="s">
        <v>111</v>
      </c>
      <c r="J110" s="1161" t="s">
        <v>5</v>
      </c>
      <c r="K110" s="1161" t="s">
        <v>4</v>
      </c>
      <c r="L110" s="1161" t="s">
        <v>3</v>
      </c>
      <c r="M110" s="1161" t="s">
        <v>98</v>
      </c>
      <c r="N110" s="1196"/>
      <c r="O110" s="1160" t="s">
        <v>114</v>
      </c>
      <c r="P110" s="1155"/>
    </row>
    <row r="111" spans="1:16" ht="14.25" customHeight="1" x14ac:dyDescent="0.2">
      <c r="A111" s="1148"/>
      <c r="B111" s="1157"/>
      <c r="C111" s="21" t="str">
        <f>IF(C107="","",C107)</f>
        <v/>
      </c>
      <c r="D111" s="1160"/>
      <c r="E111" s="1161"/>
      <c r="F111" s="1165" t="str">
        <f>IF(H102=0,"","siehe Zuschläge / Zulagen")</f>
        <v/>
      </c>
      <c r="G111" s="1162"/>
      <c r="H111" s="1164" t="s">
        <v>127</v>
      </c>
      <c r="I111" s="1161"/>
      <c r="J111" s="1164"/>
      <c r="K111" s="1164"/>
      <c r="L111" s="1164"/>
      <c r="M111" s="1161"/>
      <c r="N111" s="1196"/>
      <c r="O111" s="1160"/>
      <c r="P111" s="1155"/>
    </row>
    <row r="112" spans="1:16" x14ac:dyDescent="0.2">
      <c r="A112" s="1148"/>
      <c r="B112" s="1157"/>
      <c r="C112" s="128" t="s">
        <v>70</v>
      </c>
      <c r="D112" s="1160"/>
      <c r="E112" s="1161"/>
      <c r="F112" s="1165"/>
      <c r="G112" s="1162"/>
      <c r="H112" s="43" t="s">
        <v>128</v>
      </c>
      <c r="I112" s="1161"/>
      <c r="J112" s="43" t="s">
        <v>255</v>
      </c>
      <c r="K112" s="43" t="s">
        <v>256</v>
      </c>
      <c r="L112" s="43" t="s">
        <v>257</v>
      </c>
      <c r="M112" s="1161"/>
      <c r="N112" s="1196"/>
      <c r="O112" s="1160"/>
      <c r="P112" s="1155"/>
    </row>
    <row r="113" spans="1:16" x14ac:dyDescent="0.2">
      <c r="A113" s="1148"/>
      <c r="B113" s="1158"/>
      <c r="C113" s="21" t="str">
        <f>IF(F107="","",F107)</f>
        <v/>
      </c>
      <c r="D113" s="51"/>
      <c r="E113" s="51"/>
      <c r="F113" s="1166"/>
      <c r="G113" s="1163"/>
      <c r="H113" s="93"/>
      <c r="I113" s="21"/>
      <c r="J113" s="139">
        <f>$J$25</f>
        <v>0</v>
      </c>
      <c r="K113" s="139">
        <f>$K$25</f>
        <v>0</v>
      </c>
      <c r="L113" s="44">
        <f>$L$25</f>
        <v>0</v>
      </c>
      <c r="M113" s="21"/>
      <c r="N113" s="21"/>
      <c r="O113" s="21">
        <f>O69</f>
        <v>0</v>
      </c>
      <c r="P113" s="1156"/>
    </row>
    <row r="114" spans="1:16" x14ac:dyDescent="0.2">
      <c r="A114" s="100" t="str">
        <f>$A$26</f>
        <v>Jan 2022</v>
      </c>
      <c r="B114" s="24">
        <f>ROUND(IF(N94=0,0,(LOOKUP(2,1/(A102:A105=A114),G102:G105))*N94*4.348*50%),2)</f>
        <v>0</v>
      </c>
      <c r="C114" s="23">
        <f>ROUND(IFERROR(((LOOKUP(2,1/(B107=A114),((SUM(B120:B122)+SUM(F120:F122))/3)*C107))),0)+IFERROR(((LOOKUP(2,1/(E107=A114),(B126+F126)*F107))),0),2)</f>
        <v>0</v>
      </c>
      <c r="D114" s="23">
        <f>ROUND(IF(B114=0,0,D113/L95*N94*50%),2)</f>
        <v>0</v>
      </c>
      <c r="E114" s="23">
        <f>ROUND(IF(B114=0,0,E113/N91*N94*50%),2)</f>
        <v>0</v>
      </c>
      <c r="F114" s="24">
        <f>ROUND(IF(N94=0,0,(LOOKUP(2,1/(A102:A105=A114),H102:H105))/N91*N94*50%),2)</f>
        <v>0</v>
      </c>
      <c r="G114" s="27">
        <f>SUM(B114+C114+E114+F114)</f>
        <v>0</v>
      </c>
      <c r="H114" s="76">
        <f>ROUND(IF((SUM(B114:F114))&gt;L129,L129*H113,SUM(B114:F114)*H113),2)</f>
        <v>0</v>
      </c>
      <c r="I114" s="76">
        <f>ROUND(IF((SUM(B114:F114)*80%)&gt;((L130*1)*90%),((((L130*1)*90%)-((SUM(B114:F114)-C114))*I113)+((SUM(B114:F114)-C114)*I113)*80%),((SUM(B114:F114)-C114)*I113)*80%),2)</f>
        <v>0</v>
      </c>
      <c r="J114" s="76">
        <f>ROUND(IF((SUM(B114:F114))&gt;L130,L130*J113,SUM(B114:F114)*J113),2)</f>
        <v>0</v>
      </c>
      <c r="K114" s="76">
        <f>ROUND(IF((SUM(B114:F114))&gt;L130,L130*K113,SUM(B114:F114)*K113),2)</f>
        <v>0</v>
      </c>
      <c r="L114" s="76">
        <f>ROUND(IF((SUM(B114:F114))&gt;L129,L129*L113,SUM(B114:F114)*L113),2)</f>
        <v>0</v>
      </c>
      <c r="M114" s="76">
        <f>ROUND(IF((SUM(B114:F114))&gt;L130,L130*M113,(SUM(B114:F114)-C114)*M113),2)</f>
        <v>0</v>
      </c>
      <c r="N114" s="23">
        <f>ROUND((B114+E114+F114)*N113,2)</f>
        <v>0</v>
      </c>
      <c r="O114" s="23">
        <f>ROUND(SUM(B114+C114+F114)*O113,2)</f>
        <v>0</v>
      </c>
      <c r="P114" s="27">
        <f>SUM(G114:O114)</f>
        <v>0</v>
      </c>
    </row>
    <row r="115" spans="1:16" x14ac:dyDescent="0.2">
      <c r="A115" s="100" t="str">
        <f>$A$27</f>
        <v>Feb 2022</v>
      </c>
      <c r="B115" s="24">
        <f>ROUND(IF(N95=0,0,IFERROR(((LOOKUP(2,1/(A102:A105=A115),G102:G105))*N95*4.348*50%),B114/N95*N95)),2)</f>
        <v>0</v>
      </c>
      <c r="C115" s="23">
        <f>ROUND(IFERROR(((LOOKUP(2,1/(B107=A115),((SUM(B120:B122)+SUM(F120:F122))/3)*C107))),0)+IFERROR(((LOOKUP(2,1/(E107=A115),(B126+F126)*F107))),0),2)</f>
        <v>0</v>
      </c>
      <c r="D115" s="23">
        <f>ROUND(IF(B115=0,0,D113/L95*N95*50%),2)</f>
        <v>0</v>
      </c>
      <c r="E115" s="23">
        <f>ROUND(IF(B115=0,0,E113/N91*N95*50%),2)</f>
        <v>0</v>
      </c>
      <c r="F115" s="24">
        <f>ROUND(IF(N95=0,0,IFERROR(((LOOKUP(2,1/(A102:A105=A115),H102:H105))/N91*N95),F114/N95*N95*50%)),2)</f>
        <v>0</v>
      </c>
      <c r="G115" s="27">
        <f t="shared" ref="G115:G125" si="13">SUM(B115+C115+E115+F115)</f>
        <v>0</v>
      </c>
      <c r="H115" s="76">
        <f>ROUND(IF(SUM(B114:F114)&lt;(L129*1),IF((SUM(B114:F115))&gt;(L129*2),(((L129*2)-(SUM(B114:F115)-C114))*H113)+((SUM(B115:F115)-C114)*H113),SUM(B115:F115)*H113),IF(SUM(B114:F115)&gt;(L129*2),L129*H113,SUM(B115:F115)*H113)),2)</f>
        <v>0</v>
      </c>
      <c r="I115" s="76">
        <f>ROUND(IF((SUM(B114:F115)*80%)&gt;((L130*2)*90%),((((L130*2)*90%)-((SUM(B114:F115)-C115))*I113)+((SUM(B115:F115)-C115)*I113)*80%),((SUM(B115:F115)-C115)*I113)*80%),2)</f>
        <v>0</v>
      </c>
      <c r="J115" s="76">
        <f>ROUND(IF(SUM(B114:F114)&lt;(L130*1),IF((SUM(B114:F115))&gt;(L130*2),(((L130*2)-(SUM(B114:F115)-C114))*J113)+((SUM(B115:F115)-C114)*J113),SUM(B115:F115)*J113),IF(SUM(B114:F115)&gt;(L130*2),L130*J113,SUM(B115:F115)*J113)),2)</f>
        <v>0</v>
      </c>
      <c r="K115" s="76">
        <f>ROUND(IF(SUM(B114:F114)&lt;(L130*1),IF((SUM(B114:F115))&gt;(L130*2),(((L130*2)-(SUM(B114:F115)-C114))*K113)+((SUM(B115:F115)-C114)*K113),SUM(B115:F115)*K113),IF(SUM(B114:F115)&gt;(L130*2),L130*K113,SUM(B115:F115)*K113)),2)</f>
        <v>0</v>
      </c>
      <c r="L115" s="76">
        <f>ROUND(IF(SUM(B114:F114)&lt;(L129*1),IF((SUM(B114:F115))&gt;(L129*2),(((L129*2)-(SUM(B114:F115)-C114))*L113)+((SUM(B115:F115)-C114)*L113),SUM(B115:F115)*L113),IF(SUM(B114:F115)&gt;(L129*2),L129*L113,SUM(B115:F115)*L113)),2)</f>
        <v>0</v>
      </c>
      <c r="M115" s="76">
        <f>ROUND(IF(SUM(B114:F114)&lt;(L130*1),IF((SUM(B114:F115))&gt;(L130*2),(((L130*2)-(SUM(B114:F115)-C115))*M113)+((SUM(B115:F115)-C115)*M113),(SUM(B115:F115)-C115)*M113),IF(SUM(B114:F115)&gt;(L130*2),L130*M113,SUM(B115:F115)*M113)),2)</f>
        <v>0</v>
      </c>
      <c r="N115" s="23">
        <f>ROUND((B115+E115+F115)*N113,2)</f>
        <v>0</v>
      </c>
      <c r="O115" s="23">
        <f>ROUND(SUM(B115+C115+F115)*O113,2)</f>
        <v>0</v>
      </c>
      <c r="P115" s="27">
        <f t="shared" ref="P115:P124" si="14">SUM(G115:O115)</f>
        <v>0</v>
      </c>
    </row>
    <row r="116" spans="1:16" x14ac:dyDescent="0.2">
      <c r="A116" s="100" t="str">
        <f>$A$28</f>
        <v>Mrz 2022</v>
      </c>
      <c r="B116" s="24">
        <f>ROUND(IF(N96=0,0,IFERROR(((LOOKUP(2,1/(A102:A105=A116),G102:G105))*N96*4.348*50%),B115/N96*N96)),2)</f>
        <v>0</v>
      </c>
      <c r="C116" s="23">
        <f>ROUND(IFERROR(((LOOKUP(2,1/(B107=A116),((SUM(B120:B122)+SUM(F120:F122))/3)*C107))),0)+IFERROR(((LOOKUP(2,1/(E107=A116),(B126+F126)*F107))),0),2)</f>
        <v>0</v>
      </c>
      <c r="D116" s="23">
        <f>ROUND(IF(B116=0,0,D113/L95*N96*50%),2)</f>
        <v>0</v>
      </c>
      <c r="E116" s="23">
        <f>ROUND(IF(B116=0,0,E113/N91*N96*50%),2)</f>
        <v>0</v>
      </c>
      <c r="F116" s="24">
        <f>ROUND(IF(N96=0,0,IFERROR(((LOOKUP(2,1/(A102:A105=A116),H102:H105))/N91*N96),F115/N96*N96*50%)),2)</f>
        <v>0</v>
      </c>
      <c r="G116" s="27">
        <f t="shared" si="13"/>
        <v>0</v>
      </c>
      <c r="H116" s="76">
        <f>ROUND(IF(SUM(B114:F115)&lt;(L129*2),IF((SUM(B114:F116))&gt;(L129*3),(((L129*3)-(SUM(B114:F116)-C115))*H113)+((SUM(B116:F116)-C115)*H113),SUM(B116:F116)*H113),IF(SUM(B114:F116)&gt;(L129*3),L129*H113,SUM(B116:F116)*H113)),2)</f>
        <v>0</v>
      </c>
      <c r="I116" s="76">
        <f>ROUND(IF((SUM(B114:F116)*80%)&gt;((L130*3)*90%),((((L130*3)*90%)-((SUM(B114:F116)-C116))*I113)+((SUM(B116:F116)-C116)*I113)*80%),((SUM(B116:F116)-C116)*I113)*80%),2)</f>
        <v>0</v>
      </c>
      <c r="J116" s="76">
        <f>ROUND(IF(SUM(B114:F115)&lt;(L130*2),IF((SUM(B114:F116))&gt;(L130*3),(((L130*3)-(SUM(B114:F116)-C115))*J113)+((SUM(B116:F116)-C115)*J113),SUM(B116:F116)*J113),IF(SUM(B114:F116)&gt;(L130*3),L130*J113,SUM(B116:F116)*J113)),2)</f>
        <v>0</v>
      </c>
      <c r="K116" s="76">
        <f>ROUND(IF(SUM(B114:F115)&lt;(L130*2),IF((SUM(B114:F116))&gt;(L130*3),(((L130*3)-(SUM(B114:F116)-C115))*K113)+((SUM(B116:F116)-C115)*K113),SUM(B116:F116)*K113),IF(SUM(B114:F116)&gt;(L130*3),L130*K113,SUM(B116:F116)*K113)),2)</f>
        <v>0</v>
      </c>
      <c r="L116" s="76">
        <f>ROUND(IF(SUM(B114:F115)&lt;(L129*2),IF((SUM(B114:F116))&gt;(L129*3),(((L129*3)-(SUM(B114:F116)-C115))*L113)+((SUM(B116:F116)-C115)*L113),SUM(B116:F116)*L113),IF(SUM(B114:F116)&gt;(L129*3),L129*L113,SUM(B116:F116)*L113)),2)</f>
        <v>0</v>
      </c>
      <c r="M116" s="76">
        <f>ROUND(IF(SUM(B114:F115)&lt;(L130*2),IF((SUM(B114:F116))&gt;(L130*3),(((L130*3)-(SUM(B114:F116)-C116))*M113)+((SUM(B116:F116)-C116)*M113),(SUM(B116:F116)-C116)*M113),IF(SUM(B114:F116)&gt;(L130*3),L130*M113,SUM(B116:F116)*M113)),2)</f>
        <v>0</v>
      </c>
      <c r="N116" s="23">
        <f>ROUND((B116+E116+F116)*N113,2)</f>
        <v>0</v>
      </c>
      <c r="O116" s="23">
        <f>ROUND(SUM(B116+C116+F116)*O113,2)</f>
        <v>0</v>
      </c>
      <c r="P116" s="27">
        <f t="shared" si="14"/>
        <v>0</v>
      </c>
    </row>
    <row r="117" spans="1:16" ht="14.25" customHeight="1" x14ac:dyDescent="0.2">
      <c r="A117" s="100" t="str">
        <f>$A$29</f>
        <v>Apr 2022</v>
      </c>
      <c r="B117" s="24">
        <f>ROUND(IF(N97=0,0,IFERROR(((LOOKUP(2,1/(A102:A105=A117),G102:G105))*N97*4.348*50%),B116/N97*N97)),2)</f>
        <v>0</v>
      </c>
      <c r="C117" s="23">
        <f>ROUND(IFERROR(((LOOKUP(2,1/(B107=A117),((SUM(B120:B122)+SUM(F120:F122))/3)*C107))),0)+IFERROR(((LOOKUP(2,1/(E107=A117),(B126+F126)*F107))),0),2)</f>
        <v>0</v>
      </c>
      <c r="D117" s="23">
        <f>ROUND(IF(B117=0,0,D113/L95*N97*50%),2)</f>
        <v>0</v>
      </c>
      <c r="E117" s="23">
        <f>ROUND(IF(B117=0,0,E113/N91*N97*50%),2)</f>
        <v>0</v>
      </c>
      <c r="F117" s="24">
        <f>ROUND(IF(N97=0,0,IFERROR(((LOOKUP(2,1/(A102:A105=A117),H102:H105))/N91*N97),F116/N97*N97*50%)),2)</f>
        <v>0</v>
      </c>
      <c r="G117" s="27">
        <f t="shared" si="13"/>
        <v>0</v>
      </c>
      <c r="H117" s="76">
        <f>ROUND(IF(SUM(B114:F116)&lt;(L129*3),IF((SUM(B114:F117))&gt;(L129*4),(((L129*4)-(SUM(B114:F117)-C116))*H113)+((SUM(B117:F117)-C116)*H113),SUM(B117:F117)*H113),IF(SUM(B114:F117)&gt;(L129*4),L129*H113,SUM(B117:F117)*H113)),2)</f>
        <v>0</v>
      </c>
      <c r="I117" s="76">
        <f>ROUND(IF((SUM(B114:F117)*80%)&gt;((L130*4)*90%),((((L130*4)*90%)-((SUM(B114:F117)-C117))*I113)+((SUM(B117:F117)-C117)*I113)*80%),((SUM(B117:F117)-C117)*I113)*80%),2)</f>
        <v>0</v>
      </c>
      <c r="J117" s="76">
        <f>ROUND(IF(SUM(B114:F116)&lt;(L130*3),IF((SUM(B114:F117))&gt;(L130*4),(((L130*4)-(SUM(B114:F117)-C116))*J113)+((SUM(B117:F117)-C116)*J113),SUM(B117:F117)*J113),IF(SUM(B114:F117)&gt;(L130*4),L130*J113,SUM(B117:F117)*J113)),2)</f>
        <v>0</v>
      </c>
      <c r="K117" s="76">
        <f>ROUND(IF(SUM(B114:F116)&lt;(L130*3),IF((SUM(B114:F117))&gt;(L130*4),(((L130*4)-(SUM(B114:F117)-C116))*K113)+((SUM(B117:F117)-C116)*K113),SUM(B117:F117)*K113),IF(SUM(B114:F117)&gt;(L130*4),L130*K113,SUM(B117:F117)*K113)),2)</f>
        <v>0</v>
      </c>
      <c r="L117" s="76">
        <f>ROUND(IF(SUM(B114:F116)&lt;(L129*3),IF((SUM(B114:F117))&gt;(L129*4),(((L129*4)-(SUM(B114:F117)-C116))*L113)+((SUM(B117:F117)-C116)*L113),SUM(B117:F117)*L113),IF(SUM(B114:F117)&gt;(L129*4),L129*L113,SUM(B117:F117)*L113)),2)</f>
        <v>0</v>
      </c>
      <c r="M117" s="76">
        <f>ROUND(IF(SUM(B114:F116)&lt;(L130*3),IF((SUM(B114:F117))&gt;(L130*4),(((L130*4)-(SUM(B114:F117)-C117))*M113)+((SUM(B117:F117)-C117)*M113),(SUM(B117:F117)-C117)*M113),IF(SUM(B114:F117)&gt;(L130*4),L130*M113,SUM(B117:F117)*M113)),2)</f>
        <v>0</v>
      </c>
      <c r="N117" s="23">
        <f>ROUND((B117+E117+F117)*N113,2)</f>
        <v>0</v>
      </c>
      <c r="O117" s="23">
        <f>ROUND(SUM(B117+C117+F117)*O113,2)</f>
        <v>0</v>
      </c>
      <c r="P117" s="27">
        <f t="shared" si="14"/>
        <v>0</v>
      </c>
    </row>
    <row r="118" spans="1:16" x14ac:dyDescent="0.2">
      <c r="A118" s="100" t="str">
        <f>$A$30</f>
        <v>Mai 2022</v>
      </c>
      <c r="B118" s="24">
        <f>ROUND(IF(N98=0,0,IFERROR(((LOOKUP(2,1/(A102:A105=A118),G102:G105))*N98*4.348*50%),B117/N98*N98)),2)</f>
        <v>0</v>
      </c>
      <c r="C118" s="23">
        <f>ROUND(IFERROR(((LOOKUP(2,1/(B107=A118),((SUM(B120:B122)+SUM(F120:F122))/3)*C107))),0)+IFERROR(((LOOKUP(2,1/(E107=A118),(B126+F126)*F107))),0),2)</f>
        <v>0</v>
      </c>
      <c r="D118" s="23">
        <f>ROUND(IF(B118=0,0,D113/L95*N98*50%),2)</f>
        <v>0</v>
      </c>
      <c r="E118" s="23">
        <f>ROUND(IF(B118=0,0,E113/N91*N98*50%),2)</f>
        <v>0</v>
      </c>
      <c r="F118" s="24">
        <f>ROUND(IF(N98=0,0,IFERROR(((LOOKUP(2,1/(A102:A105=A118),H102:H105))/N91*N98),F117/N98*N98*50%)),2)</f>
        <v>0</v>
      </c>
      <c r="G118" s="27">
        <f t="shared" si="13"/>
        <v>0</v>
      </c>
      <c r="H118" s="76">
        <f>ROUND(IF(SUM(B114:F117)&lt;(L129*4),IF((SUM(B114:F118))&gt;(L129*5),(((L129*5)-(SUM(B114:F118)-C117))*H113)+((SUM(B118:F118)-C117)*H113),SUM(B118:F118)*H113),IF(SUM(B114:F118)&gt;(L129*5),L129*H113,SUM(B118:F118)*H113)),2)</f>
        <v>0</v>
      </c>
      <c r="I118" s="76">
        <f>ROUND(IF((SUM(B114:F118)*80%)&gt;((L130*5)*90%),((((L130*5)*90%)-((SUM(B114:F118)-C118))*I113)+((SUM(B118:F118)-C118)*I113)*80%),((SUM(B118:F118)-C118)*I113)*80%),2)</f>
        <v>0</v>
      </c>
      <c r="J118" s="76">
        <f>ROUND(IF(SUM(B114:F117)&lt;(L130*4),IF((SUM(B114:F118))&gt;(L130*5),(((L130*5)-(SUM(B114:F118)-C117))*J113)+((SUM(B118:F118)-C117)*J113),SUM(B118:F118)*J113),IF(SUM(B114:F118)&gt;(L130*5),L130*J113,SUM(B118:F118)*J113)),2)</f>
        <v>0</v>
      </c>
      <c r="K118" s="76">
        <f>ROUND(IF(SUM(B114:F117)&lt;(L130*4),IF((SUM(B114:F118))&gt;(L130*5),(((L130*5)-(SUM(B114:F118)-C117))*K113)+((SUM(B118:F118)-C117)*K113),SUM(B118:F118)*K113),IF(SUM(B114:F118)&gt;(L130*5),L130*K113,SUM(B118:F118)*K113)),2)</f>
        <v>0</v>
      </c>
      <c r="L118" s="76">
        <f>ROUND(IF(SUM(B114:F117)&lt;(L129*4),IF((SUM(B114:F118))&gt;(L129*5),(((L129*5)-(SUM(B114:F118)-C117))*L113)+((SUM(B118:F118)-C117)*L113),SUM(B118:F118)*L113),IF(SUM(B114:F118)&gt;(L129*5),L129*L113,SUM(B118:F118)*L113)),2)</f>
        <v>0</v>
      </c>
      <c r="M118" s="76">
        <f>ROUND(IF(SUM(B114:F117)&lt;(L130*4),IF((SUM(B114:F118))&gt;(L130*5),(((L130*5)-(SUM(B114:F118)-C118))*M113)+((SUM(B118:F118)-C118)*M113),(SUM(B118:F118)-C118)*M113),IF(SUM(B114:F118)&gt;(L130*5),L130*M113,SUM(B118:F118)*M113)),2)</f>
        <v>0</v>
      </c>
      <c r="N118" s="23">
        <f>ROUND((B118+E118+F118)*N113,2)</f>
        <v>0</v>
      </c>
      <c r="O118" s="23">
        <f>ROUND(SUM(B118+C118+F118)*O113,2)</f>
        <v>0</v>
      </c>
      <c r="P118" s="27">
        <f t="shared" si="14"/>
        <v>0</v>
      </c>
    </row>
    <row r="119" spans="1:16" x14ac:dyDescent="0.2">
      <c r="A119" s="100" t="str">
        <f>$A$31</f>
        <v>Jun 2022</v>
      </c>
      <c r="B119" s="24">
        <f>ROUND(IF(N99=0,0,IFERROR(((LOOKUP(2,1/(A102:A105=A119),G102:G105))*N99*4.348*50%),B118/N99*N99)),2)</f>
        <v>0</v>
      </c>
      <c r="C119" s="23">
        <f>ROUND(IFERROR(((LOOKUP(2,1/(B107=A119),((SUM(B120:B122)+SUM(F120:F122))/3)*C107))),0)+IFERROR(((LOOKUP(2,1/(E107=A119),(B126+F126)*F107))),0),2)</f>
        <v>0</v>
      </c>
      <c r="D119" s="23">
        <f>ROUND(IF(B119=0,0,D113/L95*N99*50%),2)</f>
        <v>0</v>
      </c>
      <c r="E119" s="23">
        <f>ROUND(IF(B119=0,0,E113/N91*N99*50%),2)</f>
        <v>0</v>
      </c>
      <c r="F119" s="24">
        <f>ROUND(IF(N99=0,0,IFERROR(((LOOKUP(2,1/(A102:A105=A119),H102:H105))/N91*N99),F118/N99*N99*50%)),2)</f>
        <v>0</v>
      </c>
      <c r="G119" s="27">
        <f t="shared" si="13"/>
        <v>0</v>
      </c>
      <c r="H119" s="76">
        <f>ROUND(IF(SUM(B114:F118)&lt;(L129*5),IF((SUM(B114:F119))&gt;(L129*6),(((L129*6)-(SUM(B114:F119)-C118))*H113)+((SUM(B119:F119)-C118)*H113),SUM(B119:F119)*H113),IF(SUM(B114:F119)&gt;(L129*6),L129*H113,SUM(B119:F119)*H113)),2)</f>
        <v>0</v>
      </c>
      <c r="I119" s="76">
        <f>ROUND(IF((SUM(B114:F119)*80%)&gt;((L130*6)*90%),((((L130*6)*90%)-((SUM(B114:F119)-C119))*I113)+((SUM(B119:F119)-C119)*I113)*80%),((SUM(B119:F119)-C119)*I113)*80%),2)</f>
        <v>0</v>
      </c>
      <c r="J119" s="76">
        <f>ROUND(IF(SUM(B114:F118)&lt;(L130*5),IF((SUM(B114:F119))&gt;(L130*6),(((L130*6)-(SUM(B114:F119)-C118))*J113)+((SUM(B119:F119)-C118)*J113),SUM(B119:F119)*J113),IF(SUM(B114:F119)&gt;(L130*6),L130*J113,SUM(B119:F119)*J113)),2)</f>
        <v>0</v>
      </c>
      <c r="K119" s="76">
        <f>ROUND(IF(SUM(B114:F118)&lt;(L130*5),IF((SUM(B114:F119))&gt;(L130*6),(((L130*6)-(SUM(B114:F119)-C118))*K113)+((SUM(B119:F119)-C118)*K113),SUM(B119:F119)*K113),IF(SUM(B114:F119)&gt;(L130*6),L130*K113,SUM(B119:F119)*K113)),2)</f>
        <v>0</v>
      </c>
      <c r="L119" s="76">
        <f>ROUND(IF(SUM(B114:F118)&lt;(L129*5),IF((SUM(B114:F119))&gt;(L129*6),(((L129*6)-(SUM(B114:F119)-C118))*L113)+((SUM(B119:F119)-C118)*L113),SUM(B119:F119)*L113),IF(SUM(B114:F119)&gt;(L129*6),L129*L113,SUM(B119:F119)*L113)),2)</f>
        <v>0</v>
      </c>
      <c r="M119" s="76">
        <f>ROUND(IF(SUM(B114:F118)&lt;(L130*5),IF((SUM(B114:F119))&gt;(L130*6),(((L130*6)-(SUM(B114:F119)-C119))*M113)+((SUM(B119:F119)-C119)*M113),(SUM(B119:F119)-C119)*M113),IF(SUM(B114:F119)&gt;(L130*6),L130*M113,SUM(B119:F119)*M113)),2)</f>
        <v>0</v>
      </c>
      <c r="N119" s="23">
        <f>ROUND((B119+E119+F119)*N113,2)</f>
        <v>0</v>
      </c>
      <c r="O119" s="23">
        <f>ROUND(SUM(B119+C119+F119)*O113,2)</f>
        <v>0</v>
      </c>
      <c r="P119" s="27">
        <f t="shared" si="14"/>
        <v>0</v>
      </c>
    </row>
    <row r="120" spans="1:16" x14ac:dyDescent="0.2">
      <c r="A120" s="100" t="str">
        <f>$A$32</f>
        <v>Jul 2022</v>
      </c>
      <c r="B120" s="24">
        <f>ROUND(IF(P94=0,0,IFERROR(((LOOKUP(2,1/(A102:A105=A120),G102:G105))*P94*4.348*50%),B119/P94*P94)),2)</f>
        <v>0</v>
      </c>
      <c r="C120" s="23">
        <f>ROUND(IFERROR(((LOOKUP(2,1/(B107=A120),((SUM(B120:B122)+SUM(F120:F122))/3)*C107))),0)+IFERROR(((LOOKUP(2,1/(E107=A120),(B126+F126)*F107))),0),2)</f>
        <v>0</v>
      </c>
      <c r="D120" s="23">
        <f>ROUND(IF(B120=0,0,D113/L95*P94*50%),2)</f>
        <v>0</v>
      </c>
      <c r="E120" s="23">
        <f>ROUND(IF(B120=0,0,E113/N91*P94*50%),2)</f>
        <v>0</v>
      </c>
      <c r="F120" s="24">
        <f>ROUND(IF(P94=0,0,IFERROR(((LOOKUP(2,1/(A102:A105=A120),H102:H105))/N91*P94),F119/P94*P94*50%)),2)</f>
        <v>0</v>
      </c>
      <c r="G120" s="27">
        <f t="shared" si="13"/>
        <v>0</v>
      </c>
      <c r="H120" s="76">
        <f>ROUND(IF(SUM(B114:F119)&lt;(L129*6),IF((SUM(B114:F120))&gt;(L129*7),(((L129*7)-(SUM(B114:F120)-C119))*H113)+((SUM(B120:F120)-C119)*H113),SUM(B120:F120)*H113),IF(SUM(B114:F120)&gt;(L129*7),L129*H113,SUM(B120:F120)*H113)),2)</f>
        <v>0</v>
      </c>
      <c r="I120" s="76">
        <f>ROUND(IF((SUM(B114:F120)*80%)&gt;((L130*7)*90%),((((L130*7)*90%)-((SUM(B114:F120)-C120))*I113)+((SUM(B120:F120)-C120)*I113)*80%),((SUM(B120:F120)-C120)*I113)*80%),2)</f>
        <v>0</v>
      </c>
      <c r="J120" s="76">
        <f>ROUND(IF(SUM(B114:F119)&lt;(L130*6),IF((SUM(B114:F120))&gt;(L130*7),(((L130*7)-(SUM(B114:F120)-C119))*J113)+((SUM(B120:F120)-C119)*J113),SUM(B120:F120)*J113),IF(SUM(B114:F120)&gt;(L130*7),L130*J113,SUM(B120:F120)*J113)),2)</f>
        <v>0</v>
      </c>
      <c r="K120" s="76">
        <f>ROUND(IF(SUM(B114:F119)&lt;(L130*6),IF((SUM(B114:F120))&gt;(L130*7),(((L130*7)-(SUM(B114:F120)-C119))*K113)+((SUM(B120:F120)-C119)*K113),SUM(B120:F120)*K113),IF(SUM(B114:F120)&gt;(L130*7),L130*K113,SUM(B120:F120)*K113)),2)</f>
        <v>0</v>
      </c>
      <c r="L120" s="76">
        <f>ROUND(IF(SUM(B114:F119)&lt;(L129*6),IF((SUM(B114:F120))&gt;(L129*7),(((L129*7)-(SUM(B114:F120)-C119))*L113)+((SUM(B120:F120)-C119)*L113),SUM(B120:F120)*L113),IF(SUM(B114:F120)&gt;(L129*7),L129*L113,SUM(B120:F120)*L113)),2)</f>
        <v>0</v>
      </c>
      <c r="M120" s="76">
        <f>ROUND(IF(SUM(B114:F119)&lt;(L130*6),IF((SUM(B114:F120))&gt;(L130*7),(((L130*7)-(SUM(B114:F120)-C120))*M113)+((SUM(B120:F120)-C120)*M113),(SUM(B120:F120)-C120)*M113),IF(SUM(B114:F120)&gt;(L130*7),L130*M113,SUM(B120:F120)*M113)),2)</f>
        <v>0</v>
      </c>
      <c r="N120" s="23">
        <f>ROUND((B120+E120+F120)*N113,2)</f>
        <v>0</v>
      </c>
      <c r="O120" s="23">
        <f>ROUND(SUM(B120+C120+F120)*O113,2)</f>
        <v>0</v>
      </c>
      <c r="P120" s="27">
        <f t="shared" si="14"/>
        <v>0</v>
      </c>
    </row>
    <row r="121" spans="1:16" x14ac:dyDescent="0.2">
      <c r="A121" s="100" t="str">
        <f>$A$33</f>
        <v>Aug 2022</v>
      </c>
      <c r="B121" s="24">
        <f>ROUND(IF(P95=0,0,IFERROR(((LOOKUP(2,1/(A102:A105=A121),G102:G105))*P95*4.348*50%),B120/P95*P95)),2)</f>
        <v>0</v>
      </c>
      <c r="C121" s="23">
        <f>ROUND(IFERROR(((LOOKUP(2,1/(B107=A121),((SUM(B120:B122)+SUM(F120:F122))/3)*C107))),0)+IFERROR(((LOOKUP(2,1/(E107=A121),(B126+F126)*F107))),0),2)</f>
        <v>0</v>
      </c>
      <c r="D121" s="23">
        <f>ROUND(IF(B121=0,0,D113/L95*P95*50%),2)</f>
        <v>0</v>
      </c>
      <c r="E121" s="23">
        <f>ROUND(IF(B121=0,0,E113/N91*P95*50%),2)</f>
        <v>0</v>
      </c>
      <c r="F121" s="24">
        <f>ROUND(IF(P95=0,0,IFERROR(((LOOKUP(2,1/(A102:A105=A121),H102:H105))/N91*P95),F120/P95*P95*50%)),2)</f>
        <v>0</v>
      </c>
      <c r="G121" s="27">
        <f t="shared" si="13"/>
        <v>0</v>
      </c>
      <c r="H121" s="76">
        <f>ROUND(IF(SUM(B114:F120)&lt;(L129*7),IF((SUM(B114:F121))&gt;(L129*8),(((L129*8)-(SUM(B114:F121)-C120))*H113)+((SUM(B121:F121)-C120)*H113),SUM(B121:F121)*H113),IF(SUM(B114:F121)&gt;(L129*8),L129*H113,SUM(B121:F121)*H113)),2)</f>
        <v>0</v>
      </c>
      <c r="I121" s="76">
        <f>ROUND(IF((SUM(B114:F121)*80%)&gt;((L130*8)*90%),((((L130*8)*90%)-((SUM(B114:F121)-C121))*I113)+((SUM(B121:F121)-C121)*I113)*80%),((SUM(B121:F121)-C121)*I113)*80%),2)</f>
        <v>0</v>
      </c>
      <c r="J121" s="76">
        <f>ROUND(IF(SUM(B114:F120)&lt;(L130*7),IF((SUM(B114:F121))&gt;(L130*8),(((L130*8)-(SUM(B114:F121)-C120))*J113)+((SUM(B121:F121)-C120)*J113),SUM(B121:F121)*J113),IF(SUM(B114:F121)&gt;(L130*8),L130*J113,SUM(B121:F121)*J113)),2)</f>
        <v>0</v>
      </c>
      <c r="K121" s="76">
        <f>ROUND(IF(SUM(B114:F120)&lt;(L130*7),IF((SUM(B114:F121))&gt;(L130*8),(((L130*8)-(SUM(B114:F121)-C120))*K113)+((SUM(B121:F121)-C120)*K113),SUM(B121:F121)*K113),IF(SUM(B114:F121)&gt;(L130*8),L130*K113,SUM(B121:F121)*K113)),2)</f>
        <v>0</v>
      </c>
      <c r="L121" s="76">
        <f>ROUND(IF(SUM(B114:F120)&lt;(L129*7),IF((SUM(B114:F121))&gt;(L129*8),(((L129*8)-(SUM(B114:F121)-C120))*L113)+((SUM(B121:F121)-C120)*L113),SUM(B121:F121)*L113),IF(SUM(B114:F121)&gt;(L129*8),L129*L113,SUM(B121:F121)*L113)),2)</f>
        <v>0</v>
      </c>
      <c r="M121" s="76">
        <f>ROUND(IF(SUM(B114:F120)&lt;(L130*7),IF((SUM(B114:F121))&gt;(L130*8),(((L130*8)-(SUM(B114:F121)-C121))*M113)+((SUM(B121:F121)-C121)*M113),(SUM(B121:F121)-C121)*M113),IF(SUM(B114:F121)&gt;(L130*8),L130*M113,SUM(B121:F121)*M113)),2)</f>
        <v>0</v>
      </c>
      <c r="N121" s="23">
        <f>ROUND((B121+E121+F121)*N113,2)</f>
        <v>0</v>
      </c>
      <c r="O121" s="23">
        <f>ROUND(SUM(B121+C121+F121)*O113,2)</f>
        <v>0</v>
      </c>
      <c r="P121" s="27">
        <f t="shared" si="14"/>
        <v>0</v>
      </c>
    </row>
    <row r="122" spans="1:16" x14ac:dyDescent="0.2">
      <c r="A122" s="100" t="str">
        <f>$A$34</f>
        <v>Sep 2022</v>
      </c>
      <c r="B122" s="24">
        <f>ROUND(IF(P96=0,0,IFERROR(((LOOKUP(2,1/(A102:A105=A122),G102:G105))*P96*4.348*50%),B121/P96*P96)),2)</f>
        <v>0</v>
      </c>
      <c r="C122" s="23">
        <f>ROUND(IFERROR(((LOOKUP(2,1/(B107=A122),((SUM(B120:B122)+SUM(F120:F122))/3)*C107))),0)+IFERROR(((LOOKUP(2,1/(E107=A122),(B126+F126)*F107))),0),2)</f>
        <v>0</v>
      </c>
      <c r="D122" s="23">
        <f>ROUND(IF(B122=0,0,D113/L95*P96*50%),2)</f>
        <v>0</v>
      </c>
      <c r="E122" s="23">
        <f>ROUND(IF(B122=0,0,E113/N91*P96*50),2)</f>
        <v>0</v>
      </c>
      <c r="F122" s="24">
        <f>ROUND(IF(P96=0,0,IFERROR(((LOOKUP(2,1/(A102:A105=A122),H102:H105))/N91*P96),F121/P96*P96*50%)),2)</f>
        <v>0</v>
      </c>
      <c r="G122" s="27">
        <f t="shared" si="13"/>
        <v>0</v>
      </c>
      <c r="H122" s="76">
        <f>ROUND(IF(SUM(B114:F121)&lt;(L129*8),IF((SUM(B114:F122))&gt;(L129*9),(((L129*9)-(SUM(B114:F122)-C121))*H113)+((SUM(B122:F122)-C121)*H113),SUM(B122:F122)*H113),IF(SUM(B114:F122)&gt;(L129*9),L129*H113,SUM(B122:F122)*H113)),2)</f>
        <v>0</v>
      </c>
      <c r="I122" s="76">
        <f>ROUND(IF((SUM(B114:F122)*80%)&gt;((L130*9)*90%),((((L130*9)*90%)-((SUM(B114:F122)-C122))*I113)+((SUM(B122:F122)-C122)*I113)*80%),((SUM(B122:F122)-C122)*I113)*80%),2)</f>
        <v>0</v>
      </c>
      <c r="J122" s="76">
        <f>ROUND(IF(SUM(B114:F121)&lt;(L130*8),IF((SUM(B114:F122))&gt;(L130*9),(((L130*9)-(SUM(B114:F122)-C121))*J113)+((SUM(B122:F122)-C121)*J113),SUM(B122:F122)*J113),IF(SUM(B114:F122)&gt;(L130*9),L130*J113,SUM(B122:F122)*J113)),2)</f>
        <v>0</v>
      </c>
      <c r="K122" s="76">
        <f>ROUND(IF(SUM(B114:F121)&lt;(L130*8),IF((SUM(B114:F122))&gt;(L130*9),(((L130*9)-(SUM(B114:F122)-C121))*K113)+((SUM(B122:F122)-C121)*K113),SUM(B122:F122)*K113),IF(SUM(B114:F122)&gt;(L130*9),L130*K113,SUM(B122:F122)*K113)),2)</f>
        <v>0</v>
      </c>
      <c r="L122" s="76">
        <f>ROUND(IF(SUM(B114:F121)&lt;(L129*8),IF((SUM(B114:F122))&gt;(L129*9),(((L129*9)-(SUM(B114:F122)-C121))*L113)+((SUM(B122:F122)-C121)*L113),SUM(B122:F122)*L113),IF(SUM(B114:F122)&gt;(L129*9),L129*L113,SUM(B122:F122)*L113)),2)</f>
        <v>0</v>
      </c>
      <c r="M122" s="76">
        <f>ROUND(IF(SUM(B114:F121)&lt;(L130*8),IF((SUM(B114:F122))&gt;(L130*9),(((L130*9)-(SUM(B114:F122)-C122))*M113)+((SUM(B122:F122)-C122)*M113),(SUM(B122:F122)-C122)*M113),IF(SUM(B114:F122)&gt;(L130*9),L130*M113,SUM(B122:F122)*M113)),2)</f>
        <v>0</v>
      </c>
      <c r="N122" s="23">
        <f>ROUND((B122+E122+F122)*N113,2)</f>
        <v>0</v>
      </c>
      <c r="O122" s="23">
        <f>ROUND(SUM(B122+C122+F122)*O113,2)</f>
        <v>0</v>
      </c>
      <c r="P122" s="27">
        <f t="shared" si="14"/>
        <v>0</v>
      </c>
    </row>
    <row r="123" spans="1:16" x14ac:dyDescent="0.2">
      <c r="A123" s="100" t="str">
        <f>$A$35</f>
        <v>Okt 2022</v>
      </c>
      <c r="B123" s="24">
        <f>ROUND(IF(P97=0,0,IFERROR(((LOOKUP(2,1/(A102:A105=A123),G102:G105))*P97*4.348*50%),B122/P97*P97)),2)</f>
        <v>0</v>
      </c>
      <c r="C123" s="23">
        <f>ROUND(IFERROR(((LOOKUP(2,1/(B107=A123),((SUM(B120:B122)+SUM(F120:F122))/3)*C107))),0)+IFERROR(((LOOKUP(2,1/(E107=A123),(B126+F126)*F107))),0),2)</f>
        <v>0</v>
      </c>
      <c r="D123" s="23">
        <f>ROUND(IF(B123=0,0,D113/L95*P97*50%),2)</f>
        <v>0</v>
      </c>
      <c r="E123" s="23">
        <f>ROUND(IF(B123=0,0,E113/N91*P97*50%),2)</f>
        <v>0</v>
      </c>
      <c r="F123" s="24">
        <f>ROUND(IF(P97=0,0,IFERROR(((LOOKUP(2,1/(A102:A105=A123),H102:H105))/N91*P97),F122/P97*P97*50%)),2)</f>
        <v>0</v>
      </c>
      <c r="G123" s="27">
        <f t="shared" si="13"/>
        <v>0</v>
      </c>
      <c r="H123" s="76">
        <f>ROUND(IF(SUM(B114:F122)&lt;(L129*9),IF((SUM(B114:F123))&gt;(L129*10),(((L129*10)-(SUM(B114:F123)-C122))*H113)+((SUM(B123:F123)-C122)*H113),SUM(B123:F123)*H113),IF(SUM(B114:F123)&gt;(L129*10),L129*H113,SUM(B123:F123)*H113)),2)</f>
        <v>0</v>
      </c>
      <c r="I123" s="76">
        <f>ROUND(IF((SUM(B114:F123)*80%)&gt;((L130*10)*90%),((((L130*10)*90%)-((SUM(B114:F123)-C123))*I113)+((SUM(B123:F123)-C123)*I113)*80%),((SUM(B123:F123)-C123)*I113)*80%),2)</f>
        <v>0</v>
      </c>
      <c r="J123" s="76">
        <f>ROUND(IF(SUM(B114:F122)&lt;(L130*9),IF((SUM(B114:F123))&gt;(L130*10),(((L130*10)-(SUM(B114:F123)-C122))*J113)+((SUM(B123:F123)-C122)*J113),SUM(B123:F123)*J113),IF(SUM(B114:F123)&gt;(L130*10),L130*J113,SUM(B123:F123)*J113)),2)</f>
        <v>0</v>
      </c>
      <c r="K123" s="76">
        <f>ROUND(IF(SUM(B114:F122)&lt;(L130*9),IF((SUM(B114:F123))&gt;(L130*10),(((L130*10)-(SUM(B114:F123)-C122))*K113)+((SUM(B123:F123)-C122)*K113),SUM(B123:F123)*K113),IF(SUM(B114:F123)&gt;(L130*10),L130*K113,SUM(B123:F123)*K113)),2)</f>
        <v>0</v>
      </c>
      <c r="L123" s="76">
        <f>ROUND(IF(SUM(B114:F122)&lt;(L129*9),IF((SUM(B114:F123))&gt;(L129*10),(((L129*10)-(SUM(B114:F123)-C122))*L113)+((SUM(B123:F123)-C122)*L113),SUM(B123:F123)*L113),IF(SUM(B114:F123)&gt;(L129*10),L129*L113,SUM(B123:F123)*L113)),2)</f>
        <v>0</v>
      </c>
      <c r="M123" s="76">
        <f>ROUND(IF(SUM(B114:F122)&lt;(L130*9),IF((SUM(B114:F123))&gt;(L130*10),(((L130*10)-(SUM(B114:F123)-C123))*M113)+((SUM(B123:F123)-C123)*M113),(SUM(B123:F123)-C123)*M113),IF(SUM(B114:F123)&gt;(L130*10),L130*M113,SUM(B123:F123)*M113)),2)</f>
        <v>0</v>
      </c>
      <c r="N123" s="23">
        <f>ROUND((B123+E123+F123)*N113,2)</f>
        <v>0</v>
      </c>
      <c r="O123" s="23">
        <f>ROUND(SUM(B123+C123+F123)*O113,2)</f>
        <v>0</v>
      </c>
      <c r="P123" s="27">
        <f t="shared" si="14"/>
        <v>0</v>
      </c>
    </row>
    <row r="124" spans="1:16" x14ac:dyDescent="0.2">
      <c r="A124" s="100" t="str">
        <f>$A$36</f>
        <v>Nov 2022</v>
      </c>
      <c r="B124" s="24">
        <f>ROUND(IF(P98=0,0,IFERROR(((LOOKUP(2,1/(A102:A105=A124),G102:G105))*P98*4.348*50%),B123/P98*P98)),2)</f>
        <v>0</v>
      </c>
      <c r="C124" s="23">
        <f>ROUND(IFERROR(((LOOKUP(2,1/(B107=A124),((SUM(B120:B122)+SUM(F120:F122))/3)*C107))),0)+IFERROR(((LOOKUP(2,1/(E107=A124),(B126+F126)*F107))),0),2)</f>
        <v>0</v>
      </c>
      <c r="D124" s="23">
        <f>ROUND(IF(B124=0,0,D113/L95*P98*50%),2)</f>
        <v>0</v>
      </c>
      <c r="E124" s="23">
        <f>ROUND(IF(B124=0,0,E113/N91*P98*50%),2)</f>
        <v>0</v>
      </c>
      <c r="F124" s="24">
        <f>ROUND(IF(P98=0,0,IFERROR(((LOOKUP(2,1/(A102:A105=A124),H102:H105))/N91*P98),F123/P98*P98*50%)),2)</f>
        <v>0</v>
      </c>
      <c r="G124" s="27">
        <f t="shared" si="13"/>
        <v>0</v>
      </c>
      <c r="H124" s="76">
        <f>ROUND(IF(SUM(B114:F123)&lt;(L129*10),IF((SUM(B114:F124))&gt;(L129*11),(((L129*11)-(SUM(B114:F124)-C123))*H113)+((SUM(B124:F124)-C123)*H113),SUM(B124:F124)*H113),IF(SUM(B114:F124)&gt;(L129*11),L129*H113,SUM(B124:F124)*H113)),2)</f>
        <v>0</v>
      </c>
      <c r="I124" s="76">
        <f>ROUND(IF((SUM(B114:F124)*80%)&gt;((L130*11)*90%),((((L130*11)*90%)-((SUM(B114:F124)-C124))*I113)+((SUM(B124:F124)-C124)*I113)*80%),((SUM(B124:F124)-C124)*I113)*80%),2)</f>
        <v>0</v>
      </c>
      <c r="J124" s="76">
        <f>ROUND(IF(SUM(B114:F123)&lt;(L130*10),IF((SUM(B114:F124))&gt;(L130*11),(((L130*11)-(SUM(B114:F124)-C123))*J113)+((SUM(B124:F124)-C123)*J113),SUM(B124:F124)*J113),IF(SUM(B114:F124)&gt;(L130*11),L130*J113,SUM(B124:F124)*J113)),2)</f>
        <v>0</v>
      </c>
      <c r="K124" s="76">
        <f>ROUND(IF(SUM(B114:F123)&lt;(L130*10),IF((SUM(B114:F124))&gt;(L130*11),(((L130*11)-(SUM(B114:F124)-C123))*K113)+((SUM(B124:F124)-C123)*K113),SUM(B124:F124)*K113),IF(SUM(B114:F124)&gt;(L130*11),L130*K113,SUM(B124:F124)*K113)),2)</f>
        <v>0</v>
      </c>
      <c r="L124" s="76">
        <f>ROUND(IF(SUM(B114:F123)&lt;(L129*10),IF((SUM(B114:F124))&gt;(L129*11),(((L129*11)-(SUM(B114:F124)-C123))*L113)+((SUM(B124:F124)-C123)*L113),SUM(B124:F124)*L113),IF(SUM(B114:F124)&gt;(L129*11),L129*L113,SUM(B124:F124)*L113)),2)</f>
        <v>0</v>
      </c>
      <c r="M124" s="76">
        <f>ROUND(IF(SUM(B114:F123)&lt;(L130*10),IF((SUM(B114:F124))&gt;(L130*11),(((L130*11)-(SUM(B114:F124)-C124))*M113)+((SUM(B124:F124)-C124)*M113),(SUM(B124:F124)-C124)*M113),IF(SUM(B114:F124)&gt;(L130*11),L130*M113,SUM(B124:F124)*M113)),2)</f>
        <v>0</v>
      </c>
      <c r="N124" s="23">
        <f>ROUND((B124+E124+F124)*N113,2)</f>
        <v>0</v>
      </c>
      <c r="O124" s="23">
        <f>ROUND(SUM(B124+C124+F124)*O113,2)</f>
        <v>0</v>
      </c>
      <c r="P124" s="27">
        <f t="shared" si="14"/>
        <v>0</v>
      </c>
    </row>
    <row r="125" spans="1:16" x14ac:dyDescent="0.2">
      <c r="A125" s="100" t="str">
        <f>$A$37</f>
        <v>Dez 2022</v>
      </c>
      <c r="B125" s="24">
        <f>ROUND(IF(P99=0,0,IFERROR(((LOOKUP(2,1/(A102:A105=A125),G102:G105))*P99*4.348*50%),B124/P99*P99)),2)</f>
        <v>0</v>
      </c>
      <c r="C125" s="23">
        <f>ROUND(IFERROR(((LOOKUP(2,1/(B107=A125),((SUM(B120:B122)+SUM(F120:F122))/3)*C107))),0)+IFERROR(((LOOKUP(2,1/(E107=A125),(B126+F126)*F107))),0),2)</f>
        <v>0</v>
      </c>
      <c r="D125" s="23">
        <f>ROUND(IF(B125=0,0,D113/L95*P99*50%),2)</f>
        <v>0</v>
      </c>
      <c r="E125" s="23">
        <f>ROUND(IF(B125=0,0,E113/N91*P99*50%),2)</f>
        <v>0</v>
      </c>
      <c r="F125" s="24">
        <f>ROUND(IF(P99=0,0,IFERROR(((LOOKUP(2,1/(A102:A105=A125),H102:H105))/N91*P99),F124/P99*P99*50%)),2)</f>
        <v>0</v>
      </c>
      <c r="G125" s="27">
        <f t="shared" si="13"/>
        <v>0</v>
      </c>
      <c r="H125" s="76">
        <f>ROUND(IF(SUM(B114:F124)&lt;(L129*11),IF((SUM(B114:F125))&gt;(L129*12),(((L129*12)-(SUM(B114:F125)-C124))*H113)+((SUM(B125:F125)-C124)*H113),SUM(B125:F125)*H113),IF(SUM(B114:F125)&gt;(L129*12),L129*H113,SUM(B125:F125)*H113)),2)</f>
        <v>0</v>
      </c>
      <c r="I125" s="76">
        <f>ROUND(IF((SUM(B114:F125)*80%)&gt;((L130*12)*90%),((((L130*12)*90%)-((SUM(B114:F125)-C125))*I113)+((SUM(B125:F125)-C125)*I113)*80%),((SUM(B125:F125)-C125)*I113)*80%),2)</f>
        <v>0</v>
      </c>
      <c r="J125" s="76">
        <f>ROUND(IF(SUM(B114:F124)&lt;(L130*11),IF((SUM(B114:F125))&gt;(L130*12),(((L130*12)-(SUM(B114:F125)-C124))*J113)+((SUM(B125:F125)-C124)*J113),SUM(B125:F125)*J113),IF(SUM(B114:F125)&gt;(L130*12),L130*J113,SUM(B125:F125)*J113)),2)</f>
        <v>0</v>
      </c>
      <c r="K125" s="76">
        <f>ROUND(IF(SUM(B114:F124)&lt;(L130*11),IF((SUM(B114:F125))&gt;(L130*12),(((L130*12)-(SUM(B114:F125)-C124))*K113)+((SUM(B125:F125)-C124)*K113),SUM(B125:F125)*K113),IF(SUM(B114:F125)&gt;(L130*12),L130*K113,SUM(B125:F125)*K113)),2)</f>
        <v>0</v>
      </c>
      <c r="L125" s="76">
        <f>ROUND(IF(SUM(B114:F124)&lt;(L129*11),IF((SUM(B114:F125))&gt;(L129*12),(((L129*12)-(SUM(B114:F125)-C124))*L113)+((SUM(B125:F125)-C124)*L113),SUM(B125:F125)*L113),IF(SUM(B114:F125)&gt;(L129*12),L129*L113,SUM(B125:F125)*L113)),2)</f>
        <v>0</v>
      </c>
      <c r="M125" s="76">
        <f>ROUND(IF(SUM(B114:F124)&lt;(L130*11),IF((SUM(B114:F125))&gt;(L130*12),(((L130*12)-(SUM(B114:F125)-C125))*M113)+((SUM(B125:F125)-C125)*M113),(SUM(B125:F125)-C125)*M113),IF(SUM(B114:F125)&gt;(L130*12),L130*M113,SUM(B125:F125)*M113)),2)</f>
        <v>0</v>
      </c>
      <c r="N125" s="23">
        <f>ROUND((B125+E125+F125)*N113,2)</f>
        <v>0</v>
      </c>
      <c r="O125" s="23">
        <f>ROUND(SUM(B125+C125+F125)*O113,2)</f>
        <v>0</v>
      </c>
      <c r="P125" s="27">
        <f>SUM(G125:O125)</f>
        <v>0</v>
      </c>
    </row>
    <row r="126" spans="1:16" x14ac:dyDescent="0.2">
      <c r="A126" s="4" t="s">
        <v>2</v>
      </c>
      <c r="B126" s="27">
        <f>SUM(B114:B125)</f>
        <v>0</v>
      </c>
      <c r="C126" s="27">
        <f t="shared" ref="C126" si="15">SUM(C114:C125)</f>
        <v>0</v>
      </c>
      <c r="D126" s="27">
        <f>SUM(D114:D125)</f>
        <v>0</v>
      </c>
      <c r="E126" s="27">
        <f t="shared" ref="E126:G126" si="16">SUM(E114:E125)</f>
        <v>0</v>
      </c>
      <c r="F126" s="27">
        <f t="shared" si="16"/>
        <v>0</v>
      </c>
      <c r="G126" s="27">
        <f t="shared" si="16"/>
        <v>0</v>
      </c>
      <c r="H126" s="1133">
        <f>SUM(H114:M125)</f>
        <v>0</v>
      </c>
      <c r="I126" s="1134"/>
      <c r="J126" s="1134"/>
      <c r="K126" s="1134"/>
      <c r="L126" s="1134"/>
      <c r="M126" s="1134"/>
      <c r="N126" s="27">
        <f>SUM(N114:N125)</f>
        <v>0</v>
      </c>
      <c r="O126" s="27">
        <f>SUM(O114:O125)</f>
        <v>0</v>
      </c>
      <c r="P126" s="27">
        <f>SUM(P114:P125)</f>
        <v>0</v>
      </c>
    </row>
    <row r="127" spans="1:16" s="13" customFormat="1" ht="11.25" x14ac:dyDescent="0.2">
      <c r="A127" s="3" t="s">
        <v>1</v>
      </c>
      <c r="B127" s="2"/>
      <c r="C127" s="2"/>
      <c r="D127" s="2"/>
      <c r="E127" s="2"/>
      <c r="F127" s="2"/>
      <c r="G127" s="2"/>
      <c r="H127" s="2"/>
      <c r="I127" s="2"/>
      <c r="J127" s="2"/>
      <c r="K127" s="2"/>
      <c r="L127" s="2"/>
      <c r="M127" s="2"/>
      <c r="N127" s="2"/>
      <c r="O127" s="2"/>
      <c r="P127" s="2"/>
    </row>
    <row r="128" spans="1:16" s="1" customFormat="1" ht="14.25" customHeight="1" x14ac:dyDescent="0.2">
      <c r="A128" s="1136" t="s">
        <v>133</v>
      </c>
      <c r="B128" s="1137"/>
      <c r="C128" s="1137"/>
      <c r="D128" s="1137" t="s">
        <v>134</v>
      </c>
      <c r="E128" s="1137"/>
      <c r="F128" s="94" t="str">
        <f>IF(IF(G126=0,"",'päd.Personal - Leitung'!$F$40)=0,"",IF(G126=0,"",'päd.Personal - Leitung'!$F$40))</f>
        <v/>
      </c>
      <c r="G128" s="77" t="s">
        <v>135</v>
      </c>
      <c r="H128" s="96" t="str">
        <f>IF(IF(G126=0,"",'päd.Personal - Leitung'!$H$40)=0,"",IF(G126=0,"",'päd.Personal - Leitung'!$H$40))</f>
        <v/>
      </c>
      <c r="I128" s="73"/>
      <c r="J128" s="194" t="s">
        <v>160</v>
      </c>
      <c r="K128" s="194" t="str">
        <f>$K$40</f>
        <v>2021</v>
      </c>
      <c r="L128" s="194" t="str">
        <f>$L$40</f>
        <v>anteilig 2021</v>
      </c>
      <c r="M128" s="1138" t="s">
        <v>140</v>
      </c>
      <c r="N128" s="1138"/>
      <c r="O128" s="1139"/>
      <c r="P128" s="27">
        <f>ROUND(IF(F128="",IF(E132="",0,(E132*H132/K132)/L95*L96),G126*F128*H128/1000),2)</f>
        <v>0</v>
      </c>
    </row>
    <row r="129" spans="1:16" s="1" customFormat="1" ht="15" customHeight="1" x14ac:dyDescent="0.2">
      <c r="A129" s="1140" t="s">
        <v>145</v>
      </c>
      <c r="B129" s="1141"/>
      <c r="C129" s="1141"/>
      <c r="D129" s="18"/>
      <c r="E129" s="107" t="s">
        <v>135</v>
      </c>
      <c r="F129" s="95" t="str">
        <f>IF(IF(G126=0,"",'päd.Personal - Leitung'!$F$41)=0,"",IF(G126=0,"",'päd.Personal - Leitung'!$F$41))</f>
        <v/>
      </c>
      <c r="G129" s="48"/>
      <c r="H129" s="47"/>
      <c r="I129" s="48"/>
      <c r="J129" s="195" t="s">
        <v>158</v>
      </c>
      <c r="K129" s="198">
        <f>$K$41</f>
        <v>4837.5</v>
      </c>
      <c r="L129" s="197">
        <f>IF(L95="",K129,K129/L95*L96)</f>
        <v>4837.5</v>
      </c>
      <c r="M129" s="1138" t="s">
        <v>139</v>
      </c>
      <c r="N129" s="1138"/>
      <c r="O129" s="1139"/>
      <c r="P129" s="27">
        <f>ROUND(IF(F129="",0,G126*F129/1000),2)</f>
        <v>0</v>
      </c>
    </row>
    <row r="130" spans="1:16" s="1" customFormat="1" ht="15.75" customHeight="1" x14ac:dyDescent="0.2">
      <c r="A130" s="1142" t="s">
        <v>141</v>
      </c>
      <c r="B130" s="1143"/>
      <c r="C130" s="1143"/>
      <c r="D130" s="1144" t="s">
        <v>143</v>
      </c>
      <c r="E130" s="1144"/>
      <c r="F130" s="1145" t="str">
        <f>IF(IF(G126=0,"",'päd.Personal - Leitung'!$F$42)=0,"",IF(G126=0,"",'päd.Personal - Leitung'!$F$42))</f>
        <v/>
      </c>
      <c r="G130" s="1145"/>
      <c r="H130" s="72"/>
      <c r="I130" s="18"/>
      <c r="J130" s="195" t="s">
        <v>159</v>
      </c>
      <c r="K130" s="198">
        <f>$K$42</f>
        <v>6700</v>
      </c>
      <c r="L130" s="197">
        <f>IF(L95="",K130,K130/L95*L96)</f>
        <v>6700</v>
      </c>
      <c r="M130" s="1138" t="s">
        <v>141</v>
      </c>
      <c r="N130" s="1138"/>
      <c r="O130" s="1139"/>
      <c r="P130" s="23">
        <f>ROUND(IF(F130="",0,IF(G126=0,0,F130/L95*L96)),2)</f>
        <v>0</v>
      </c>
    </row>
    <row r="131" spans="1:16" s="1" customFormat="1" ht="14.25" customHeight="1" x14ac:dyDescent="0.2">
      <c r="A131" s="18"/>
      <c r="B131" s="18"/>
      <c r="C131" s="18"/>
      <c r="D131" s="18"/>
      <c r="E131" s="18"/>
      <c r="F131" s="18"/>
      <c r="G131" s="18"/>
      <c r="H131" s="18"/>
      <c r="I131" s="18"/>
      <c r="J131" s="18"/>
      <c r="K131" s="74"/>
      <c r="L131" s="82"/>
      <c r="M131" s="1127" t="s">
        <v>146</v>
      </c>
      <c r="N131" s="1127"/>
      <c r="O131" s="1128"/>
      <c r="P131" s="23">
        <f>ROUND(IF(G126=0,0,$P$43),2)</f>
        <v>0</v>
      </c>
    </row>
    <row r="132" spans="1:16" s="1" customFormat="1" ht="14.25" customHeight="1" x14ac:dyDescent="0.2">
      <c r="A132" s="1129" t="s">
        <v>142</v>
      </c>
      <c r="B132" s="1130"/>
      <c r="C132" s="133" t="s">
        <v>136</v>
      </c>
      <c r="D132" s="133" t="s">
        <v>137</v>
      </c>
      <c r="E132" s="1131" t="str">
        <f>IF(IF(G126=0,"",'päd.Personal - Leitung'!$E$44)=0,"",IF(G126=0,"",'päd.Personal - Leitung'!$E$44))</f>
        <v/>
      </c>
      <c r="F132" s="1131"/>
      <c r="G132" s="83" t="s">
        <v>138</v>
      </c>
      <c r="H132" s="97" t="str">
        <f>IF(IF(G126=0,"",'päd.Personal - Leitung'!$H$44)=0,"",IF(G126=0,"",'päd.Personal - Leitung'!$H$44))</f>
        <v/>
      </c>
      <c r="I132" s="1132" t="s">
        <v>144</v>
      </c>
      <c r="J132" s="1132"/>
      <c r="K132" s="98" t="str">
        <f>IF(IF(G126=0,"",'päd.Personal - Leitung'!$K$44)=0,"",IF(G126=0,"",'päd.Personal - Leitung'!$K$44))</f>
        <v/>
      </c>
      <c r="L132" s="29"/>
      <c r="M132" s="29"/>
      <c r="N132" s="29"/>
      <c r="O132" s="28" t="s">
        <v>0</v>
      </c>
      <c r="P132" s="27">
        <f>P126+SUM(P128:P131)</f>
        <v>0</v>
      </c>
    </row>
    <row r="133" spans="1:16" s="12" customFormat="1" ht="13.5" customHeight="1" x14ac:dyDescent="0.2">
      <c r="A133" s="1178" t="s">
        <v>18</v>
      </c>
      <c r="B133" s="1178"/>
      <c r="C133" s="1178"/>
      <c r="D133" s="1179" t="str">
        <f>IF($D$1="","",$D$1)</f>
        <v/>
      </c>
      <c r="E133" s="1179"/>
      <c r="F133" s="1179"/>
      <c r="G133" s="1179"/>
      <c r="H133" s="1179"/>
      <c r="I133" s="1179"/>
      <c r="J133" s="1179"/>
      <c r="K133" s="1179"/>
      <c r="L133" s="1179"/>
      <c r="M133" s="1179"/>
      <c r="N133" s="1179"/>
    </row>
    <row r="134" spans="1:16" s="12" customFormat="1" ht="15" customHeight="1" x14ac:dyDescent="0.2">
      <c r="A134" s="1178" t="s">
        <v>17</v>
      </c>
      <c r="B134" s="1178"/>
      <c r="C134" s="1178" t="s">
        <v>15</v>
      </c>
      <c r="D134" s="1179" t="str">
        <f>IF($D$2="","",$D$2)</f>
        <v/>
      </c>
      <c r="E134" s="1179"/>
      <c r="F134" s="1179"/>
      <c r="G134" s="1179"/>
      <c r="H134" s="1179"/>
      <c r="I134" s="1179"/>
      <c r="J134" s="1179"/>
      <c r="K134" s="1179"/>
      <c r="L134" s="1179"/>
      <c r="M134" s="1179"/>
      <c r="N134" s="1179"/>
    </row>
    <row r="135" spans="1:16" s="12" customFormat="1" ht="15" customHeight="1" x14ac:dyDescent="0.2">
      <c r="A135" s="1178" t="s">
        <v>16</v>
      </c>
      <c r="B135" s="1178"/>
      <c r="C135" s="1178" t="s">
        <v>15</v>
      </c>
      <c r="D135" s="1179" t="str">
        <f>IF($D$3="","",$D$3)</f>
        <v/>
      </c>
      <c r="E135" s="1179"/>
      <c r="F135" s="1179"/>
      <c r="G135" s="1179"/>
      <c r="H135" s="1179"/>
      <c r="I135" s="1179"/>
      <c r="J135" s="1179"/>
      <c r="K135" s="1178" t="s">
        <v>103</v>
      </c>
      <c r="L135" s="1178"/>
      <c r="M135" s="1178"/>
      <c r="N135" s="41" t="str">
        <f>IF($N$3="","",$N$3)</f>
        <v/>
      </c>
    </row>
    <row r="136" spans="1:16" s="13" customFormat="1" ht="11.25" x14ac:dyDescent="0.2">
      <c r="A136" s="1182"/>
      <c r="B136" s="1182"/>
      <c r="C136" s="1182"/>
      <c r="D136" s="1183"/>
      <c r="E136" s="1183"/>
      <c r="F136" s="1183"/>
      <c r="G136" s="1183"/>
      <c r="H136" s="1183"/>
      <c r="I136" s="1183"/>
      <c r="J136" s="1183"/>
      <c r="K136" s="11"/>
      <c r="L136" s="11"/>
      <c r="M136" s="11"/>
      <c r="N136" s="11"/>
      <c r="O136" s="11"/>
      <c r="P136" s="11"/>
    </row>
    <row r="137" spans="1:16" x14ac:dyDescent="0.2">
      <c r="A137" s="1177" t="s">
        <v>219</v>
      </c>
      <c r="B137" s="1177"/>
      <c r="C137" s="1177"/>
      <c r="D137" s="1177"/>
      <c r="E137" s="1177"/>
      <c r="F137" s="1177"/>
      <c r="G137" s="1177"/>
      <c r="H137" s="1177"/>
      <c r="I137" s="1177"/>
      <c r="J137" s="1177"/>
      <c r="K137" s="1177"/>
      <c r="L137" s="1177"/>
      <c r="M137" s="1177"/>
      <c r="N137" s="59" t="s">
        <v>154</v>
      </c>
      <c r="O137" s="191">
        <f>$O$5</f>
        <v>2022</v>
      </c>
      <c r="P137" s="59" t="s">
        <v>154</v>
      </c>
    </row>
    <row r="138" spans="1:16" s="10" customFormat="1" ht="13.5" customHeight="1" x14ac:dyDescent="0.25">
      <c r="B138" s="32"/>
      <c r="C138" s="32"/>
      <c r="D138" s="5" t="s">
        <v>184</v>
      </c>
      <c r="E138" s="31"/>
      <c r="F138" s="31"/>
      <c r="G138" s="31"/>
      <c r="H138" s="31"/>
      <c r="I138" s="26"/>
      <c r="J138" s="1174" t="s">
        <v>14</v>
      </c>
      <c r="K138" s="1174"/>
      <c r="L138" s="180"/>
      <c r="N138" s="84">
        <f>IF(L140="","",L140)</f>
        <v>0</v>
      </c>
      <c r="O138" s="58" t="str">
        <f>'päd.Personal - Leitung'!$O$6</f>
        <v>Jan                Jul</v>
      </c>
      <c r="P138" s="85">
        <f>IF(N143="","",N143)</f>
        <v>0</v>
      </c>
    </row>
    <row r="139" spans="1:16" s="7" customFormat="1" ht="13.5" customHeight="1" x14ac:dyDescent="0.25">
      <c r="A139" s="1180" t="s">
        <v>71</v>
      </c>
      <c r="B139" s="1180"/>
      <c r="C139" s="1180"/>
      <c r="D139" s="1184"/>
      <c r="E139" s="1184"/>
      <c r="F139" s="1184"/>
      <c r="G139" s="1184"/>
      <c r="H139" s="1184"/>
      <c r="I139" s="1184"/>
      <c r="J139" s="1174" t="s">
        <v>104</v>
      </c>
      <c r="K139" s="1174"/>
      <c r="L139" s="145"/>
      <c r="N139" s="85">
        <f>IF(N138="","",N138)</f>
        <v>0</v>
      </c>
      <c r="O139" s="58" t="str">
        <f>'päd.Personal - Leitung'!$O$7</f>
        <v>Feb              Aug</v>
      </c>
      <c r="P139" s="85">
        <f>IF(P138="","",P138)</f>
        <v>0</v>
      </c>
    </row>
    <row r="140" spans="1:16" s="1" customFormat="1" ht="13.5" customHeight="1" x14ac:dyDescent="0.2">
      <c r="A140" s="1180" t="s">
        <v>13</v>
      </c>
      <c r="B140" s="1180"/>
      <c r="C140" s="1180"/>
      <c r="D140" s="1181"/>
      <c r="E140" s="1181"/>
      <c r="F140" s="1181"/>
      <c r="G140" s="1181"/>
      <c r="H140" s="1181"/>
      <c r="I140" s="1181"/>
      <c r="J140" s="1174" t="s">
        <v>164</v>
      </c>
      <c r="K140" s="1174"/>
      <c r="L140" s="145">
        <f>IF((L141+L142)&gt;L139,0,L139-L141-L142)</f>
        <v>0</v>
      </c>
      <c r="N140" s="85">
        <f>IF(N139="","",N139)</f>
        <v>0</v>
      </c>
      <c r="O140" s="58" t="str">
        <f>'päd.Personal - Leitung'!$O$8</f>
        <v>Mrz              Sep</v>
      </c>
      <c r="P140" s="85">
        <f>IF(P139="","",P139)</f>
        <v>0</v>
      </c>
    </row>
    <row r="141" spans="1:16" s="1" customFormat="1" ht="13.5" customHeight="1" x14ac:dyDescent="0.2">
      <c r="A141" s="1180" t="s">
        <v>12</v>
      </c>
      <c r="B141" s="1180"/>
      <c r="C141" s="1180"/>
      <c r="D141" s="1181"/>
      <c r="E141" s="1181"/>
      <c r="F141" s="1181"/>
      <c r="G141" s="1181"/>
      <c r="H141" s="1181"/>
      <c r="I141" s="1181"/>
      <c r="J141" s="1174" t="s">
        <v>165</v>
      </c>
      <c r="K141" s="1174"/>
      <c r="L141" s="145"/>
      <c r="N141" s="85">
        <f>IF(N140="","",N140)</f>
        <v>0</v>
      </c>
      <c r="O141" s="58" t="str">
        <f>'päd.Personal - Leitung'!$O$9</f>
        <v>Apr               Okt</v>
      </c>
      <c r="P141" s="85">
        <f t="shared" ref="P141:P143" si="17">IF(P140="","",P140)</f>
        <v>0</v>
      </c>
    </row>
    <row r="142" spans="1:16" s="1" customFormat="1" ht="13.5" customHeight="1" x14ac:dyDescent="0.2">
      <c r="A142" s="1180" t="s">
        <v>19</v>
      </c>
      <c r="B142" s="1180"/>
      <c r="C142" s="1180"/>
      <c r="D142" s="1181"/>
      <c r="E142" s="1181"/>
      <c r="F142" s="1181"/>
      <c r="G142" s="1181"/>
      <c r="H142" s="1181"/>
      <c r="I142" s="1181"/>
      <c r="J142" s="1174" t="s">
        <v>252</v>
      </c>
      <c r="K142" s="1174"/>
      <c r="L142" s="145"/>
      <c r="M142" s="92"/>
      <c r="N142" s="85">
        <f>IF(N141="","",N141)</f>
        <v>0</v>
      </c>
      <c r="O142" s="58" t="str">
        <f>'päd.Personal - Leitung'!$O$10</f>
        <v>Mai               Nov</v>
      </c>
      <c r="P142" s="85">
        <f t="shared" si="17"/>
        <v>0</v>
      </c>
    </row>
    <row r="143" spans="1:16" s="1" customFormat="1" ht="13.5" customHeight="1" x14ac:dyDescent="0.2">
      <c r="B143" s="8"/>
      <c r="C143" s="132" t="s">
        <v>162</v>
      </c>
      <c r="D143" s="1175"/>
      <c r="E143" s="1175"/>
      <c r="F143" s="1176" t="s">
        <v>113</v>
      </c>
      <c r="G143" s="1176"/>
      <c r="H143" s="1186"/>
      <c r="I143" s="1186"/>
      <c r="J143" s="1174" t="s">
        <v>97</v>
      </c>
      <c r="K143" s="1174"/>
      <c r="L143" s="17" t="str">
        <f>IF(IF((COUNTIF(B158:B169,"&gt;0"))=0,0,(COUNTIF(B158:B169,"&gt;0")))&gt;Grundlagen!$C$24,Grundlagen!$C$24,IF((COUNTIF(B158:B169,"&gt;0"))=0,"",(COUNTIF(B158:B169,"&gt;0"))))</f>
        <v/>
      </c>
      <c r="N143" s="85">
        <f>IF(N142="","",N142)</f>
        <v>0</v>
      </c>
      <c r="O143" s="58" t="str">
        <f>'päd.Personal - Leitung'!$O$11</f>
        <v>Jun               Dez</v>
      </c>
      <c r="P143" s="85">
        <f t="shared" si="17"/>
        <v>0</v>
      </c>
    </row>
    <row r="144" spans="1:16" s="1" customFormat="1" ht="13.5" customHeight="1" x14ac:dyDescent="0.2">
      <c r="F144" s="1176" t="s">
        <v>241</v>
      </c>
      <c r="G144" s="1176"/>
      <c r="H144" s="1186"/>
      <c r="I144" s="1186"/>
      <c r="L144" s="147" t="str">
        <f>IF((SUM(F146:F149))=0,"",IF(P144&gt;L140,L140,IF(L140="","",IF(L143="","",P144))))</f>
        <v/>
      </c>
      <c r="O144" s="174" t="s">
        <v>251</v>
      </c>
      <c r="P144" s="175">
        <f>IF(L143="",0,((IF(SUMIF(B158,"&gt;0"),N138,0))+(IF(SUMIF(B159,"&gt;0"),N139,0))+(IF(SUMIF(B160,"&gt;0"),N140,0))+(IF(SUMIF(B161,"&gt;0"),N141,0))+(IF(SUMIF(B162,"&gt;0"),N142,0))+(IF(SUMIF(B163,"&gt;0"),N143,0))+(IF(SUMIF(B164,"&gt;0"),P138,0))+(IF(SUMIF(B165,"&gt;0"),P139,0))+(IF(SUMIF(B166,"&gt;0"),P140,0))+(IF(SUMIF(B167,"&gt;0"),P141,0))+(IF(SUMIF(B168,"&gt;0"),P142,0))+(IF(SUMIF(B169,"&gt;0"),P143,0)))/Grundlagen!$C$24)</f>
        <v>0</v>
      </c>
    </row>
    <row r="145" spans="1:16" s="52" customFormat="1" ht="13.5" customHeight="1" x14ac:dyDescent="0.2">
      <c r="A145" s="61" t="s">
        <v>148</v>
      </c>
      <c r="B145" s="1168" t="s">
        <v>149</v>
      </c>
      <c r="C145" s="1168"/>
      <c r="D145" s="62" t="s">
        <v>150</v>
      </c>
      <c r="E145" s="63" t="s">
        <v>151</v>
      </c>
      <c r="F145" s="64" t="str">
        <f>CONCATENATE("Entg. ",N135," h/Wo")</f>
        <v>Entg.  h/Wo</v>
      </c>
      <c r="G145" s="65" t="s">
        <v>152</v>
      </c>
      <c r="H145" s="65" t="s">
        <v>153</v>
      </c>
      <c r="K145" s="1169" t="str">
        <f>CONCATENATE("Zuschläge / Zulagen für ",N135,"h/Wo")</f>
        <v>Zuschläge / Zulagen für h/Wo</v>
      </c>
      <c r="L145" s="1169"/>
      <c r="M145" s="66" t="str">
        <f>IF(A146="","",A146)</f>
        <v>Jan 2022</v>
      </c>
      <c r="N145" s="66" t="str">
        <f>IF(A147="","",A147)</f>
        <v/>
      </c>
      <c r="O145" s="66" t="str">
        <f>IF(A148="","",A148)</f>
        <v/>
      </c>
      <c r="P145" s="66" t="str">
        <f>IF(A149="","",A149)</f>
        <v/>
      </c>
    </row>
    <row r="146" spans="1:16" s="52" customFormat="1" ht="13.5" customHeight="1" x14ac:dyDescent="0.25">
      <c r="A146" s="54" t="str">
        <f>A158</f>
        <v>Jan 2022</v>
      </c>
      <c r="B146" s="1170" t="str">
        <f>IF($D$3="","",$D$3)</f>
        <v/>
      </c>
      <c r="C146" s="1171"/>
      <c r="D146" s="181"/>
      <c r="E146" s="181"/>
      <c r="F146" s="87"/>
      <c r="G146" s="56">
        <f>IF(N135="",0,F146/N135/4.348)</f>
        <v>0</v>
      </c>
      <c r="H146" s="53">
        <f>IF(G146=0,0,M151)</f>
        <v>0</v>
      </c>
      <c r="K146" s="1146"/>
      <c r="L146" s="1146"/>
      <c r="M146" s="86"/>
      <c r="N146" s="86"/>
      <c r="O146" s="86"/>
      <c r="P146" s="86"/>
    </row>
    <row r="147" spans="1:16" s="52" customFormat="1" ht="13.5" customHeight="1" x14ac:dyDescent="0.25">
      <c r="A147" s="55"/>
      <c r="B147" s="1172" t="str">
        <f>IF(A147="","",B146)</f>
        <v/>
      </c>
      <c r="C147" s="1173"/>
      <c r="D147" s="181"/>
      <c r="E147" s="181"/>
      <c r="F147" s="87"/>
      <c r="G147" s="56">
        <f>IF(N135="",0,F147/N135/4.348)</f>
        <v>0</v>
      </c>
      <c r="H147" s="53">
        <f>IF(G147=0,0,N151)</f>
        <v>0</v>
      </c>
      <c r="K147" s="1146"/>
      <c r="L147" s="1146"/>
      <c r="M147" s="86"/>
      <c r="N147" s="86"/>
      <c r="O147" s="86"/>
      <c r="P147" s="86"/>
    </row>
    <row r="148" spans="1:16" s="52" customFormat="1" ht="13.5" customHeight="1" x14ac:dyDescent="0.25">
      <c r="A148" s="55"/>
      <c r="B148" s="1172" t="str">
        <f>IF(A148="","",B147)</f>
        <v/>
      </c>
      <c r="C148" s="1173"/>
      <c r="D148" s="181"/>
      <c r="E148" s="181"/>
      <c r="F148" s="87"/>
      <c r="G148" s="56">
        <f>IF(N135="",0,F148/N135/4.348)</f>
        <v>0</v>
      </c>
      <c r="H148" s="53">
        <f>IF(G148=0,0,O151)</f>
        <v>0</v>
      </c>
      <c r="K148" s="1146"/>
      <c r="L148" s="1146"/>
      <c r="M148" s="86"/>
      <c r="N148" s="86"/>
      <c r="O148" s="86"/>
      <c r="P148" s="86"/>
    </row>
    <row r="149" spans="1:16" s="52" customFormat="1" ht="13.5" customHeight="1" x14ac:dyDescent="0.25">
      <c r="A149" s="55"/>
      <c r="B149" s="1172" t="str">
        <f>IF(A149="","",B148)</f>
        <v/>
      </c>
      <c r="C149" s="1173"/>
      <c r="D149" s="181"/>
      <c r="E149" s="181"/>
      <c r="F149" s="87"/>
      <c r="G149" s="56">
        <f>IF(N135="",0,F149/N135/4.348)</f>
        <v>0</v>
      </c>
      <c r="H149" s="53">
        <f>IF(G149=0,0,P151)</f>
        <v>0</v>
      </c>
      <c r="K149" s="1146"/>
      <c r="L149" s="1146"/>
      <c r="M149" s="86"/>
      <c r="N149" s="86"/>
      <c r="O149" s="86"/>
      <c r="P149" s="86"/>
    </row>
    <row r="150" spans="1:16" s="52" customFormat="1" ht="13.5" customHeight="1" x14ac:dyDescent="0.25">
      <c r="B150" s="1167" t="s">
        <v>157</v>
      </c>
      <c r="C150" s="1167"/>
      <c r="E150" s="1167" t="s">
        <v>156</v>
      </c>
      <c r="F150" s="1167"/>
      <c r="J150" s="69"/>
      <c r="K150" s="1146"/>
      <c r="L150" s="1146"/>
      <c r="M150" s="86"/>
      <c r="N150" s="86"/>
      <c r="O150" s="86"/>
      <c r="P150" s="86"/>
    </row>
    <row r="151" spans="1:16" s="52" customFormat="1" ht="13.5" customHeight="1" x14ac:dyDescent="0.25">
      <c r="A151" s="70" t="s">
        <v>167</v>
      </c>
      <c r="B151" s="67"/>
      <c r="C151" s="99" t="str">
        <f>IF(C107="","",C107)</f>
        <v/>
      </c>
      <c r="D151" s="70" t="s">
        <v>167</v>
      </c>
      <c r="E151" s="67"/>
      <c r="F151" s="99" t="str">
        <f>IF(F107="","",F107)</f>
        <v/>
      </c>
      <c r="J151" s="68"/>
      <c r="M151" s="57">
        <f>SUM(M146:M150)</f>
        <v>0</v>
      </c>
      <c r="N151" s="57">
        <f t="shared" ref="N151:P151" si="18">SUM(N146:N150)</f>
        <v>0</v>
      </c>
      <c r="O151" s="57">
        <f t="shared" si="18"/>
        <v>0</v>
      </c>
      <c r="P151" s="57">
        <f t="shared" si="18"/>
        <v>0</v>
      </c>
    </row>
    <row r="152" spans="1:16" s="52" customFormat="1" ht="13.5" customHeight="1" x14ac:dyDescent="0.2">
      <c r="A152" s="60" t="s">
        <v>155</v>
      </c>
    </row>
    <row r="153" spans="1:16" ht="14.25" customHeight="1" x14ac:dyDescent="0.2">
      <c r="A153" s="1147"/>
      <c r="B153" s="1149" t="s">
        <v>9</v>
      </c>
      <c r="C153" s="1150"/>
      <c r="D153" s="1150"/>
      <c r="E153" s="1150"/>
      <c r="F153" s="1150"/>
      <c r="G153" s="1151"/>
      <c r="H153" s="1152" t="s">
        <v>119</v>
      </c>
      <c r="I153" s="1153"/>
      <c r="J153" s="1153"/>
      <c r="K153" s="1153"/>
      <c r="L153" s="1153"/>
      <c r="M153" s="1153"/>
      <c r="N153" s="1195" t="s">
        <v>112</v>
      </c>
      <c r="O153" s="33"/>
      <c r="P153" s="1154" t="s">
        <v>0</v>
      </c>
    </row>
    <row r="154" spans="1:16" ht="14.25" customHeight="1" x14ac:dyDescent="0.2">
      <c r="A154" s="1148"/>
      <c r="B154" s="1157" t="s">
        <v>117</v>
      </c>
      <c r="C154" s="130" t="s">
        <v>115</v>
      </c>
      <c r="D154" s="1159" t="s">
        <v>277</v>
      </c>
      <c r="E154" s="1161" t="s">
        <v>147</v>
      </c>
      <c r="F154" s="134" t="s">
        <v>7</v>
      </c>
      <c r="G154" s="1162" t="s">
        <v>6</v>
      </c>
      <c r="H154" s="1161" t="s">
        <v>129</v>
      </c>
      <c r="I154" s="1161" t="s">
        <v>111</v>
      </c>
      <c r="J154" s="1161" t="s">
        <v>5</v>
      </c>
      <c r="K154" s="1161" t="s">
        <v>4</v>
      </c>
      <c r="L154" s="1161" t="s">
        <v>3</v>
      </c>
      <c r="M154" s="1161" t="s">
        <v>98</v>
      </c>
      <c r="N154" s="1196"/>
      <c r="O154" s="1160" t="s">
        <v>114</v>
      </c>
      <c r="P154" s="1155"/>
    </row>
    <row r="155" spans="1:16" ht="14.25" customHeight="1" x14ac:dyDescent="0.2">
      <c r="A155" s="1148"/>
      <c r="B155" s="1157"/>
      <c r="C155" s="21" t="str">
        <f>IF(C151="","",C151)</f>
        <v/>
      </c>
      <c r="D155" s="1160"/>
      <c r="E155" s="1161"/>
      <c r="F155" s="1165" t="str">
        <f>IF(H146=0,"","siehe Zuschläge / Zulagen")</f>
        <v/>
      </c>
      <c r="G155" s="1162"/>
      <c r="H155" s="1164" t="s">
        <v>127</v>
      </c>
      <c r="I155" s="1161"/>
      <c r="J155" s="1164"/>
      <c r="K155" s="1164"/>
      <c r="L155" s="1164"/>
      <c r="M155" s="1161"/>
      <c r="N155" s="1196"/>
      <c r="O155" s="1160"/>
      <c r="P155" s="1155"/>
    </row>
    <row r="156" spans="1:16" x14ac:dyDescent="0.2">
      <c r="A156" s="1148"/>
      <c r="B156" s="1157"/>
      <c r="C156" s="128" t="s">
        <v>70</v>
      </c>
      <c r="D156" s="1160"/>
      <c r="E156" s="1161"/>
      <c r="F156" s="1165"/>
      <c r="G156" s="1162"/>
      <c r="H156" s="43" t="s">
        <v>128</v>
      </c>
      <c r="I156" s="1161"/>
      <c r="J156" s="43" t="s">
        <v>255</v>
      </c>
      <c r="K156" s="43" t="s">
        <v>256</v>
      </c>
      <c r="L156" s="43" t="s">
        <v>257</v>
      </c>
      <c r="M156" s="1161"/>
      <c r="N156" s="1196"/>
      <c r="O156" s="1160"/>
      <c r="P156" s="1155"/>
    </row>
    <row r="157" spans="1:16" x14ac:dyDescent="0.2">
      <c r="A157" s="1148"/>
      <c r="B157" s="1158"/>
      <c r="C157" s="21" t="str">
        <f>IF(F151="","",F151)</f>
        <v/>
      </c>
      <c r="D157" s="51"/>
      <c r="E157" s="51"/>
      <c r="F157" s="1166"/>
      <c r="G157" s="1163"/>
      <c r="H157" s="93"/>
      <c r="I157" s="21"/>
      <c r="J157" s="139">
        <f>'päd.Personal - Leitung'!$I$69</f>
        <v>0</v>
      </c>
      <c r="K157" s="139">
        <f>'päd.Personal - Leitung'!$J$69</f>
        <v>0</v>
      </c>
      <c r="L157" s="44">
        <f>'päd.Personal - Leitung'!$K$69</f>
        <v>0</v>
      </c>
      <c r="M157" s="21"/>
      <c r="N157" s="21"/>
      <c r="O157" s="21">
        <f>O113</f>
        <v>0</v>
      </c>
      <c r="P157" s="1156"/>
    </row>
    <row r="158" spans="1:16" x14ac:dyDescent="0.2">
      <c r="A158" s="100" t="str">
        <f>'päd.Personal - Leitung'!$A$26</f>
        <v>Jan 2022</v>
      </c>
      <c r="B158" s="24">
        <f>ROUND(IF(N138=0,0,(LOOKUP(2,1/(A146:A149=A158),G146:G149))*N138*4.348*50%),2)</f>
        <v>0</v>
      </c>
      <c r="C158" s="23">
        <f>ROUND(IFERROR(((LOOKUP(2,1/(B151=A158),((SUM(B164:B166)+SUM(F164:F166))/3)*C151))),0)+IFERROR(((LOOKUP(2,1/(E151=A158),(B170+F170)*F151))),0),2)</f>
        <v>0</v>
      </c>
      <c r="D158" s="23">
        <f>ROUND(IF(B158=0,0,D157/L139*N138*50%),2)</f>
        <v>0</v>
      </c>
      <c r="E158" s="23">
        <f>ROUND(IF(B158=0,0,E157/N135*N138*50%),2)</f>
        <v>0</v>
      </c>
      <c r="F158" s="24">
        <f>ROUND(IF(N138=0,0,(LOOKUP(2,1/(A146:A149=A158),H146:H149))/N135*N138*50%),2)</f>
        <v>0</v>
      </c>
      <c r="G158" s="27">
        <f>SUM(B158+C158+E158+F158)</f>
        <v>0</v>
      </c>
      <c r="H158" s="76">
        <f>ROUND(IF((SUM(B158:F158))&gt;L173,L173*H157,SUM(B158:F158)*H157),2)</f>
        <v>0</v>
      </c>
      <c r="I158" s="76">
        <f>ROUND(IF((SUM(B158:F158)*80%)&gt;((L174*1)*90%),((((L174*1)*90%)-((SUM(B158:F158)-C158))*I157)+((SUM(B158:F158)-C158)*I157)*80%),((SUM(B158:F158)-C158)*I157)*80%),2)</f>
        <v>0</v>
      </c>
      <c r="J158" s="76">
        <f>ROUND(IF((SUM(B158:F158))&gt;L174,L174*J157,SUM(B158:F158)*J157),2)</f>
        <v>0</v>
      </c>
      <c r="K158" s="76">
        <f>ROUND(IF((SUM(B158:F158))&gt;L174,L174*K157,SUM(B158:F158)*K157),2)</f>
        <v>0</v>
      </c>
      <c r="L158" s="76">
        <f>ROUND(IF((SUM(B158:F158))&gt;L173,L173*L157,SUM(B158:F158)*L157),2)</f>
        <v>0</v>
      </c>
      <c r="M158" s="76">
        <f>ROUND(IF((SUM(B158:F158))&gt;L174,L174*M157,(SUM(B158:F158)-C158)*M157),2)</f>
        <v>0</v>
      </c>
      <c r="N158" s="23">
        <f>ROUND((B158+E158+F158)*N157,2)</f>
        <v>0</v>
      </c>
      <c r="O158" s="23">
        <f>ROUND(SUM(B158+C158+F158)*O157,2)</f>
        <v>0</v>
      </c>
      <c r="P158" s="27">
        <f>SUM(G158:O158)</f>
        <v>0</v>
      </c>
    </row>
    <row r="159" spans="1:16" x14ac:dyDescent="0.2">
      <c r="A159" s="100" t="str">
        <f>'päd.Personal - Leitung'!$A$27</f>
        <v>Feb 2022</v>
      </c>
      <c r="B159" s="24">
        <f>ROUND(IF(N139=0,0,IFERROR(((LOOKUP(2,1/(A146:A149=A159),G146:G149))*N139*4.348*50%),B158/N139*N139)),2)</f>
        <v>0</v>
      </c>
      <c r="C159" s="23">
        <f>ROUND(IFERROR(((LOOKUP(2,1/(B151=A159),((SUM(B164:B166)+SUM(F164:F166))/3)*C151))),0)+IFERROR(((LOOKUP(2,1/(E151=A159),(B170+F170)*F151))),0),2)</f>
        <v>0</v>
      </c>
      <c r="D159" s="23">
        <f>ROUND(IF(B159=0,0,D157/L139*N139*50%),2)</f>
        <v>0</v>
      </c>
      <c r="E159" s="23">
        <f>ROUND(IF(B159=0,0,E157/N135*N139*50%),2)</f>
        <v>0</v>
      </c>
      <c r="F159" s="24">
        <f>ROUND(IF(N139=0,0,IFERROR(((LOOKUP(2,1/(A146:A149=A159),H146:H149))/N135*N139),F158/N139*N139*50%)),2)</f>
        <v>0</v>
      </c>
      <c r="G159" s="27">
        <f t="shared" ref="G159:G169" si="19">SUM(B159+C159+E159+F159)</f>
        <v>0</v>
      </c>
      <c r="H159" s="76">
        <f>ROUND(IF(SUM(B158:F158)&lt;(L173*1),IF((SUM(B158:F159))&gt;(L173*2),(((L173*2)-(SUM(B158:F159)-C158))*H157)+((SUM(B159:F159)-C158)*H157),SUM(B159:F159)*H157),IF(SUM(B158:F159)&gt;(L173*2),L173*H157,SUM(B159:F159)*H157)),2)</f>
        <v>0</v>
      </c>
      <c r="I159" s="76">
        <f>ROUND(IF((SUM(B158:F159)*80%)&gt;((L174*2)*90%),((((L174*2)*90%)-((SUM(B158:F159)-C159))*I157)+((SUM(B159:F159)-C159)*I157)*80%),((SUM(B159:F159)-C159)*I157)*80%),2)</f>
        <v>0</v>
      </c>
      <c r="J159" s="76">
        <f>ROUND(IF(SUM(B158:F158)&lt;(L174*1),IF((SUM(B158:F159))&gt;(L174*2),(((L174*2)-(SUM(B158:F159)-C158))*J157)+((SUM(B159:F159)-C158)*J157),SUM(B159:F159)*J157),IF(SUM(B158:F159)&gt;(L174*2),L174*J157,SUM(B159:F159)*J157)),2)</f>
        <v>0</v>
      </c>
      <c r="K159" s="76">
        <f>ROUND(IF(SUM(B158:F158)&lt;(L174*1),IF((SUM(B158:F159))&gt;(L174*2),(((L174*2)-(SUM(B158:F159)-C158))*K157)+((SUM(B159:F159)-C158)*K157),SUM(B159:F159)*K157),IF(SUM(B158:F159)&gt;(L174*2),L174*K157,SUM(B159:F159)*K157)),2)</f>
        <v>0</v>
      </c>
      <c r="L159" s="76">
        <f>ROUND(IF(SUM(B158:F158)&lt;(L173*1),IF((SUM(B158:F159))&gt;(L173*2),(((L173*2)-(SUM(B158:F159)-C158))*L157)+((SUM(B159:F159)-C158)*L157),SUM(B159:F159)*L157),IF(SUM(B158:F159)&gt;(L173*2),L173*L157,SUM(B159:F159)*L157)),2)</f>
        <v>0</v>
      </c>
      <c r="M159" s="76">
        <f>ROUND(IF(SUM(B158:F158)&lt;(L174*1),IF((SUM(B158:F159))&gt;(L174*2),(((L174*2)-(SUM(B158:F159)-C159))*M157)+((SUM(B159:F159)-C159)*M157),(SUM(B159:F159)-C159)*M157),IF(SUM(B158:F159)&gt;(L174*2),L174*M157,SUM(B159:F159)*M157)),2)</f>
        <v>0</v>
      </c>
      <c r="N159" s="23">
        <f>ROUND((B159+E159+F159)*N157,2)</f>
        <v>0</v>
      </c>
      <c r="O159" s="23">
        <f>ROUND(SUM(B159+C159+F159)*O157,2)</f>
        <v>0</v>
      </c>
      <c r="P159" s="27">
        <f t="shared" ref="P159:P168" si="20">SUM(G159:O159)</f>
        <v>0</v>
      </c>
    </row>
    <row r="160" spans="1:16" x14ac:dyDescent="0.2">
      <c r="A160" s="100" t="str">
        <f>'päd.Personal - Leitung'!$A$28</f>
        <v>Mrz 2022</v>
      </c>
      <c r="B160" s="24">
        <f>ROUND(IF(N140=0,0,IFERROR(((LOOKUP(2,1/(A146:A149=A160),G146:G149))*N140*4.348*50%),B159/N140*N140)),2)</f>
        <v>0</v>
      </c>
      <c r="C160" s="23">
        <f>ROUND(IFERROR(((LOOKUP(2,1/(B151=A160),((SUM(B164:B166)+SUM(F164:F166))/3)*C151))),0)+IFERROR(((LOOKUP(2,1/(E151=A160),(B170+F170)*F151))),0),2)</f>
        <v>0</v>
      </c>
      <c r="D160" s="23">
        <f>ROUND(IF(B160=0,0,D157/L139*N140*50%),2)</f>
        <v>0</v>
      </c>
      <c r="E160" s="23">
        <f>ROUND(IF(B160=0,0,E157/N135*N140*50%),2)</f>
        <v>0</v>
      </c>
      <c r="F160" s="24">
        <f>ROUND(IF(N140=0,0,IFERROR(((LOOKUP(2,1/(A146:A149=A160),H146:H149))/N135*N140),F159/N140*N140*50%)),2)</f>
        <v>0</v>
      </c>
      <c r="G160" s="27">
        <f t="shared" si="19"/>
        <v>0</v>
      </c>
      <c r="H160" s="76">
        <f>ROUND(IF(SUM(B158:F159)&lt;(L173*2),IF((SUM(B158:F160))&gt;(L173*3),(((L173*3)-(SUM(B158:F160)-C159))*H157)+((SUM(B160:F160)-C159)*H157),SUM(B160:F160)*H157),IF(SUM(B158:F160)&gt;(L173*3),L173*H157,SUM(B160:F160)*H157)),2)</f>
        <v>0</v>
      </c>
      <c r="I160" s="76">
        <f>ROUND(IF((SUM(B158:F160)*80%)&gt;((L174*3)*90%),((((L174*3)*90%)-((SUM(B158:F160)-C160))*I157)+((SUM(B160:F160)-C160)*I157)*80%),((SUM(B160:F160)-C160)*I157)*80%),2)</f>
        <v>0</v>
      </c>
      <c r="J160" s="76">
        <f>ROUND(IF(SUM(B158:F159)&lt;(L174*2),IF((SUM(B158:F160))&gt;(L174*3),(((L174*3)-(SUM(B158:F160)-C159))*J157)+((SUM(B160:F160)-C159)*J157),SUM(B160:F160)*J157),IF(SUM(B158:F160)&gt;(L174*3),L174*J157,SUM(B160:F160)*J157)),2)</f>
        <v>0</v>
      </c>
      <c r="K160" s="76">
        <f>ROUND(IF(SUM(B158:F159)&lt;(L174*2),IF((SUM(B158:F160))&gt;(L174*3),(((L174*3)-(SUM(B158:F160)-C159))*K157)+((SUM(B160:F160)-C159)*K157),SUM(B160:F160)*K157),IF(SUM(B158:F160)&gt;(L174*3),L174*K157,SUM(B160:F160)*K157)),2)</f>
        <v>0</v>
      </c>
      <c r="L160" s="76">
        <f>ROUND(IF(SUM(B158:F159)&lt;(L173*2),IF((SUM(B158:F160))&gt;(L173*3),(((L173*3)-(SUM(B158:F160)-C159))*L157)+((SUM(B160:F160)-C159)*L157),SUM(B160:F160)*L157),IF(SUM(B158:F160)&gt;(L173*3),L173*L157,SUM(B160:F160)*L157)),2)</f>
        <v>0</v>
      </c>
      <c r="M160" s="76">
        <f>ROUND(IF(SUM(B158:F159)&lt;(L174*2),IF((SUM(B158:F160))&gt;(L174*3),(((L174*3)-(SUM(B158:F160)-C160))*M157)+((SUM(B160:F160)-C160)*M157),(SUM(B160:F160)-C160)*M157),IF(SUM(B158:F160)&gt;(L174*3),L174*M157,SUM(B160:F160)*M157)),2)</f>
        <v>0</v>
      </c>
      <c r="N160" s="23">
        <f>ROUND((B160+E160+F160)*N157,2)</f>
        <v>0</v>
      </c>
      <c r="O160" s="23">
        <f>ROUND(SUM(B160+C160+F160)*O157,2)</f>
        <v>0</v>
      </c>
      <c r="P160" s="27">
        <f t="shared" si="20"/>
        <v>0</v>
      </c>
    </row>
    <row r="161" spans="1:16" x14ac:dyDescent="0.2">
      <c r="A161" s="100" t="str">
        <f>'päd.Personal - Leitung'!$A$29</f>
        <v>Apr 2022</v>
      </c>
      <c r="B161" s="24">
        <f>ROUND(IF(N141=0,0,IFERROR(((LOOKUP(2,1/(A146:A149=A161),G146:G149))*N141*4.348*50%),B160/N141*N141)),2)</f>
        <v>0</v>
      </c>
      <c r="C161" s="23">
        <f>ROUND(IFERROR(((LOOKUP(2,1/(B151=A161),((SUM(B164:B166)+SUM(F164:F166))/3)*C151))),0)+IFERROR(((LOOKUP(2,1/(E151=A161),(B170+F170)*F151))),0),2)</f>
        <v>0</v>
      </c>
      <c r="D161" s="23">
        <f>ROUND(IF(B161=0,0,D157/L139*N141*50%),2)</f>
        <v>0</v>
      </c>
      <c r="E161" s="23">
        <f>ROUND(IF(B161=0,0,E157/N135*N141*50%),2)</f>
        <v>0</v>
      </c>
      <c r="F161" s="24">
        <f>ROUND(IF(N141=0,0,IFERROR(((LOOKUP(2,1/(A146:A149=A161),H146:H149))/N135*N141),F160/N141*N141*50%)),2)</f>
        <v>0</v>
      </c>
      <c r="G161" s="27">
        <f t="shared" si="19"/>
        <v>0</v>
      </c>
      <c r="H161" s="76">
        <f>ROUND(IF(SUM(B158:F160)&lt;(L173*3),IF((SUM(B158:F161))&gt;(L173*4),(((L173*4)-(SUM(B158:F161)-C160))*H157)+((SUM(B161:F161)-C160)*H157),SUM(B161:F161)*H157),IF(SUM(B158:F161)&gt;(L173*4),L173*H157,SUM(B161:F161)*H157)),2)</f>
        <v>0</v>
      </c>
      <c r="I161" s="76">
        <f>ROUND(IF((SUM(B158:F161)*80%)&gt;((L174*4)*90%),((((L174*4)*90%)-((SUM(B158:F161)-C161))*I157)+((SUM(B161:F161)-C161)*I157)*80%),((SUM(B161:F161)-C161)*I157)*80%),2)</f>
        <v>0</v>
      </c>
      <c r="J161" s="76">
        <f>ROUND(IF(SUM(B158:F160)&lt;(L174*3),IF((SUM(B158:F161))&gt;(L174*4),(((L174*4)-(SUM(B158:F161)-C160))*J157)+((SUM(B161:F161)-C160)*J157),SUM(B161:F161)*J157),IF(SUM(B158:F161)&gt;(L174*4),L174*J157,SUM(B161:F161)*J157)),2)</f>
        <v>0</v>
      </c>
      <c r="K161" s="76">
        <f>ROUND(IF(SUM(B158:F160)&lt;(L174*3),IF((SUM(B158:F161))&gt;(L174*4),(((L174*4)-(SUM(B158:F161)-C160))*K157)+((SUM(B161:F161)-C160)*K157),SUM(B161:F161)*K157),IF(SUM(B158:F161)&gt;(L174*4),L174*K157,SUM(B161:F161)*K157)),2)</f>
        <v>0</v>
      </c>
      <c r="L161" s="76">
        <f>ROUND(IF(SUM(B158:F160)&lt;(L173*3),IF((SUM(B158:F161))&gt;(L173*4),(((L173*4)-(SUM(B158:F161)-C160))*L157)+((SUM(B161:F161)-C160)*L157),SUM(B161:F161)*L157),IF(SUM(B158:F161)&gt;(L173*4),L173*L157,SUM(B161:F161)*L157)),2)</f>
        <v>0</v>
      </c>
      <c r="M161" s="76">
        <f>ROUND(IF(SUM(B158:F160)&lt;(L174*3),IF((SUM(B158:F161))&gt;(L174*4),(((L174*4)-(SUM(B158:F161)-C161))*M157)+((SUM(B161:F161)-C161)*M157),(SUM(B161:F161)-C161)*M157),IF(SUM(B158:F161)&gt;(L174*4),L174*M157,SUM(B161:F161)*M157)),2)</f>
        <v>0</v>
      </c>
      <c r="N161" s="23">
        <f>ROUND((B161+E161+F161)*N157,2)</f>
        <v>0</v>
      </c>
      <c r="O161" s="23">
        <f>ROUND(SUM(B161+C161+F161)*O157,2)</f>
        <v>0</v>
      </c>
      <c r="P161" s="27">
        <f t="shared" si="20"/>
        <v>0</v>
      </c>
    </row>
    <row r="162" spans="1:16" x14ac:dyDescent="0.2">
      <c r="A162" s="100" t="str">
        <f>'päd.Personal - Leitung'!$A$30</f>
        <v>Mai 2022</v>
      </c>
      <c r="B162" s="24">
        <f>ROUND(IF(N142=0,0,IFERROR(((LOOKUP(2,1/(A146:A149=A162),G146:G149))*N142*4.348*50%),B161/N142*N142)),2)</f>
        <v>0</v>
      </c>
      <c r="C162" s="23">
        <f>ROUND(IFERROR(((LOOKUP(2,1/(B151=A162),((SUM(B164:B166)+SUM(F164:F166))/3)*C151))),0)+IFERROR(((LOOKUP(2,1/(E151=A162),(B170+F170)*F151))),0),2)</f>
        <v>0</v>
      </c>
      <c r="D162" s="23">
        <f>ROUND(IF(B162=0,0,D157/L139*N142*50%),2)</f>
        <v>0</v>
      </c>
      <c r="E162" s="23">
        <f>ROUND(IF(B162=0,0,E157/N135*N142*50%),2)</f>
        <v>0</v>
      </c>
      <c r="F162" s="24">
        <f>ROUND(IF(N142=0,0,IFERROR(((LOOKUP(2,1/(A146:A149=A162),H146:H149))/N135*N142),F161/N142*N142*50%)),2)</f>
        <v>0</v>
      </c>
      <c r="G162" s="27">
        <f t="shared" si="19"/>
        <v>0</v>
      </c>
      <c r="H162" s="76">
        <f>ROUND(IF(SUM(B158:F161)&lt;(L173*4),IF((SUM(B158:F162))&gt;(L173*5),(((L173*5)-(SUM(B158:F162)-C161))*H157)+((SUM(B162:F162)-C161)*H157),SUM(B162:F162)*H157),IF(SUM(B158:F162)&gt;(L173*5),L173*H157,SUM(B162:F162)*H157)),2)</f>
        <v>0</v>
      </c>
      <c r="I162" s="76">
        <f>ROUND(IF((SUM(B158:F162)*80%)&gt;((L174*5)*90%),((((L174*5)*90%)-((SUM(B158:F162)-C162))*I157)+((SUM(B162:F162)-C162)*I157)*80%),((SUM(B162:F162)-C162)*I157)*80%),2)</f>
        <v>0</v>
      </c>
      <c r="J162" s="76">
        <f>ROUND(IF(SUM(B158:F161)&lt;(L174*4),IF((SUM(B158:F162))&gt;(L174*5),(((L174*5)-(SUM(B158:F162)-C161))*J157)+((SUM(B162:F162)-C161)*J157),SUM(B162:F162)*J157),IF(SUM(B158:F162)&gt;(L174*5),L174*J157,SUM(B162:F162)*J157)),2)</f>
        <v>0</v>
      </c>
      <c r="K162" s="76">
        <f>ROUND(IF(SUM(B158:F161)&lt;(L174*4),IF((SUM(B158:F162))&gt;(L174*5),(((L174*5)-(SUM(B158:F162)-C161))*K157)+((SUM(B162:F162)-C161)*K157),SUM(B162:F162)*K157),IF(SUM(B158:F162)&gt;(L174*5),L174*K157,SUM(B162:F162)*K157)),2)</f>
        <v>0</v>
      </c>
      <c r="L162" s="76">
        <f>ROUND(IF(SUM(B158:F161)&lt;(L173*4),IF((SUM(B158:F162))&gt;(L173*5),(((L173*5)-(SUM(B158:F162)-C161))*L157)+((SUM(B162:F162)-C161)*L157),SUM(B162:F162)*L157),IF(SUM(B158:F162)&gt;(L173*5),L173*L157,SUM(B162:F162)*L157)),2)</f>
        <v>0</v>
      </c>
      <c r="M162" s="76">
        <f>ROUND(IF(SUM(B158:F161)&lt;(L174*4),IF((SUM(B158:F162))&gt;(L174*5),(((L174*5)-(SUM(B158:F162)-C162))*M157)+((SUM(B162:F162)-C162)*M157),(SUM(B162:F162)-C162)*M157),IF(SUM(B158:F162)&gt;(L174*5),L174*M157,SUM(B162:F162)*M157)),2)</f>
        <v>0</v>
      </c>
      <c r="N162" s="23">
        <f>ROUND((B162+E162+F162)*N157,2)</f>
        <v>0</v>
      </c>
      <c r="O162" s="23">
        <f>ROUND(SUM(B162+C162+F162)*O157,2)</f>
        <v>0</v>
      </c>
      <c r="P162" s="27">
        <f t="shared" si="20"/>
        <v>0</v>
      </c>
    </row>
    <row r="163" spans="1:16" x14ac:dyDescent="0.2">
      <c r="A163" s="100" t="str">
        <f>'päd.Personal - Leitung'!$A$31</f>
        <v>Jun 2022</v>
      </c>
      <c r="B163" s="24">
        <f>ROUND(IF(N143=0,0,IFERROR(((LOOKUP(2,1/(A146:A149=A163),G146:G149))*N143*4.348*50%),B162/N143*N143)),2)</f>
        <v>0</v>
      </c>
      <c r="C163" s="23">
        <f>ROUND(IFERROR(((LOOKUP(2,1/(B151=A163),((SUM(B164:B166)+SUM(F164:F166))/3)*C151))),0)+IFERROR(((LOOKUP(2,1/(E151=A163),(B170+F170)*F151))),0),2)</f>
        <v>0</v>
      </c>
      <c r="D163" s="23">
        <f>ROUND(IF(B163=0,0,D157/L139*N143*50%),2)</f>
        <v>0</v>
      </c>
      <c r="E163" s="23">
        <f>ROUND(IF(B163=0,0,E157/N135*N143*50%),2)</f>
        <v>0</v>
      </c>
      <c r="F163" s="24">
        <f>ROUND(IF(N143=0,0,IFERROR(((LOOKUP(2,1/(A146:A149=A163),H146:H149))/N135*N143),F162/N143*N143*50%)),2)</f>
        <v>0</v>
      </c>
      <c r="G163" s="27">
        <f t="shared" si="19"/>
        <v>0</v>
      </c>
      <c r="H163" s="76">
        <f>ROUND(IF(SUM(B158:F162)&lt;(L173*5),IF((SUM(B158:F163))&gt;(L173*6),(((L173*6)-(SUM(B158:F163)-C162))*H157)+((SUM(B163:F163)-C162)*H157),SUM(B163:F163)*H157),IF(SUM(B158:F163)&gt;(L173*6),L173*H157,SUM(B163:F163)*H157)),2)</f>
        <v>0</v>
      </c>
      <c r="I163" s="76">
        <f>ROUND(IF((SUM(B158:F163)*80%)&gt;((L174*6)*90%),((((L174*6)*90%)-((SUM(B158:F163)-C163))*I157)+((SUM(B163:F163)-C163)*I157)*80%),((SUM(B163:F163)-C163)*I157)*80%),2)</f>
        <v>0</v>
      </c>
      <c r="J163" s="76">
        <f>ROUND(IF(SUM(B158:F162)&lt;(L174*5),IF((SUM(B158:F163))&gt;(L174*6),(((L174*6)-(SUM(B158:F163)-C162))*J157)+((SUM(B163:F163)-C162)*J157),SUM(B163:F163)*J157),IF(SUM(B158:F163)&gt;(L174*6),L174*J157,SUM(B163:F163)*J157)),2)</f>
        <v>0</v>
      </c>
      <c r="K163" s="76">
        <f>ROUND(IF(SUM(B158:F162)&lt;(L174*5),IF((SUM(B158:F163))&gt;(L174*6),(((L174*6)-(SUM(B158:F163)-C162))*K157)+((SUM(B163:F163)-C162)*K157),SUM(B163:F163)*K157),IF(SUM(B158:F163)&gt;(L174*6),L174*K157,SUM(B163:F163)*K157)),2)</f>
        <v>0</v>
      </c>
      <c r="L163" s="76">
        <f>ROUND(IF(SUM(B158:F162)&lt;(L173*5),IF((SUM(B158:F163))&gt;(L173*6),(((L173*6)-(SUM(B158:F163)-C162))*L157)+((SUM(B163:F163)-C162)*L157),SUM(B163:F163)*L157),IF(SUM(B158:F163)&gt;(L173*6),L173*L157,SUM(B163:F163)*L157)),2)</f>
        <v>0</v>
      </c>
      <c r="M163" s="76">
        <f>ROUND(IF(SUM(B158:F162)&lt;(L174*5),IF((SUM(B158:F163))&gt;(L174*6),(((L174*6)-(SUM(B158:F163)-C163))*M157)+((SUM(B163:F163)-C163)*M157),(SUM(B163:F163)-C163)*M157),IF(SUM(B158:F163)&gt;(L174*6),L174*M157,SUM(B163:F163)*M157)),2)</f>
        <v>0</v>
      </c>
      <c r="N163" s="23">
        <f>ROUND((B163+E163+F163)*N157,2)</f>
        <v>0</v>
      </c>
      <c r="O163" s="23">
        <f>ROUND(SUM(B163+C163+F163)*O157,2)</f>
        <v>0</v>
      </c>
      <c r="P163" s="27">
        <f t="shared" si="20"/>
        <v>0</v>
      </c>
    </row>
    <row r="164" spans="1:16" x14ac:dyDescent="0.2">
      <c r="A164" s="100" t="str">
        <f>'päd.Personal - Leitung'!$A$32</f>
        <v>Jul 2022</v>
      </c>
      <c r="B164" s="24">
        <f>ROUND(IF(P138=0,0,IFERROR(((LOOKUP(2,1/(A146:A149=A164),G146:G149))*P138*4.348*50%),B163/P138*P138)),2)</f>
        <v>0</v>
      </c>
      <c r="C164" s="23">
        <f>ROUND(IFERROR(((LOOKUP(2,1/(B151=A164),((SUM(B164:B166)+SUM(F164:F166))/3)*C151))),0)+IFERROR(((LOOKUP(2,1/(E151=A164),(B170+F170)*F151))),0),2)</f>
        <v>0</v>
      </c>
      <c r="D164" s="23">
        <f>ROUND(IF(B164=0,0,D157/L139*P138*50%),2)</f>
        <v>0</v>
      </c>
      <c r="E164" s="23">
        <f>ROUND(IF(B164=0,0,E157/N135*P138*50%),2)</f>
        <v>0</v>
      </c>
      <c r="F164" s="24">
        <f>ROUND(IF(P138=0,0,IFERROR(((LOOKUP(2,1/(A146:A149=A164),H146:H149))/N135*P138),F163/P138*P138*50%)),2)</f>
        <v>0</v>
      </c>
      <c r="G164" s="27">
        <f t="shared" si="19"/>
        <v>0</v>
      </c>
      <c r="H164" s="76">
        <f>ROUND(IF(SUM(B158:F163)&lt;(L173*6),IF((SUM(B158:F164))&gt;(L173*7),(((L173*7)-(SUM(B158:F164)-C163))*H157)+((SUM(B164:F164)-C163)*H157),SUM(B164:F164)*H157),IF(SUM(B158:F164)&gt;(L173*7),L173*H157,SUM(B164:F164)*H157)),2)</f>
        <v>0</v>
      </c>
      <c r="I164" s="76">
        <f>ROUND(IF((SUM(B158:F164)*80%)&gt;((L174*7)*90%),((((L174*7)*90%)-((SUM(B158:F164)-C164))*I157)+((SUM(B164:F164)-C164)*I157)*80%),((SUM(B164:F164)-C164)*I157)*80%),2)</f>
        <v>0</v>
      </c>
      <c r="J164" s="76">
        <f>ROUND(IF(SUM(B158:F163)&lt;(L174*6),IF((SUM(B158:F164))&gt;(L174*7),(((L174*7)-(SUM(B158:F164)-C163))*J157)+((SUM(B164:F164)-C163)*J157),SUM(B164:F164)*J157),IF(SUM(B158:F164)&gt;(L174*7),L174*J157,SUM(B164:F164)*J157)),2)</f>
        <v>0</v>
      </c>
      <c r="K164" s="76">
        <f>ROUND(IF(SUM(B158:F163)&lt;(L174*6),IF((SUM(B158:F164))&gt;(L174*7),(((L174*7)-(SUM(B158:F164)-C163))*K157)+((SUM(B164:F164)-C163)*K157),SUM(B164:F164)*K157),IF(SUM(B158:F164)&gt;(L174*7),L174*K157,SUM(B164:F164)*K157)),2)</f>
        <v>0</v>
      </c>
      <c r="L164" s="76">
        <f>ROUND(IF(SUM(B158:F163)&lt;(L173*6),IF((SUM(B158:F164))&gt;(L173*7),(((L173*7)-(SUM(B158:F164)-C163))*L157)+((SUM(B164:F164)-C163)*L157),SUM(B164:F164)*L157),IF(SUM(B158:F164)&gt;(L173*7),L173*L157,SUM(B164:F164)*L157)),2)</f>
        <v>0</v>
      </c>
      <c r="M164" s="76">
        <f>ROUND(IF(SUM(B158:F163)&lt;(L174*6),IF((SUM(B158:F164))&gt;(L174*7),(((L174*7)-(SUM(B158:F164)-C164))*M157)+((SUM(B164:F164)-C164)*M157),(SUM(B164:F164)-C164)*M157),IF(SUM(B158:F164)&gt;(L174*7),L174*M157,SUM(B164:F164)*M157)),2)</f>
        <v>0</v>
      </c>
      <c r="N164" s="23">
        <f>ROUND((B164+E164+F164)*N157,2)</f>
        <v>0</v>
      </c>
      <c r="O164" s="23">
        <f>ROUND(SUM(B164+C164+F164)*O157,2)</f>
        <v>0</v>
      </c>
      <c r="P164" s="27">
        <f t="shared" si="20"/>
        <v>0</v>
      </c>
    </row>
    <row r="165" spans="1:16" x14ac:dyDescent="0.2">
      <c r="A165" s="100" t="str">
        <f>'päd.Personal - Leitung'!$A$33</f>
        <v>Aug 2022</v>
      </c>
      <c r="B165" s="24">
        <f>ROUND(IF(P139=0,0,IFERROR(((LOOKUP(2,1/(A146:A149=A165),G146:G149))*P139*4.348*50%),B164/P139*P139)),2)</f>
        <v>0</v>
      </c>
      <c r="C165" s="23">
        <f>ROUND(IFERROR(((LOOKUP(2,1/(B151=A165),((SUM(B164:B166)+SUM(F164:F166))/3)*C151))),0)+IFERROR(((LOOKUP(2,1/(E151=A165),(B170+F170)*F151))),0),2)</f>
        <v>0</v>
      </c>
      <c r="D165" s="23">
        <f>ROUND(IF(B165=0,0,D157/L139*P139*50%),2)</f>
        <v>0</v>
      </c>
      <c r="E165" s="23">
        <f>ROUND(IF(B165=0,0,E157/N135*P139*50%),2)</f>
        <v>0</v>
      </c>
      <c r="F165" s="24">
        <f>ROUND(IF(P139=0,0,IFERROR(((LOOKUP(2,1/(A146:A149=A165),H146:H149))/N135*P139),F164/P139*P139*50%)),2)</f>
        <v>0</v>
      </c>
      <c r="G165" s="27">
        <f t="shared" si="19"/>
        <v>0</v>
      </c>
      <c r="H165" s="76">
        <f>ROUND(IF(SUM(B158:F164)&lt;(L173*7),IF((SUM(B158:F165))&gt;(L173*8),(((L173*8)-(SUM(B158:F165)-C164))*H157)+((SUM(B165:F165)-C164)*H157),SUM(B165:F165)*H157),IF(SUM(B158:F165)&gt;(L173*8),L173*H157,SUM(B165:F165)*H157)),2)</f>
        <v>0</v>
      </c>
      <c r="I165" s="76">
        <f>ROUND(IF((SUM(B158:F165)*80%)&gt;((L174*8)*90%),((((L174*8)*90%)-((SUM(B158:F165)-C165))*I157)+((SUM(B165:F165)-C165)*I157)*80%),((SUM(B165:F165)-C165)*I157)*80%),2)</f>
        <v>0</v>
      </c>
      <c r="J165" s="76">
        <f>ROUND(IF(SUM(B158:F164)&lt;(L174*7),IF((SUM(B158:F165))&gt;(L174*8),(((L174*8)-(SUM(B158:F165)-C164))*J157)+((SUM(B165:F165)-C164)*J157),SUM(B165:F165)*J157),IF(SUM(B158:F165)&gt;(L174*8),L174*J157,SUM(B165:F165)*J157)),2)</f>
        <v>0</v>
      </c>
      <c r="K165" s="76">
        <f>ROUND(IF(SUM(B158:F164)&lt;(L174*7),IF((SUM(B158:F165))&gt;(L174*8),(((L174*8)-(SUM(B158:F165)-C164))*K157)+((SUM(B165:F165)-C164)*K157),SUM(B165:F165)*K157),IF(SUM(B158:F165)&gt;(L174*8),L174*K157,SUM(B165:F165)*K157)),2)</f>
        <v>0</v>
      </c>
      <c r="L165" s="76">
        <f>ROUND(IF(SUM(B158:F164)&lt;(L173*7),IF((SUM(B158:F165))&gt;(L173*8),(((L173*8)-(SUM(B158:F165)-C164))*L157)+((SUM(B165:F165)-C164)*L157),SUM(B165:F165)*L157),IF(SUM(B158:F165)&gt;(L173*8),L173*L157,SUM(B165:F165)*L157)),2)</f>
        <v>0</v>
      </c>
      <c r="M165" s="76">
        <f>ROUND(IF(SUM(B158:F164)&lt;(L174*7),IF((SUM(B158:F165))&gt;(L174*8),(((L174*8)-(SUM(B158:F165)-C165))*M157)+((SUM(B165:F165)-C165)*M157),(SUM(B165:F165)-C165)*M157),IF(SUM(B158:F165)&gt;(L174*8),L174*M157,SUM(B165:F165)*M157)),2)</f>
        <v>0</v>
      </c>
      <c r="N165" s="23">
        <f>ROUND((B165+E165+F165)*N157,2)</f>
        <v>0</v>
      </c>
      <c r="O165" s="23">
        <f>ROUND(SUM(B165+C165+F165)*O157,2)</f>
        <v>0</v>
      </c>
      <c r="P165" s="27">
        <f t="shared" si="20"/>
        <v>0</v>
      </c>
    </row>
    <row r="166" spans="1:16" x14ac:dyDescent="0.2">
      <c r="A166" s="100" t="str">
        <f>'päd.Personal - Leitung'!$A$34</f>
        <v>Sep 2022</v>
      </c>
      <c r="B166" s="24">
        <f>ROUND(IF(P140=0,0,IFERROR(((LOOKUP(2,1/(A146:A149=A166),G146:G149))*P140*4.348*50%),B165/P140*P140)),2)</f>
        <v>0</v>
      </c>
      <c r="C166" s="23">
        <f>ROUND(IFERROR(((LOOKUP(2,1/(B151=A166),((SUM(B164:B166)+SUM(F164:F166))/3)*C151))),0)+IFERROR(((LOOKUP(2,1/(E151=A166),(B170+F170)*F151))),0),2)</f>
        <v>0</v>
      </c>
      <c r="D166" s="23">
        <f>ROUND(IF(B166=0,0,D157/L139*P140*50%),2)</f>
        <v>0</v>
      </c>
      <c r="E166" s="23">
        <f>ROUND(IF(B166=0,0,E157/N135*P140*50),2)</f>
        <v>0</v>
      </c>
      <c r="F166" s="24">
        <f>ROUND(IF(P140=0,0,IFERROR(((LOOKUP(2,1/(A146:A149=A166),H146:H149))/N135*P140),F165/P140*P140*50%)),2)</f>
        <v>0</v>
      </c>
      <c r="G166" s="27">
        <f t="shared" si="19"/>
        <v>0</v>
      </c>
      <c r="H166" s="76">
        <f>ROUND(IF(SUM(B158:F165)&lt;(L173*8),IF((SUM(B158:F166))&gt;(L173*9),(((L173*9)-(SUM(B158:F166)-C165))*H157)+((SUM(B166:F166)-C165)*H157),SUM(B166:F166)*H157),IF(SUM(B158:F166)&gt;(L173*9),L173*H157,SUM(B166:F166)*H157)),2)</f>
        <v>0</v>
      </c>
      <c r="I166" s="76">
        <f>ROUND(IF((SUM(B158:F166)*80%)&gt;((L174*9)*90%),((((L174*9)*90%)-((SUM(B158:F166)-C166))*I157)+((SUM(B166:F166)-C166)*I157)*80%),((SUM(B166:F166)-C166)*I157)*80%),2)</f>
        <v>0</v>
      </c>
      <c r="J166" s="76">
        <f>ROUND(IF(SUM(B158:F165)&lt;(L174*8),IF((SUM(B158:F166))&gt;(L174*9),(((L174*9)-(SUM(B158:F166)-C165))*J157)+((SUM(B166:F166)-C165)*J157),SUM(B166:F166)*J157),IF(SUM(B158:F166)&gt;(L174*9),L174*J157,SUM(B166:F166)*J157)),2)</f>
        <v>0</v>
      </c>
      <c r="K166" s="76">
        <f>ROUND(IF(SUM(B158:F165)&lt;(L174*8),IF((SUM(B158:F166))&gt;(L174*9),(((L174*9)-(SUM(B158:F166)-C165))*K157)+((SUM(B166:F166)-C165)*K157),SUM(B166:F166)*K157),IF(SUM(B158:F166)&gt;(L174*9),L174*K157,SUM(B166:F166)*K157)),2)</f>
        <v>0</v>
      </c>
      <c r="L166" s="76">
        <f>ROUND(IF(SUM(B158:F165)&lt;(L173*8),IF((SUM(B158:F166))&gt;(L173*9),(((L173*9)-(SUM(B158:F166)-C165))*L157)+((SUM(B166:F166)-C165)*L157),SUM(B166:F166)*L157),IF(SUM(B158:F166)&gt;(L173*9),L173*L157,SUM(B166:F166)*L157)),2)</f>
        <v>0</v>
      </c>
      <c r="M166" s="76">
        <f>ROUND(IF(SUM(B158:F165)&lt;(L174*8),IF((SUM(B158:F166))&gt;(L174*9),(((L174*9)-(SUM(B158:F166)-C166))*M157)+((SUM(B166:F166)-C166)*M157),(SUM(B166:F166)-C166)*M157),IF(SUM(B158:F166)&gt;(L174*9),L174*M157,SUM(B166:F166)*M157)),2)</f>
        <v>0</v>
      </c>
      <c r="N166" s="23">
        <f>ROUND((B166+E166+F166)*N157,2)</f>
        <v>0</v>
      </c>
      <c r="O166" s="23">
        <f>ROUND(SUM(B166+C166+F166)*O157,2)</f>
        <v>0</v>
      </c>
      <c r="P166" s="27">
        <f t="shared" si="20"/>
        <v>0</v>
      </c>
    </row>
    <row r="167" spans="1:16" x14ac:dyDescent="0.2">
      <c r="A167" s="100" t="str">
        <f>'päd.Personal - Leitung'!$A$35</f>
        <v>Okt 2022</v>
      </c>
      <c r="B167" s="24">
        <f>ROUND(IF(P141=0,0,IFERROR(((LOOKUP(2,1/(A146:A149=A167),G146:G149))*P141*4.348*50%),B166/P141*P141)),2)</f>
        <v>0</v>
      </c>
      <c r="C167" s="23">
        <f>ROUND(IFERROR(((LOOKUP(2,1/(B151=A167),((SUM(B164:B166)+SUM(F164:F166))/3)*C151))),0)+IFERROR(((LOOKUP(2,1/(E151=A167),(B170+F170)*F151))),0),2)</f>
        <v>0</v>
      </c>
      <c r="D167" s="23">
        <f>ROUND(IF(B167=0,0,D157/L139*P141*50%),2)</f>
        <v>0</v>
      </c>
      <c r="E167" s="23">
        <f>ROUND(IF(B167=0,0,E157/N135*P141*50%),2)</f>
        <v>0</v>
      </c>
      <c r="F167" s="24">
        <f>ROUND(IF(P141=0,0,IFERROR(((LOOKUP(2,1/(A146:A149=A167),H146:H149))/N135*P141),F166/P141*P141*50%)),2)</f>
        <v>0</v>
      </c>
      <c r="G167" s="27">
        <f t="shared" si="19"/>
        <v>0</v>
      </c>
      <c r="H167" s="76">
        <f>ROUND(IF(SUM(B158:F166)&lt;(L173*9),IF((SUM(B158:F167))&gt;(L173*10),(((L173*10)-(SUM(B158:F167)-C166))*H157)+((SUM(B167:F167)-C166)*H157),SUM(B167:F167)*H157),IF(SUM(B158:F167)&gt;(L173*10),L173*H157,SUM(B167:F167)*H157)),2)</f>
        <v>0</v>
      </c>
      <c r="I167" s="76">
        <f>ROUND(IF((SUM(B158:F167)*80%)&gt;((L174*10)*90%),((((L174*10)*90%)-((SUM(B158:F167)-C167))*I157)+((SUM(B167:F167)-C167)*I157)*80%),((SUM(B167:F167)-C167)*I157)*80%),2)</f>
        <v>0</v>
      </c>
      <c r="J167" s="76">
        <f>ROUND(IF(SUM(B158:F166)&lt;(L174*9),IF((SUM(B158:F167))&gt;(L174*10),(((L174*10)-(SUM(B158:F167)-C166))*J157)+((SUM(B167:F167)-C166)*J157),SUM(B167:F167)*J157),IF(SUM(B158:F167)&gt;(L174*10),L174*J157,SUM(B167:F167)*J157)),2)</f>
        <v>0</v>
      </c>
      <c r="K167" s="76">
        <f>ROUND(IF(SUM(B158:F166)&lt;(L174*9),IF((SUM(B158:F167))&gt;(L174*10),(((L174*10)-(SUM(B158:F167)-C166))*K157)+((SUM(B167:F167)-C166)*K157),SUM(B167:F167)*K157),IF(SUM(B158:F167)&gt;(L174*10),L174*K157,SUM(B167:F167)*K157)),2)</f>
        <v>0</v>
      </c>
      <c r="L167" s="76">
        <f>ROUND(IF(SUM(B158:F166)&lt;(L173*9),IF((SUM(B158:F167))&gt;(L173*10),(((L173*10)-(SUM(B158:F167)-C166))*L157)+((SUM(B167:F167)-C166)*L157),SUM(B167:F167)*L157),IF(SUM(B158:F167)&gt;(L173*10),L173*L157,SUM(B167:F167)*L157)),2)</f>
        <v>0</v>
      </c>
      <c r="M167" s="76">
        <f>ROUND(IF(SUM(B158:F166)&lt;(L174*9),IF((SUM(B158:F167))&gt;(L174*10),(((L174*10)-(SUM(B158:F167)-C167))*M157)+((SUM(B167:F167)-C167)*M157),(SUM(B167:F167)-C167)*M157),IF(SUM(B158:F167)&gt;(L174*10),L174*M157,SUM(B167:F167)*M157)),2)</f>
        <v>0</v>
      </c>
      <c r="N167" s="23">
        <f>ROUND((B167+E167+F167)*N157,2)</f>
        <v>0</v>
      </c>
      <c r="O167" s="23">
        <f>ROUND(SUM(B167+C167+F167)*O157,2)</f>
        <v>0</v>
      </c>
      <c r="P167" s="27">
        <f t="shared" si="20"/>
        <v>0</v>
      </c>
    </row>
    <row r="168" spans="1:16" x14ac:dyDescent="0.2">
      <c r="A168" s="100" t="str">
        <f>'päd.Personal - Leitung'!$A$36</f>
        <v>Nov 2022</v>
      </c>
      <c r="B168" s="24">
        <f>ROUND(IF(P142=0,0,IFERROR(((LOOKUP(2,1/(A146:A149=A168),G146:G149))*P142*4.348*50%),B167/P142*P142)),2)</f>
        <v>0</v>
      </c>
      <c r="C168" s="23">
        <f>ROUND(IFERROR(((LOOKUP(2,1/(B151=A168),((SUM(B164:B166)+SUM(F164:F166))/3)*C151))),0)+IFERROR(((LOOKUP(2,1/(E151=A168),(B170+F170)*F151))),0),2)</f>
        <v>0</v>
      </c>
      <c r="D168" s="23">
        <f>ROUND(IF(B168=0,0,D157/L139*P142*50%),2)</f>
        <v>0</v>
      </c>
      <c r="E168" s="23">
        <f>ROUND(IF(B168=0,0,E157/N135*P142*50%),2)</f>
        <v>0</v>
      </c>
      <c r="F168" s="24">
        <f>ROUND(IF(P142=0,0,IFERROR(((LOOKUP(2,1/(A146:A149=A168),H146:H149))/N135*P142),F167/P142*P142*50%)),2)</f>
        <v>0</v>
      </c>
      <c r="G168" s="27">
        <f t="shared" si="19"/>
        <v>0</v>
      </c>
      <c r="H168" s="76">
        <f>ROUND(IF(SUM(B158:F167)&lt;(L173*10),IF((SUM(B158:F168))&gt;(L173*11),(((L173*11)-(SUM(B158:F168)-C167))*H157)+((SUM(B168:F168)-C167)*H157),SUM(B168:F168)*H157),IF(SUM(B158:F168)&gt;(L173*11),L173*H157,SUM(B168:F168)*H157)),2)</f>
        <v>0</v>
      </c>
      <c r="I168" s="76">
        <f>ROUND(IF((SUM(B158:F168)*80%)&gt;((L174*11)*90%),((((L174*11)*90%)-((SUM(B158:F168)-C168))*I157)+((SUM(B168:F168)-C168)*I157)*80%),((SUM(B168:F168)-C168)*I157)*80%),2)</f>
        <v>0</v>
      </c>
      <c r="J168" s="76">
        <f>ROUND(IF(SUM(B158:F167)&lt;(L174*10),IF((SUM(B158:F168))&gt;(L174*11),(((L174*11)-(SUM(B158:F168)-C167))*J157)+((SUM(B168:F168)-C167)*J157),SUM(B168:F168)*J157),IF(SUM(B158:F168)&gt;(L174*11),L174*J157,SUM(B168:F168)*J157)),2)</f>
        <v>0</v>
      </c>
      <c r="K168" s="76">
        <f>ROUND(IF(SUM(B158:F167)&lt;(L174*10),IF((SUM(B158:F168))&gt;(L174*11),(((L174*11)-(SUM(B158:F168)-C167))*K157)+((SUM(B168:F168)-C167)*K157),SUM(B168:F168)*K157),IF(SUM(B158:F168)&gt;(L174*11),L174*K157,SUM(B168:F168)*K157)),2)</f>
        <v>0</v>
      </c>
      <c r="L168" s="76">
        <f>ROUND(IF(SUM(B158:F167)&lt;(L173*10),IF((SUM(B158:F168))&gt;(L173*11),(((L173*11)-(SUM(B158:F168)-C167))*L157)+((SUM(B168:F168)-C167)*L157),SUM(B168:F168)*L157),IF(SUM(B158:F168)&gt;(L173*11),L173*L157,SUM(B168:F168)*L157)),2)</f>
        <v>0</v>
      </c>
      <c r="M168" s="76">
        <f>ROUND(IF(SUM(B158:F167)&lt;(L174*10),IF((SUM(B158:F168))&gt;(L174*11),(((L174*11)-(SUM(B158:F168)-C168))*M157)+((SUM(B168:F168)-C168)*M157),(SUM(B168:F168)-C168)*M157),IF(SUM(B158:F168)&gt;(L174*11),L174*M157,SUM(B168:F168)*M157)),2)</f>
        <v>0</v>
      </c>
      <c r="N168" s="23">
        <f>ROUND((B168+E168+F168)*N157,2)</f>
        <v>0</v>
      </c>
      <c r="O168" s="23">
        <f>ROUND(SUM(B168+C168+F168)*O157,2)</f>
        <v>0</v>
      </c>
      <c r="P168" s="27">
        <f t="shared" si="20"/>
        <v>0</v>
      </c>
    </row>
    <row r="169" spans="1:16" x14ac:dyDescent="0.2">
      <c r="A169" s="100" t="str">
        <f>'päd.Personal - Leitung'!$A$37</f>
        <v>Dez 2022</v>
      </c>
      <c r="B169" s="24">
        <f>ROUND(IF(P143=0,0,IFERROR(((LOOKUP(2,1/(A146:A149=A169),G146:G149))*P143*4.348*50%),B168/P143*P143)),2)</f>
        <v>0</v>
      </c>
      <c r="C169" s="23">
        <f>ROUND(IFERROR(((LOOKUP(2,1/(B151=A169),((SUM(B164:B166)+SUM(F164:F166))/3)*C151))),0)+IFERROR(((LOOKUP(2,1/(E151=A169),(B170+F170)*F151))),0),2)</f>
        <v>0</v>
      </c>
      <c r="D169" s="23">
        <f>ROUND(IF(B169=0,0,D157/L139*P143*50%),2)</f>
        <v>0</v>
      </c>
      <c r="E169" s="23">
        <f>ROUND(IF(B169=0,0,E157/N135*P143*50%),2)</f>
        <v>0</v>
      </c>
      <c r="F169" s="24">
        <f>ROUND(IF(P143=0,0,IFERROR(((LOOKUP(2,1/(A146:A149=A169),H146:H149))/N135*P143),F168/P143*P143*50%)),2)</f>
        <v>0</v>
      </c>
      <c r="G169" s="27">
        <f t="shared" si="19"/>
        <v>0</v>
      </c>
      <c r="H169" s="76">
        <f>ROUND(IF(SUM(B158:F168)&lt;(L173*11),IF((SUM(B158:F169))&gt;(L173*12),(((L173*12)-(SUM(B158:F169)-C168))*H157)+((SUM(B169:F169)-C168)*H157),SUM(B169:F169)*H157),IF(SUM(B158:F169)&gt;(L173*12),L173*H157,SUM(B169:F169)*H157)),2)</f>
        <v>0</v>
      </c>
      <c r="I169" s="76">
        <f>ROUND(IF((SUM(B158:F169)*80%)&gt;((L174*12)*90%),((((L174*12)*90%)-((SUM(B158:F169)-C169))*I157)+((SUM(B169:F169)-C169)*I157)*80%),((SUM(B169:F169)-C169)*I157)*80%),2)</f>
        <v>0</v>
      </c>
      <c r="J169" s="76">
        <f>ROUND(IF(SUM(B158:F168)&lt;(L174*11),IF((SUM(B158:F169))&gt;(L174*12),(((L174*12)-(SUM(B158:F169)-C168))*J157)+((SUM(B169:F169)-C168)*J157),SUM(B169:F169)*J157),IF(SUM(B158:F169)&gt;(L174*12),L174*J157,SUM(B169:F169)*J157)),2)</f>
        <v>0</v>
      </c>
      <c r="K169" s="76">
        <f>ROUND(IF(SUM(B158:F168)&lt;(L174*11),IF((SUM(B158:F169))&gt;(L174*12),(((L174*12)-(SUM(B158:F169)-C168))*K157)+((SUM(B169:F169)-C168)*K157),SUM(B169:F169)*K157),IF(SUM(B158:F169)&gt;(L174*12),L174*K157,SUM(B169:F169)*K157)),2)</f>
        <v>0</v>
      </c>
      <c r="L169" s="76">
        <f>ROUND(IF(SUM(B158:F168)&lt;(L173*11),IF((SUM(B158:F169))&gt;(L173*12),(((L173*12)-(SUM(B158:F169)-C168))*L157)+((SUM(B169:F169)-C168)*L157),SUM(B169:F169)*L157),IF(SUM(B158:F169)&gt;(L173*12),L173*L157,SUM(B169:F169)*L157)),2)</f>
        <v>0</v>
      </c>
      <c r="M169" s="76">
        <f>ROUND(IF(SUM(B158:F168)&lt;(L174*11),IF((SUM(B158:F169))&gt;(L174*12),(((L174*12)-(SUM(B158:F169)-C169))*M157)+((SUM(B169:F169)-C169)*M157),(SUM(B169:F169)-C169)*M157),IF(SUM(B158:F169)&gt;(L174*12),L174*M157,SUM(B169:F169)*M157)),2)</f>
        <v>0</v>
      </c>
      <c r="N169" s="23">
        <f>ROUND((B169+E169+F169)*N157,2)</f>
        <v>0</v>
      </c>
      <c r="O169" s="23">
        <f>ROUND(SUM(B169+C169+F169)*O157,2)</f>
        <v>0</v>
      </c>
      <c r="P169" s="27">
        <f>SUM(G169:O169)</f>
        <v>0</v>
      </c>
    </row>
    <row r="170" spans="1:16" x14ac:dyDescent="0.2">
      <c r="A170" s="4" t="s">
        <v>2</v>
      </c>
      <c r="B170" s="27">
        <f>SUM(B158:B169)</f>
        <v>0</v>
      </c>
      <c r="C170" s="27">
        <f t="shared" ref="C170" si="21">SUM(C158:C169)</f>
        <v>0</v>
      </c>
      <c r="D170" s="27">
        <f>SUM(D158:D169)</f>
        <v>0</v>
      </c>
      <c r="E170" s="27">
        <f t="shared" ref="E170:G170" si="22">SUM(E158:E169)</f>
        <v>0</v>
      </c>
      <c r="F170" s="27">
        <f t="shared" si="22"/>
        <v>0</v>
      </c>
      <c r="G170" s="27">
        <f t="shared" si="22"/>
        <v>0</v>
      </c>
      <c r="H170" s="1133">
        <f>SUM(H158:M169)</f>
        <v>0</v>
      </c>
      <c r="I170" s="1134"/>
      <c r="J170" s="1134"/>
      <c r="K170" s="1134"/>
      <c r="L170" s="1134"/>
      <c r="M170" s="1134"/>
      <c r="N170" s="27">
        <f>SUM(N158:N169)</f>
        <v>0</v>
      </c>
      <c r="O170" s="27">
        <f>SUM(O158:O169)</f>
        <v>0</v>
      </c>
      <c r="P170" s="27">
        <f>SUM(P158:P169)</f>
        <v>0</v>
      </c>
    </row>
    <row r="171" spans="1:16" s="13" customFormat="1" ht="11.25" x14ac:dyDescent="0.2">
      <c r="A171" s="3" t="s">
        <v>1</v>
      </c>
      <c r="B171" s="2"/>
      <c r="C171" s="2"/>
      <c r="D171" s="2"/>
      <c r="E171" s="2"/>
      <c r="F171" s="2"/>
      <c r="G171" s="2"/>
      <c r="H171" s="2"/>
      <c r="I171" s="2"/>
      <c r="J171" s="2"/>
      <c r="K171" s="2"/>
      <c r="L171" s="2"/>
      <c r="M171" s="2"/>
      <c r="N171" s="2"/>
      <c r="O171" s="2"/>
      <c r="P171" s="2"/>
    </row>
    <row r="172" spans="1:16" s="1" customFormat="1" ht="14.25" customHeight="1" x14ac:dyDescent="0.2">
      <c r="A172" s="1136" t="s">
        <v>133</v>
      </c>
      <c r="B172" s="1137"/>
      <c r="C172" s="1137"/>
      <c r="D172" s="1137" t="s">
        <v>134</v>
      </c>
      <c r="E172" s="1137"/>
      <c r="F172" s="94" t="str">
        <f>IF(IF(G170=0,"",'päd.Personal - Leitung'!$F$40)=0,"",IF(G170=0,"",'päd.Personal - Leitung'!$F$40))</f>
        <v/>
      </c>
      <c r="G172" s="77" t="s">
        <v>135</v>
      </c>
      <c r="H172" s="96" t="str">
        <f>IF(IF(G170=0,"",'päd.Personal - Leitung'!$H$40)=0,"",IF(G170=0,"",'päd.Personal - Leitung'!$H$40))</f>
        <v/>
      </c>
      <c r="I172" s="73"/>
      <c r="J172" s="194" t="s">
        <v>160</v>
      </c>
      <c r="K172" s="194" t="str">
        <f>'päd.Personal - Leitung'!$K$40</f>
        <v>2021</v>
      </c>
      <c r="L172" s="194" t="str">
        <f>'päd.Personal - Leitung'!$L$40</f>
        <v>anteilig 2021</v>
      </c>
      <c r="M172" s="1138" t="s">
        <v>140</v>
      </c>
      <c r="N172" s="1138"/>
      <c r="O172" s="1139"/>
      <c r="P172" s="27">
        <f>ROUND(IF(F172="",IF(E176="",0,(E176*H176/K176)/L139*L140),G170*F172*H172/1000),2)</f>
        <v>0</v>
      </c>
    </row>
    <row r="173" spans="1:16" s="1" customFormat="1" ht="15" customHeight="1" x14ac:dyDescent="0.2">
      <c r="A173" s="1140" t="s">
        <v>145</v>
      </c>
      <c r="B173" s="1141"/>
      <c r="C173" s="1141"/>
      <c r="D173" s="18"/>
      <c r="E173" s="107" t="s">
        <v>135</v>
      </c>
      <c r="F173" s="95" t="str">
        <f>IF(IF(G170=0,"",'päd.Personal - Leitung'!$F$41)=0,"",IF(G170=0,"",'päd.Personal - Leitung'!$F$41))</f>
        <v/>
      </c>
      <c r="G173" s="48"/>
      <c r="H173" s="47"/>
      <c r="I173" s="48"/>
      <c r="J173" s="195" t="s">
        <v>158</v>
      </c>
      <c r="K173" s="198">
        <f>'päd.Personal - Leitung'!$K$41</f>
        <v>4837.5</v>
      </c>
      <c r="L173" s="197">
        <f>IF(L139="",K173,K173/L139*L140)</f>
        <v>4837.5</v>
      </c>
      <c r="M173" s="1138" t="s">
        <v>139</v>
      </c>
      <c r="N173" s="1138"/>
      <c r="O173" s="1139"/>
      <c r="P173" s="27">
        <f>ROUND(IF(F173="",0,G170*F173/1000),2)</f>
        <v>0</v>
      </c>
    </row>
    <row r="174" spans="1:16" s="1" customFormat="1" ht="15.75" customHeight="1" x14ac:dyDescent="0.2">
      <c r="A174" s="1142" t="s">
        <v>141</v>
      </c>
      <c r="B174" s="1143"/>
      <c r="C174" s="1143"/>
      <c r="D174" s="1144" t="s">
        <v>143</v>
      </c>
      <c r="E174" s="1144"/>
      <c r="F174" s="1145" t="str">
        <f>IF(IF(G170=0,"",'päd.Personal - Leitung'!$F$42)=0,"",IF(G170=0,"",'päd.Personal - Leitung'!$F$42))</f>
        <v/>
      </c>
      <c r="G174" s="1145"/>
      <c r="H174" s="72"/>
      <c r="I174" s="18"/>
      <c r="J174" s="195" t="s">
        <v>159</v>
      </c>
      <c r="K174" s="198">
        <f>'päd.Personal - Leitung'!$K$42</f>
        <v>6700</v>
      </c>
      <c r="L174" s="197">
        <f>IF(L139="",K174,K174/L139*L140)</f>
        <v>6700</v>
      </c>
      <c r="M174" s="1138" t="s">
        <v>141</v>
      </c>
      <c r="N174" s="1138"/>
      <c r="O174" s="1139"/>
      <c r="P174" s="23">
        <f>ROUND(IF(F174="",0,IF(G170=0,0,F174/L139*L140)),2)</f>
        <v>0</v>
      </c>
    </row>
    <row r="175" spans="1:16" s="1" customFormat="1" ht="14.25" customHeight="1" x14ac:dyDescent="0.2">
      <c r="A175" s="18"/>
      <c r="B175" s="18"/>
      <c r="C175" s="18"/>
      <c r="D175" s="18"/>
      <c r="E175" s="18"/>
      <c r="F175" s="18"/>
      <c r="G175" s="18"/>
      <c r="H175" s="18"/>
      <c r="I175" s="18"/>
      <c r="J175" s="18"/>
      <c r="K175" s="74"/>
      <c r="L175" s="82"/>
      <c r="M175" s="1127" t="s">
        <v>146</v>
      </c>
      <c r="N175" s="1127"/>
      <c r="O175" s="1128"/>
      <c r="P175" s="23">
        <f>ROUND(IF(G170=0,0,$P$43),2)</f>
        <v>0</v>
      </c>
    </row>
    <row r="176" spans="1:16" s="1" customFormat="1" ht="14.25" customHeight="1" x14ac:dyDescent="0.2">
      <c r="A176" s="1129" t="s">
        <v>142</v>
      </c>
      <c r="B176" s="1130"/>
      <c r="C176" s="133" t="s">
        <v>136</v>
      </c>
      <c r="D176" s="133" t="s">
        <v>137</v>
      </c>
      <c r="E176" s="1131" t="str">
        <f>IF(IF(G170=0,"",'päd.Personal - Leitung'!$E$44)=0,"",IF(G170=0,"",'päd.Personal - Leitung'!$E$44))</f>
        <v/>
      </c>
      <c r="F176" s="1131"/>
      <c r="G176" s="83" t="s">
        <v>138</v>
      </c>
      <c r="H176" s="97" t="str">
        <f>IF(IF(G170=0,"",'päd.Personal - Leitung'!$H$44)=0,"",IF(G170=0,"",'päd.Personal - Leitung'!$H$44))</f>
        <v/>
      </c>
      <c r="I176" s="1132" t="s">
        <v>144</v>
      </c>
      <c r="J176" s="1132"/>
      <c r="K176" s="98" t="str">
        <f>IF(IF(G170=0,"",'päd.Personal - Leitung'!$K$44)=0,"",IF(G170=0,"",'päd.Personal - Leitung'!$K$44))</f>
        <v/>
      </c>
      <c r="L176" s="29"/>
      <c r="M176" s="29"/>
      <c r="N176" s="29"/>
      <c r="O176" s="28" t="s">
        <v>0</v>
      </c>
      <c r="P176" s="27">
        <f>P170+SUM(P172:P175)</f>
        <v>0</v>
      </c>
    </row>
    <row r="177" spans="1:16" s="12" customFormat="1" ht="13.5" customHeight="1" x14ac:dyDescent="0.2">
      <c r="A177" s="1178" t="s">
        <v>18</v>
      </c>
      <c r="B177" s="1178"/>
      <c r="C177" s="1178"/>
      <c r="D177" s="1179" t="str">
        <f>IF($D$1="","",$D$1)</f>
        <v/>
      </c>
      <c r="E177" s="1179"/>
      <c r="F177" s="1179"/>
      <c r="G177" s="1179"/>
      <c r="H177" s="1179"/>
      <c r="I177" s="1179"/>
      <c r="J177" s="1179"/>
      <c r="K177" s="1179"/>
      <c r="L177" s="1179"/>
      <c r="M177" s="1179"/>
      <c r="N177" s="1179"/>
    </row>
    <row r="178" spans="1:16" s="12" customFormat="1" ht="15" customHeight="1" x14ac:dyDescent="0.2">
      <c r="A178" s="1178" t="s">
        <v>17</v>
      </c>
      <c r="B178" s="1178"/>
      <c r="C178" s="1178" t="s">
        <v>15</v>
      </c>
      <c r="D178" s="1179" t="str">
        <f>IF($D$2="","",$D$2)</f>
        <v/>
      </c>
      <c r="E178" s="1179"/>
      <c r="F178" s="1179"/>
      <c r="G178" s="1179"/>
      <c r="H178" s="1179"/>
      <c r="I178" s="1179"/>
      <c r="J178" s="1179"/>
      <c r="K178" s="1179"/>
      <c r="L178" s="1179"/>
      <c r="M178" s="1179"/>
      <c r="N178" s="1179"/>
    </row>
    <row r="179" spans="1:16" s="12" customFormat="1" ht="15" customHeight="1" x14ac:dyDescent="0.2">
      <c r="A179" s="1178" t="s">
        <v>16</v>
      </c>
      <c r="B179" s="1178"/>
      <c r="C179" s="1178" t="s">
        <v>15</v>
      </c>
      <c r="D179" s="1179" t="str">
        <f>IF($D$3="","",$D$3)</f>
        <v/>
      </c>
      <c r="E179" s="1179"/>
      <c r="F179" s="1179"/>
      <c r="G179" s="1179"/>
      <c r="H179" s="1179"/>
      <c r="I179" s="1179"/>
      <c r="J179" s="1179"/>
      <c r="K179" s="1178" t="s">
        <v>103</v>
      </c>
      <c r="L179" s="1178"/>
      <c r="M179" s="1178"/>
      <c r="N179" s="41" t="str">
        <f>IF($N$3="","",$N$3)</f>
        <v/>
      </c>
    </row>
    <row r="180" spans="1:16" s="13" customFormat="1" ht="11.25" x14ac:dyDescent="0.2">
      <c r="A180" s="1182"/>
      <c r="B180" s="1182"/>
      <c r="C180" s="1182"/>
      <c r="D180" s="1183"/>
      <c r="E180" s="1183"/>
      <c r="F180" s="1183"/>
      <c r="G180" s="1183"/>
      <c r="H180" s="1183"/>
      <c r="I180" s="1183"/>
      <c r="J180" s="1183"/>
      <c r="K180" s="11"/>
      <c r="L180" s="11"/>
      <c r="M180" s="11"/>
      <c r="N180" s="11"/>
      <c r="O180" s="11"/>
      <c r="P180" s="11"/>
    </row>
    <row r="181" spans="1:16" s="15" customFormat="1" ht="13.5" customHeight="1" x14ac:dyDescent="0.2">
      <c r="A181" s="1177" t="s">
        <v>219</v>
      </c>
      <c r="B181" s="1177"/>
      <c r="C181" s="1177"/>
      <c r="D181" s="1177"/>
      <c r="E181" s="1177"/>
      <c r="F181" s="1177"/>
      <c r="G181" s="1177"/>
      <c r="H181" s="1177"/>
      <c r="I181" s="1177"/>
      <c r="J181" s="1177"/>
      <c r="K181" s="1177"/>
      <c r="L181" s="1177"/>
      <c r="M181" s="1177"/>
      <c r="N181" s="59" t="s">
        <v>154</v>
      </c>
      <c r="O181" s="191">
        <f>$O$5</f>
        <v>2022</v>
      </c>
      <c r="P181" s="59" t="s">
        <v>154</v>
      </c>
    </row>
    <row r="182" spans="1:16" s="10" customFormat="1" ht="13.5" customHeight="1" x14ac:dyDescent="0.25">
      <c r="B182" s="32"/>
      <c r="C182" s="32"/>
      <c r="D182" s="5" t="s">
        <v>185</v>
      </c>
      <c r="E182" s="31"/>
      <c r="F182" s="31"/>
      <c r="G182" s="31"/>
      <c r="H182" s="31"/>
      <c r="I182" s="26"/>
      <c r="J182" s="1174" t="s">
        <v>14</v>
      </c>
      <c r="K182" s="1174"/>
      <c r="L182" s="180"/>
      <c r="N182" s="84">
        <f>IF(L184="","",L184)</f>
        <v>0</v>
      </c>
      <c r="O182" s="58" t="str">
        <f>$O$6</f>
        <v>Jan                Jul</v>
      </c>
      <c r="P182" s="85">
        <f>IF(N187="","",N187)</f>
        <v>0</v>
      </c>
    </row>
    <row r="183" spans="1:16" s="7" customFormat="1" ht="13.5" customHeight="1" x14ac:dyDescent="0.25">
      <c r="A183" s="1180" t="s">
        <v>71</v>
      </c>
      <c r="B183" s="1180"/>
      <c r="C183" s="1180"/>
      <c r="D183" s="1184"/>
      <c r="E183" s="1184"/>
      <c r="F183" s="1184"/>
      <c r="G183" s="1184"/>
      <c r="H183" s="1184"/>
      <c r="I183" s="1184"/>
      <c r="J183" s="1174" t="s">
        <v>104</v>
      </c>
      <c r="K183" s="1174"/>
      <c r="L183" s="145"/>
      <c r="N183" s="85">
        <f>IF(N182="","",N182)</f>
        <v>0</v>
      </c>
      <c r="O183" s="58" t="str">
        <f>$O$7</f>
        <v>Feb              Aug</v>
      </c>
      <c r="P183" s="85">
        <f>IF(P182="","",P182)</f>
        <v>0</v>
      </c>
    </row>
    <row r="184" spans="1:16" s="1" customFormat="1" ht="13.5" customHeight="1" x14ac:dyDescent="0.2">
      <c r="A184" s="1180" t="s">
        <v>13</v>
      </c>
      <c r="B184" s="1180"/>
      <c r="C184" s="1180"/>
      <c r="D184" s="1181"/>
      <c r="E184" s="1181"/>
      <c r="F184" s="1181"/>
      <c r="G184" s="1181"/>
      <c r="H184" s="1181"/>
      <c r="I184" s="1181"/>
      <c r="J184" s="1174" t="s">
        <v>164</v>
      </c>
      <c r="K184" s="1174"/>
      <c r="L184" s="145">
        <f>IF((L185+L186)&gt;L183,0,L183-L185-L186)</f>
        <v>0</v>
      </c>
      <c r="N184" s="85">
        <f>IF(N183="","",N183)</f>
        <v>0</v>
      </c>
      <c r="O184" s="58" t="str">
        <f>$O$8</f>
        <v>Mrz              Sep</v>
      </c>
      <c r="P184" s="85">
        <f>IF(P183="","",P183)</f>
        <v>0</v>
      </c>
    </row>
    <row r="185" spans="1:16" s="1" customFormat="1" ht="13.5" customHeight="1" x14ac:dyDescent="0.2">
      <c r="A185" s="1180" t="s">
        <v>12</v>
      </c>
      <c r="B185" s="1180"/>
      <c r="C185" s="1180"/>
      <c r="D185" s="1181"/>
      <c r="E185" s="1181"/>
      <c r="F185" s="1181"/>
      <c r="G185" s="1181"/>
      <c r="H185" s="1181"/>
      <c r="I185" s="1181"/>
      <c r="J185" s="1174" t="s">
        <v>165</v>
      </c>
      <c r="K185" s="1174"/>
      <c r="L185" s="145"/>
      <c r="N185" s="85">
        <f>IF(N184="","",N184)</f>
        <v>0</v>
      </c>
      <c r="O185" s="58" t="str">
        <f>$O$9</f>
        <v>Apr               Okt</v>
      </c>
      <c r="P185" s="85">
        <f t="shared" ref="P185:P187" si="23">IF(P184="","",P184)</f>
        <v>0</v>
      </c>
    </row>
    <row r="186" spans="1:16" s="1" customFormat="1" ht="13.5" customHeight="1" x14ac:dyDescent="0.2">
      <c r="A186" s="1180" t="s">
        <v>19</v>
      </c>
      <c r="B186" s="1180"/>
      <c r="C186" s="1180"/>
      <c r="D186" s="1181"/>
      <c r="E186" s="1181"/>
      <c r="F186" s="1181"/>
      <c r="G186" s="1181"/>
      <c r="H186" s="1181"/>
      <c r="I186" s="1181"/>
      <c r="J186" s="1174" t="s">
        <v>252</v>
      </c>
      <c r="K186" s="1174"/>
      <c r="L186" s="145"/>
      <c r="M186" s="92"/>
      <c r="N186" s="85">
        <f>IF(N185="","",N185)</f>
        <v>0</v>
      </c>
      <c r="O186" s="58" t="str">
        <f>$O$10</f>
        <v>Mai               Nov</v>
      </c>
      <c r="P186" s="85">
        <f t="shared" si="23"/>
        <v>0</v>
      </c>
    </row>
    <row r="187" spans="1:16" s="1" customFormat="1" ht="13.5" customHeight="1" x14ac:dyDescent="0.2">
      <c r="B187" s="8"/>
      <c r="C187" s="132" t="s">
        <v>162</v>
      </c>
      <c r="D187" s="1175"/>
      <c r="E187" s="1175"/>
      <c r="F187" s="1176" t="s">
        <v>113</v>
      </c>
      <c r="G187" s="1176"/>
      <c r="H187" s="1186"/>
      <c r="I187" s="1186"/>
      <c r="J187" s="1174" t="s">
        <v>97</v>
      </c>
      <c r="K187" s="1174"/>
      <c r="L187" s="17" t="str">
        <f>IF(IF((COUNTIF(B202:B213,"&gt;0"))=0,0,(COUNTIF(B202:B213,"&gt;0")))&gt;Grundlagen!$C$24,Grundlagen!$C$24,IF((COUNTIF(B202:B213,"&gt;0"))=0,"",(COUNTIF(B202:B213,"&gt;0"))))</f>
        <v/>
      </c>
      <c r="N187" s="85">
        <f>IF(N186="","",N186)</f>
        <v>0</v>
      </c>
      <c r="O187" s="58" t="str">
        <f>'päd.Personal - Leitung'!$O$11</f>
        <v>Jun               Dez</v>
      </c>
      <c r="P187" s="85">
        <f t="shared" si="23"/>
        <v>0</v>
      </c>
    </row>
    <row r="188" spans="1:16" s="1" customFormat="1" ht="13.5" customHeight="1" x14ac:dyDescent="0.2">
      <c r="F188" s="1176" t="s">
        <v>241</v>
      </c>
      <c r="G188" s="1176"/>
      <c r="H188" s="1186"/>
      <c r="I188" s="1186"/>
      <c r="L188" s="147" t="str">
        <f>IF((SUM(F190:F193))=0,"",IF(P188&gt;L184,L184,IF(L184="","",IF(L187="","",P188))))</f>
        <v/>
      </c>
      <c r="O188" s="174" t="s">
        <v>251</v>
      </c>
      <c r="P188" s="175">
        <f>IF(L187="",0,((IF(SUMIF(B202,"&gt;0"),N182,0))+(IF(SUMIF(B203,"&gt;0"),N183,0))+(IF(SUMIF(B204,"&gt;0"),N184,0))+(IF(SUMIF(B205,"&gt;0"),N185,0))+(IF(SUMIF(B206,"&gt;0"),N186,0))+(IF(SUMIF(B207,"&gt;0"),N187,0))+(IF(SUMIF(B208,"&gt;0"),P182,0))+(IF(SUMIF(B209,"&gt;0"),P183,0))+(IF(SUMIF(B210,"&gt;0"),P184,0))+(IF(SUMIF(B211,"&gt;0"),P185,0))+(IF(SUMIF(B212,"&gt;0"),P186,0))+(IF(SUMIF(B213,"&gt;0"),P187,0)))/Grundlagen!$C$24)</f>
        <v>0</v>
      </c>
    </row>
    <row r="189" spans="1:16" s="52" customFormat="1" ht="13.5" customHeight="1" x14ac:dyDescent="0.2">
      <c r="A189" s="61" t="s">
        <v>148</v>
      </c>
      <c r="B189" s="1168" t="s">
        <v>149</v>
      </c>
      <c r="C189" s="1168"/>
      <c r="D189" s="62" t="s">
        <v>150</v>
      </c>
      <c r="E189" s="63" t="s">
        <v>151</v>
      </c>
      <c r="F189" s="64" t="str">
        <f>CONCATENATE("Entg. ",N179," h/Wo")</f>
        <v>Entg.  h/Wo</v>
      </c>
      <c r="G189" s="65" t="s">
        <v>152</v>
      </c>
      <c r="H189" s="65" t="s">
        <v>153</v>
      </c>
      <c r="K189" s="1169" t="str">
        <f>CONCATENATE("Zuschläge / Zulagen für ",N179,"h/Wo")</f>
        <v>Zuschläge / Zulagen für h/Wo</v>
      </c>
      <c r="L189" s="1169"/>
      <c r="M189" s="66" t="str">
        <f>IF(A190="","",A190)</f>
        <v>Jan 2022</v>
      </c>
      <c r="N189" s="66" t="str">
        <f>IF(A191="","",A191)</f>
        <v/>
      </c>
      <c r="O189" s="66" t="str">
        <f>IF(A192="","",A192)</f>
        <v/>
      </c>
      <c r="P189" s="66" t="str">
        <f>IF(A193="","",A193)</f>
        <v/>
      </c>
    </row>
    <row r="190" spans="1:16" s="52" customFormat="1" ht="13.5" customHeight="1" x14ac:dyDescent="0.25">
      <c r="A190" s="54" t="str">
        <f>A202</f>
        <v>Jan 2022</v>
      </c>
      <c r="B190" s="1170" t="str">
        <f>IF($D$3="","",$D$3)</f>
        <v/>
      </c>
      <c r="C190" s="1171"/>
      <c r="D190" s="181"/>
      <c r="E190" s="181"/>
      <c r="F190" s="87"/>
      <c r="G190" s="56">
        <f>IF(N179="",0,F190/N179/4.348)</f>
        <v>0</v>
      </c>
      <c r="H190" s="53">
        <f>IF(G190=0,0,M195)</f>
        <v>0</v>
      </c>
      <c r="K190" s="1146"/>
      <c r="L190" s="1146"/>
      <c r="M190" s="86"/>
      <c r="N190" s="86"/>
      <c r="O190" s="86"/>
      <c r="P190" s="86"/>
    </row>
    <row r="191" spans="1:16" s="52" customFormat="1" ht="13.5" customHeight="1" x14ac:dyDescent="0.25">
      <c r="A191" s="55"/>
      <c r="B191" s="1172" t="str">
        <f>IF(A191="","",B190)</f>
        <v/>
      </c>
      <c r="C191" s="1173"/>
      <c r="D191" s="181"/>
      <c r="E191" s="181"/>
      <c r="F191" s="87"/>
      <c r="G191" s="56">
        <f>IF(N179="",0,F191/N179/4.348)</f>
        <v>0</v>
      </c>
      <c r="H191" s="53">
        <f>IF(G191=0,0,N195)</f>
        <v>0</v>
      </c>
      <c r="K191" s="1146"/>
      <c r="L191" s="1146"/>
      <c r="M191" s="86"/>
      <c r="N191" s="86"/>
      <c r="O191" s="86"/>
      <c r="P191" s="86"/>
    </row>
    <row r="192" spans="1:16" s="52" customFormat="1" ht="13.5" customHeight="1" x14ac:dyDescent="0.25">
      <c r="A192" s="55"/>
      <c r="B192" s="1172" t="str">
        <f>IF(A192="","",B191)</f>
        <v/>
      </c>
      <c r="C192" s="1173"/>
      <c r="D192" s="181"/>
      <c r="E192" s="181"/>
      <c r="F192" s="87"/>
      <c r="G192" s="56">
        <f>IF(N179="",0,F192/N179/4.348)</f>
        <v>0</v>
      </c>
      <c r="H192" s="53">
        <f>IF(G192=0,0,O195)</f>
        <v>0</v>
      </c>
      <c r="K192" s="1146"/>
      <c r="L192" s="1146"/>
      <c r="M192" s="86"/>
      <c r="N192" s="86"/>
      <c r="O192" s="86"/>
      <c r="P192" s="86"/>
    </row>
    <row r="193" spans="1:16" s="52" customFormat="1" ht="13.5" customHeight="1" x14ac:dyDescent="0.25">
      <c r="A193" s="55"/>
      <c r="B193" s="1172" t="str">
        <f>IF(A193="","",B192)</f>
        <v/>
      </c>
      <c r="C193" s="1173"/>
      <c r="D193" s="181"/>
      <c r="E193" s="181"/>
      <c r="F193" s="87"/>
      <c r="G193" s="56">
        <f>IF(N179="",0,F193/N179/4.348)</f>
        <v>0</v>
      </c>
      <c r="H193" s="53">
        <f>IF(G193=0,0,P195)</f>
        <v>0</v>
      </c>
      <c r="K193" s="1146"/>
      <c r="L193" s="1146"/>
      <c r="M193" s="86"/>
      <c r="N193" s="86"/>
      <c r="O193" s="86"/>
      <c r="P193" s="86"/>
    </row>
    <row r="194" spans="1:16" s="52" customFormat="1" ht="13.5" customHeight="1" x14ac:dyDescent="0.25">
      <c r="B194" s="1167" t="s">
        <v>157</v>
      </c>
      <c r="C194" s="1167"/>
      <c r="E194" s="1167" t="s">
        <v>156</v>
      </c>
      <c r="F194" s="1167"/>
      <c r="J194" s="69"/>
      <c r="K194" s="1146"/>
      <c r="L194" s="1146"/>
      <c r="M194" s="86"/>
      <c r="N194" s="86"/>
      <c r="O194" s="86"/>
      <c r="P194" s="86"/>
    </row>
    <row r="195" spans="1:16" s="52" customFormat="1" ht="13.5" customHeight="1" x14ac:dyDescent="0.25">
      <c r="A195" s="70" t="s">
        <v>167</v>
      </c>
      <c r="B195" s="67"/>
      <c r="C195" s="99" t="str">
        <f>IF(C151="","",C151)</f>
        <v/>
      </c>
      <c r="D195" s="70" t="s">
        <v>167</v>
      </c>
      <c r="E195" s="67"/>
      <c r="F195" s="99" t="str">
        <f>IF(F151="","",F151)</f>
        <v/>
      </c>
      <c r="J195" s="68"/>
      <c r="M195" s="57">
        <f>SUM(M190:M194)</f>
        <v>0</v>
      </c>
      <c r="N195" s="57">
        <f t="shared" ref="N195:P195" si="24">SUM(N190:N194)</f>
        <v>0</v>
      </c>
      <c r="O195" s="57">
        <f t="shared" si="24"/>
        <v>0</v>
      </c>
      <c r="P195" s="57">
        <f t="shared" si="24"/>
        <v>0</v>
      </c>
    </row>
    <row r="196" spans="1:16" s="52" customFormat="1" ht="13.5" customHeight="1" x14ac:dyDescent="0.2">
      <c r="A196" s="60" t="s">
        <v>155</v>
      </c>
    </row>
    <row r="197" spans="1:16" ht="14.25" customHeight="1" x14ac:dyDescent="0.2">
      <c r="A197" s="1147"/>
      <c r="B197" s="1149" t="s">
        <v>9</v>
      </c>
      <c r="C197" s="1150"/>
      <c r="D197" s="1150"/>
      <c r="E197" s="1150"/>
      <c r="F197" s="1150"/>
      <c r="G197" s="1151"/>
      <c r="H197" s="1152" t="s">
        <v>119</v>
      </c>
      <c r="I197" s="1153"/>
      <c r="J197" s="1153"/>
      <c r="K197" s="1153"/>
      <c r="L197" s="1153"/>
      <c r="M197" s="1153"/>
      <c r="N197" s="1195" t="s">
        <v>112</v>
      </c>
      <c r="O197" s="33"/>
      <c r="P197" s="1154" t="s">
        <v>0</v>
      </c>
    </row>
    <row r="198" spans="1:16" ht="14.25" customHeight="1" x14ac:dyDescent="0.2">
      <c r="A198" s="1148"/>
      <c r="B198" s="1157" t="s">
        <v>117</v>
      </c>
      <c r="C198" s="130" t="s">
        <v>115</v>
      </c>
      <c r="D198" s="1159" t="s">
        <v>277</v>
      </c>
      <c r="E198" s="1161" t="s">
        <v>147</v>
      </c>
      <c r="F198" s="134" t="s">
        <v>7</v>
      </c>
      <c r="G198" s="1162" t="s">
        <v>6</v>
      </c>
      <c r="H198" s="1161" t="s">
        <v>129</v>
      </c>
      <c r="I198" s="1161" t="s">
        <v>111</v>
      </c>
      <c r="J198" s="1161" t="s">
        <v>5</v>
      </c>
      <c r="K198" s="1161" t="s">
        <v>4</v>
      </c>
      <c r="L198" s="1161" t="s">
        <v>3</v>
      </c>
      <c r="M198" s="1161" t="s">
        <v>98</v>
      </c>
      <c r="N198" s="1196"/>
      <c r="O198" s="1160" t="s">
        <v>114</v>
      </c>
      <c r="P198" s="1155"/>
    </row>
    <row r="199" spans="1:16" ht="14.25" customHeight="1" x14ac:dyDescent="0.2">
      <c r="A199" s="1148"/>
      <c r="B199" s="1157"/>
      <c r="C199" s="21" t="str">
        <f>IF(C195="","",C195)</f>
        <v/>
      </c>
      <c r="D199" s="1160"/>
      <c r="E199" s="1161"/>
      <c r="F199" s="1165" t="str">
        <f>IF(H190=0,"","siehe Zuschläge / Zulagen")</f>
        <v/>
      </c>
      <c r="G199" s="1162"/>
      <c r="H199" s="1164" t="s">
        <v>127</v>
      </c>
      <c r="I199" s="1161"/>
      <c r="J199" s="1164"/>
      <c r="K199" s="1164"/>
      <c r="L199" s="1164"/>
      <c r="M199" s="1161"/>
      <c r="N199" s="1196"/>
      <c r="O199" s="1160"/>
      <c r="P199" s="1155"/>
    </row>
    <row r="200" spans="1:16" x14ac:dyDescent="0.2">
      <c r="A200" s="1148"/>
      <c r="B200" s="1157"/>
      <c r="C200" s="128" t="s">
        <v>70</v>
      </c>
      <c r="D200" s="1160"/>
      <c r="E200" s="1161"/>
      <c r="F200" s="1165"/>
      <c r="G200" s="1162"/>
      <c r="H200" s="43" t="s">
        <v>128</v>
      </c>
      <c r="I200" s="1161"/>
      <c r="J200" s="43" t="s">
        <v>255</v>
      </c>
      <c r="K200" s="43" t="s">
        <v>256</v>
      </c>
      <c r="L200" s="43" t="s">
        <v>257</v>
      </c>
      <c r="M200" s="1161"/>
      <c r="N200" s="1196"/>
      <c r="O200" s="1160"/>
      <c r="P200" s="1155"/>
    </row>
    <row r="201" spans="1:16" x14ac:dyDescent="0.2">
      <c r="A201" s="1148"/>
      <c r="B201" s="1158"/>
      <c r="C201" s="21" t="str">
        <f>IF(F195="","",F195)</f>
        <v/>
      </c>
      <c r="D201" s="51"/>
      <c r="E201" s="51"/>
      <c r="F201" s="1166"/>
      <c r="G201" s="1163"/>
      <c r="H201" s="93"/>
      <c r="I201" s="21"/>
      <c r="J201" s="139">
        <f>$J$25</f>
        <v>0</v>
      </c>
      <c r="K201" s="139">
        <f>$K$25</f>
        <v>0</v>
      </c>
      <c r="L201" s="44">
        <f>$L$25</f>
        <v>0</v>
      </c>
      <c r="M201" s="21"/>
      <c r="N201" s="21"/>
      <c r="O201" s="21">
        <f>O157</f>
        <v>0</v>
      </c>
      <c r="P201" s="1156"/>
    </row>
    <row r="202" spans="1:16" x14ac:dyDescent="0.2">
      <c r="A202" s="100" t="str">
        <f>$A$26</f>
        <v>Jan 2022</v>
      </c>
      <c r="B202" s="24">
        <f>ROUND(IF(N182=0,0,(LOOKUP(2,1/(A190:A193=A202),G190:G193))*N182*4.348*50%),2)</f>
        <v>0</v>
      </c>
      <c r="C202" s="23">
        <f>ROUND(IFERROR(((LOOKUP(2,1/(B195=A202),((SUM(B208:B210)+SUM(F208:F210))/3)*C195))),0)+IFERROR(((LOOKUP(2,1/(E195=A202),(B214+F214)*F195))),0),2)</f>
        <v>0</v>
      </c>
      <c r="D202" s="23">
        <f>ROUND(IF(B202=0,0,D201/L183*N182*50%),2)</f>
        <v>0</v>
      </c>
      <c r="E202" s="23">
        <f>ROUND(IF(B202=0,0,E201/N179*N182*50%),2)</f>
        <v>0</v>
      </c>
      <c r="F202" s="24">
        <f>ROUND(IF(N182=0,0,(LOOKUP(2,1/(A190:A193=A202),H190:H193))/N179*N182*50%),2)</f>
        <v>0</v>
      </c>
      <c r="G202" s="27">
        <f>SUM(B202+C202+E202+F202)</f>
        <v>0</v>
      </c>
      <c r="H202" s="76">
        <f>ROUND(IF((SUM(B202:F202))&gt;L217,L217*H201,SUM(B202:F202)*H201),2)</f>
        <v>0</v>
      </c>
      <c r="I202" s="76">
        <f>ROUND(IF((SUM(B202:F202)*80%)&gt;((L218*1)*90%),((((L218*1)*90%)-((SUM(B202:F202)-C202))*I201)+((SUM(B202:F202)-C202)*I201)*80%),((SUM(B202:F202)-C202)*I201)*80%),2)</f>
        <v>0</v>
      </c>
      <c r="J202" s="76">
        <f>ROUND(IF((SUM(B202:F202))&gt;L218,L218*J201,SUM(B202:F202)*J201),2)</f>
        <v>0</v>
      </c>
      <c r="K202" s="76">
        <f>ROUND(IF((SUM(B202:F202))&gt;L218,L218*K201,SUM(B202:F202)*K201),2)</f>
        <v>0</v>
      </c>
      <c r="L202" s="76">
        <f>ROUND(IF((SUM(B202:F202))&gt;L217,L217*L201,SUM(B202:F202)*L201),2)</f>
        <v>0</v>
      </c>
      <c r="M202" s="76">
        <f>ROUND(IF((SUM(B202:F202))&gt;L218,L218*M201,(SUM(B202:F202)-C202)*M201),2)</f>
        <v>0</v>
      </c>
      <c r="N202" s="23">
        <f>ROUND((B202+E202+F202)*N201,2)</f>
        <v>0</v>
      </c>
      <c r="O202" s="23">
        <f>ROUND(SUM(B202+C202+F202)*O201,2)</f>
        <v>0</v>
      </c>
      <c r="P202" s="27">
        <f>SUM(G202:O202)</f>
        <v>0</v>
      </c>
    </row>
    <row r="203" spans="1:16" x14ac:dyDescent="0.2">
      <c r="A203" s="100" t="str">
        <f>$A$27</f>
        <v>Feb 2022</v>
      </c>
      <c r="B203" s="24">
        <f>ROUND(IF(N183=0,0,IFERROR(((LOOKUP(2,1/(A190:A193=A203),G190:G193))*N183*4.348*50%),B202/N183*N183)),2)</f>
        <v>0</v>
      </c>
      <c r="C203" s="23">
        <f>ROUND(IFERROR(((LOOKUP(2,1/(B195=A203),((SUM(B208:B210)+SUM(F208:F210))/3)*C195))),0)+IFERROR(((LOOKUP(2,1/(E195=A203),(B214+F214)*F195))),0),2)</f>
        <v>0</v>
      </c>
      <c r="D203" s="23">
        <f>ROUND(IF(B203=0,0,D201/L183*N183*50%),2)</f>
        <v>0</v>
      </c>
      <c r="E203" s="23">
        <f>ROUND(IF(B203=0,0,E201/N179*N183*50%),2)</f>
        <v>0</v>
      </c>
      <c r="F203" s="24">
        <f>ROUND(IF(N183=0,0,IFERROR(((LOOKUP(2,1/(A190:A193=A203),H190:H193))/N179*N183),F202/N183*N183*50%)),2)</f>
        <v>0</v>
      </c>
      <c r="G203" s="27">
        <f t="shared" ref="G203:G213" si="25">SUM(B203+C203+E203+F203)</f>
        <v>0</v>
      </c>
      <c r="H203" s="76">
        <f>ROUND(IF(SUM(B202:F202)&lt;(L217*1),IF((SUM(B202:F203))&gt;(L217*2),(((L217*2)-(SUM(B202:F203)-C202))*H201)+((SUM(B203:F203)-C202)*H201),SUM(B203:F203)*H201),IF(SUM(B202:F203)&gt;(L217*2),L217*H201,SUM(B203:F203)*H201)),2)</f>
        <v>0</v>
      </c>
      <c r="I203" s="76">
        <f>ROUND(IF((SUM(B202:F203)*80%)&gt;((L218*2)*90%),((((L218*2)*90%)-((SUM(B202:F203)-C203))*I201)+((SUM(B203:F203)-C203)*I201)*80%),((SUM(B203:F203)-C203)*I201)*80%),2)</f>
        <v>0</v>
      </c>
      <c r="J203" s="76">
        <f>ROUND(IF(SUM(B202:F202)&lt;(L218*1),IF((SUM(B202:F203))&gt;(L218*2),(((L218*2)-(SUM(B202:F203)-C202))*J201)+((SUM(B203:F203)-C202)*J201),SUM(B203:F203)*J201),IF(SUM(B202:F203)&gt;(L218*2),L218*J201,SUM(B203:F203)*J201)),2)</f>
        <v>0</v>
      </c>
      <c r="K203" s="76">
        <f>ROUND(IF(SUM(B202:F202)&lt;(L218*1),IF((SUM(B202:F203))&gt;(L218*2),(((L218*2)-(SUM(B202:F203)-C202))*K201)+((SUM(B203:F203)-C202)*K201),SUM(B203:F203)*K201),IF(SUM(B202:F203)&gt;(L218*2),L218*K201,SUM(B203:F203)*K201)),2)</f>
        <v>0</v>
      </c>
      <c r="L203" s="76">
        <f>ROUND(IF(SUM(B202:F202)&lt;(L217*1),IF((SUM(B202:F203))&gt;(L217*2),(((L217*2)-(SUM(B202:F203)-C202))*L201)+((SUM(B203:F203)-C202)*L201),SUM(B203:F203)*L201),IF(SUM(B202:F203)&gt;(L217*2),L217*L201,SUM(B203:F203)*L201)),2)</f>
        <v>0</v>
      </c>
      <c r="M203" s="76">
        <f>ROUND(IF(SUM(B202:F202)&lt;(L218*1),IF((SUM(B202:F203))&gt;(L218*2),(((L218*2)-(SUM(B202:F203)-C203))*M201)+((SUM(B203:F203)-C203)*M201),(SUM(B203:F203)-C203)*M201),IF(SUM(B202:F203)&gt;(L218*2),L218*M201,SUM(B203:F203)*M201)),2)</f>
        <v>0</v>
      </c>
      <c r="N203" s="23">
        <f>ROUND((B203+E203+F203)*N201,2)</f>
        <v>0</v>
      </c>
      <c r="O203" s="23">
        <f>ROUND(SUM(B203+C203+F203)*O201,2)</f>
        <v>0</v>
      </c>
      <c r="P203" s="27">
        <f t="shared" ref="P203:P212" si="26">SUM(G203:O203)</f>
        <v>0</v>
      </c>
    </row>
    <row r="204" spans="1:16" x14ac:dyDescent="0.2">
      <c r="A204" s="100" t="str">
        <f>$A$28</f>
        <v>Mrz 2022</v>
      </c>
      <c r="B204" s="24">
        <f>ROUND(IF(N184=0,0,IFERROR(((LOOKUP(2,1/(A190:A193=A204),G190:G193))*N184*4.348*50%),B203/N184*N184)),2)</f>
        <v>0</v>
      </c>
      <c r="C204" s="23">
        <f>ROUND(IFERROR(((LOOKUP(2,1/(B195=A204),((SUM(B208:B210)+SUM(F208:F210))/3)*C195))),0)+IFERROR(((LOOKUP(2,1/(E195=A204),(B214+F214)*F195))),0),2)</f>
        <v>0</v>
      </c>
      <c r="D204" s="23">
        <f>ROUND(IF(B204=0,0,D201/L183*N184*50%),2)</f>
        <v>0</v>
      </c>
      <c r="E204" s="23">
        <f>ROUND(IF(B204=0,0,E201/N179*N184*50%),2)</f>
        <v>0</v>
      </c>
      <c r="F204" s="24">
        <f>ROUND(IF(N184=0,0,IFERROR(((LOOKUP(2,1/(A190:A193=A204),H190:H193))/N179*N184),F203/N184*N184*50%)),2)</f>
        <v>0</v>
      </c>
      <c r="G204" s="27">
        <f t="shared" si="25"/>
        <v>0</v>
      </c>
      <c r="H204" s="76">
        <f>ROUND(IF(SUM(B202:F203)&lt;(L217*2),IF((SUM(B202:F204))&gt;(L217*3),(((L217*3)-(SUM(B202:F204)-C203))*H201)+((SUM(B204:F204)-C203)*H201),SUM(B204:F204)*H201),IF(SUM(B202:F204)&gt;(L217*3),L217*H201,SUM(B204:F204)*H201)),2)</f>
        <v>0</v>
      </c>
      <c r="I204" s="76">
        <f>ROUND(IF((SUM(B202:F204)*80%)&gt;((L218*3)*90%),((((L218*3)*90%)-((SUM(B202:F204)-C204))*I201)+((SUM(B204:F204)-C204)*I201)*80%),((SUM(B204:F204)-C204)*I201)*80%),2)</f>
        <v>0</v>
      </c>
      <c r="J204" s="76">
        <f>ROUND(IF(SUM(B202:F203)&lt;(L218*2),IF((SUM(B202:F204))&gt;(L218*3),(((L218*3)-(SUM(B202:F204)-C203))*J201)+((SUM(B204:F204)-C203)*J201),SUM(B204:F204)*J201),IF(SUM(B202:F204)&gt;(L218*3),L218*J201,SUM(B204:F204)*J201)),2)</f>
        <v>0</v>
      </c>
      <c r="K204" s="76">
        <f>ROUND(IF(SUM(B202:F203)&lt;(L218*2),IF((SUM(B202:F204))&gt;(L218*3),(((L218*3)-(SUM(B202:F204)-C203))*K201)+((SUM(B204:F204)-C203)*K201),SUM(B204:F204)*K201),IF(SUM(B202:F204)&gt;(L218*3),L218*K201,SUM(B204:F204)*K201)),2)</f>
        <v>0</v>
      </c>
      <c r="L204" s="76">
        <f>ROUND(IF(SUM(B202:F203)&lt;(L217*2),IF((SUM(B202:F204))&gt;(L217*3),(((L217*3)-(SUM(B202:F204)-C203))*L201)+((SUM(B204:F204)-C203)*L201),SUM(B204:F204)*L201),IF(SUM(B202:F204)&gt;(L217*3),L217*L201,SUM(B204:F204)*L201)),2)</f>
        <v>0</v>
      </c>
      <c r="M204" s="76">
        <f>ROUND(IF(SUM(B202:F203)&lt;(L218*2),IF((SUM(B202:F204))&gt;(L218*3),(((L218*3)-(SUM(B202:F204)-C204))*M201)+((SUM(B204:F204)-C204)*M201),(SUM(B204:F204)-C204)*M201),IF(SUM(B202:F204)&gt;(L218*3),L218*M201,SUM(B204:F204)*M201)),2)</f>
        <v>0</v>
      </c>
      <c r="N204" s="23">
        <f>ROUND((B204+E204+F204)*N201,2)</f>
        <v>0</v>
      </c>
      <c r="O204" s="23">
        <f>ROUND(SUM(B204+C204+F204)*O201,2)</f>
        <v>0</v>
      </c>
      <c r="P204" s="27">
        <f t="shared" si="26"/>
        <v>0</v>
      </c>
    </row>
    <row r="205" spans="1:16" ht="14.25" customHeight="1" x14ac:dyDescent="0.2">
      <c r="A205" s="100" t="str">
        <f>$A$29</f>
        <v>Apr 2022</v>
      </c>
      <c r="B205" s="24">
        <f>ROUND(IF(N185=0,0,IFERROR(((LOOKUP(2,1/(A190:A193=A205),G190:G193))*N185*4.348*50%),B204/N185*N185)),2)</f>
        <v>0</v>
      </c>
      <c r="C205" s="23">
        <f>ROUND(IFERROR(((LOOKUP(2,1/(B195=A205),((SUM(B208:B210)+SUM(F208:F210))/3)*C195))),0)+IFERROR(((LOOKUP(2,1/(E195=A205),(B214+F214)*F195))),0),2)</f>
        <v>0</v>
      </c>
      <c r="D205" s="23">
        <f>ROUND(IF(B205=0,0,D201/L183*N185*50%),2)</f>
        <v>0</v>
      </c>
      <c r="E205" s="23">
        <f>ROUND(IF(B205=0,0,E201/N179*N185*50%),2)</f>
        <v>0</v>
      </c>
      <c r="F205" s="24">
        <f>ROUND(IF(N185=0,0,IFERROR(((LOOKUP(2,1/(A190:A193=A205),H190:H193))/N179*N185),F204/N185*N185*50%)),2)</f>
        <v>0</v>
      </c>
      <c r="G205" s="27">
        <f t="shared" si="25"/>
        <v>0</v>
      </c>
      <c r="H205" s="76">
        <f>ROUND(IF(SUM(B202:F204)&lt;(L217*3),IF((SUM(B202:F205))&gt;(L217*4),(((L217*4)-(SUM(B202:F205)-C204))*H201)+((SUM(B205:F205)-C204)*H201),SUM(B205:F205)*H201),IF(SUM(B202:F205)&gt;(L217*4),L217*H201,SUM(B205:F205)*H201)),2)</f>
        <v>0</v>
      </c>
      <c r="I205" s="76">
        <f>ROUND(IF((SUM(B202:F205)*80%)&gt;((L218*4)*90%),((((L218*4)*90%)-((SUM(B202:F205)-C205))*I201)+((SUM(B205:F205)-C205)*I201)*80%),((SUM(B205:F205)-C205)*I201)*80%),2)</f>
        <v>0</v>
      </c>
      <c r="J205" s="76">
        <f>ROUND(IF(SUM(B202:F204)&lt;(L218*3),IF((SUM(B202:F205))&gt;(L218*4),(((L218*4)-(SUM(B202:F205)-C204))*J201)+((SUM(B205:F205)-C204)*J201),SUM(B205:F205)*J201),IF(SUM(B202:F205)&gt;(L218*4),L218*J201,SUM(B205:F205)*J201)),2)</f>
        <v>0</v>
      </c>
      <c r="K205" s="76">
        <f>ROUND(IF(SUM(B202:F204)&lt;(L218*3),IF((SUM(B202:F205))&gt;(L218*4),(((L218*4)-(SUM(B202:F205)-C204))*K201)+((SUM(B205:F205)-C204)*K201),SUM(B205:F205)*K201),IF(SUM(B202:F205)&gt;(L218*4),L218*K201,SUM(B205:F205)*K201)),2)</f>
        <v>0</v>
      </c>
      <c r="L205" s="76">
        <f>ROUND(IF(SUM(B202:F204)&lt;(L217*3),IF((SUM(B202:F205))&gt;(L217*4),(((L217*4)-(SUM(B202:F205)-C204))*L201)+((SUM(B205:F205)-C204)*L201),SUM(B205:F205)*L201),IF(SUM(B202:F205)&gt;(L217*4),L217*L201,SUM(B205:F205)*L201)),2)</f>
        <v>0</v>
      </c>
      <c r="M205" s="76">
        <f>ROUND(IF(SUM(B202:F204)&lt;(L218*3),IF((SUM(B202:F205))&gt;(L218*4),(((L218*4)-(SUM(B202:F205)-C205))*M201)+((SUM(B205:F205)-C205)*M201),(SUM(B205:F205)-C205)*M201),IF(SUM(B202:F205)&gt;(L218*4),L218*M201,SUM(B205:F205)*M201)),2)</f>
        <v>0</v>
      </c>
      <c r="N205" s="23">
        <f>ROUND((B205+E205+F205)*N201,2)</f>
        <v>0</v>
      </c>
      <c r="O205" s="23">
        <f>ROUND(SUM(B205+C205+F205)*O201,2)</f>
        <v>0</v>
      </c>
      <c r="P205" s="27">
        <f t="shared" si="26"/>
        <v>0</v>
      </c>
    </row>
    <row r="206" spans="1:16" x14ac:dyDescent="0.2">
      <c r="A206" s="100" t="str">
        <f>$A$30</f>
        <v>Mai 2022</v>
      </c>
      <c r="B206" s="24">
        <f>ROUND(IF(N186=0,0,IFERROR(((LOOKUP(2,1/(A190:A193=A206),G190:G193))*N186*4.348*50%),B205/N186*N186)),2)</f>
        <v>0</v>
      </c>
      <c r="C206" s="23">
        <f>ROUND(IFERROR(((LOOKUP(2,1/(B195=A206),((SUM(B208:B210)+SUM(F208:F210))/3)*C195))),0)+IFERROR(((LOOKUP(2,1/(E195=A206),(B214+F214)*F195))),0),2)</f>
        <v>0</v>
      </c>
      <c r="D206" s="23">
        <f>ROUND(IF(B206=0,0,D201/L183*N186*50%),2)</f>
        <v>0</v>
      </c>
      <c r="E206" s="23">
        <f>ROUND(IF(B206=0,0,E201/N179*N186*50%),2)</f>
        <v>0</v>
      </c>
      <c r="F206" s="24">
        <f>ROUND(IF(N186=0,0,IFERROR(((LOOKUP(2,1/(A190:A193=A206),H190:H193))/N179*N186),F205/N186*N186*50%)),2)</f>
        <v>0</v>
      </c>
      <c r="G206" s="27">
        <f t="shared" si="25"/>
        <v>0</v>
      </c>
      <c r="H206" s="76">
        <f>ROUND(IF(SUM(B202:F205)&lt;(L217*4),IF((SUM(B202:F206))&gt;(L217*5),(((L217*5)-(SUM(B202:F206)-C205))*H201)+((SUM(B206:F206)-C205)*H201),SUM(B206:F206)*H201),IF(SUM(B202:F206)&gt;(L217*5),L217*H201,SUM(B206:F206)*H201)),2)</f>
        <v>0</v>
      </c>
      <c r="I206" s="76">
        <f>ROUND(IF((SUM(B202:F206)*80%)&gt;((L218*5)*90%),((((L218*5)*90%)-((SUM(B202:F206)-C206))*I201)+((SUM(B206:F206)-C206)*I201)*80%),((SUM(B206:F206)-C206)*I201)*80%),2)</f>
        <v>0</v>
      </c>
      <c r="J206" s="76">
        <f>ROUND(IF(SUM(B202:F205)&lt;(L218*4),IF((SUM(B202:F206))&gt;(L218*5),(((L218*5)-(SUM(B202:F206)-C205))*J201)+((SUM(B206:F206)-C205)*J201),SUM(B206:F206)*J201),IF(SUM(B202:F206)&gt;(L218*5),L218*J201,SUM(B206:F206)*J201)),2)</f>
        <v>0</v>
      </c>
      <c r="K206" s="76">
        <f>ROUND(IF(SUM(B202:F205)&lt;(L218*4),IF((SUM(B202:F206))&gt;(L218*5),(((L218*5)-(SUM(B202:F206)-C205))*K201)+((SUM(B206:F206)-C205)*K201),SUM(B206:F206)*K201),IF(SUM(B202:F206)&gt;(L218*5),L218*K201,SUM(B206:F206)*K201)),2)</f>
        <v>0</v>
      </c>
      <c r="L206" s="76">
        <f>ROUND(IF(SUM(B202:F205)&lt;(L217*4),IF((SUM(B202:F206))&gt;(L217*5),(((L217*5)-(SUM(B202:F206)-C205))*L201)+((SUM(B206:F206)-C205)*L201),SUM(B206:F206)*L201),IF(SUM(B202:F206)&gt;(L217*5),L217*L201,SUM(B206:F206)*L201)),2)</f>
        <v>0</v>
      </c>
      <c r="M206" s="76">
        <f>ROUND(IF(SUM(B202:F205)&lt;(L218*4),IF((SUM(B202:F206))&gt;(L218*5),(((L218*5)-(SUM(B202:F206)-C206))*M201)+((SUM(B206:F206)-C206)*M201),(SUM(B206:F206)-C206)*M201),IF(SUM(B202:F206)&gt;(L218*5),L218*M201,SUM(B206:F206)*M201)),2)</f>
        <v>0</v>
      </c>
      <c r="N206" s="23">
        <f>ROUND((B206+E206+F206)*N201,2)</f>
        <v>0</v>
      </c>
      <c r="O206" s="23">
        <f>ROUND(SUM(B206+C206+F206)*O201,2)</f>
        <v>0</v>
      </c>
      <c r="P206" s="27">
        <f t="shared" si="26"/>
        <v>0</v>
      </c>
    </row>
    <row r="207" spans="1:16" x14ac:dyDescent="0.2">
      <c r="A207" s="100" t="str">
        <f>$A$31</f>
        <v>Jun 2022</v>
      </c>
      <c r="B207" s="24">
        <f>ROUND(IF(N187=0,0,IFERROR(((LOOKUP(2,1/(A190:A193=A207),G190:G193))*N187*4.348*50%),B206/N187*N187)),2)</f>
        <v>0</v>
      </c>
      <c r="C207" s="23">
        <f>ROUND(IFERROR(((LOOKUP(2,1/(B195=A207),((SUM(B208:B210)+SUM(F208:F210))/3)*C195))),0)+IFERROR(((LOOKUP(2,1/(E195=A207),(B214+F214)*F195))),0),2)</f>
        <v>0</v>
      </c>
      <c r="D207" s="23">
        <f>ROUND(IF(B207=0,0,D201/L183*N187*50%),2)</f>
        <v>0</v>
      </c>
      <c r="E207" s="23">
        <f>ROUND(IF(B207=0,0,E201/N179*N187*50%),2)</f>
        <v>0</v>
      </c>
      <c r="F207" s="24">
        <f>ROUND(IF(N187=0,0,IFERROR(((LOOKUP(2,1/(A190:A193=A207),H190:H193))/N179*N187),F206/N187*N187*50%)),2)</f>
        <v>0</v>
      </c>
      <c r="G207" s="27">
        <f t="shared" si="25"/>
        <v>0</v>
      </c>
      <c r="H207" s="76">
        <f>ROUND(IF(SUM(B202:F206)&lt;(L217*5),IF((SUM(B202:F207))&gt;(L217*6),(((L217*6)-(SUM(B202:F207)-C206))*H201)+((SUM(B207:F207)-C206)*H201),SUM(B207:F207)*H201),IF(SUM(B202:F207)&gt;(L217*6),L217*H201,SUM(B207:F207)*H201)),2)</f>
        <v>0</v>
      </c>
      <c r="I207" s="76">
        <f>ROUND(IF((SUM(B202:F207)*80%)&gt;((L218*6)*90%),((((L218*6)*90%)-((SUM(B202:F207)-C207))*I201)+((SUM(B207:F207)-C207)*I201)*80%),((SUM(B207:F207)-C207)*I201)*80%),2)</f>
        <v>0</v>
      </c>
      <c r="J207" s="76">
        <f>ROUND(IF(SUM(B202:F206)&lt;(L218*5),IF((SUM(B202:F207))&gt;(L218*6),(((L218*6)-(SUM(B202:F207)-C206))*J201)+((SUM(B207:F207)-C206)*J201),SUM(B207:F207)*J201),IF(SUM(B202:F207)&gt;(L218*6),L218*J201,SUM(B207:F207)*J201)),2)</f>
        <v>0</v>
      </c>
      <c r="K207" s="76">
        <f>ROUND(IF(SUM(B202:F206)&lt;(L218*5),IF((SUM(B202:F207))&gt;(L218*6),(((L218*6)-(SUM(B202:F207)-C206))*K201)+((SUM(B207:F207)-C206)*K201),SUM(B207:F207)*K201),IF(SUM(B202:F207)&gt;(L218*6),L218*K201,SUM(B207:F207)*K201)),2)</f>
        <v>0</v>
      </c>
      <c r="L207" s="76">
        <f>ROUND(IF(SUM(B202:F206)&lt;(L217*5),IF((SUM(B202:F207))&gt;(L217*6),(((L217*6)-(SUM(B202:F207)-C206))*L201)+((SUM(B207:F207)-C206)*L201),SUM(B207:F207)*L201),IF(SUM(B202:F207)&gt;(L217*6),L217*L201,SUM(B207:F207)*L201)),2)</f>
        <v>0</v>
      </c>
      <c r="M207" s="76">
        <f>ROUND(IF(SUM(B202:F206)&lt;(L218*5),IF((SUM(B202:F207))&gt;(L218*6),(((L218*6)-(SUM(B202:F207)-C207))*M201)+((SUM(B207:F207)-C207)*M201),(SUM(B207:F207)-C207)*M201),IF(SUM(B202:F207)&gt;(L218*6),L218*M201,SUM(B207:F207)*M201)),2)</f>
        <v>0</v>
      </c>
      <c r="N207" s="23">
        <f>ROUND((B207+E207+F207)*N201,2)</f>
        <v>0</v>
      </c>
      <c r="O207" s="23">
        <f>ROUND(SUM(B207+C207+F207)*O201,2)</f>
        <v>0</v>
      </c>
      <c r="P207" s="27">
        <f t="shared" si="26"/>
        <v>0</v>
      </c>
    </row>
    <row r="208" spans="1:16" x14ac:dyDescent="0.2">
      <c r="A208" s="100" t="str">
        <f>$A$32</f>
        <v>Jul 2022</v>
      </c>
      <c r="B208" s="24">
        <f>ROUND(IF(P182=0,0,IFERROR(((LOOKUP(2,1/(A190:A193=A208),G190:G193))*P182*4.348*50%),B207/P182*P182)),2)</f>
        <v>0</v>
      </c>
      <c r="C208" s="23">
        <f>ROUND(IFERROR(((LOOKUP(2,1/(B195=A208),((SUM(B208:B210)+SUM(F208:F210))/3)*C195))),0)+IFERROR(((LOOKUP(2,1/(E195=A208),(B214+F214)*F195))),0),2)</f>
        <v>0</v>
      </c>
      <c r="D208" s="23">
        <f>ROUND(IF(B208=0,0,D201/L183*P182*50%),2)</f>
        <v>0</v>
      </c>
      <c r="E208" s="23">
        <f>ROUND(IF(B208=0,0,E201/N179*P182*50%),2)</f>
        <v>0</v>
      </c>
      <c r="F208" s="24">
        <f>ROUND(IF(P182=0,0,IFERROR(((LOOKUP(2,1/(A190:A193=A208),H190:H193))/N179*P182),F207/P182*P182*50%)),2)</f>
        <v>0</v>
      </c>
      <c r="G208" s="27">
        <f t="shared" si="25"/>
        <v>0</v>
      </c>
      <c r="H208" s="76">
        <f>ROUND(IF(SUM(B202:F207)&lt;(L217*6),IF((SUM(B202:F208))&gt;(L217*7),(((L217*7)-(SUM(B202:F208)-C207))*H201)+((SUM(B208:F208)-C207)*H201),SUM(B208:F208)*H201),IF(SUM(B202:F208)&gt;(L217*7),L217*H201,SUM(B208:F208)*H201)),2)</f>
        <v>0</v>
      </c>
      <c r="I208" s="76">
        <f>ROUND(IF((SUM(B202:F208)*80%)&gt;((L218*7)*90%),((((L218*7)*90%)-((SUM(B202:F208)-C208))*I201)+((SUM(B208:F208)-C208)*I201)*80%),((SUM(B208:F208)-C208)*I201)*80%),2)</f>
        <v>0</v>
      </c>
      <c r="J208" s="76">
        <f>ROUND(IF(SUM(B202:F207)&lt;(L218*6),IF((SUM(B202:F208))&gt;(L218*7),(((L218*7)-(SUM(B202:F208)-C207))*J201)+((SUM(B208:F208)-C207)*J201),SUM(B208:F208)*J201),IF(SUM(B202:F208)&gt;(L218*7),L218*J201,SUM(B208:F208)*J201)),2)</f>
        <v>0</v>
      </c>
      <c r="K208" s="76">
        <f>ROUND(IF(SUM(B202:F207)&lt;(L218*6),IF((SUM(B202:F208))&gt;(L218*7),(((L218*7)-(SUM(B202:F208)-C207))*K201)+((SUM(B208:F208)-C207)*K201),SUM(B208:F208)*K201),IF(SUM(B202:F208)&gt;(L218*7),L218*K201,SUM(B208:F208)*K201)),2)</f>
        <v>0</v>
      </c>
      <c r="L208" s="76">
        <f>ROUND(IF(SUM(B202:F207)&lt;(L217*6),IF((SUM(B202:F208))&gt;(L217*7),(((L217*7)-(SUM(B202:F208)-C207))*L201)+((SUM(B208:F208)-C207)*L201),SUM(B208:F208)*L201),IF(SUM(B202:F208)&gt;(L217*7),L217*L201,SUM(B208:F208)*L201)),2)</f>
        <v>0</v>
      </c>
      <c r="M208" s="76">
        <f>ROUND(IF(SUM(B202:F207)&lt;(L218*6),IF((SUM(B202:F208))&gt;(L218*7),(((L218*7)-(SUM(B202:F208)-C208))*M201)+((SUM(B208:F208)-C208)*M201),(SUM(B208:F208)-C208)*M201),IF(SUM(B202:F208)&gt;(L218*7),L218*M201,SUM(B208:F208)*M201)),2)</f>
        <v>0</v>
      </c>
      <c r="N208" s="23">
        <f>ROUND((B208+E208+F208)*N201,2)</f>
        <v>0</v>
      </c>
      <c r="O208" s="23">
        <f>ROUND(SUM(B208+C208+F208)*O201,2)</f>
        <v>0</v>
      </c>
      <c r="P208" s="27">
        <f t="shared" si="26"/>
        <v>0</v>
      </c>
    </row>
    <row r="209" spans="1:16" x14ac:dyDescent="0.2">
      <c r="A209" s="100" t="str">
        <f>$A$33</f>
        <v>Aug 2022</v>
      </c>
      <c r="B209" s="24">
        <f>ROUND(IF(P183=0,0,IFERROR(((LOOKUP(2,1/(A190:A193=A209),G190:G193))*P183*4.348*50%),B208/P183*P183)),2)</f>
        <v>0</v>
      </c>
      <c r="C209" s="23">
        <f>ROUND(IFERROR(((LOOKUP(2,1/(B195=A209),((SUM(B208:B210)+SUM(F208:F210))/3)*C195))),0)+IFERROR(((LOOKUP(2,1/(E195=A209),(B214+F214)*F195))),0),2)</f>
        <v>0</v>
      </c>
      <c r="D209" s="23">
        <f>ROUND(IF(B209=0,0,D201/L183*P183*50%),2)</f>
        <v>0</v>
      </c>
      <c r="E209" s="23">
        <f>ROUND(IF(B209=0,0,E201/N179*P183*50%),2)</f>
        <v>0</v>
      </c>
      <c r="F209" s="24">
        <f>ROUND(IF(P183=0,0,IFERROR(((LOOKUP(2,1/(A190:A193=A209),H190:H193))/N179*P183),F208/P183*P183*50%)),2)</f>
        <v>0</v>
      </c>
      <c r="G209" s="27">
        <f t="shared" si="25"/>
        <v>0</v>
      </c>
      <c r="H209" s="76">
        <f>ROUND(IF(SUM(B202:F208)&lt;(L217*7),IF((SUM(B202:F209))&gt;(L217*8),(((L217*8)-(SUM(B202:F209)-C208))*H201)+((SUM(B209:F209)-C208)*H201),SUM(B209:F209)*H201),IF(SUM(B202:F209)&gt;(L217*8),L217*H201,SUM(B209:F209)*H201)),2)</f>
        <v>0</v>
      </c>
      <c r="I209" s="76">
        <f>ROUND(IF((SUM(B202:F209)*80%)&gt;((L218*8)*90%),((((L218*8)*90%)-((SUM(B202:F209)-C209))*I201)+((SUM(B209:F209)-C209)*I201)*80%),((SUM(B209:F209)-C209)*I201)*80%),2)</f>
        <v>0</v>
      </c>
      <c r="J209" s="76">
        <f>ROUND(IF(SUM(B202:F208)&lt;(L218*7),IF((SUM(B202:F209))&gt;(L218*8),(((L218*8)-(SUM(B202:F209)-C208))*J201)+((SUM(B209:F209)-C208)*J201),SUM(B209:F209)*J201),IF(SUM(B202:F209)&gt;(L218*8),L218*J201,SUM(B209:F209)*J201)),2)</f>
        <v>0</v>
      </c>
      <c r="K209" s="76">
        <f>ROUND(IF(SUM(B202:F208)&lt;(L218*7),IF((SUM(B202:F209))&gt;(L218*8),(((L218*8)-(SUM(B202:F209)-C208))*K201)+((SUM(B209:F209)-C208)*K201),SUM(B209:F209)*K201),IF(SUM(B202:F209)&gt;(L218*8),L218*K201,SUM(B209:F209)*K201)),2)</f>
        <v>0</v>
      </c>
      <c r="L209" s="76">
        <f>ROUND(IF(SUM(B202:F208)&lt;(L217*7),IF((SUM(B202:F209))&gt;(L217*8),(((L217*8)-(SUM(B202:F209)-C208))*L201)+((SUM(B209:F209)-C208)*L201),SUM(B209:F209)*L201),IF(SUM(B202:F209)&gt;(L217*8),L217*L201,SUM(B209:F209)*L201)),2)</f>
        <v>0</v>
      </c>
      <c r="M209" s="76">
        <f>ROUND(IF(SUM(B202:F208)&lt;(L218*7),IF((SUM(B202:F209))&gt;(L218*8),(((L218*8)-(SUM(B202:F209)-C209))*M201)+((SUM(B209:F209)-C209)*M201),(SUM(B209:F209)-C209)*M201),IF(SUM(B202:F209)&gt;(L218*8),L218*M201,SUM(B209:F209)*M201)),2)</f>
        <v>0</v>
      </c>
      <c r="N209" s="23">
        <f>ROUND((B209+E209+F209)*N201,2)</f>
        <v>0</v>
      </c>
      <c r="O209" s="23">
        <f>ROUND(SUM(B209+C209+F209)*O201,2)</f>
        <v>0</v>
      </c>
      <c r="P209" s="27">
        <f t="shared" si="26"/>
        <v>0</v>
      </c>
    </row>
    <row r="210" spans="1:16" x14ac:dyDescent="0.2">
      <c r="A210" s="100" t="str">
        <f>$A$34</f>
        <v>Sep 2022</v>
      </c>
      <c r="B210" s="24">
        <f>ROUND(IF(P184=0,0,IFERROR(((LOOKUP(2,1/(A190:A193=A210),G190:G193))*P184*4.348*50%),B209/P184*P184)),2)</f>
        <v>0</v>
      </c>
      <c r="C210" s="23">
        <f>ROUND(IFERROR(((LOOKUP(2,1/(B195=A210),((SUM(B208:B210)+SUM(F208:F210))/3)*C195))),0)+IFERROR(((LOOKUP(2,1/(E195=A210),(B214+F214)*F195))),0),2)</f>
        <v>0</v>
      </c>
      <c r="D210" s="23">
        <f>ROUND(IF(B210=0,0,D201/L183*P184*50%),2)</f>
        <v>0</v>
      </c>
      <c r="E210" s="23">
        <f>ROUND(IF(B210=0,0,E201/N179*P184*50),2)</f>
        <v>0</v>
      </c>
      <c r="F210" s="24">
        <f>ROUND(IF(P184=0,0,IFERROR(((LOOKUP(2,1/(A190:A193=A210),H190:H193))/N179*P184),F209/P184*P184*50%)),2)</f>
        <v>0</v>
      </c>
      <c r="G210" s="27">
        <f t="shared" si="25"/>
        <v>0</v>
      </c>
      <c r="H210" s="76">
        <f>ROUND(IF(SUM(B202:F209)&lt;(L217*8),IF((SUM(B202:F210))&gt;(L217*9),(((L217*9)-(SUM(B202:F210)-C209))*H201)+((SUM(B210:F210)-C209)*H201),SUM(B210:F210)*H201),IF(SUM(B202:F210)&gt;(L217*9),L217*H201,SUM(B210:F210)*H201)),2)</f>
        <v>0</v>
      </c>
      <c r="I210" s="76">
        <f>ROUND(IF((SUM(B202:F210)*80%)&gt;((L218*9)*90%),((((L218*9)*90%)-((SUM(B202:F210)-C210))*I201)+((SUM(B210:F210)-C210)*I201)*80%),((SUM(B210:F210)-C210)*I201)*80%),2)</f>
        <v>0</v>
      </c>
      <c r="J210" s="76">
        <f>ROUND(IF(SUM(B202:F209)&lt;(L218*8),IF((SUM(B202:F210))&gt;(L218*9),(((L218*9)-(SUM(B202:F210)-C209))*J201)+((SUM(B210:F210)-C209)*J201),SUM(B210:F210)*J201),IF(SUM(B202:F210)&gt;(L218*9),L218*J201,SUM(B210:F210)*J201)),2)</f>
        <v>0</v>
      </c>
      <c r="K210" s="76">
        <f>ROUND(IF(SUM(B202:F209)&lt;(L218*8),IF((SUM(B202:F210))&gt;(L218*9),(((L218*9)-(SUM(B202:F210)-C209))*K201)+((SUM(B210:F210)-C209)*K201),SUM(B210:F210)*K201),IF(SUM(B202:F210)&gt;(L218*9),L218*K201,SUM(B210:F210)*K201)),2)</f>
        <v>0</v>
      </c>
      <c r="L210" s="76">
        <f>ROUND(IF(SUM(B202:F209)&lt;(L217*8),IF((SUM(B202:F210))&gt;(L217*9),(((L217*9)-(SUM(B202:F210)-C209))*L201)+((SUM(B210:F210)-C209)*L201),SUM(B210:F210)*L201),IF(SUM(B202:F210)&gt;(L217*9),L217*L201,SUM(B210:F210)*L201)),2)</f>
        <v>0</v>
      </c>
      <c r="M210" s="76">
        <f>ROUND(IF(SUM(B202:F209)&lt;(L218*8),IF((SUM(B202:F210))&gt;(L218*9),(((L218*9)-(SUM(B202:F210)-C210))*M201)+((SUM(B210:F210)-C210)*M201),(SUM(B210:F210)-C210)*M201),IF(SUM(B202:F210)&gt;(L218*9),L218*M201,SUM(B210:F210)*M201)),2)</f>
        <v>0</v>
      </c>
      <c r="N210" s="23">
        <f>ROUND((B210+E210+F210)*N201,2)</f>
        <v>0</v>
      </c>
      <c r="O210" s="23">
        <f>ROUND(SUM(B210+C210+F210)*O201,2)</f>
        <v>0</v>
      </c>
      <c r="P210" s="27">
        <f t="shared" si="26"/>
        <v>0</v>
      </c>
    </row>
    <row r="211" spans="1:16" x14ac:dyDescent="0.2">
      <c r="A211" s="100" t="str">
        <f>$A$35</f>
        <v>Okt 2022</v>
      </c>
      <c r="B211" s="24">
        <f>ROUND(IF(P185=0,0,IFERROR(((LOOKUP(2,1/(A190:A193=A211),G190:G193))*P185*4.348*50%),B210/P185*P185)),2)</f>
        <v>0</v>
      </c>
      <c r="C211" s="23">
        <f>ROUND(IFERROR(((LOOKUP(2,1/(B195=A211),((SUM(B208:B210)+SUM(F208:F210))/3)*C195))),0)+IFERROR(((LOOKUP(2,1/(E195=A211),(B214+F214)*F195))),0),2)</f>
        <v>0</v>
      </c>
      <c r="D211" s="23">
        <f>ROUND(IF(B211=0,0,D201/L183*P185*50%),2)</f>
        <v>0</v>
      </c>
      <c r="E211" s="23">
        <f>ROUND(IF(B211=0,0,E201/N179*P185*50%),2)</f>
        <v>0</v>
      </c>
      <c r="F211" s="24">
        <f>ROUND(IF(P185=0,0,IFERROR(((LOOKUP(2,1/(A190:A193=A211),H190:H193))/N179*P185),F210/P185*P185*50%)),2)</f>
        <v>0</v>
      </c>
      <c r="G211" s="27">
        <f t="shared" si="25"/>
        <v>0</v>
      </c>
      <c r="H211" s="76">
        <f>ROUND(IF(SUM(B202:F210)&lt;(L217*9),IF((SUM(B202:F211))&gt;(L217*10),(((L217*10)-(SUM(B202:F211)-C210))*H201)+((SUM(B211:F211)-C210)*H201),SUM(B211:F211)*H201),IF(SUM(B202:F211)&gt;(L217*10),L217*H201,SUM(B211:F211)*H201)),2)</f>
        <v>0</v>
      </c>
      <c r="I211" s="76">
        <f>ROUND(IF((SUM(B202:F211)*80%)&gt;((L218*10)*90%),((((L218*10)*90%)-((SUM(B202:F211)-C211))*I201)+((SUM(B211:F211)-C211)*I201)*80%),((SUM(B211:F211)-C211)*I201)*80%),2)</f>
        <v>0</v>
      </c>
      <c r="J211" s="76">
        <f>ROUND(IF(SUM(B202:F210)&lt;(L218*9),IF((SUM(B202:F211))&gt;(L218*10),(((L218*10)-(SUM(B202:F211)-C210))*J201)+((SUM(B211:F211)-C210)*J201),SUM(B211:F211)*J201),IF(SUM(B202:F211)&gt;(L218*10),L218*J201,SUM(B211:F211)*J201)),2)</f>
        <v>0</v>
      </c>
      <c r="K211" s="76">
        <f>ROUND(IF(SUM(B202:F210)&lt;(L218*9),IF((SUM(B202:F211))&gt;(L218*10),(((L218*10)-(SUM(B202:F211)-C210))*K201)+((SUM(B211:F211)-C210)*K201),SUM(B211:F211)*K201),IF(SUM(B202:F211)&gt;(L218*10),L218*K201,SUM(B211:F211)*K201)),2)</f>
        <v>0</v>
      </c>
      <c r="L211" s="76">
        <f>ROUND(IF(SUM(B202:F210)&lt;(L217*9),IF((SUM(B202:F211))&gt;(L217*10),(((L217*10)-(SUM(B202:F211)-C210))*L201)+((SUM(B211:F211)-C210)*L201),SUM(B211:F211)*L201),IF(SUM(B202:F211)&gt;(L217*10),L217*L201,SUM(B211:F211)*L201)),2)</f>
        <v>0</v>
      </c>
      <c r="M211" s="76">
        <f>ROUND(IF(SUM(B202:F210)&lt;(L218*9),IF((SUM(B202:F211))&gt;(L218*10),(((L218*10)-(SUM(B202:F211)-C211))*M201)+((SUM(B211:F211)-C211)*M201),(SUM(B211:F211)-C211)*M201),IF(SUM(B202:F211)&gt;(L218*10),L218*M201,SUM(B211:F211)*M201)),2)</f>
        <v>0</v>
      </c>
      <c r="N211" s="23">
        <f>ROUND((B211+E211+F211)*N201,2)</f>
        <v>0</v>
      </c>
      <c r="O211" s="23">
        <f>ROUND(SUM(B211+C211+F211)*O201,2)</f>
        <v>0</v>
      </c>
      <c r="P211" s="27">
        <f t="shared" si="26"/>
        <v>0</v>
      </c>
    </row>
    <row r="212" spans="1:16" x14ac:dyDescent="0.2">
      <c r="A212" s="100" t="str">
        <f>$A$36</f>
        <v>Nov 2022</v>
      </c>
      <c r="B212" s="24">
        <f>ROUND(IF(P186=0,0,IFERROR(((LOOKUP(2,1/(A190:A193=A212),G190:G193))*P186*4.348*50%),B211/P186*P186)),2)</f>
        <v>0</v>
      </c>
      <c r="C212" s="23">
        <f>ROUND(IFERROR(((LOOKUP(2,1/(B195=A212),((SUM(B208:B210)+SUM(F208:F210))/3)*C195))),0)+IFERROR(((LOOKUP(2,1/(E195=A212),(B214+F214)*F195))),0),2)</f>
        <v>0</v>
      </c>
      <c r="D212" s="23">
        <f>ROUND(IF(B212=0,0,D201/L183*P186*50%),2)</f>
        <v>0</v>
      </c>
      <c r="E212" s="23">
        <f>ROUND(IF(B212=0,0,E201/N179*P186*50%),2)</f>
        <v>0</v>
      </c>
      <c r="F212" s="24">
        <f>ROUND(IF(P186=0,0,IFERROR(((LOOKUP(2,1/(A190:A193=A212),H190:H193))/N179*P186),F211/P186*P186*50%)),2)</f>
        <v>0</v>
      </c>
      <c r="G212" s="27">
        <f t="shared" si="25"/>
        <v>0</v>
      </c>
      <c r="H212" s="76">
        <f>ROUND(IF(SUM(B202:F211)&lt;(L217*10),IF((SUM(B202:F212))&gt;(L217*11),(((L217*11)-(SUM(B202:F212)-C211))*H201)+((SUM(B212:F212)-C211)*H201),SUM(B212:F212)*H201),IF(SUM(B202:F212)&gt;(L217*11),L217*H201,SUM(B212:F212)*H201)),2)</f>
        <v>0</v>
      </c>
      <c r="I212" s="76">
        <f>ROUND(IF((SUM(B202:F212)*80%)&gt;((L218*11)*90%),((((L218*11)*90%)-((SUM(B202:F212)-C212))*I201)+((SUM(B212:F212)-C212)*I201)*80%),((SUM(B212:F212)-C212)*I201)*80%),2)</f>
        <v>0</v>
      </c>
      <c r="J212" s="76">
        <f>ROUND(IF(SUM(B202:F211)&lt;(L218*10),IF((SUM(B202:F212))&gt;(L218*11),(((L218*11)-(SUM(B202:F212)-C211))*J201)+((SUM(B212:F212)-C211)*J201),SUM(B212:F212)*J201),IF(SUM(B202:F212)&gt;(L218*11),L218*J201,SUM(B212:F212)*J201)),2)</f>
        <v>0</v>
      </c>
      <c r="K212" s="76">
        <f>ROUND(IF(SUM(B202:F211)&lt;(L218*10),IF((SUM(B202:F212))&gt;(L218*11),(((L218*11)-(SUM(B202:F212)-C211))*K201)+((SUM(B212:F212)-C211)*K201),SUM(B212:F212)*K201),IF(SUM(B202:F212)&gt;(L218*11),L218*K201,SUM(B212:F212)*K201)),2)</f>
        <v>0</v>
      </c>
      <c r="L212" s="76">
        <f>ROUND(IF(SUM(B202:F211)&lt;(L217*10),IF((SUM(B202:F212))&gt;(L217*11),(((L217*11)-(SUM(B202:F212)-C211))*L201)+((SUM(B212:F212)-C211)*L201),SUM(B212:F212)*L201),IF(SUM(B202:F212)&gt;(L217*11),L217*L201,SUM(B212:F212)*L201)),2)</f>
        <v>0</v>
      </c>
      <c r="M212" s="76">
        <f>ROUND(IF(SUM(B202:F211)&lt;(L218*10),IF((SUM(B202:F212))&gt;(L218*11),(((L218*11)-(SUM(B202:F212)-C212))*M201)+((SUM(B212:F212)-C212)*M201),(SUM(B212:F212)-C212)*M201),IF(SUM(B202:F212)&gt;(L218*11),L218*M201,SUM(B212:F212)*M201)),2)</f>
        <v>0</v>
      </c>
      <c r="N212" s="23">
        <f>ROUND((B212+E212+F212)*N201,2)</f>
        <v>0</v>
      </c>
      <c r="O212" s="23">
        <f>ROUND(SUM(B212+C212+F212)*O201,2)</f>
        <v>0</v>
      </c>
      <c r="P212" s="27">
        <f t="shared" si="26"/>
        <v>0</v>
      </c>
    </row>
    <row r="213" spans="1:16" x14ac:dyDescent="0.2">
      <c r="A213" s="100" t="str">
        <f>$A$37</f>
        <v>Dez 2022</v>
      </c>
      <c r="B213" s="24">
        <f>ROUND(IF(P187=0,0,IFERROR(((LOOKUP(2,1/(A190:A193=A213),G190:G193))*P187*4.348*50%),B212/P187*P187)),2)</f>
        <v>0</v>
      </c>
      <c r="C213" s="23">
        <f>ROUND(IFERROR(((LOOKUP(2,1/(B195=A213),((SUM(B208:B210)+SUM(F208:F210))/3)*C195))),0)+IFERROR(((LOOKUP(2,1/(E195=A213),(B214+F214)*F195))),0),2)</f>
        <v>0</v>
      </c>
      <c r="D213" s="23">
        <f>ROUND(IF(B213=0,0,D201/L183*P187*50%),2)</f>
        <v>0</v>
      </c>
      <c r="E213" s="23">
        <f>ROUND(IF(B213=0,0,E201/N179*P187*50%),2)</f>
        <v>0</v>
      </c>
      <c r="F213" s="24">
        <f>ROUND(IF(P187=0,0,IFERROR(((LOOKUP(2,1/(A190:A193=A213),H190:H193))/N179*P187),F212/P187*P187*50%)),2)</f>
        <v>0</v>
      </c>
      <c r="G213" s="27">
        <f t="shared" si="25"/>
        <v>0</v>
      </c>
      <c r="H213" s="76">
        <f>ROUND(IF(SUM(B202:F212)&lt;(L217*11),IF((SUM(B202:F213))&gt;(L217*12),(((L217*12)-(SUM(B202:F213)-C212))*H201)+((SUM(B213:F213)-C212)*H201),SUM(B213:F213)*H201),IF(SUM(B202:F213)&gt;(L217*12),L217*H201,SUM(B213:F213)*H201)),2)</f>
        <v>0</v>
      </c>
      <c r="I213" s="76">
        <f>ROUND(IF((SUM(B202:F213)*80%)&gt;((L218*12)*90%),((((L218*12)*90%)-((SUM(B202:F213)-C213))*I201)+((SUM(B213:F213)-C213)*I201)*80%),((SUM(B213:F213)-C213)*I201)*80%),2)</f>
        <v>0</v>
      </c>
      <c r="J213" s="76">
        <f>ROUND(IF(SUM(B202:F212)&lt;(L218*11),IF((SUM(B202:F213))&gt;(L218*12),(((L218*12)-(SUM(B202:F213)-C212))*J201)+((SUM(B213:F213)-C212)*J201),SUM(B213:F213)*J201),IF(SUM(B202:F213)&gt;(L218*12),L218*J201,SUM(B213:F213)*J201)),2)</f>
        <v>0</v>
      </c>
      <c r="K213" s="76">
        <f>ROUND(IF(SUM(B202:F212)&lt;(L218*11),IF((SUM(B202:F213))&gt;(L218*12),(((L218*12)-(SUM(B202:F213)-C212))*K201)+((SUM(B213:F213)-C212)*K201),SUM(B213:F213)*K201),IF(SUM(B202:F213)&gt;(L218*12),L218*K201,SUM(B213:F213)*K201)),2)</f>
        <v>0</v>
      </c>
      <c r="L213" s="76">
        <f>ROUND(IF(SUM(B202:F212)&lt;(L217*11),IF((SUM(B202:F213))&gt;(L217*12),(((L217*12)-(SUM(B202:F213)-C212))*L201)+((SUM(B213:F213)-C212)*L201),SUM(B213:F213)*L201),IF(SUM(B202:F213)&gt;(L217*12),L217*L201,SUM(B213:F213)*L201)),2)</f>
        <v>0</v>
      </c>
      <c r="M213" s="76">
        <f>ROUND(IF(SUM(B202:F212)&lt;(L218*11),IF((SUM(B202:F213))&gt;(L218*12),(((L218*12)-(SUM(B202:F213)-C213))*M201)+((SUM(B213:F213)-C213)*M201),(SUM(B213:F213)-C213)*M201),IF(SUM(B202:F213)&gt;(L218*12),L218*M201,SUM(B213:F213)*M201)),2)</f>
        <v>0</v>
      </c>
      <c r="N213" s="23">
        <f>ROUND((B213+E213+F213)*N201,2)</f>
        <v>0</v>
      </c>
      <c r="O213" s="23">
        <f>ROUND(SUM(B213+C213+F213)*O201,2)</f>
        <v>0</v>
      </c>
      <c r="P213" s="27">
        <f>SUM(G213:O213)</f>
        <v>0</v>
      </c>
    </row>
    <row r="214" spans="1:16" x14ac:dyDescent="0.2">
      <c r="A214" s="4" t="s">
        <v>2</v>
      </c>
      <c r="B214" s="27">
        <f>SUM(B202:B213)</f>
        <v>0</v>
      </c>
      <c r="C214" s="27">
        <f t="shared" ref="C214" si="27">SUM(C202:C213)</f>
        <v>0</v>
      </c>
      <c r="D214" s="27">
        <f>SUM(D202:D213)</f>
        <v>0</v>
      </c>
      <c r="E214" s="27">
        <f t="shared" ref="E214:G214" si="28">SUM(E202:E213)</f>
        <v>0</v>
      </c>
      <c r="F214" s="27">
        <f t="shared" si="28"/>
        <v>0</v>
      </c>
      <c r="G214" s="27">
        <f t="shared" si="28"/>
        <v>0</v>
      </c>
      <c r="H214" s="1133">
        <f>SUM(H202:M213)</f>
        <v>0</v>
      </c>
      <c r="I214" s="1134"/>
      <c r="J214" s="1134"/>
      <c r="K214" s="1134"/>
      <c r="L214" s="1134"/>
      <c r="M214" s="1134"/>
      <c r="N214" s="27">
        <f>SUM(N202:N213)</f>
        <v>0</v>
      </c>
      <c r="O214" s="27">
        <f>SUM(O202:O213)</f>
        <v>0</v>
      </c>
      <c r="P214" s="27">
        <f>SUM(P202:P213)</f>
        <v>0</v>
      </c>
    </row>
    <row r="215" spans="1:16" s="13" customFormat="1" ht="11.25" x14ac:dyDescent="0.2">
      <c r="A215" s="3" t="s">
        <v>1</v>
      </c>
      <c r="B215" s="2"/>
      <c r="C215" s="2"/>
      <c r="D215" s="2"/>
      <c r="E215" s="2"/>
      <c r="F215" s="2"/>
      <c r="G215" s="2"/>
      <c r="H215" s="2"/>
      <c r="I215" s="2"/>
      <c r="J215" s="2"/>
      <c r="K215" s="2"/>
      <c r="L215" s="2"/>
      <c r="M215" s="2"/>
      <c r="N215" s="2"/>
      <c r="O215" s="2"/>
      <c r="P215" s="2"/>
    </row>
    <row r="216" spans="1:16" s="1" customFormat="1" ht="14.25" customHeight="1" x14ac:dyDescent="0.2">
      <c r="A216" s="1136" t="s">
        <v>133</v>
      </c>
      <c r="B216" s="1137"/>
      <c r="C216" s="1137"/>
      <c r="D216" s="1137" t="s">
        <v>134</v>
      </c>
      <c r="E216" s="1137"/>
      <c r="F216" s="94" t="str">
        <f>IF(IF(G214=0,"",'päd.Personal - Leitung'!$F$40)=0,"",IF(G214=0,"",'päd.Personal - Leitung'!$F$40))</f>
        <v/>
      </c>
      <c r="G216" s="77" t="s">
        <v>135</v>
      </c>
      <c r="H216" s="96" t="str">
        <f>IF(IF(G214=0,"",'päd.Personal - Leitung'!$H$40)=0,"",IF(G214=0,"",'päd.Personal - Leitung'!$H$40))</f>
        <v/>
      </c>
      <c r="I216" s="73"/>
      <c r="J216" s="194" t="s">
        <v>160</v>
      </c>
      <c r="K216" s="194" t="str">
        <f>$K$40</f>
        <v>2021</v>
      </c>
      <c r="L216" s="194" t="str">
        <f>$L$40</f>
        <v>anteilig 2021</v>
      </c>
      <c r="M216" s="1138" t="s">
        <v>140</v>
      </c>
      <c r="N216" s="1138"/>
      <c r="O216" s="1139"/>
      <c r="P216" s="27">
        <f>ROUND(IF(F216="",IF(E220="",0,(E220*H220/K220)/L183*L184),G214*F216*H216/1000),2)</f>
        <v>0</v>
      </c>
    </row>
    <row r="217" spans="1:16" s="1" customFormat="1" ht="15" customHeight="1" x14ac:dyDescent="0.2">
      <c r="A217" s="1140" t="s">
        <v>145</v>
      </c>
      <c r="B217" s="1141"/>
      <c r="C217" s="1141"/>
      <c r="D217" s="18"/>
      <c r="E217" s="107" t="s">
        <v>135</v>
      </c>
      <c r="F217" s="95" t="str">
        <f>IF(IF(G214=0,"",'päd.Personal - Leitung'!$F$41)=0,"",IF(G214=0,"",'päd.Personal - Leitung'!$F$41))</f>
        <v/>
      </c>
      <c r="G217" s="48"/>
      <c r="H217" s="47"/>
      <c r="I217" s="48"/>
      <c r="J217" s="195" t="s">
        <v>158</v>
      </c>
      <c r="K217" s="198">
        <f>$K$41</f>
        <v>4837.5</v>
      </c>
      <c r="L217" s="197">
        <f>IF(L183="",K217,K217/L183*L184)</f>
        <v>4837.5</v>
      </c>
      <c r="M217" s="1138" t="s">
        <v>139</v>
      </c>
      <c r="N217" s="1138"/>
      <c r="O217" s="1139"/>
      <c r="P217" s="27">
        <f>ROUND(IF(F217="",0,G214*F217/1000),2)</f>
        <v>0</v>
      </c>
    </row>
    <row r="218" spans="1:16" s="1" customFormat="1" ht="15.75" customHeight="1" x14ac:dyDescent="0.2">
      <c r="A218" s="1142" t="s">
        <v>141</v>
      </c>
      <c r="B218" s="1143"/>
      <c r="C218" s="1143"/>
      <c r="D218" s="1144" t="s">
        <v>143</v>
      </c>
      <c r="E218" s="1144"/>
      <c r="F218" s="1145" t="str">
        <f>IF(IF(G214=0,"",'päd.Personal - Leitung'!$F$42)=0,"",IF(G214=0,"",'päd.Personal - Leitung'!$F$42))</f>
        <v/>
      </c>
      <c r="G218" s="1145"/>
      <c r="H218" s="72"/>
      <c r="I218" s="18"/>
      <c r="J218" s="195" t="s">
        <v>159</v>
      </c>
      <c r="K218" s="198">
        <f>$K$42</f>
        <v>6700</v>
      </c>
      <c r="L218" s="197">
        <f>IF(L183="",K218,K218/L183*L184)</f>
        <v>6700</v>
      </c>
      <c r="M218" s="1138" t="s">
        <v>141</v>
      </c>
      <c r="N218" s="1138"/>
      <c r="O218" s="1139"/>
      <c r="P218" s="23">
        <f>ROUND(IF(F218="",0,IF(G214=0,0,F218/L183*L184)),2)</f>
        <v>0</v>
      </c>
    </row>
    <row r="219" spans="1:16" s="1" customFormat="1" ht="14.25" customHeight="1" x14ac:dyDescent="0.2">
      <c r="A219" s="18"/>
      <c r="B219" s="18"/>
      <c r="C219" s="18"/>
      <c r="D219" s="18"/>
      <c r="E219" s="18"/>
      <c r="F219" s="18"/>
      <c r="G219" s="18"/>
      <c r="H219" s="18"/>
      <c r="I219" s="18"/>
      <c r="J219" s="18"/>
      <c r="K219" s="74"/>
      <c r="L219" s="82"/>
      <c r="M219" s="1127" t="s">
        <v>146</v>
      </c>
      <c r="N219" s="1127"/>
      <c r="O219" s="1128"/>
      <c r="P219" s="23">
        <f>ROUND(IF(G214=0,0,$P$43),2)</f>
        <v>0</v>
      </c>
    </row>
    <row r="220" spans="1:16" s="1" customFormat="1" ht="14.25" customHeight="1" x14ac:dyDescent="0.2">
      <c r="A220" s="1129" t="s">
        <v>142</v>
      </c>
      <c r="B220" s="1130"/>
      <c r="C220" s="133" t="s">
        <v>136</v>
      </c>
      <c r="D220" s="133" t="s">
        <v>137</v>
      </c>
      <c r="E220" s="1131" t="str">
        <f>IF(IF(G214=0,"",'päd.Personal - Leitung'!$E$44)=0,"",IF(G214=0,"",'päd.Personal - Leitung'!$E$44))</f>
        <v/>
      </c>
      <c r="F220" s="1131"/>
      <c r="G220" s="83" t="s">
        <v>138</v>
      </c>
      <c r="H220" s="97" t="str">
        <f>IF(IF(G214=0,"",'päd.Personal - Leitung'!$H$44)=0,"",IF(G214=0,"",'päd.Personal - Leitung'!$H$44))</f>
        <v/>
      </c>
      <c r="I220" s="1132" t="s">
        <v>144</v>
      </c>
      <c r="J220" s="1132"/>
      <c r="K220" s="98" t="str">
        <f>IF(IF(G214=0,"",'päd.Personal - Leitung'!$K$44)=0,"",IF(G214=0,"",'päd.Personal - Leitung'!$K$44))</f>
        <v/>
      </c>
      <c r="L220" s="29"/>
      <c r="M220" s="29"/>
      <c r="N220" s="29"/>
      <c r="O220" s="28" t="s">
        <v>0</v>
      </c>
      <c r="P220" s="27">
        <f>P214+SUM(P216:P219)</f>
        <v>0</v>
      </c>
    </row>
    <row r="221" spans="1:16" s="12" customFormat="1" ht="13.5" customHeight="1" x14ac:dyDescent="0.2">
      <c r="A221" s="1178" t="s">
        <v>18</v>
      </c>
      <c r="B221" s="1178"/>
      <c r="C221" s="1178"/>
      <c r="D221" s="1179" t="str">
        <f>IF($D$1="","",$D$1)</f>
        <v/>
      </c>
      <c r="E221" s="1179"/>
      <c r="F221" s="1179"/>
      <c r="G221" s="1179"/>
      <c r="H221" s="1179"/>
      <c r="I221" s="1179"/>
      <c r="J221" s="1179"/>
      <c r="K221" s="1179"/>
      <c r="L221" s="1179"/>
      <c r="M221" s="1179"/>
      <c r="N221" s="1179"/>
    </row>
    <row r="222" spans="1:16" s="12" customFormat="1" ht="15" customHeight="1" x14ac:dyDescent="0.2">
      <c r="A222" s="1178" t="s">
        <v>17</v>
      </c>
      <c r="B222" s="1178"/>
      <c r="C222" s="1178" t="s">
        <v>15</v>
      </c>
      <c r="D222" s="1179" t="str">
        <f>IF($D$2="","",$D$2)</f>
        <v/>
      </c>
      <c r="E222" s="1179"/>
      <c r="F222" s="1179"/>
      <c r="G222" s="1179"/>
      <c r="H222" s="1179"/>
      <c r="I222" s="1179"/>
      <c r="J222" s="1179"/>
      <c r="K222" s="1179"/>
      <c r="L222" s="1179"/>
      <c r="M222" s="1179"/>
      <c r="N222" s="1179"/>
    </row>
    <row r="223" spans="1:16" s="12" customFormat="1" ht="15" customHeight="1" x14ac:dyDescent="0.2">
      <c r="A223" s="1178" t="s">
        <v>16</v>
      </c>
      <c r="B223" s="1178"/>
      <c r="C223" s="1178" t="s">
        <v>15</v>
      </c>
      <c r="D223" s="1179" t="str">
        <f>IF($D$3="","",$D$3)</f>
        <v/>
      </c>
      <c r="E223" s="1179"/>
      <c r="F223" s="1179"/>
      <c r="G223" s="1179"/>
      <c r="H223" s="1179"/>
      <c r="I223" s="1179"/>
      <c r="J223" s="1179"/>
      <c r="K223" s="1178" t="s">
        <v>103</v>
      </c>
      <c r="L223" s="1178"/>
      <c r="M223" s="1178"/>
      <c r="N223" s="41" t="str">
        <f>IF($N$3="","",$N$3)</f>
        <v/>
      </c>
    </row>
    <row r="224" spans="1:16" s="13" customFormat="1" ht="11.25" x14ac:dyDescent="0.2">
      <c r="A224" s="1182"/>
      <c r="B224" s="1182"/>
      <c r="C224" s="1182"/>
      <c r="D224" s="1183"/>
      <c r="E224" s="1183"/>
      <c r="F224" s="1183"/>
      <c r="G224" s="1183"/>
      <c r="H224" s="1183"/>
      <c r="I224" s="1183"/>
      <c r="J224" s="1183"/>
      <c r="K224" s="11"/>
      <c r="L224" s="11"/>
      <c r="M224" s="11"/>
      <c r="N224" s="11"/>
      <c r="O224" s="11"/>
      <c r="P224" s="11"/>
    </row>
    <row r="225" spans="1:16" s="15" customFormat="1" ht="13.5" customHeight="1" x14ac:dyDescent="0.2">
      <c r="A225" s="1177" t="s">
        <v>219</v>
      </c>
      <c r="B225" s="1177"/>
      <c r="C225" s="1177"/>
      <c r="D225" s="1177"/>
      <c r="E225" s="1177"/>
      <c r="F225" s="1177"/>
      <c r="G225" s="1177"/>
      <c r="H225" s="1177"/>
      <c r="I225" s="1177"/>
      <c r="J225" s="1177"/>
      <c r="K225" s="1177"/>
      <c r="L225" s="1177"/>
      <c r="M225" s="1177"/>
      <c r="N225" s="59" t="s">
        <v>154</v>
      </c>
      <c r="O225" s="191">
        <f>$O$5</f>
        <v>2022</v>
      </c>
      <c r="P225" s="59" t="s">
        <v>154</v>
      </c>
    </row>
    <row r="226" spans="1:16" s="10" customFormat="1" ht="13.5" customHeight="1" x14ac:dyDescent="0.25">
      <c r="B226" s="32"/>
      <c r="C226" s="32"/>
      <c r="D226" s="5" t="s">
        <v>186</v>
      </c>
      <c r="E226" s="31"/>
      <c r="F226" s="31"/>
      <c r="G226" s="31"/>
      <c r="H226" s="31"/>
      <c r="I226" s="26"/>
      <c r="J226" s="1174" t="s">
        <v>14</v>
      </c>
      <c r="K226" s="1174"/>
      <c r="L226" s="180"/>
      <c r="N226" s="84">
        <f>IF(L228="","",L228)</f>
        <v>0</v>
      </c>
      <c r="O226" s="58" t="str">
        <f>$O$6</f>
        <v>Jan                Jul</v>
      </c>
      <c r="P226" s="85">
        <f>IF(N231="","",N231)</f>
        <v>0</v>
      </c>
    </row>
    <row r="227" spans="1:16" s="7" customFormat="1" ht="13.5" customHeight="1" x14ac:dyDescent="0.25">
      <c r="A227" s="1180" t="s">
        <v>71</v>
      </c>
      <c r="B227" s="1180"/>
      <c r="C227" s="1180"/>
      <c r="D227" s="1184"/>
      <c r="E227" s="1184"/>
      <c r="F227" s="1184"/>
      <c r="G227" s="1184"/>
      <c r="H227" s="1184"/>
      <c r="I227" s="1184"/>
      <c r="J227" s="1174" t="s">
        <v>104</v>
      </c>
      <c r="K227" s="1174"/>
      <c r="L227" s="145"/>
      <c r="N227" s="85">
        <f>IF(N226="","",N226)</f>
        <v>0</v>
      </c>
      <c r="O227" s="58" t="str">
        <f>$O$7</f>
        <v>Feb              Aug</v>
      </c>
      <c r="P227" s="85">
        <f>IF(P226="","",P226)</f>
        <v>0</v>
      </c>
    </row>
    <row r="228" spans="1:16" s="1" customFormat="1" ht="13.5" customHeight="1" x14ac:dyDescent="0.2">
      <c r="A228" s="1180" t="s">
        <v>13</v>
      </c>
      <c r="B228" s="1180"/>
      <c r="C228" s="1180"/>
      <c r="D228" s="1181"/>
      <c r="E228" s="1181"/>
      <c r="F228" s="1181"/>
      <c r="G228" s="1181"/>
      <c r="H228" s="1181"/>
      <c r="I228" s="1181"/>
      <c r="J228" s="1174" t="s">
        <v>164</v>
      </c>
      <c r="K228" s="1174"/>
      <c r="L228" s="145">
        <f>IF((L229+L230)&gt;L227,0,L227-L229-L230)</f>
        <v>0</v>
      </c>
      <c r="N228" s="85">
        <f>IF(N227="","",N227)</f>
        <v>0</v>
      </c>
      <c r="O228" s="58" t="str">
        <f>$O$8</f>
        <v>Mrz              Sep</v>
      </c>
      <c r="P228" s="85">
        <f>IF(P227="","",P227)</f>
        <v>0</v>
      </c>
    </row>
    <row r="229" spans="1:16" s="1" customFormat="1" ht="13.5" customHeight="1" x14ac:dyDescent="0.2">
      <c r="A229" s="1180" t="s">
        <v>12</v>
      </c>
      <c r="B229" s="1180"/>
      <c r="C229" s="1180"/>
      <c r="D229" s="1181"/>
      <c r="E229" s="1181"/>
      <c r="F229" s="1181"/>
      <c r="G229" s="1181"/>
      <c r="H229" s="1181"/>
      <c r="I229" s="1181"/>
      <c r="J229" s="1174" t="s">
        <v>165</v>
      </c>
      <c r="K229" s="1174"/>
      <c r="L229" s="145"/>
      <c r="N229" s="85">
        <f>IF(N228="","",N228)</f>
        <v>0</v>
      </c>
      <c r="O229" s="58" t="str">
        <f>$O$9</f>
        <v>Apr               Okt</v>
      </c>
      <c r="P229" s="85">
        <f t="shared" ref="P229:P231" si="29">IF(P228="","",P228)</f>
        <v>0</v>
      </c>
    </row>
    <row r="230" spans="1:16" s="1" customFormat="1" ht="13.5" customHeight="1" x14ac:dyDescent="0.2">
      <c r="A230" s="1180" t="s">
        <v>19</v>
      </c>
      <c r="B230" s="1180"/>
      <c r="C230" s="1180"/>
      <c r="D230" s="1181"/>
      <c r="E230" s="1181"/>
      <c r="F230" s="1181"/>
      <c r="G230" s="1181"/>
      <c r="H230" s="1181"/>
      <c r="I230" s="1181"/>
      <c r="J230" s="1174" t="s">
        <v>252</v>
      </c>
      <c r="K230" s="1174"/>
      <c r="L230" s="145"/>
      <c r="M230" s="92"/>
      <c r="N230" s="85">
        <f>IF(N229="","",N229)</f>
        <v>0</v>
      </c>
      <c r="O230" s="58" t="str">
        <f>$O$10</f>
        <v>Mai               Nov</v>
      </c>
      <c r="P230" s="85">
        <f t="shared" si="29"/>
        <v>0</v>
      </c>
    </row>
    <row r="231" spans="1:16" s="1" customFormat="1" ht="13.5" customHeight="1" x14ac:dyDescent="0.2">
      <c r="B231" s="8"/>
      <c r="C231" s="132" t="s">
        <v>162</v>
      </c>
      <c r="D231" s="1175"/>
      <c r="E231" s="1175"/>
      <c r="F231" s="1176" t="s">
        <v>113</v>
      </c>
      <c r="G231" s="1176"/>
      <c r="H231" s="1186"/>
      <c r="I231" s="1186"/>
      <c r="J231" s="1174" t="s">
        <v>97</v>
      </c>
      <c r="K231" s="1174"/>
      <c r="L231" s="17" t="str">
        <f>IF(IF((COUNTIF(B246:B257,"&gt;0"))=0,0,(COUNTIF(B246:B257,"&gt;0")))&gt;Grundlagen!$C$24,Grundlagen!$C$24,IF((COUNTIF(B246:B257,"&gt;0"))=0,"",(COUNTIF(B246:B257,"&gt;0"))))</f>
        <v/>
      </c>
      <c r="N231" s="85">
        <f>IF(N230="","",N230)</f>
        <v>0</v>
      </c>
      <c r="O231" s="58" t="str">
        <f>'päd.Personal - Leitung'!$O$11</f>
        <v>Jun               Dez</v>
      </c>
      <c r="P231" s="85">
        <f t="shared" si="29"/>
        <v>0</v>
      </c>
    </row>
    <row r="232" spans="1:16" s="1" customFormat="1" ht="13.5" customHeight="1" x14ac:dyDescent="0.2">
      <c r="F232" s="1176" t="s">
        <v>241</v>
      </c>
      <c r="G232" s="1176"/>
      <c r="H232" s="1186"/>
      <c r="I232" s="1186"/>
      <c r="L232" s="147" t="str">
        <f>IF((SUM(F234:F237))=0,"",IF(P232&gt;L228,L228,IF(L228="","",IF(L231="","",P232))))</f>
        <v/>
      </c>
      <c r="O232" s="174" t="s">
        <v>251</v>
      </c>
      <c r="P232" s="175">
        <f>IF(L231="",0,((IF(SUMIF(B246,"&gt;0"),N226,0))+(IF(SUMIF(B247,"&gt;0"),N227,0))+(IF(SUMIF(B248,"&gt;0"),N228,0))+(IF(SUMIF(B249,"&gt;0"),N229,0))+(IF(SUMIF(B250,"&gt;0"),N230,0))+(IF(SUMIF(B251,"&gt;0"),N231,0))+(IF(SUMIF(B252,"&gt;0"),P226,0))+(IF(SUMIF(B253,"&gt;0"),P227,0))+(IF(SUMIF(B254,"&gt;0"),P228,0))+(IF(SUMIF(B255,"&gt;0"),P229,0))+(IF(SUMIF(B256,"&gt;0"),P230,0))+(IF(SUMIF(B257,"&gt;0"),P231,0)))/Grundlagen!$C$24)</f>
        <v>0</v>
      </c>
    </row>
    <row r="233" spans="1:16" s="52" customFormat="1" ht="13.5" customHeight="1" x14ac:dyDescent="0.2">
      <c r="A233" s="61" t="s">
        <v>148</v>
      </c>
      <c r="B233" s="1168" t="s">
        <v>149</v>
      </c>
      <c r="C233" s="1168"/>
      <c r="D233" s="62" t="s">
        <v>150</v>
      </c>
      <c r="E233" s="63" t="s">
        <v>151</v>
      </c>
      <c r="F233" s="64" t="str">
        <f>CONCATENATE("Entg. ",N223," h/Wo")</f>
        <v>Entg.  h/Wo</v>
      </c>
      <c r="G233" s="65" t="s">
        <v>152</v>
      </c>
      <c r="H233" s="65" t="s">
        <v>153</v>
      </c>
      <c r="K233" s="1169" t="str">
        <f>CONCATENATE("Zuschläge / Zulagen für ",N223,"h/Wo")</f>
        <v>Zuschläge / Zulagen für h/Wo</v>
      </c>
      <c r="L233" s="1169"/>
      <c r="M233" s="66" t="str">
        <f>IF(A234="","",A234)</f>
        <v>Jan 2022</v>
      </c>
      <c r="N233" s="66" t="str">
        <f>IF(A235="","",A235)</f>
        <v/>
      </c>
      <c r="O233" s="66" t="str">
        <f>IF(A236="","",A236)</f>
        <v/>
      </c>
      <c r="P233" s="66" t="str">
        <f>IF(A237="","",A237)</f>
        <v/>
      </c>
    </row>
    <row r="234" spans="1:16" s="52" customFormat="1" ht="13.5" customHeight="1" x14ac:dyDescent="0.25">
      <c r="A234" s="54" t="str">
        <f>A246</f>
        <v>Jan 2022</v>
      </c>
      <c r="B234" s="1170" t="str">
        <f>IF($D$3="","",$D$3)</f>
        <v/>
      </c>
      <c r="C234" s="1171"/>
      <c r="D234" s="181"/>
      <c r="E234" s="181"/>
      <c r="F234" s="87"/>
      <c r="G234" s="56">
        <f>IF(N223="",0,F234/N223/4.348)</f>
        <v>0</v>
      </c>
      <c r="H234" s="53">
        <f>IF(G234=0,0,M239)</f>
        <v>0</v>
      </c>
      <c r="K234" s="1146"/>
      <c r="L234" s="1146"/>
      <c r="M234" s="86"/>
      <c r="N234" s="86"/>
      <c r="O234" s="86"/>
      <c r="P234" s="86"/>
    </row>
    <row r="235" spans="1:16" s="52" customFormat="1" ht="13.5" customHeight="1" x14ac:dyDescent="0.25">
      <c r="A235" s="55"/>
      <c r="B235" s="1172" t="str">
        <f>IF(A235="","",B234)</f>
        <v/>
      </c>
      <c r="C235" s="1173"/>
      <c r="D235" s="181"/>
      <c r="E235" s="181"/>
      <c r="F235" s="87"/>
      <c r="G235" s="56">
        <f>IF(N223="",0,F235/N223/4.348)</f>
        <v>0</v>
      </c>
      <c r="H235" s="53">
        <f>IF(G235=0,0,N239)</f>
        <v>0</v>
      </c>
      <c r="K235" s="1146"/>
      <c r="L235" s="1146"/>
      <c r="M235" s="86"/>
      <c r="N235" s="86"/>
      <c r="O235" s="86"/>
      <c r="P235" s="86"/>
    </row>
    <row r="236" spans="1:16" s="52" customFormat="1" ht="13.5" customHeight="1" x14ac:dyDescent="0.25">
      <c r="A236" s="55"/>
      <c r="B236" s="1172" t="str">
        <f>IF(A236="","",B235)</f>
        <v/>
      </c>
      <c r="C236" s="1173"/>
      <c r="D236" s="181"/>
      <c r="E236" s="181"/>
      <c r="F236" s="87"/>
      <c r="G236" s="56">
        <f>IF(N223="",0,F236/N223/4.348)</f>
        <v>0</v>
      </c>
      <c r="H236" s="53">
        <f>IF(G236=0,0,O239)</f>
        <v>0</v>
      </c>
      <c r="K236" s="1146"/>
      <c r="L236" s="1146"/>
      <c r="M236" s="86"/>
      <c r="N236" s="86"/>
      <c r="O236" s="86"/>
      <c r="P236" s="86"/>
    </row>
    <row r="237" spans="1:16" s="52" customFormat="1" ht="13.5" customHeight="1" x14ac:dyDescent="0.25">
      <c r="A237" s="55"/>
      <c r="B237" s="1172" t="str">
        <f>IF(A237="","",B236)</f>
        <v/>
      </c>
      <c r="C237" s="1173"/>
      <c r="D237" s="181"/>
      <c r="E237" s="181"/>
      <c r="F237" s="87"/>
      <c r="G237" s="56">
        <f>IF(N223="",0,F237/N223/4.348)</f>
        <v>0</v>
      </c>
      <c r="H237" s="53">
        <f>IF(G237=0,0,P239)</f>
        <v>0</v>
      </c>
      <c r="K237" s="1146"/>
      <c r="L237" s="1146"/>
      <c r="M237" s="86"/>
      <c r="N237" s="86"/>
      <c r="O237" s="86"/>
      <c r="P237" s="86"/>
    </row>
    <row r="238" spans="1:16" s="52" customFormat="1" ht="13.5" customHeight="1" x14ac:dyDescent="0.25">
      <c r="B238" s="1167" t="s">
        <v>157</v>
      </c>
      <c r="C238" s="1167"/>
      <c r="E238" s="1167" t="s">
        <v>156</v>
      </c>
      <c r="F238" s="1167"/>
      <c r="J238" s="69"/>
      <c r="K238" s="1146"/>
      <c r="L238" s="1146"/>
      <c r="M238" s="86"/>
      <c r="N238" s="86"/>
      <c r="O238" s="86"/>
      <c r="P238" s="86"/>
    </row>
    <row r="239" spans="1:16" s="52" customFormat="1" ht="13.5" customHeight="1" x14ac:dyDescent="0.25">
      <c r="A239" s="70" t="s">
        <v>167</v>
      </c>
      <c r="B239" s="67"/>
      <c r="C239" s="99" t="str">
        <f>IF(C195="","",C195)</f>
        <v/>
      </c>
      <c r="D239" s="70" t="s">
        <v>167</v>
      </c>
      <c r="E239" s="67"/>
      <c r="F239" s="99" t="str">
        <f>IF(F195="","",F195)</f>
        <v/>
      </c>
      <c r="J239" s="68"/>
      <c r="M239" s="57">
        <f>SUM(M234:M238)</f>
        <v>0</v>
      </c>
      <c r="N239" s="57">
        <f t="shared" ref="N239:P239" si="30">SUM(N234:N238)</f>
        <v>0</v>
      </c>
      <c r="O239" s="57">
        <f t="shared" si="30"/>
        <v>0</v>
      </c>
      <c r="P239" s="57">
        <f t="shared" si="30"/>
        <v>0</v>
      </c>
    </row>
    <row r="240" spans="1:16" s="52" customFormat="1" ht="13.5" customHeight="1" x14ac:dyDescent="0.2">
      <c r="A240" s="60" t="s">
        <v>155</v>
      </c>
    </row>
    <row r="241" spans="1:16" ht="14.25" customHeight="1" x14ac:dyDescent="0.2">
      <c r="A241" s="1147"/>
      <c r="B241" s="1149" t="s">
        <v>9</v>
      </c>
      <c r="C241" s="1150"/>
      <c r="D241" s="1150"/>
      <c r="E241" s="1150"/>
      <c r="F241" s="1150"/>
      <c r="G241" s="1151"/>
      <c r="H241" s="1152" t="s">
        <v>119</v>
      </c>
      <c r="I241" s="1153"/>
      <c r="J241" s="1153"/>
      <c r="K241" s="1153"/>
      <c r="L241" s="1153"/>
      <c r="M241" s="1153"/>
      <c r="N241" s="1195" t="s">
        <v>112</v>
      </c>
      <c r="O241" s="33"/>
      <c r="P241" s="1154" t="s">
        <v>0</v>
      </c>
    </row>
    <row r="242" spans="1:16" ht="14.25" customHeight="1" x14ac:dyDescent="0.2">
      <c r="A242" s="1148"/>
      <c r="B242" s="1157" t="s">
        <v>117</v>
      </c>
      <c r="C242" s="130" t="s">
        <v>115</v>
      </c>
      <c r="D242" s="1159" t="s">
        <v>277</v>
      </c>
      <c r="E242" s="1161" t="s">
        <v>147</v>
      </c>
      <c r="F242" s="134" t="s">
        <v>7</v>
      </c>
      <c r="G242" s="1162" t="s">
        <v>6</v>
      </c>
      <c r="H242" s="1161" t="s">
        <v>129</v>
      </c>
      <c r="I242" s="1161" t="s">
        <v>111</v>
      </c>
      <c r="J242" s="1161" t="s">
        <v>5</v>
      </c>
      <c r="K242" s="1161" t="s">
        <v>4</v>
      </c>
      <c r="L242" s="1161" t="s">
        <v>3</v>
      </c>
      <c r="M242" s="1161" t="s">
        <v>98</v>
      </c>
      <c r="N242" s="1196"/>
      <c r="O242" s="1160" t="s">
        <v>114</v>
      </c>
      <c r="P242" s="1155"/>
    </row>
    <row r="243" spans="1:16" ht="14.25" customHeight="1" x14ac:dyDescent="0.2">
      <c r="A243" s="1148"/>
      <c r="B243" s="1157"/>
      <c r="C243" s="21" t="str">
        <f>IF(C239="","",C239)</f>
        <v/>
      </c>
      <c r="D243" s="1160"/>
      <c r="E243" s="1161"/>
      <c r="F243" s="1165" t="str">
        <f>IF(H234=0,"","siehe Zuschläge / Zulagen")</f>
        <v/>
      </c>
      <c r="G243" s="1162"/>
      <c r="H243" s="1164" t="s">
        <v>127</v>
      </c>
      <c r="I243" s="1161"/>
      <c r="J243" s="1164"/>
      <c r="K243" s="1164"/>
      <c r="L243" s="1164"/>
      <c r="M243" s="1161"/>
      <c r="N243" s="1196"/>
      <c r="O243" s="1160"/>
      <c r="P243" s="1155"/>
    </row>
    <row r="244" spans="1:16" x14ac:dyDescent="0.2">
      <c r="A244" s="1148"/>
      <c r="B244" s="1157"/>
      <c r="C244" s="128" t="s">
        <v>70</v>
      </c>
      <c r="D244" s="1160"/>
      <c r="E244" s="1161"/>
      <c r="F244" s="1165"/>
      <c r="G244" s="1162"/>
      <c r="H244" s="43" t="s">
        <v>128</v>
      </c>
      <c r="I244" s="1161"/>
      <c r="J244" s="43" t="s">
        <v>255</v>
      </c>
      <c r="K244" s="43" t="s">
        <v>256</v>
      </c>
      <c r="L244" s="43" t="s">
        <v>257</v>
      </c>
      <c r="M244" s="1161"/>
      <c r="N244" s="1196"/>
      <c r="O244" s="1160"/>
      <c r="P244" s="1155"/>
    </row>
    <row r="245" spans="1:16" x14ac:dyDescent="0.2">
      <c r="A245" s="1148"/>
      <c r="B245" s="1158"/>
      <c r="C245" s="21" t="str">
        <f>IF(F239="","",F239)</f>
        <v/>
      </c>
      <c r="D245" s="51"/>
      <c r="E245" s="51"/>
      <c r="F245" s="1166"/>
      <c r="G245" s="1163"/>
      <c r="H245" s="93"/>
      <c r="I245" s="21"/>
      <c r="J245" s="139">
        <f>$J$25</f>
        <v>0</v>
      </c>
      <c r="K245" s="139">
        <f>$K$25</f>
        <v>0</v>
      </c>
      <c r="L245" s="44">
        <f>$L$25</f>
        <v>0</v>
      </c>
      <c r="M245" s="21"/>
      <c r="N245" s="21"/>
      <c r="O245" s="21">
        <f>O201</f>
        <v>0</v>
      </c>
      <c r="P245" s="1156"/>
    </row>
    <row r="246" spans="1:16" x14ac:dyDescent="0.2">
      <c r="A246" s="100" t="str">
        <f>$A$26</f>
        <v>Jan 2022</v>
      </c>
      <c r="B246" s="24">
        <f>ROUND(IF(N226=0,0,(LOOKUP(2,1/(A234:A237=A246),G234:G237))*N226*4.348*50%),2)</f>
        <v>0</v>
      </c>
      <c r="C246" s="23">
        <f>ROUND(IFERROR(((LOOKUP(2,1/(B239=A246),((SUM(B252:B254)+SUM(F252:F254))/3)*C239))),0)+IFERROR(((LOOKUP(2,1/(E239=A246),(B258+F258)*F239))),0),2)</f>
        <v>0</v>
      </c>
      <c r="D246" s="23">
        <f>ROUND(IF(B246=0,0,D245/L227*N226*50%),2)</f>
        <v>0</v>
      </c>
      <c r="E246" s="23">
        <f>ROUND(IF(B246=0,0,E245/N223*N226*50%),2)</f>
        <v>0</v>
      </c>
      <c r="F246" s="24">
        <f>ROUND(IF(N226=0,0,(LOOKUP(2,1/(A234:A237=A246),H234:H237))/N223*N226*50%),2)</f>
        <v>0</v>
      </c>
      <c r="G246" s="27">
        <f>SUM(B246+C246+E246+F246)</f>
        <v>0</v>
      </c>
      <c r="H246" s="76">
        <f>ROUND(IF((SUM(B246:F246))&gt;L261,L261*H245,SUM(B246:F246)*H245),2)</f>
        <v>0</v>
      </c>
      <c r="I246" s="76">
        <f>ROUND(IF((SUM(B246:F246)*80%)&gt;((L262*1)*90%),((((L262*1)*90%)-((SUM(B246:F246)-C246))*I245)+((SUM(B246:F246)-C246)*I245)*80%),((SUM(B246:F246)-C246)*I245)*80%),2)</f>
        <v>0</v>
      </c>
      <c r="J246" s="76">
        <f>ROUND(IF((SUM(B246:F246))&gt;L262,L262*J245,SUM(B246:F246)*J245),2)</f>
        <v>0</v>
      </c>
      <c r="K246" s="76">
        <f>ROUND(IF((SUM(B246:F246))&gt;L262,L262*K245,SUM(B246:F246)*K245),2)</f>
        <v>0</v>
      </c>
      <c r="L246" s="76">
        <f>ROUND(IF((SUM(B246:F246))&gt;L261,L261*L245,SUM(B246:F246)*L245),2)</f>
        <v>0</v>
      </c>
      <c r="M246" s="76">
        <f>ROUND(IF((SUM(B246:F246))&gt;L262,L262*M245,(SUM(B246:F246)-C246)*M245),2)</f>
        <v>0</v>
      </c>
      <c r="N246" s="23">
        <f>ROUND((B246+E246+F246)*N245,2)</f>
        <v>0</v>
      </c>
      <c r="O246" s="23">
        <f>ROUND(SUM(B246+C246+F246)*O245,2)</f>
        <v>0</v>
      </c>
      <c r="P246" s="27">
        <f>SUM(G246:O246)</f>
        <v>0</v>
      </c>
    </row>
    <row r="247" spans="1:16" x14ac:dyDescent="0.2">
      <c r="A247" s="100" t="str">
        <f>$A$27</f>
        <v>Feb 2022</v>
      </c>
      <c r="B247" s="24">
        <f>ROUND(IF(N227=0,0,IFERROR(((LOOKUP(2,1/(A234:A237=A247),G234:G237))*N227*4.348*50%),B246/N227*N227)),2)</f>
        <v>0</v>
      </c>
      <c r="C247" s="23">
        <f>ROUND(IFERROR(((LOOKUP(2,1/(B239=A247),((SUM(B252:B254)+SUM(F252:F254))/3)*C239))),0)+IFERROR(((LOOKUP(2,1/(E239=A247),(B258+F258)*F239))),0),2)</f>
        <v>0</v>
      </c>
      <c r="D247" s="23">
        <f>ROUND(IF(B247=0,0,D245/L227*N227*50%),2)</f>
        <v>0</v>
      </c>
      <c r="E247" s="23">
        <f>ROUND(IF(B247=0,0,E245/N223*N227*50%),2)</f>
        <v>0</v>
      </c>
      <c r="F247" s="24">
        <f>ROUND(IF(N227=0,0,IFERROR(((LOOKUP(2,1/(A234:A237=A247),H234:H237))/N223*N227),F246/N227*N227*50%)),2)</f>
        <v>0</v>
      </c>
      <c r="G247" s="27">
        <f t="shared" ref="G247:G257" si="31">SUM(B247+C247+E247+F247)</f>
        <v>0</v>
      </c>
      <c r="H247" s="76">
        <f>ROUND(IF(SUM(B246:F246)&lt;(L261*1),IF((SUM(B246:F247))&gt;(L261*2),(((L261*2)-(SUM(B246:F247)-C246))*H245)+((SUM(B247:F247)-C246)*H245),SUM(B247:F247)*H245),IF(SUM(B246:F247)&gt;(L261*2),L261*H245,SUM(B247:F247)*H245)),2)</f>
        <v>0</v>
      </c>
      <c r="I247" s="76">
        <f>ROUND(IF((SUM(B246:F247)*80%)&gt;((L262*2)*90%),((((L262*2)*90%)-((SUM(B246:F247)-C247))*I245)+((SUM(B247:F247)-C247)*I245)*80%),((SUM(B247:F247)-C247)*I245)*80%),2)</f>
        <v>0</v>
      </c>
      <c r="J247" s="76">
        <f>ROUND(IF(SUM(B246:F246)&lt;(L262*1),IF((SUM(B246:F247))&gt;(L262*2),(((L262*2)-(SUM(B246:F247)-C246))*J245)+((SUM(B247:F247)-C246)*J245),SUM(B247:F247)*J245),IF(SUM(B246:F247)&gt;(L262*2),L262*J245,SUM(B247:F247)*J245)),2)</f>
        <v>0</v>
      </c>
      <c r="K247" s="76">
        <f>ROUND(IF(SUM(B246:F246)&lt;(L262*1),IF((SUM(B246:F247))&gt;(L262*2),(((L262*2)-(SUM(B246:F247)-C246))*K245)+((SUM(B247:F247)-C246)*K245),SUM(B247:F247)*K245),IF(SUM(B246:F247)&gt;(L262*2),L262*K245,SUM(B247:F247)*K245)),2)</f>
        <v>0</v>
      </c>
      <c r="L247" s="76">
        <f>ROUND(IF(SUM(B246:F246)&lt;(L261*1),IF((SUM(B246:F247))&gt;(L261*2),(((L261*2)-(SUM(B246:F247)-C246))*L245)+((SUM(B247:F247)-C246)*L245),SUM(B247:F247)*L245),IF(SUM(B246:F247)&gt;(L261*2),L261*L245,SUM(B247:F247)*L245)),2)</f>
        <v>0</v>
      </c>
      <c r="M247" s="76">
        <f>ROUND(IF(SUM(B246:F246)&lt;(L262*1),IF((SUM(B246:F247))&gt;(L262*2),(((L262*2)-(SUM(B246:F247)-C247))*M245)+((SUM(B247:F247)-C247)*M245),(SUM(B247:F247)-C247)*M245),IF(SUM(B246:F247)&gt;(L262*2),L262*M245,SUM(B247:F247)*M245)),2)</f>
        <v>0</v>
      </c>
      <c r="N247" s="23">
        <f>ROUND((B247+E247+F247)*N245,2)</f>
        <v>0</v>
      </c>
      <c r="O247" s="23">
        <f>ROUND(SUM(B247+C247+F247)*O245,2)</f>
        <v>0</v>
      </c>
      <c r="P247" s="27">
        <f t="shared" ref="P247:P256" si="32">SUM(G247:O247)</f>
        <v>0</v>
      </c>
    </row>
    <row r="248" spans="1:16" x14ac:dyDescent="0.2">
      <c r="A248" s="100" t="str">
        <f>$A$28</f>
        <v>Mrz 2022</v>
      </c>
      <c r="B248" s="24">
        <f>ROUND(IF(N228=0,0,IFERROR(((LOOKUP(2,1/(A234:A237=A248),G234:G237))*N228*4.348*50%),B247/N228*N228)),2)</f>
        <v>0</v>
      </c>
      <c r="C248" s="23">
        <f>ROUND(IFERROR(((LOOKUP(2,1/(B239=A248),((SUM(B252:B254)+SUM(F252:F254))/3)*C239))),0)+IFERROR(((LOOKUP(2,1/(E239=A248),(B258+F258)*F239))),0),2)</f>
        <v>0</v>
      </c>
      <c r="D248" s="23">
        <f>ROUND(IF(B248=0,0,D245/L227*N228*50%),2)</f>
        <v>0</v>
      </c>
      <c r="E248" s="23">
        <f>ROUND(IF(B248=0,0,E245/N223*N228*50%),2)</f>
        <v>0</v>
      </c>
      <c r="F248" s="24">
        <f>ROUND(IF(N228=0,0,IFERROR(((LOOKUP(2,1/(A234:A237=A248),H234:H237))/N223*N228),F247/N228*N228*50%)),2)</f>
        <v>0</v>
      </c>
      <c r="G248" s="27">
        <f t="shared" si="31"/>
        <v>0</v>
      </c>
      <c r="H248" s="76">
        <f>ROUND(IF(SUM(B246:F247)&lt;(L261*2),IF((SUM(B246:F248))&gt;(L261*3),(((L261*3)-(SUM(B246:F248)-C247))*H245)+((SUM(B248:F248)-C247)*H245),SUM(B248:F248)*H245),IF(SUM(B246:F248)&gt;(L261*3),L261*H245,SUM(B248:F248)*H245)),2)</f>
        <v>0</v>
      </c>
      <c r="I248" s="76">
        <f>ROUND(IF((SUM(B246:F248)*80%)&gt;((L262*3)*90%),((((L262*3)*90%)-((SUM(B246:F248)-C248))*I245)+((SUM(B248:F248)-C248)*I245)*80%),((SUM(B248:F248)-C248)*I245)*80%),2)</f>
        <v>0</v>
      </c>
      <c r="J248" s="76">
        <f>ROUND(IF(SUM(B246:F247)&lt;(L262*2),IF((SUM(B246:F248))&gt;(L262*3),(((L262*3)-(SUM(B246:F248)-C247))*J245)+((SUM(B248:F248)-C247)*J245),SUM(B248:F248)*J245),IF(SUM(B246:F248)&gt;(L262*3),L262*J245,SUM(B248:F248)*J245)),2)</f>
        <v>0</v>
      </c>
      <c r="K248" s="76">
        <f>ROUND(IF(SUM(B246:F247)&lt;(L262*2),IF((SUM(B246:F248))&gt;(L262*3),(((L262*3)-(SUM(B246:F248)-C247))*K245)+((SUM(B248:F248)-C247)*K245),SUM(B248:F248)*K245),IF(SUM(B246:F248)&gt;(L262*3),L262*K245,SUM(B248:F248)*K245)),2)</f>
        <v>0</v>
      </c>
      <c r="L248" s="76">
        <f>ROUND(IF(SUM(B246:F247)&lt;(L261*2),IF((SUM(B246:F248))&gt;(L261*3),(((L261*3)-(SUM(B246:F248)-C247))*L245)+((SUM(B248:F248)-C247)*L245),SUM(B248:F248)*L245),IF(SUM(B246:F248)&gt;(L261*3),L261*L245,SUM(B248:F248)*L245)),2)</f>
        <v>0</v>
      </c>
      <c r="M248" s="76">
        <f>ROUND(IF(SUM(B246:F247)&lt;(L262*2),IF((SUM(B246:F248))&gt;(L262*3),(((L262*3)-(SUM(B246:F248)-C248))*M245)+((SUM(B248:F248)-C248)*M245),(SUM(B248:F248)-C248)*M245),IF(SUM(B246:F248)&gt;(L262*3),L262*M245,SUM(B248:F248)*M245)),2)</f>
        <v>0</v>
      </c>
      <c r="N248" s="23">
        <f>ROUND((B248+E248+F248)*N245,2)</f>
        <v>0</v>
      </c>
      <c r="O248" s="23">
        <f>ROUND(SUM(B248+C248+F248)*O245,2)</f>
        <v>0</v>
      </c>
      <c r="P248" s="27">
        <f t="shared" si="32"/>
        <v>0</v>
      </c>
    </row>
    <row r="249" spans="1:16" ht="14.25" customHeight="1" x14ac:dyDescent="0.2">
      <c r="A249" s="100" t="str">
        <f>$A$29</f>
        <v>Apr 2022</v>
      </c>
      <c r="B249" s="24">
        <f>ROUND(IF(N229=0,0,IFERROR(((LOOKUP(2,1/(A234:A237=A249),G234:G237))*N229*4.348*50%),B248/N229*N229)),2)</f>
        <v>0</v>
      </c>
      <c r="C249" s="23">
        <f>ROUND(IFERROR(((LOOKUP(2,1/(B239=A249),((SUM(B252:B254)+SUM(F252:F254))/3)*C239))),0)+IFERROR(((LOOKUP(2,1/(E239=A249),(B258+F258)*F239))),0),2)</f>
        <v>0</v>
      </c>
      <c r="D249" s="23">
        <f>ROUND(IF(B249=0,0,D245/L227*N229*50%),2)</f>
        <v>0</v>
      </c>
      <c r="E249" s="23">
        <f>ROUND(IF(B249=0,0,E245/N223*N229*50%),2)</f>
        <v>0</v>
      </c>
      <c r="F249" s="24">
        <f>ROUND(IF(N229=0,0,IFERROR(((LOOKUP(2,1/(A234:A237=A249),H234:H237))/N223*N229),F248/N229*N229*50%)),2)</f>
        <v>0</v>
      </c>
      <c r="G249" s="27">
        <f t="shared" si="31"/>
        <v>0</v>
      </c>
      <c r="H249" s="76">
        <f>ROUND(IF(SUM(B246:F248)&lt;(L261*3),IF((SUM(B246:F249))&gt;(L261*4),(((L261*4)-(SUM(B246:F249)-C248))*H245)+((SUM(B249:F249)-C248)*H245),SUM(B249:F249)*H245),IF(SUM(B246:F249)&gt;(L261*4),L261*H245,SUM(B249:F249)*H245)),2)</f>
        <v>0</v>
      </c>
      <c r="I249" s="76">
        <f>ROUND(IF((SUM(B246:F249)*80%)&gt;((L262*4)*90%),((((L262*4)*90%)-((SUM(B246:F249)-C249))*I245)+((SUM(B249:F249)-C249)*I245)*80%),((SUM(B249:F249)-C249)*I245)*80%),2)</f>
        <v>0</v>
      </c>
      <c r="J249" s="76">
        <f>ROUND(IF(SUM(B246:F248)&lt;(L262*3),IF((SUM(B246:F249))&gt;(L262*4),(((L262*4)-(SUM(B246:F249)-C248))*J245)+((SUM(B249:F249)-C248)*J245),SUM(B249:F249)*J245),IF(SUM(B246:F249)&gt;(L262*4),L262*J245,SUM(B249:F249)*J245)),2)</f>
        <v>0</v>
      </c>
      <c r="K249" s="76">
        <f>ROUND(IF(SUM(B246:F248)&lt;(L262*3),IF((SUM(B246:F249))&gt;(L262*4),(((L262*4)-(SUM(B246:F249)-C248))*K245)+((SUM(B249:F249)-C248)*K245),SUM(B249:F249)*K245),IF(SUM(B246:F249)&gt;(L262*4),L262*K245,SUM(B249:F249)*K245)),2)</f>
        <v>0</v>
      </c>
      <c r="L249" s="76">
        <f>ROUND(IF(SUM(B246:F248)&lt;(L261*3),IF((SUM(B246:F249))&gt;(L261*4),(((L261*4)-(SUM(B246:F249)-C248))*L245)+((SUM(B249:F249)-C248)*L245),SUM(B249:F249)*L245),IF(SUM(B246:F249)&gt;(L261*4),L261*L245,SUM(B249:F249)*L245)),2)</f>
        <v>0</v>
      </c>
      <c r="M249" s="76">
        <f>ROUND(IF(SUM(B246:F248)&lt;(L262*3),IF((SUM(B246:F249))&gt;(L262*4),(((L262*4)-(SUM(B246:F249)-C249))*M245)+((SUM(B249:F249)-C249)*M245),(SUM(B249:F249)-C249)*M245),IF(SUM(B246:F249)&gt;(L262*4),L262*M245,SUM(B249:F249)*M245)),2)</f>
        <v>0</v>
      </c>
      <c r="N249" s="23">
        <f>ROUND((B249+E249+F249)*N245,2)</f>
        <v>0</v>
      </c>
      <c r="O249" s="23">
        <f>ROUND(SUM(B249+C249+F249)*O245,2)</f>
        <v>0</v>
      </c>
      <c r="P249" s="27">
        <f t="shared" si="32"/>
        <v>0</v>
      </c>
    </row>
    <row r="250" spans="1:16" x14ac:dyDescent="0.2">
      <c r="A250" s="100" t="str">
        <f>$A$30</f>
        <v>Mai 2022</v>
      </c>
      <c r="B250" s="24">
        <f>ROUND(IF(N230=0,0,IFERROR(((LOOKUP(2,1/(A234:A237=A250),G234:G237))*N230*4.348*50%),B249/N230*N230)),2)</f>
        <v>0</v>
      </c>
      <c r="C250" s="23">
        <f>ROUND(IFERROR(((LOOKUP(2,1/(B239=A250),((SUM(B252:B254)+SUM(F252:F254))/3)*C239))),0)+IFERROR(((LOOKUP(2,1/(E239=A250),(B258+F258)*F239))),0),2)</f>
        <v>0</v>
      </c>
      <c r="D250" s="23">
        <f>ROUND(IF(B250=0,0,D245/L227*N230*50%),2)</f>
        <v>0</v>
      </c>
      <c r="E250" s="23">
        <f>ROUND(IF(B250=0,0,E245/N223*N230*50%),2)</f>
        <v>0</v>
      </c>
      <c r="F250" s="24">
        <f>ROUND(IF(N230=0,0,IFERROR(((LOOKUP(2,1/(A234:A237=A250),H234:H237))/N223*N230),F249/N230*N230*50%)),2)</f>
        <v>0</v>
      </c>
      <c r="G250" s="27">
        <f t="shared" si="31"/>
        <v>0</v>
      </c>
      <c r="H250" s="76">
        <f>ROUND(IF(SUM(B246:F249)&lt;(L261*4),IF((SUM(B246:F250))&gt;(L261*5),(((L261*5)-(SUM(B246:F250)-C249))*H245)+((SUM(B250:F250)-C249)*H245),SUM(B250:F250)*H245),IF(SUM(B246:F250)&gt;(L261*5),L261*H245,SUM(B250:F250)*H245)),2)</f>
        <v>0</v>
      </c>
      <c r="I250" s="76">
        <f>ROUND(IF((SUM(B246:F250)*80%)&gt;((L262*5)*90%),((((L262*5)*90%)-((SUM(B246:F250)-C250))*I245)+((SUM(B250:F250)-C250)*I245)*80%),((SUM(B250:F250)-C250)*I245)*80%),2)</f>
        <v>0</v>
      </c>
      <c r="J250" s="76">
        <f>ROUND(IF(SUM(B246:F249)&lt;(L262*4),IF((SUM(B246:F250))&gt;(L262*5),(((L262*5)-(SUM(B246:F250)-C249))*J245)+((SUM(B250:F250)-C249)*J245),SUM(B250:F250)*J245),IF(SUM(B246:F250)&gt;(L262*5),L262*J245,SUM(B250:F250)*J245)),2)</f>
        <v>0</v>
      </c>
      <c r="K250" s="76">
        <f>ROUND(IF(SUM(B246:F249)&lt;(L262*4),IF((SUM(B246:F250))&gt;(L262*5),(((L262*5)-(SUM(B246:F250)-C249))*K245)+((SUM(B250:F250)-C249)*K245),SUM(B250:F250)*K245),IF(SUM(B246:F250)&gt;(L262*5),L262*K245,SUM(B250:F250)*K245)),2)</f>
        <v>0</v>
      </c>
      <c r="L250" s="76">
        <f>ROUND(IF(SUM(B246:F249)&lt;(L261*4),IF((SUM(B246:F250))&gt;(L261*5),(((L261*5)-(SUM(B246:F250)-C249))*L245)+((SUM(B250:F250)-C249)*L245),SUM(B250:F250)*L245),IF(SUM(B246:F250)&gt;(L261*5),L261*L245,SUM(B250:F250)*L245)),2)</f>
        <v>0</v>
      </c>
      <c r="M250" s="76">
        <f>ROUND(IF(SUM(B246:F249)&lt;(L262*4),IF((SUM(B246:F250))&gt;(L262*5),(((L262*5)-(SUM(B246:F250)-C250))*M245)+((SUM(B250:F250)-C250)*M245),(SUM(B250:F250)-C250)*M245),IF(SUM(B246:F250)&gt;(L262*5),L262*M245,SUM(B250:F250)*M245)),2)</f>
        <v>0</v>
      </c>
      <c r="N250" s="23">
        <f>ROUND((B250+E250+F250)*N245,2)</f>
        <v>0</v>
      </c>
      <c r="O250" s="23">
        <f>ROUND(SUM(B250+C250+F250)*O245,2)</f>
        <v>0</v>
      </c>
      <c r="P250" s="27">
        <f t="shared" si="32"/>
        <v>0</v>
      </c>
    </row>
    <row r="251" spans="1:16" x14ac:dyDescent="0.2">
      <c r="A251" s="100" t="str">
        <f>$A$31</f>
        <v>Jun 2022</v>
      </c>
      <c r="B251" s="24">
        <f>ROUND(IF(N231=0,0,IFERROR(((LOOKUP(2,1/(A234:A237=A251),G234:G237))*N231*4.348*50%),B250/N231*N231)),2)</f>
        <v>0</v>
      </c>
      <c r="C251" s="23">
        <f>ROUND(IFERROR(((LOOKUP(2,1/(B239=A251),((SUM(B252:B254)+SUM(F252:F254))/3)*C239))),0)+IFERROR(((LOOKUP(2,1/(E239=A251),(B258+F258)*F239))),0),2)</f>
        <v>0</v>
      </c>
      <c r="D251" s="23">
        <f>ROUND(IF(B251=0,0,D245/L227*N231*50%),2)</f>
        <v>0</v>
      </c>
      <c r="E251" s="23">
        <f>ROUND(IF(B251=0,0,E245/N223*N231*50%),2)</f>
        <v>0</v>
      </c>
      <c r="F251" s="24">
        <f>ROUND(IF(N231=0,0,IFERROR(((LOOKUP(2,1/(A234:A237=A251),H234:H237))/N223*N231),F250/N231*N231*50%)),2)</f>
        <v>0</v>
      </c>
      <c r="G251" s="27">
        <f t="shared" si="31"/>
        <v>0</v>
      </c>
      <c r="H251" s="76">
        <f>ROUND(IF(SUM(B246:F250)&lt;(L261*5),IF((SUM(B246:F251))&gt;(L261*6),(((L261*6)-(SUM(B246:F251)-C250))*H245)+((SUM(B251:F251)-C250)*H245),SUM(B251:F251)*H245),IF(SUM(B246:F251)&gt;(L261*6),L261*H245,SUM(B251:F251)*H245)),2)</f>
        <v>0</v>
      </c>
      <c r="I251" s="76">
        <f>ROUND(IF((SUM(B246:F251)*80%)&gt;((L262*6)*90%),((((L262*6)*90%)-((SUM(B246:F251)-C251))*I245)+((SUM(B251:F251)-C251)*I245)*80%),((SUM(B251:F251)-C251)*I245)*80%),2)</f>
        <v>0</v>
      </c>
      <c r="J251" s="76">
        <f>ROUND(IF(SUM(B246:F250)&lt;(L262*5),IF((SUM(B246:F251))&gt;(L262*6),(((L262*6)-(SUM(B246:F251)-C250))*J245)+((SUM(B251:F251)-C250)*J245),SUM(B251:F251)*J245),IF(SUM(B246:F251)&gt;(L262*6),L262*J245,SUM(B251:F251)*J245)),2)</f>
        <v>0</v>
      </c>
      <c r="K251" s="76">
        <f>ROUND(IF(SUM(B246:F250)&lt;(L262*5),IF((SUM(B246:F251))&gt;(L262*6),(((L262*6)-(SUM(B246:F251)-C250))*K245)+((SUM(B251:F251)-C250)*K245),SUM(B251:F251)*K245),IF(SUM(B246:F251)&gt;(L262*6),L262*K245,SUM(B251:F251)*K245)),2)</f>
        <v>0</v>
      </c>
      <c r="L251" s="76">
        <f>ROUND(IF(SUM(B246:F250)&lt;(L261*5),IF((SUM(B246:F251))&gt;(L261*6),(((L261*6)-(SUM(B246:F251)-C250))*L245)+((SUM(B251:F251)-C250)*L245),SUM(B251:F251)*L245),IF(SUM(B246:F251)&gt;(L261*6),L261*L245,SUM(B251:F251)*L245)),2)</f>
        <v>0</v>
      </c>
      <c r="M251" s="76">
        <f>ROUND(IF(SUM(B246:F250)&lt;(L262*5),IF((SUM(B246:F251))&gt;(L262*6),(((L262*6)-(SUM(B246:F251)-C251))*M245)+((SUM(B251:F251)-C251)*M245),(SUM(B251:F251)-C251)*M245),IF(SUM(B246:F251)&gt;(L262*6),L262*M245,SUM(B251:F251)*M245)),2)</f>
        <v>0</v>
      </c>
      <c r="N251" s="23">
        <f>ROUND((B251+E251+F251)*N245,2)</f>
        <v>0</v>
      </c>
      <c r="O251" s="23">
        <f>ROUND(SUM(B251+C251+F251)*O245,2)</f>
        <v>0</v>
      </c>
      <c r="P251" s="27">
        <f t="shared" si="32"/>
        <v>0</v>
      </c>
    </row>
    <row r="252" spans="1:16" x14ac:dyDescent="0.2">
      <c r="A252" s="100" t="str">
        <f>$A$32</f>
        <v>Jul 2022</v>
      </c>
      <c r="B252" s="24">
        <f>ROUND(IF(P226=0,0,IFERROR(((LOOKUP(2,1/(A234:A237=A252),G234:G237))*P226*4.348*50%),B251/P226*P226)),2)</f>
        <v>0</v>
      </c>
      <c r="C252" s="23">
        <f>ROUND(IFERROR(((LOOKUP(2,1/(B239=A252),((SUM(B252:B254)+SUM(F252:F254))/3)*C239))),0)+IFERROR(((LOOKUP(2,1/(E239=A252),(B258+F258)*F239))),0),2)</f>
        <v>0</v>
      </c>
      <c r="D252" s="23">
        <f>ROUND(IF(B252=0,0,D245/L227*P226*50%),2)</f>
        <v>0</v>
      </c>
      <c r="E252" s="23">
        <f>ROUND(IF(B252=0,0,E245/N223*P226*50%),2)</f>
        <v>0</v>
      </c>
      <c r="F252" s="24">
        <f>ROUND(IF(P226=0,0,IFERROR(((LOOKUP(2,1/(A234:A237=A252),H234:H237))/N223*P226),F251/P226*P226*50%)),2)</f>
        <v>0</v>
      </c>
      <c r="G252" s="27">
        <f t="shared" si="31"/>
        <v>0</v>
      </c>
      <c r="H252" s="76">
        <f>ROUND(IF(SUM(B246:F251)&lt;(L261*6),IF((SUM(B246:F252))&gt;(L261*7),(((L261*7)-(SUM(B246:F252)-C251))*H245)+((SUM(B252:F252)-C251)*H245),SUM(B252:F252)*H245),IF(SUM(B246:F252)&gt;(L261*7),L261*H245,SUM(B252:F252)*H245)),2)</f>
        <v>0</v>
      </c>
      <c r="I252" s="76">
        <f>ROUND(IF((SUM(B246:F252)*80%)&gt;((L262*7)*90%),((((L262*7)*90%)-((SUM(B246:F252)-C252))*I245)+((SUM(B252:F252)-C252)*I245)*80%),((SUM(B252:F252)-C252)*I245)*80%),2)</f>
        <v>0</v>
      </c>
      <c r="J252" s="76">
        <f>ROUND(IF(SUM(B246:F251)&lt;(L262*6),IF((SUM(B246:F252))&gt;(L262*7),(((L262*7)-(SUM(B246:F252)-C251))*J245)+((SUM(B252:F252)-C251)*J245),SUM(B252:F252)*J245),IF(SUM(B246:F252)&gt;(L262*7),L262*J245,SUM(B252:F252)*J245)),2)</f>
        <v>0</v>
      </c>
      <c r="K252" s="76">
        <f>ROUND(IF(SUM(B246:F251)&lt;(L262*6),IF((SUM(B246:F252))&gt;(L262*7),(((L262*7)-(SUM(B246:F252)-C251))*K245)+((SUM(B252:F252)-C251)*K245),SUM(B252:F252)*K245),IF(SUM(B246:F252)&gt;(L262*7),L262*K245,SUM(B252:F252)*K245)),2)</f>
        <v>0</v>
      </c>
      <c r="L252" s="76">
        <f>ROUND(IF(SUM(B246:F251)&lt;(L261*6),IF((SUM(B246:F252))&gt;(L261*7),(((L261*7)-(SUM(B246:F252)-C251))*L245)+((SUM(B252:F252)-C251)*L245),SUM(B252:F252)*L245),IF(SUM(B246:F252)&gt;(L261*7),L261*L245,SUM(B252:F252)*L245)),2)</f>
        <v>0</v>
      </c>
      <c r="M252" s="76">
        <f>ROUND(IF(SUM(B246:F251)&lt;(L262*6),IF((SUM(B246:F252))&gt;(L262*7),(((L262*7)-(SUM(B246:F252)-C252))*M245)+((SUM(B252:F252)-C252)*M245),(SUM(B252:F252)-C252)*M245),IF(SUM(B246:F252)&gt;(L262*7),L262*M245,SUM(B252:F252)*M245)),2)</f>
        <v>0</v>
      </c>
      <c r="N252" s="23">
        <f>ROUND((B252+E252+F252)*N245,2)</f>
        <v>0</v>
      </c>
      <c r="O252" s="23">
        <f>ROUND(SUM(B252+C252+F252)*O245,2)</f>
        <v>0</v>
      </c>
      <c r="P252" s="27">
        <f t="shared" si="32"/>
        <v>0</v>
      </c>
    </row>
    <row r="253" spans="1:16" x14ac:dyDescent="0.2">
      <c r="A253" s="100" t="str">
        <f>$A$33</f>
        <v>Aug 2022</v>
      </c>
      <c r="B253" s="24">
        <f>ROUND(IF(P227=0,0,IFERROR(((LOOKUP(2,1/(A234:A237=A253),G234:G237))*P227*4.348*50%),B252/P227*P227)),2)</f>
        <v>0</v>
      </c>
      <c r="C253" s="23">
        <f>ROUND(IFERROR(((LOOKUP(2,1/(B239=A253),((SUM(B252:B254)+SUM(F252:F254))/3)*C239))),0)+IFERROR(((LOOKUP(2,1/(E239=A253),(B258+F258)*F239))),0),2)</f>
        <v>0</v>
      </c>
      <c r="D253" s="23">
        <f>ROUND(IF(B253=0,0,D245/L227*P227*50%),2)</f>
        <v>0</v>
      </c>
      <c r="E253" s="23">
        <f>ROUND(IF(B253=0,0,E245/N223*P227*50%),2)</f>
        <v>0</v>
      </c>
      <c r="F253" s="24">
        <f>ROUND(IF(P227=0,0,IFERROR(((LOOKUP(2,1/(A234:A237=A253),H234:H237))/N223*P227),F252/P227*P227*50%)),2)</f>
        <v>0</v>
      </c>
      <c r="G253" s="27">
        <f t="shared" si="31"/>
        <v>0</v>
      </c>
      <c r="H253" s="76">
        <f>ROUND(IF(SUM(B246:F252)&lt;(L261*7),IF((SUM(B246:F253))&gt;(L261*8),(((L261*8)-(SUM(B246:F253)-C252))*H245)+((SUM(B253:F253)-C252)*H245),SUM(B253:F253)*H245),IF(SUM(B246:F253)&gt;(L261*8),L261*H245,SUM(B253:F253)*H245)),2)</f>
        <v>0</v>
      </c>
      <c r="I253" s="76">
        <f>ROUND(IF((SUM(B246:F253)*80%)&gt;((L262*8)*90%),((((L262*8)*90%)-((SUM(B246:F253)-C253))*I245)+((SUM(B253:F253)-C253)*I245)*80%),((SUM(B253:F253)-C253)*I245)*80%),2)</f>
        <v>0</v>
      </c>
      <c r="J253" s="76">
        <f>ROUND(IF(SUM(B246:F252)&lt;(L262*7),IF((SUM(B246:F253))&gt;(L262*8),(((L262*8)-(SUM(B246:F253)-C252))*J245)+((SUM(B253:F253)-C252)*J245),SUM(B253:F253)*J245),IF(SUM(B246:F253)&gt;(L262*8),L262*J245,SUM(B253:F253)*J245)),2)</f>
        <v>0</v>
      </c>
      <c r="K253" s="76">
        <f>ROUND(IF(SUM(B246:F252)&lt;(L262*7),IF((SUM(B246:F253))&gt;(L262*8),(((L262*8)-(SUM(B246:F253)-C252))*K245)+((SUM(B253:F253)-C252)*K245),SUM(B253:F253)*K245),IF(SUM(B246:F253)&gt;(L262*8),L262*K245,SUM(B253:F253)*K245)),2)</f>
        <v>0</v>
      </c>
      <c r="L253" s="76">
        <f>ROUND(IF(SUM(B246:F252)&lt;(L261*7),IF((SUM(B246:F253))&gt;(L261*8),(((L261*8)-(SUM(B246:F253)-C252))*L245)+((SUM(B253:F253)-C252)*L245),SUM(B253:F253)*L245),IF(SUM(B246:F253)&gt;(L261*8),L261*L245,SUM(B253:F253)*L245)),2)</f>
        <v>0</v>
      </c>
      <c r="M253" s="76">
        <f>ROUND(IF(SUM(B246:F252)&lt;(L262*7),IF((SUM(B246:F253))&gt;(L262*8),(((L262*8)-(SUM(B246:F253)-C253))*M245)+((SUM(B253:F253)-C253)*M245),(SUM(B253:F253)-C253)*M245),IF(SUM(B246:F253)&gt;(L262*8),L262*M245,SUM(B253:F253)*M245)),2)</f>
        <v>0</v>
      </c>
      <c r="N253" s="23">
        <f>ROUND((B253+E253+F253)*N245,2)</f>
        <v>0</v>
      </c>
      <c r="O253" s="23">
        <f>ROUND(SUM(B253+C253+F253)*O245,2)</f>
        <v>0</v>
      </c>
      <c r="P253" s="27">
        <f t="shared" si="32"/>
        <v>0</v>
      </c>
    </row>
    <row r="254" spans="1:16" x14ac:dyDescent="0.2">
      <c r="A254" s="100" t="str">
        <f>$A$34</f>
        <v>Sep 2022</v>
      </c>
      <c r="B254" s="24">
        <f>ROUND(IF(P228=0,0,IFERROR(((LOOKUP(2,1/(A234:A237=A254),G234:G237))*P228*4.348*50%),B253/P228*P228)),2)</f>
        <v>0</v>
      </c>
      <c r="C254" s="23">
        <f>ROUND(IFERROR(((LOOKUP(2,1/(B239=A254),((SUM(B252:B254)+SUM(F252:F254))/3)*C239))),0)+IFERROR(((LOOKUP(2,1/(E239=A254),(B258+F258)*F239))),0),2)</f>
        <v>0</v>
      </c>
      <c r="D254" s="23">
        <f>ROUND(IF(B254=0,0,D245/L227*P228*50%),2)</f>
        <v>0</v>
      </c>
      <c r="E254" s="23">
        <f>ROUND(IF(B254=0,0,E245/N223*P228*50),2)</f>
        <v>0</v>
      </c>
      <c r="F254" s="24">
        <f>ROUND(IF(P228=0,0,IFERROR(((LOOKUP(2,1/(A234:A237=A254),H234:H237))/N223*P228),F253/P228*P228*50%)),2)</f>
        <v>0</v>
      </c>
      <c r="G254" s="27">
        <f t="shared" si="31"/>
        <v>0</v>
      </c>
      <c r="H254" s="76">
        <f>ROUND(IF(SUM(B246:F253)&lt;(L261*8),IF((SUM(B246:F254))&gt;(L261*9),(((L261*9)-(SUM(B246:F254)-C253))*H245)+((SUM(B254:F254)-C253)*H245),SUM(B254:F254)*H245),IF(SUM(B246:F254)&gt;(L261*9),L261*H245,SUM(B254:F254)*H245)),2)</f>
        <v>0</v>
      </c>
      <c r="I254" s="76">
        <f>ROUND(IF((SUM(B246:F254)*80%)&gt;((L262*9)*90%),((((L262*9)*90%)-((SUM(B246:F254)-C254))*I245)+((SUM(B254:F254)-C254)*I245)*80%),((SUM(B254:F254)-C254)*I245)*80%),2)</f>
        <v>0</v>
      </c>
      <c r="J254" s="76">
        <f>ROUND(IF(SUM(B246:F253)&lt;(L262*8),IF((SUM(B246:F254))&gt;(L262*9),(((L262*9)-(SUM(B246:F254)-C253))*J245)+((SUM(B254:F254)-C253)*J245),SUM(B254:F254)*J245),IF(SUM(B246:F254)&gt;(L262*9),L262*J245,SUM(B254:F254)*J245)),2)</f>
        <v>0</v>
      </c>
      <c r="K254" s="76">
        <f>ROUND(IF(SUM(B246:F253)&lt;(L262*8),IF((SUM(B246:F254))&gt;(L262*9),(((L262*9)-(SUM(B246:F254)-C253))*K245)+((SUM(B254:F254)-C253)*K245),SUM(B254:F254)*K245),IF(SUM(B246:F254)&gt;(L262*9),L262*K245,SUM(B254:F254)*K245)),2)</f>
        <v>0</v>
      </c>
      <c r="L254" s="76">
        <f>ROUND(IF(SUM(B246:F253)&lt;(L261*8),IF((SUM(B246:F254))&gt;(L261*9),(((L261*9)-(SUM(B246:F254)-C253))*L245)+((SUM(B254:F254)-C253)*L245),SUM(B254:F254)*L245),IF(SUM(B246:F254)&gt;(L261*9),L261*L245,SUM(B254:F254)*L245)),2)</f>
        <v>0</v>
      </c>
      <c r="M254" s="76">
        <f>ROUND(IF(SUM(B246:F253)&lt;(L262*8),IF((SUM(B246:F254))&gt;(L262*9),(((L262*9)-(SUM(B246:F254)-C254))*M245)+((SUM(B254:F254)-C254)*M245),(SUM(B254:F254)-C254)*M245),IF(SUM(B246:F254)&gt;(L262*9),L262*M245,SUM(B254:F254)*M245)),2)</f>
        <v>0</v>
      </c>
      <c r="N254" s="23">
        <f>ROUND((B254+E254+F254)*N245,2)</f>
        <v>0</v>
      </c>
      <c r="O254" s="23">
        <f>ROUND(SUM(B254+C254+F254)*O245,2)</f>
        <v>0</v>
      </c>
      <c r="P254" s="27">
        <f t="shared" si="32"/>
        <v>0</v>
      </c>
    </row>
    <row r="255" spans="1:16" x14ac:dyDescent="0.2">
      <c r="A255" s="100" t="str">
        <f>$A$35</f>
        <v>Okt 2022</v>
      </c>
      <c r="B255" s="24">
        <f>ROUND(IF(P229=0,0,IFERROR(((LOOKUP(2,1/(A234:A237=A255),G234:G237))*P229*4.348*50%),B254/P229*P229)),2)</f>
        <v>0</v>
      </c>
      <c r="C255" s="23">
        <f>ROUND(IFERROR(((LOOKUP(2,1/(B239=A255),((SUM(B252:B254)+SUM(F252:F254))/3)*C239))),0)+IFERROR(((LOOKUP(2,1/(E239=A255),(B258+F258)*F239))),0),2)</f>
        <v>0</v>
      </c>
      <c r="D255" s="23">
        <f>ROUND(IF(B255=0,0,D245/L227*P229*50%),2)</f>
        <v>0</v>
      </c>
      <c r="E255" s="23">
        <f>ROUND(IF(B255=0,0,E245/N223*P229*50%),2)</f>
        <v>0</v>
      </c>
      <c r="F255" s="24">
        <f>ROUND(IF(P229=0,0,IFERROR(((LOOKUP(2,1/(A234:A237=A255),H234:H237))/N223*P229),F254/P229*P229*50%)),2)</f>
        <v>0</v>
      </c>
      <c r="G255" s="27">
        <f t="shared" si="31"/>
        <v>0</v>
      </c>
      <c r="H255" s="76">
        <f>ROUND(IF(SUM(B246:F254)&lt;(L261*9),IF((SUM(B246:F255))&gt;(L261*10),(((L261*10)-(SUM(B246:F255)-C254))*H245)+((SUM(B255:F255)-C254)*H245),SUM(B255:F255)*H245),IF(SUM(B246:F255)&gt;(L261*10),L261*H245,SUM(B255:F255)*H245)),2)</f>
        <v>0</v>
      </c>
      <c r="I255" s="76">
        <f>ROUND(IF((SUM(B246:F255)*80%)&gt;((L262*10)*90%),((((L262*10)*90%)-((SUM(B246:F255)-C255))*I245)+((SUM(B255:F255)-C255)*I245)*80%),((SUM(B255:F255)-C255)*I245)*80%),2)</f>
        <v>0</v>
      </c>
      <c r="J255" s="76">
        <f>ROUND(IF(SUM(B246:F254)&lt;(L262*9),IF((SUM(B246:F255))&gt;(L262*10),(((L262*10)-(SUM(B246:F255)-C254))*J245)+((SUM(B255:F255)-C254)*J245),SUM(B255:F255)*J245),IF(SUM(B246:F255)&gt;(L262*10),L262*J245,SUM(B255:F255)*J245)),2)</f>
        <v>0</v>
      </c>
      <c r="K255" s="76">
        <f>ROUND(IF(SUM(B246:F254)&lt;(L262*9),IF((SUM(B246:F255))&gt;(L262*10),(((L262*10)-(SUM(B246:F255)-C254))*K245)+((SUM(B255:F255)-C254)*K245),SUM(B255:F255)*K245),IF(SUM(B246:F255)&gt;(L262*10),L262*K245,SUM(B255:F255)*K245)),2)</f>
        <v>0</v>
      </c>
      <c r="L255" s="76">
        <f>ROUND(IF(SUM(B246:F254)&lt;(L261*9),IF((SUM(B246:F255))&gt;(L261*10),(((L261*10)-(SUM(B246:F255)-C254))*L245)+((SUM(B255:F255)-C254)*L245),SUM(B255:F255)*L245),IF(SUM(B246:F255)&gt;(L261*10),L261*L245,SUM(B255:F255)*L245)),2)</f>
        <v>0</v>
      </c>
      <c r="M255" s="76">
        <f>ROUND(IF(SUM(B246:F254)&lt;(L262*9),IF((SUM(B246:F255))&gt;(L262*10),(((L262*10)-(SUM(B246:F255)-C255))*M245)+((SUM(B255:F255)-C255)*M245),(SUM(B255:F255)-C255)*M245),IF(SUM(B246:F255)&gt;(L262*10),L262*M245,SUM(B255:F255)*M245)),2)</f>
        <v>0</v>
      </c>
      <c r="N255" s="23">
        <f>ROUND((B255+E255+F255)*N245,2)</f>
        <v>0</v>
      </c>
      <c r="O255" s="23">
        <f>ROUND(SUM(B255+C255+F255)*O245,2)</f>
        <v>0</v>
      </c>
      <c r="P255" s="27">
        <f t="shared" si="32"/>
        <v>0</v>
      </c>
    </row>
    <row r="256" spans="1:16" x14ac:dyDescent="0.2">
      <c r="A256" s="100" t="str">
        <f>$A$36</f>
        <v>Nov 2022</v>
      </c>
      <c r="B256" s="24">
        <f>ROUND(IF(P230=0,0,IFERROR(((LOOKUP(2,1/(A234:A237=A256),G234:G237))*P230*4.348*50%),B255/P230*P230)),2)</f>
        <v>0</v>
      </c>
      <c r="C256" s="23">
        <f>ROUND(IFERROR(((LOOKUP(2,1/(B239=A256),((SUM(B252:B254)+SUM(F252:F254))/3)*C239))),0)+IFERROR(((LOOKUP(2,1/(E239=A256),(B258+F258)*F239))),0),2)</f>
        <v>0</v>
      </c>
      <c r="D256" s="23">
        <f>ROUND(IF(B256=0,0,D245/L227*P230*50%),2)</f>
        <v>0</v>
      </c>
      <c r="E256" s="23">
        <f>ROUND(IF(B256=0,0,E245/N223*P230*50%),2)</f>
        <v>0</v>
      </c>
      <c r="F256" s="24">
        <f>ROUND(IF(P230=0,0,IFERROR(((LOOKUP(2,1/(A234:A237=A256),H234:H237))/N223*P230),F255/P230*P230*50%)),2)</f>
        <v>0</v>
      </c>
      <c r="G256" s="27">
        <f t="shared" si="31"/>
        <v>0</v>
      </c>
      <c r="H256" s="76">
        <f>ROUND(IF(SUM(B246:F255)&lt;(L261*10),IF((SUM(B246:F256))&gt;(L261*11),(((L261*11)-(SUM(B246:F256)-C255))*H245)+((SUM(B256:F256)-C255)*H245),SUM(B256:F256)*H245),IF(SUM(B246:F256)&gt;(L261*11),L261*H245,SUM(B256:F256)*H245)),2)</f>
        <v>0</v>
      </c>
      <c r="I256" s="76">
        <f>ROUND(IF((SUM(B246:F256)*80%)&gt;((L262*11)*90%),((((L262*11)*90%)-((SUM(B246:F256)-C256))*I245)+((SUM(B256:F256)-C256)*I245)*80%),((SUM(B256:F256)-C256)*I245)*80%),2)</f>
        <v>0</v>
      </c>
      <c r="J256" s="76">
        <f>ROUND(IF(SUM(B246:F255)&lt;(L262*10),IF((SUM(B246:F256))&gt;(L262*11),(((L262*11)-(SUM(B246:F256)-C255))*J245)+((SUM(B256:F256)-C255)*J245),SUM(B256:F256)*J245),IF(SUM(B246:F256)&gt;(L262*11),L262*J245,SUM(B256:F256)*J245)),2)</f>
        <v>0</v>
      </c>
      <c r="K256" s="76">
        <f>ROUND(IF(SUM(B246:F255)&lt;(L262*10),IF((SUM(B246:F256))&gt;(L262*11),(((L262*11)-(SUM(B246:F256)-C255))*K245)+((SUM(B256:F256)-C255)*K245),SUM(B256:F256)*K245),IF(SUM(B246:F256)&gt;(L262*11),L262*K245,SUM(B256:F256)*K245)),2)</f>
        <v>0</v>
      </c>
      <c r="L256" s="76">
        <f>ROUND(IF(SUM(B246:F255)&lt;(L261*10),IF((SUM(B246:F256))&gt;(L261*11),(((L261*11)-(SUM(B246:F256)-C255))*L245)+((SUM(B256:F256)-C255)*L245),SUM(B256:F256)*L245),IF(SUM(B246:F256)&gt;(L261*11),L261*L245,SUM(B256:F256)*L245)),2)</f>
        <v>0</v>
      </c>
      <c r="M256" s="76">
        <f>ROUND(IF(SUM(B246:F255)&lt;(L262*10),IF((SUM(B246:F256))&gt;(L262*11),(((L262*11)-(SUM(B246:F256)-C256))*M245)+((SUM(B256:F256)-C256)*M245),(SUM(B256:F256)-C256)*M245),IF(SUM(B246:F256)&gt;(L262*11),L262*M245,SUM(B256:F256)*M245)),2)</f>
        <v>0</v>
      </c>
      <c r="N256" s="23">
        <f>ROUND((B256+E256+F256)*N245,2)</f>
        <v>0</v>
      </c>
      <c r="O256" s="23">
        <f>ROUND(SUM(B256+C256+F256)*O245,2)</f>
        <v>0</v>
      </c>
      <c r="P256" s="27">
        <f t="shared" si="32"/>
        <v>0</v>
      </c>
    </row>
    <row r="257" spans="1:16" x14ac:dyDescent="0.2">
      <c r="A257" s="100" t="str">
        <f>$A$37</f>
        <v>Dez 2022</v>
      </c>
      <c r="B257" s="24">
        <f>ROUND(IF(P231=0,0,IFERROR(((LOOKUP(2,1/(A234:A237=A257),G234:G237))*P231*4.348*50%),B256/P231*P231)),2)</f>
        <v>0</v>
      </c>
      <c r="C257" s="23">
        <f>ROUND(IFERROR(((LOOKUP(2,1/(B239=A257),((SUM(B252:B254)+SUM(F252:F254))/3)*C239))),0)+IFERROR(((LOOKUP(2,1/(E239=A257),(B258+F258)*F239))),0),2)</f>
        <v>0</v>
      </c>
      <c r="D257" s="23">
        <f>ROUND(IF(B257=0,0,D245/L227*P231*50%),2)</f>
        <v>0</v>
      </c>
      <c r="E257" s="23">
        <f>ROUND(IF(B257=0,0,E245/N223*P231*50%),2)</f>
        <v>0</v>
      </c>
      <c r="F257" s="24">
        <f>ROUND(IF(P231=0,0,IFERROR(((LOOKUP(2,1/(A234:A237=A257),H234:H237))/N223*P231),F256/P231*P231*50%)),2)</f>
        <v>0</v>
      </c>
      <c r="G257" s="27">
        <f t="shared" si="31"/>
        <v>0</v>
      </c>
      <c r="H257" s="76">
        <f>ROUND(IF(SUM(B246:F256)&lt;(L261*11),IF((SUM(B246:F257))&gt;(L261*12),(((L261*12)-(SUM(B246:F257)-C256))*H245)+((SUM(B257:F257)-C256)*H245),SUM(B257:F257)*H245),IF(SUM(B246:F257)&gt;(L261*12),L261*H245,SUM(B257:F257)*H245)),2)</f>
        <v>0</v>
      </c>
      <c r="I257" s="76">
        <f>ROUND(IF((SUM(B246:F257)*80%)&gt;((L262*12)*90%),((((L262*12)*90%)-((SUM(B246:F257)-C257))*I245)+((SUM(B257:F257)-C257)*I245)*80%),((SUM(B257:F257)-C257)*I245)*80%),2)</f>
        <v>0</v>
      </c>
      <c r="J257" s="76">
        <f>ROUND(IF(SUM(B246:F256)&lt;(L262*11),IF((SUM(B246:F257))&gt;(L262*12),(((L262*12)-(SUM(B246:F257)-C256))*J245)+((SUM(B257:F257)-C256)*J245),SUM(B257:F257)*J245),IF(SUM(B246:F257)&gt;(L262*12),L262*J245,SUM(B257:F257)*J245)),2)</f>
        <v>0</v>
      </c>
      <c r="K257" s="76">
        <f>ROUND(IF(SUM(B246:F256)&lt;(L262*11),IF((SUM(B246:F257))&gt;(L262*12),(((L262*12)-(SUM(B246:F257)-C256))*K245)+((SUM(B257:F257)-C256)*K245),SUM(B257:F257)*K245),IF(SUM(B246:F257)&gt;(L262*12),L262*K245,SUM(B257:F257)*K245)),2)</f>
        <v>0</v>
      </c>
      <c r="L257" s="76">
        <f>ROUND(IF(SUM(B246:F256)&lt;(L261*11),IF((SUM(B246:F257))&gt;(L261*12),(((L261*12)-(SUM(B246:F257)-C256))*L245)+((SUM(B257:F257)-C256)*L245),SUM(B257:F257)*L245),IF(SUM(B246:F257)&gt;(L261*12),L261*L245,SUM(B257:F257)*L245)),2)</f>
        <v>0</v>
      </c>
      <c r="M257" s="76">
        <f>ROUND(IF(SUM(B246:F256)&lt;(L262*11),IF((SUM(B246:F257))&gt;(L262*12),(((L262*12)-(SUM(B246:F257)-C257))*M245)+((SUM(B257:F257)-C257)*M245),(SUM(B257:F257)-C257)*M245),IF(SUM(B246:F257)&gt;(L262*12),L262*M245,SUM(B257:F257)*M245)),2)</f>
        <v>0</v>
      </c>
      <c r="N257" s="23">
        <f>ROUND((B257+E257+F257)*N245,2)</f>
        <v>0</v>
      </c>
      <c r="O257" s="23">
        <f>ROUND(SUM(B257+C257+F257)*O245,2)</f>
        <v>0</v>
      </c>
      <c r="P257" s="27">
        <f>SUM(G257:O257)</f>
        <v>0</v>
      </c>
    </row>
    <row r="258" spans="1:16" x14ac:dyDescent="0.2">
      <c r="A258" s="4" t="s">
        <v>2</v>
      </c>
      <c r="B258" s="27">
        <f>SUM(B246:B257)</f>
        <v>0</v>
      </c>
      <c r="C258" s="27">
        <f t="shared" ref="C258" si="33">SUM(C246:C257)</f>
        <v>0</v>
      </c>
      <c r="D258" s="27">
        <f>SUM(D246:D257)</f>
        <v>0</v>
      </c>
      <c r="E258" s="27">
        <f t="shared" ref="E258:G258" si="34">SUM(E246:E257)</f>
        <v>0</v>
      </c>
      <c r="F258" s="27">
        <f t="shared" si="34"/>
        <v>0</v>
      </c>
      <c r="G258" s="27">
        <f t="shared" si="34"/>
        <v>0</v>
      </c>
      <c r="H258" s="1133">
        <f>SUM(H246:M257)</f>
        <v>0</v>
      </c>
      <c r="I258" s="1134"/>
      <c r="J258" s="1134"/>
      <c r="K258" s="1134"/>
      <c r="L258" s="1134"/>
      <c r="M258" s="1134"/>
      <c r="N258" s="27">
        <f>SUM(N246:N257)</f>
        <v>0</v>
      </c>
      <c r="O258" s="27">
        <f>SUM(O246:O257)</f>
        <v>0</v>
      </c>
      <c r="P258" s="27">
        <f>SUM(P246:P257)</f>
        <v>0</v>
      </c>
    </row>
    <row r="259" spans="1:16" s="13" customFormat="1" ht="11.25" x14ac:dyDescent="0.2">
      <c r="A259" s="3" t="s">
        <v>1</v>
      </c>
      <c r="B259" s="2"/>
      <c r="C259" s="2"/>
      <c r="D259" s="2"/>
      <c r="E259" s="2"/>
      <c r="F259" s="2"/>
      <c r="G259" s="2"/>
      <c r="H259" s="2"/>
      <c r="I259" s="2"/>
      <c r="J259" s="2"/>
      <c r="K259" s="2"/>
      <c r="L259" s="2"/>
      <c r="M259" s="2"/>
      <c r="N259" s="2"/>
      <c r="O259" s="2"/>
      <c r="P259" s="2"/>
    </row>
    <row r="260" spans="1:16" s="1" customFormat="1" ht="14.25" customHeight="1" x14ac:dyDescent="0.2">
      <c r="A260" s="1136" t="s">
        <v>133</v>
      </c>
      <c r="B260" s="1137"/>
      <c r="C260" s="1137"/>
      <c r="D260" s="1137" t="s">
        <v>134</v>
      </c>
      <c r="E260" s="1137"/>
      <c r="F260" s="94" t="str">
        <f>IF(IF(G258=0,"",$F$172)=0,"",IF(G258=0,"",$F$172))</f>
        <v/>
      </c>
      <c r="G260" s="77" t="s">
        <v>135</v>
      </c>
      <c r="H260" s="96" t="str">
        <f>IF(IF(G258=0,"",$H$172)=0,"",IF(G258=0,"",$H$172))</f>
        <v/>
      </c>
      <c r="I260" s="73"/>
      <c r="J260" s="194" t="s">
        <v>160</v>
      </c>
      <c r="K260" s="194" t="str">
        <f>$K$40</f>
        <v>2021</v>
      </c>
      <c r="L260" s="194" t="str">
        <f>$L$40</f>
        <v>anteilig 2021</v>
      </c>
      <c r="M260" s="1138" t="s">
        <v>140</v>
      </c>
      <c r="N260" s="1138"/>
      <c r="O260" s="1139"/>
      <c r="P260" s="27">
        <f>ROUND(IF(F260="",IF(E264="",0,(E264*H264/K264)/L227*L228),G258*F260*H260/1000),2)</f>
        <v>0</v>
      </c>
    </row>
    <row r="261" spans="1:16" s="1" customFormat="1" ht="15" customHeight="1" x14ac:dyDescent="0.2">
      <c r="A261" s="1140" t="s">
        <v>145</v>
      </c>
      <c r="B261" s="1141"/>
      <c r="C261" s="1141"/>
      <c r="D261" s="18"/>
      <c r="E261" s="107" t="s">
        <v>135</v>
      </c>
      <c r="F261" s="95" t="str">
        <f>IF(IF(G258=0,"",$F$173)=0,"",IF(G258=0,"",$F$173))</f>
        <v/>
      </c>
      <c r="G261" s="48"/>
      <c r="H261" s="47"/>
      <c r="I261" s="48"/>
      <c r="J261" s="195" t="s">
        <v>158</v>
      </c>
      <c r="K261" s="198">
        <f>$K$41</f>
        <v>4837.5</v>
      </c>
      <c r="L261" s="197">
        <f>IF(L227="",K261,K261/L227*L228)</f>
        <v>4837.5</v>
      </c>
      <c r="M261" s="1138" t="s">
        <v>139</v>
      </c>
      <c r="N261" s="1138"/>
      <c r="O261" s="1139"/>
      <c r="P261" s="27">
        <f>ROUND(IF(F261="",0,G258*F261/1000),2)</f>
        <v>0</v>
      </c>
    </row>
    <row r="262" spans="1:16" s="1" customFormat="1" ht="15.75" customHeight="1" x14ac:dyDescent="0.2">
      <c r="A262" s="1142" t="s">
        <v>141</v>
      </c>
      <c r="B262" s="1143"/>
      <c r="C262" s="1143"/>
      <c r="D262" s="1144" t="s">
        <v>143</v>
      </c>
      <c r="E262" s="1144"/>
      <c r="F262" s="1145" t="str">
        <f>IF(IF(G258=0,"",$F$174)=0,"",IF(G258=0,"",$F$174))</f>
        <v/>
      </c>
      <c r="G262" s="1145"/>
      <c r="H262" s="72"/>
      <c r="I262" s="18"/>
      <c r="J262" s="195" t="s">
        <v>159</v>
      </c>
      <c r="K262" s="198">
        <f>$K$42</f>
        <v>6700</v>
      </c>
      <c r="L262" s="197">
        <f>IF(L227="",K262,K262/L227*L228)</f>
        <v>6700</v>
      </c>
      <c r="M262" s="1138" t="s">
        <v>141</v>
      </c>
      <c r="N262" s="1138"/>
      <c r="O262" s="1139"/>
      <c r="P262" s="23">
        <f>ROUND(IF(F262="",0,IF(G258=0,0,F262/L227*L228)),2)</f>
        <v>0</v>
      </c>
    </row>
    <row r="263" spans="1:16" s="1" customFormat="1" ht="14.25" customHeight="1" x14ac:dyDescent="0.2">
      <c r="A263" s="18"/>
      <c r="B263" s="18"/>
      <c r="C263" s="18"/>
      <c r="D263" s="18"/>
      <c r="E263" s="18"/>
      <c r="F263" s="18"/>
      <c r="G263" s="18"/>
      <c r="H263" s="18"/>
      <c r="I263" s="18"/>
      <c r="J263" s="18"/>
      <c r="K263" s="74"/>
      <c r="L263" s="82"/>
      <c r="M263" s="1127" t="s">
        <v>146</v>
      </c>
      <c r="N263" s="1127"/>
      <c r="O263" s="1128"/>
      <c r="P263" s="23">
        <f>ROUND(IF(G258=0,0,$P$43),2)</f>
        <v>0</v>
      </c>
    </row>
    <row r="264" spans="1:16" s="1" customFormat="1" ht="14.25" customHeight="1" x14ac:dyDescent="0.2">
      <c r="A264" s="1129" t="s">
        <v>142</v>
      </c>
      <c r="B264" s="1130"/>
      <c r="C264" s="133" t="s">
        <v>136</v>
      </c>
      <c r="D264" s="133" t="s">
        <v>137</v>
      </c>
      <c r="E264" s="1131" t="str">
        <f>IF(IF(G258=0,"",'päd.Personal - Leitung'!$E$44)=0,"",IF(G258=0,"",'päd.Personal - Leitung'!$E$44))</f>
        <v/>
      </c>
      <c r="F264" s="1131"/>
      <c r="G264" s="83" t="s">
        <v>138</v>
      </c>
      <c r="H264" s="97" t="str">
        <f>IF(IF(G258=0,"",'päd.Personal - Leitung'!$H$44)=0,"",IF(G258=0,"",'päd.Personal - Leitung'!$H$44))</f>
        <v/>
      </c>
      <c r="I264" s="1132" t="s">
        <v>144</v>
      </c>
      <c r="J264" s="1132"/>
      <c r="K264" s="98" t="str">
        <f>IF(IF(G258=0,"",'päd.Personal - Leitung'!$K$44)=0,"",IF(G258=0,"",'päd.Personal - Leitung'!$K$44))</f>
        <v/>
      </c>
      <c r="L264" s="29"/>
      <c r="M264" s="29"/>
      <c r="N264" s="29"/>
      <c r="O264" s="28" t="s">
        <v>0</v>
      </c>
      <c r="P264" s="27">
        <f>P258+SUM(P260:P263)</f>
        <v>0</v>
      </c>
    </row>
  </sheetData>
  <sheetProtection algorithmName="SHA-512" hashValue="invtfhyDBZVbNz+BaQHlYOYSr3Tig+XX46QfpY/YoUBF27PXAuQfZvoP3K6R6bFwMBSUg7flczW2Jj0HmZqcOQ==" saltValue="4lf1C8QXNxL0QqGwAogvbg==" spinCount="100000" sheet="1" objects="1" scenarios="1"/>
  <mergeCells count="438">
    <mergeCell ref="J11:K11"/>
    <mergeCell ref="J55:K55"/>
    <mergeCell ref="J99:K99"/>
    <mergeCell ref="J143:K143"/>
    <mergeCell ref="J187:K187"/>
    <mergeCell ref="J231:K231"/>
    <mergeCell ref="F12:G12"/>
    <mergeCell ref="H12:I12"/>
    <mergeCell ref="B13:C13"/>
    <mergeCell ref="D54:I54"/>
    <mergeCell ref="J54:K54"/>
    <mergeCell ref="D55:E55"/>
    <mergeCell ref="F55:G55"/>
    <mergeCell ref="H55:I55"/>
    <mergeCell ref="K13:L13"/>
    <mergeCell ref="B14:C14"/>
    <mergeCell ref="K14:L14"/>
    <mergeCell ref="B15:C15"/>
    <mergeCell ref="K15:L15"/>
    <mergeCell ref="B16:C16"/>
    <mergeCell ref="K16:L16"/>
    <mergeCell ref="F23:F25"/>
    <mergeCell ref="D53:I53"/>
    <mergeCell ref="J53:K53"/>
    <mergeCell ref="D10:I10"/>
    <mergeCell ref="J10:K10"/>
    <mergeCell ref="D11:E11"/>
    <mergeCell ref="F11:G11"/>
    <mergeCell ref="H11:I11"/>
    <mergeCell ref="B61:C61"/>
    <mergeCell ref="O66:O68"/>
    <mergeCell ref="M85:O85"/>
    <mergeCell ref="M86:O86"/>
    <mergeCell ref="K61:L61"/>
    <mergeCell ref="B62:C62"/>
    <mergeCell ref="K62:L62"/>
    <mergeCell ref="B59:C59"/>
    <mergeCell ref="K59:L59"/>
    <mergeCell ref="B60:C60"/>
    <mergeCell ref="K60:L60"/>
    <mergeCell ref="A49:M49"/>
    <mergeCell ref="F56:G56"/>
    <mergeCell ref="H56:I56"/>
    <mergeCell ref="B17:C17"/>
    <mergeCell ref="K17:L17"/>
    <mergeCell ref="B18:C18"/>
    <mergeCell ref="E18:F18"/>
    <mergeCell ref="K18:L18"/>
    <mergeCell ref="A10:C10"/>
    <mergeCell ref="H126:M126"/>
    <mergeCell ref="D141:I141"/>
    <mergeCell ref="J141:K141"/>
    <mergeCell ref="M173:O173"/>
    <mergeCell ref="A65:A69"/>
    <mergeCell ref="B65:G65"/>
    <mergeCell ref="B66:B69"/>
    <mergeCell ref="G66:G69"/>
    <mergeCell ref="H82:M82"/>
    <mergeCell ref="H66:H67"/>
    <mergeCell ref="J66:J67"/>
    <mergeCell ref="D66:D68"/>
    <mergeCell ref="E66:E68"/>
    <mergeCell ref="F67:F69"/>
    <mergeCell ref="A21:A25"/>
    <mergeCell ref="B21:G21"/>
    <mergeCell ref="H21:M21"/>
    <mergeCell ref="H65:M65"/>
    <mergeCell ref="I66:I68"/>
    <mergeCell ref="B22:B25"/>
    <mergeCell ref="G22:G25"/>
    <mergeCell ref="B57:C57"/>
    <mergeCell ref="B58:C58"/>
    <mergeCell ref="P65:P69"/>
    <mergeCell ref="P21:P25"/>
    <mergeCell ref="H38:M38"/>
    <mergeCell ref="M22:M24"/>
    <mergeCell ref="D40:E40"/>
    <mergeCell ref="O22:O24"/>
    <mergeCell ref="I22:I24"/>
    <mergeCell ref="N21:N24"/>
    <mergeCell ref="N65:N68"/>
    <mergeCell ref="M40:O40"/>
    <mergeCell ref="K57:L57"/>
    <mergeCell ref="K58:L58"/>
    <mergeCell ref="E62:F62"/>
    <mergeCell ref="D22:D24"/>
    <mergeCell ref="E22:E24"/>
    <mergeCell ref="H22:H23"/>
    <mergeCell ref="J22:J23"/>
    <mergeCell ref="K22:K23"/>
    <mergeCell ref="L22:L23"/>
    <mergeCell ref="D42:E42"/>
    <mergeCell ref="F42:G42"/>
    <mergeCell ref="M43:O43"/>
    <mergeCell ref="E44:F44"/>
    <mergeCell ref="I44:J44"/>
    <mergeCell ref="A1:C1"/>
    <mergeCell ref="D1:N1"/>
    <mergeCell ref="A2:C2"/>
    <mergeCell ref="D2:N2"/>
    <mergeCell ref="A8:C8"/>
    <mergeCell ref="A9:C9"/>
    <mergeCell ref="A3:C3"/>
    <mergeCell ref="A4:C4"/>
    <mergeCell ref="D4:J4"/>
    <mergeCell ref="A7:C7"/>
    <mergeCell ref="D3:J3"/>
    <mergeCell ref="K3:M3"/>
    <mergeCell ref="J6:K6"/>
    <mergeCell ref="D7:I7"/>
    <mergeCell ref="J7:K7"/>
    <mergeCell ref="A5:M5"/>
    <mergeCell ref="D8:I8"/>
    <mergeCell ref="J8:K8"/>
    <mergeCell ref="D9:I9"/>
    <mergeCell ref="J9:K9"/>
    <mergeCell ref="M41:O41"/>
    <mergeCell ref="M42:O42"/>
    <mergeCell ref="A40:C40"/>
    <mergeCell ref="A53:C53"/>
    <mergeCell ref="A54:C54"/>
    <mergeCell ref="A48:C48"/>
    <mergeCell ref="A52:C52"/>
    <mergeCell ref="D48:J48"/>
    <mergeCell ref="A41:C41"/>
    <mergeCell ref="A42:C42"/>
    <mergeCell ref="A44:B44"/>
    <mergeCell ref="A46:C46"/>
    <mergeCell ref="D46:N46"/>
    <mergeCell ref="A47:C47"/>
    <mergeCell ref="A45:C45"/>
    <mergeCell ref="D45:N45"/>
    <mergeCell ref="D47:J47"/>
    <mergeCell ref="K47:M47"/>
    <mergeCell ref="J50:K50"/>
    <mergeCell ref="A51:C51"/>
    <mergeCell ref="D51:I51"/>
    <mergeCell ref="J51:K51"/>
    <mergeCell ref="D52:I52"/>
    <mergeCell ref="J52:K52"/>
    <mergeCell ref="A91:C91"/>
    <mergeCell ref="D84:E84"/>
    <mergeCell ref="M84:O84"/>
    <mergeCell ref="M66:M68"/>
    <mergeCell ref="A88:B88"/>
    <mergeCell ref="E88:F88"/>
    <mergeCell ref="I88:J88"/>
    <mergeCell ref="K66:K67"/>
    <mergeCell ref="L66:L67"/>
    <mergeCell ref="A85:C85"/>
    <mergeCell ref="A86:C86"/>
    <mergeCell ref="D86:E86"/>
    <mergeCell ref="F86:G86"/>
    <mergeCell ref="M87:O87"/>
    <mergeCell ref="A90:C90"/>
    <mergeCell ref="D90:N90"/>
    <mergeCell ref="A84:C84"/>
    <mergeCell ref="A89:C89"/>
    <mergeCell ref="D89:N89"/>
    <mergeCell ref="D91:J91"/>
    <mergeCell ref="K91:M91"/>
    <mergeCell ref="A97:C97"/>
    <mergeCell ref="A98:C98"/>
    <mergeCell ref="A92:C92"/>
    <mergeCell ref="A96:C96"/>
    <mergeCell ref="D92:J92"/>
    <mergeCell ref="A93:M93"/>
    <mergeCell ref="J94:K94"/>
    <mergeCell ref="A95:C95"/>
    <mergeCell ref="D95:I95"/>
    <mergeCell ref="J95:K95"/>
    <mergeCell ref="D96:I96"/>
    <mergeCell ref="J96:K96"/>
    <mergeCell ref="D97:I97"/>
    <mergeCell ref="J97:K97"/>
    <mergeCell ref="D98:I98"/>
    <mergeCell ref="J98:K98"/>
    <mergeCell ref="B103:C103"/>
    <mergeCell ref="K103:L103"/>
    <mergeCell ref="D99:E99"/>
    <mergeCell ref="F99:G99"/>
    <mergeCell ref="H99:I99"/>
    <mergeCell ref="F100:G100"/>
    <mergeCell ref="H100:I100"/>
    <mergeCell ref="B101:C101"/>
    <mergeCell ref="K101:L101"/>
    <mergeCell ref="B102:C102"/>
    <mergeCell ref="K102:L102"/>
    <mergeCell ref="A134:C134"/>
    <mergeCell ref="A135:C135"/>
    <mergeCell ref="A129:C129"/>
    <mergeCell ref="A130:C130"/>
    <mergeCell ref="A133:C133"/>
    <mergeCell ref="D133:N133"/>
    <mergeCell ref="D134:N134"/>
    <mergeCell ref="D135:J135"/>
    <mergeCell ref="K135:M135"/>
    <mergeCell ref="A173:C173"/>
    <mergeCell ref="A172:C172"/>
    <mergeCell ref="H170:M170"/>
    <mergeCell ref="D172:E172"/>
    <mergeCell ref="M172:O172"/>
    <mergeCell ref="A140:C140"/>
    <mergeCell ref="D140:I140"/>
    <mergeCell ref="J140:K140"/>
    <mergeCell ref="A136:C136"/>
    <mergeCell ref="D136:J136"/>
    <mergeCell ref="A137:M137"/>
    <mergeCell ref="J138:K138"/>
    <mergeCell ref="A139:C139"/>
    <mergeCell ref="D139:I139"/>
    <mergeCell ref="J139:K139"/>
    <mergeCell ref="A141:C141"/>
    <mergeCell ref="A142:C142"/>
    <mergeCell ref="D142:I142"/>
    <mergeCell ref="J142:K142"/>
    <mergeCell ref="D143:E143"/>
    <mergeCell ref="F143:G143"/>
    <mergeCell ref="H143:I143"/>
    <mergeCell ref="F144:G144"/>
    <mergeCell ref="H144:I144"/>
    <mergeCell ref="H214:M214"/>
    <mergeCell ref="A216:C216"/>
    <mergeCell ref="D216:E216"/>
    <mergeCell ref="M216:O216"/>
    <mergeCell ref="A217:C217"/>
    <mergeCell ref="M217:O217"/>
    <mergeCell ref="A178:C178"/>
    <mergeCell ref="D178:N178"/>
    <mergeCell ref="A179:C179"/>
    <mergeCell ref="D179:J179"/>
    <mergeCell ref="K179:M179"/>
    <mergeCell ref="A180:C180"/>
    <mergeCell ref="D180:J180"/>
    <mergeCell ref="A181:M181"/>
    <mergeCell ref="J182:K182"/>
    <mergeCell ref="A183:C183"/>
    <mergeCell ref="D183:I183"/>
    <mergeCell ref="J183:K183"/>
    <mergeCell ref="A184:C184"/>
    <mergeCell ref="D184:I184"/>
    <mergeCell ref="J184:K184"/>
    <mergeCell ref="A185:C185"/>
    <mergeCell ref="D185:I185"/>
    <mergeCell ref="J185:K185"/>
    <mergeCell ref="B104:C104"/>
    <mergeCell ref="K104:L104"/>
    <mergeCell ref="B105:C105"/>
    <mergeCell ref="K105:L105"/>
    <mergeCell ref="B106:C106"/>
    <mergeCell ref="E106:F106"/>
    <mergeCell ref="K106:L106"/>
    <mergeCell ref="A109:A113"/>
    <mergeCell ref="B109:G109"/>
    <mergeCell ref="H109:M109"/>
    <mergeCell ref="P109:P113"/>
    <mergeCell ref="B110:B113"/>
    <mergeCell ref="D110:D112"/>
    <mergeCell ref="E110:E112"/>
    <mergeCell ref="G110:G113"/>
    <mergeCell ref="H110:H111"/>
    <mergeCell ref="I110:I112"/>
    <mergeCell ref="J110:J111"/>
    <mergeCell ref="K110:K111"/>
    <mergeCell ref="L110:L111"/>
    <mergeCell ref="M110:M112"/>
    <mergeCell ref="O110:O112"/>
    <mergeCell ref="F111:F113"/>
    <mergeCell ref="N109:N112"/>
    <mergeCell ref="D128:E128"/>
    <mergeCell ref="M128:O128"/>
    <mergeCell ref="M129:O129"/>
    <mergeCell ref="D130:E130"/>
    <mergeCell ref="F130:G130"/>
    <mergeCell ref="M130:O130"/>
    <mergeCell ref="M131:O131"/>
    <mergeCell ref="A132:B132"/>
    <mergeCell ref="E132:F132"/>
    <mergeCell ref="I132:J132"/>
    <mergeCell ref="A128:C128"/>
    <mergeCell ref="B145:C145"/>
    <mergeCell ref="K145:L145"/>
    <mergeCell ref="B146:C146"/>
    <mergeCell ref="K146:L146"/>
    <mergeCell ref="B147:C147"/>
    <mergeCell ref="K147:L147"/>
    <mergeCell ref="B148:C148"/>
    <mergeCell ref="K148:L148"/>
    <mergeCell ref="B149:C149"/>
    <mergeCell ref="K149:L149"/>
    <mergeCell ref="B150:C150"/>
    <mergeCell ref="E150:F150"/>
    <mergeCell ref="K150:L150"/>
    <mergeCell ref="A153:A157"/>
    <mergeCell ref="B153:G153"/>
    <mergeCell ref="H153:M153"/>
    <mergeCell ref="N153:N156"/>
    <mergeCell ref="P153:P157"/>
    <mergeCell ref="B154:B157"/>
    <mergeCell ref="D154:D156"/>
    <mergeCell ref="E154:E156"/>
    <mergeCell ref="G154:G157"/>
    <mergeCell ref="H154:H155"/>
    <mergeCell ref="I154:I156"/>
    <mergeCell ref="J154:J155"/>
    <mergeCell ref="K154:K155"/>
    <mergeCell ref="L154:L155"/>
    <mergeCell ref="M154:M156"/>
    <mergeCell ref="O154:O156"/>
    <mergeCell ref="F155:F157"/>
    <mergeCell ref="A174:C174"/>
    <mergeCell ref="D174:E174"/>
    <mergeCell ref="F174:G174"/>
    <mergeCell ref="M174:O174"/>
    <mergeCell ref="M175:O175"/>
    <mergeCell ref="A176:B176"/>
    <mergeCell ref="E176:F176"/>
    <mergeCell ref="I176:J176"/>
    <mergeCell ref="A177:C177"/>
    <mergeCell ref="D177:N177"/>
    <mergeCell ref="A186:C186"/>
    <mergeCell ref="D186:I186"/>
    <mergeCell ref="J186:K186"/>
    <mergeCell ref="D187:E187"/>
    <mergeCell ref="F187:G187"/>
    <mergeCell ref="H187:I187"/>
    <mergeCell ref="F188:G188"/>
    <mergeCell ref="H188:I188"/>
    <mergeCell ref="B189:C189"/>
    <mergeCell ref="K189:L189"/>
    <mergeCell ref="B190:C190"/>
    <mergeCell ref="K190:L190"/>
    <mergeCell ref="B191:C191"/>
    <mergeCell ref="K191:L191"/>
    <mergeCell ref="B192:C192"/>
    <mergeCell ref="K192:L192"/>
    <mergeCell ref="B193:C193"/>
    <mergeCell ref="K193:L193"/>
    <mergeCell ref="B194:C194"/>
    <mergeCell ref="E194:F194"/>
    <mergeCell ref="K194:L194"/>
    <mergeCell ref="A197:A201"/>
    <mergeCell ref="B197:G197"/>
    <mergeCell ref="H197:M197"/>
    <mergeCell ref="N197:N200"/>
    <mergeCell ref="P197:P201"/>
    <mergeCell ref="B198:B201"/>
    <mergeCell ref="D198:D200"/>
    <mergeCell ref="E198:E200"/>
    <mergeCell ref="G198:G201"/>
    <mergeCell ref="H198:H199"/>
    <mergeCell ref="I198:I200"/>
    <mergeCell ref="J198:J199"/>
    <mergeCell ref="K198:K199"/>
    <mergeCell ref="L198:L199"/>
    <mergeCell ref="M198:M200"/>
    <mergeCell ref="O198:O200"/>
    <mergeCell ref="F199:F201"/>
    <mergeCell ref="A218:C218"/>
    <mergeCell ref="D218:E218"/>
    <mergeCell ref="F218:G218"/>
    <mergeCell ref="M218:O218"/>
    <mergeCell ref="M219:O219"/>
    <mergeCell ref="A220:B220"/>
    <mergeCell ref="E220:F220"/>
    <mergeCell ref="I220:J220"/>
    <mergeCell ref="A221:C221"/>
    <mergeCell ref="D221:N221"/>
    <mergeCell ref="A222:C222"/>
    <mergeCell ref="D222:N222"/>
    <mergeCell ref="A223:C223"/>
    <mergeCell ref="D223:J223"/>
    <mergeCell ref="K223:M223"/>
    <mergeCell ref="A224:C224"/>
    <mergeCell ref="D224:J224"/>
    <mergeCell ref="A225:M225"/>
    <mergeCell ref="J226:K226"/>
    <mergeCell ref="A227:C227"/>
    <mergeCell ref="D227:I227"/>
    <mergeCell ref="J227:K227"/>
    <mergeCell ref="A228:C228"/>
    <mergeCell ref="D228:I228"/>
    <mergeCell ref="J228:K228"/>
    <mergeCell ref="A229:C229"/>
    <mergeCell ref="D229:I229"/>
    <mergeCell ref="J229:K229"/>
    <mergeCell ref="A230:C230"/>
    <mergeCell ref="D230:I230"/>
    <mergeCell ref="J230:K230"/>
    <mergeCell ref="D231:E231"/>
    <mergeCell ref="F231:G231"/>
    <mergeCell ref="H231:I231"/>
    <mergeCell ref="F232:G232"/>
    <mergeCell ref="H232:I232"/>
    <mergeCell ref="B233:C233"/>
    <mergeCell ref="K233:L233"/>
    <mergeCell ref="B234:C234"/>
    <mergeCell ref="K234:L234"/>
    <mergeCell ref="B235:C235"/>
    <mergeCell ref="K235:L235"/>
    <mergeCell ref="B236:C236"/>
    <mergeCell ref="K236:L236"/>
    <mergeCell ref="B237:C237"/>
    <mergeCell ref="K237:L237"/>
    <mergeCell ref="B238:C238"/>
    <mergeCell ref="E238:F238"/>
    <mergeCell ref="K238:L238"/>
    <mergeCell ref="A241:A245"/>
    <mergeCell ref="B241:G241"/>
    <mergeCell ref="H241:M241"/>
    <mergeCell ref="N241:N244"/>
    <mergeCell ref="P241:P245"/>
    <mergeCell ref="B242:B245"/>
    <mergeCell ref="D242:D244"/>
    <mergeCell ref="E242:E244"/>
    <mergeCell ref="G242:G245"/>
    <mergeCell ref="H242:H243"/>
    <mergeCell ref="I242:I244"/>
    <mergeCell ref="J242:J243"/>
    <mergeCell ref="K242:K243"/>
    <mergeCell ref="L242:L243"/>
    <mergeCell ref="M242:M244"/>
    <mergeCell ref="O242:O244"/>
    <mergeCell ref="F243:F245"/>
    <mergeCell ref="M263:O263"/>
    <mergeCell ref="A264:B264"/>
    <mergeCell ref="E264:F264"/>
    <mergeCell ref="I264:J264"/>
    <mergeCell ref="H258:M258"/>
    <mergeCell ref="A260:C260"/>
    <mergeCell ref="D260:E260"/>
    <mergeCell ref="M260:O260"/>
    <mergeCell ref="A261:C261"/>
    <mergeCell ref="M261:O261"/>
    <mergeCell ref="A262:C262"/>
    <mergeCell ref="D262:E262"/>
    <mergeCell ref="F262:G262"/>
    <mergeCell ref="M262:O262"/>
  </mergeCells>
  <dataValidations count="1">
    <dataValidation type="list" allowBlank="1" showInputMessage="1" showErrorMessage="1" sqref="B19 E19 B63 E63 B107 E107 B151 E151 B195 E195 B239 E239">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-&amp;12&amp;K01+000  &amp;10&amp;KFF0000aktive und passive Altersteilzeitphase&amp;R&amp;G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 A147:A149 A191:A193 A235:A237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176"/>
  <sheetViews>
    <sheetView showGridLines="0" view="pageLayout" zoomScaleNormal="100" workbookViewId="0">
      <selection activeCell="E26" sqref="E26"/>
    </sheetView>
  </sheetViews>
  <sheetFormatPr baseColWidth="10" defaultRowHeight="14.25" x14ac:dyDescent="0.2"/>
  <cols>
    <col min="1" max="1" width="9.42578125" style="16" customWidth="1"/>
    <col min="2" max="2" width="12.7109375" style="16" customWidth="1"/>
    <col min="3" max="3" width="11.42578125" style="16"/>
    <col min="4" max="4" width="10.5703125" style="16" customWidth="1"/>
    <col min="5" max="5" width="11.140625" style="16" customWidth="1"/>
    <col min="6" max="6" width="11.42578125" style="16" customWidth="1"/>
    <col min="7" max="7" width="10.140625" style="16" customWidth="1"/>
    <col min="8" max="8" width="11.5703125" style="16" customWidth="1"/>
    <col min="9" max="12" width="11.42578125" style="16"/>
    <col min="13" max="13" width="10.28515625" style="16" customWidth="1"/>
    <col min="14" max="14" width="11.140625" style="16" customWidth="1"/>
    <col min="15" max="15" width="11.5703125" style="16" customWidth="1"/>
    <col min="16" max="16" width="10.85546875" style="16" customWidth="1"/>
    <col min="17" max="16384" width="11.42578125" style="1"/>
  </cols>
  <sheetData>
    <row r="1" spans="1:16" s="12" customFormat="1" ht="13.5" customHeight="1" x14ac:dyDescent="0.2">
      <c r="A1" s="1178" t="s">
        <v>18</v>
      </c>
      <c r="B1" s="1178"/>
      <c r="C1" s="1178"/>
      <c r="D1" s="1179" t="str">
        <f>IF('päd.Personal - Leitung'!D1="","",'päd.Personal - Leitung'!D1)</f>
        <v/>
      </c>
      <c r="E1" s="1179"/>
      <c r="F1" s="1179"/>
      <c r="G1" s="1179"/>
      <c r="H1" s="1179"/>
      <c r="I1" s="1179"/>
      <c r="J1" s="1179"/>
      <c r="K1" s="1179"/>
      <c r="L1" s="1179"/>
      <c r="M1" s="1179"/>
      <c r="N1" s="1179"/>
    </row>
    <row r="2" spans="1:16" s="12" customFormat="1" ht="15" customHeight="1" x14ac:dyDescent="0.2">
      <c r="A2" s="1178" t="s">
        <v>17</v>
      </c>
      <c r="B2" s="1178"/>
      <c r="C2" s="1178" t="s">
        <v>15</v>
      </c>
      <c r="D2" s="1179" t="str">
        <f>IF('päd.Personal - Leitung'!D2="","",'päd.Personal - Leitung'!D2)</f>
        <v/>
      </c>
      <c r="E2" s="1179"/>
      <c r="F2" s="1179"/>
      <c r="G2" s="1179"/>
      <c r="H2" s="1179"/>
      <c r="I2" s="1179"/>
      <c r="J2" s="1179"/>
      <c r="K2" s="1179"/>
      <c r="L2" s="1179"/>
      <c r="M2" s="1179"/>
      <c r="N2" s="1179"/>
    </row>
    <row r="3" spans="1:16" s="12" customFormat="1" ht="15" customHeight="1" x14ac:dyDescent="0.2">
      <c r="A3" s="1178" t="s">
        <v>16</v>
      </c>
      <c r="B3" s="1178"/>
      <c r="C3" s="1178" t="s">
        <v>15</v>
      </c>
      <c r="D3" s="1179" t="str">
        <f>IF('päd.Personal - Leitung'!D3="","",'päd.Personal - Leitung'!D3)</f>
        <v/>
      </c>
      <c r="E3" s="1179"/>
      <c r="F3" s="1179"/>
      <c r="G3" s="1179"/>
      <c r="H3" s="1179"/>
      <c r="I3" s="1179"/>
      <c r="J3" s="1179"/>
      <c r="K3" s="1178" t="s">
        <v>103</v>
      </c>
      <c r="L3" s="1178"/>
      <c r="M3" s="1178"/>
      <c r="N3" s="41" t="str">
        <f>IF('päd.Personal - Leitung'!N3="","",'päd.Personal - Leitung'!N3)</f>
        <v/>
      </c>
    </row>
    <row r="4" spans="1:16" s="13" customFormat="1" ht="11.25" x14ac:dyDescent="0.2">
      <c r="A4" s="1182"/>
      <c r="B4" s="1182"/>
      <c r="C4" s="1182"/>
      <c r="D4" s="1183"/>
      <c r="E4" s="1183"/>
      <c r="F4" s="1183"/>
      <c r="G4" s="1183"/>
      <c r="H4" s="1183"/>
      <c r="I4" s="1183"/>
      <c r="J4" s="1183"/>
      <c r="K4" s="11"/>
      <c r="L4" s="11"/>
      <c r="M4" s="11"/>
      <c r="N4" s="11"/>
      <c r="O4" s="11"/>
      <c r="P4" s="11"/>
    </row>
    <row r="5" spans="1:16" s="15" customFormat="1" ht="13.5" customHeight="1" x14ac:dyDescent="0.2">
      <c r="A5" s="1177" t="s">
        <v>175</v>
      </c>
      <c r="B5" s="1177"/>
      <c r="C5" s="1177"/>
      <c r="D5" s="1177"/>
      <c r="E5" s="1177"/>
      <c r="F5" s="1177"/>
      <c r="G5" s="1177"/>
      <c r="H5" s="1177"/>
      <c r="I5" s="1177"/>
      <c r="J5" s="1177"/>
      <c r="K5" s="1177"/>
      <c r="L5" s="9"/>
      <c r="M5" s="9"/>
      <c r="N5" s="59" t="s">
        <v>154</v>
      </c>
      <c r="O5" s="191">
        <f>'päd.Personal - Leitung'!$O$5</f>
        <v>2022</v>
      </c>
      <c r="P5" s="59" t="s">
        <v>154</v>
      </c>
    </row>
    <row r="6" spans="1:16" s="10" customFormat="1" ht="13.5" customHeight="1" x14ac:dyDescent="0.25">
      <c r="B6" s="32"/>
      <c r="C6" s="32"/>
      <c r="D6" s="5" t="s">
        <v>109</v>
      </c>
      <c r="E6" s="31"/>
      <c r="F6" s="31"/>
      <c r="G6" s="31"/>
      <c r="H6" s="31"/>
      <c r="I6" s="26"/>
      <c r="J6" s="1197"/>
      <c r="K6" s="1197"/>
      <c r="L6" s="111"/>
      <c r="N6" s="84">
        <f>IF(L8="","",L8)</f>
        <v>0</v>
      </c>
      <c r="O6" s="58" t="str">
        <f>'päd.Personal - Leitung'!$O$6</f>
        <v>Jan                Jul</v>
      </c>
      <c r="P6" s="85">
        <f>IF(N11="","",N11)</f>
        <v>0</v>
      </c>
    </row>
    <row r="7" spans="1:16" s="7" customFormat="1" ht="13.5" customHeight="1" x14ac:dyDescent="0.25">
      <c r="A7" s="1180" t="s">
        <v>71</v>
      </c>
      <c r="B7" s="1180"/>
      <c r="C7" s="1180"/>
      <c r="D7" s="1184"/>
      <c r="E7" s="1184"/>
      <c r="F7" s="1184"/>
      <c r="G7" s="1184"/>
      <c r="H7" s="1184"/>
      <c r="I7" s="1184"/>
      <c r="J7" s="1174" t="s">
        <v>104</v>
      </c>
      <c r="K7" s="1174"/>
      <c r="L7" s="145"/>
      <c r="N7" s="85">
        <f>IF(N6="","",N6)</f>
        <v>0</v>
      </c>
      <c r="O7" s="58" t="str">
        <f>'päd.Personal - Leitung'!$O$7</f>
        <v>Feb              Aug</v>
      </c>
      <c r="P7" s="85">
        <f>IF(P6="","",P6)</f>
        <v>0</v>
      </c>
    </row>
    <row r="8" spans="1:16" ht="13.5" customHeight="1" x14ac:dyDescent="0.2">
      <c r="A8" s="1180" t="s">
        <v>13</v>
      </c>
      <c r="B8" s="1180"/>
      <c r="C8" s="1180"/>
      <c r="D8" s="1181"/>
      <c r="E8" s="1181"/>
      <c r="F8" s="1181"/>
      <c r="G8" s="1181"/>
      <c r="H8" s="1181"/>
      <c r="I8" s="1181"/>
      <c r="J8" s="1174" t="s">
        <v>164</v>
      </c>
      <c r="K8" s="1174"/>
      <c r="L8" s="145">
        <f>IF((L9+L10)&gt;L7,0,L7-L9-L10)</f>
        <v>0</v>
      </c>
      <c r="M8" s="1"/>
      <c r="N8" s="85">
        <f>IF(N7="","",N7)</f>
        <v>0</v>
      </c>
      <c r="O8" s="58" t="str">
        <f>'päd.Personal - Leitung'!$O$8</f>
        <v>Mrz              Sep</v>
      </c>
      <c r="P8" s="85">
        <f>IF(P7="","",P7)</f>
        <v>0</v>
      </c>
    </row>
    <row r="9" spans="1:16" ht="13.5" customHeight="1" x14ac:dyDescent="0.2">
      <c r="A9" s="1180" t="s">
        <v>12</v>
      </c>
      <c r="B9" s="1180"/>
      <c r="C9" s="1180"/>
      <c r="D9" s="1181"/>
      <c r="E9" s="1181"/>
      <c r="F9" s="1181"/>
      <c r="G9" s="1181"/>
      <c r="H9" s="1181"/>
      <c r="I9" s="1181"/>
      <c r="J9" s="1174" t="s">
        <v>165</v>
      </c>
      <c r="K9" s="1174"/>
      <c r="L9" s="145"/>
      <c r="M9" s="1"/>
      <c r="N9" s="85">
        <f>IF(N8="","",N8)</f>
        <v>0</v>
      </c>
      <c r="O9" s="58" t="str">
        <f>'päd.Personal - Leitung'!$O$9</f>
        <v>Apr               Okt</v>
      </c>
      <c r="P9" s="85">
        <f t="shared" ref="P9:P11" si="0">IF(P8="","",P8)</f>
        <v>0</v>
      </c>
    </row>
    <row r="10" spans="1:16" ht="13.5" customHeight="1" x14ac:dyDescent="0.2">
      <c r="A10" s="1180" t="s">
        <v>19</v>
      </c>
      <c r="B10" s="1180"/>
      <c r="C10" s="1180"/>
      <c r="D10" s="1181"/>
      <c r="E10" s="1181"/>
      <c r="F10" s="1181"/>
      <c r="G10" s="1181"/>
      <c r="H10" s="1181"/>
      <c r="I10" s="1181"/>
      <c r="J10" s="1174" t="s">
        <v>252</v>
      </c>
      <c r="K10" s="1174"/>
      <c r="L10" s="145"/>
      <c r="M10" s="92"/>
      <c r="N10" s="85">
        <f>IF(N9="","",N9)</f>
        <v>0</v>
      </c>
      <c r="O10" s="58" t="str">
        <f>'päd.Personal - Leitung'!$O$10</f>
        <v>Mai               Nov</v>
      </c>
      <c r="P10" s="85">
        <f t="shared" si="0"/>
        <v>0</v>
      </c>
    </row>
    <row r="11" spans="1:16" ht="13.5" customHeight="1" x14ac:dyDescent="0.2">
      <c r="A11" s="1"/>
      <c r="B11" s="8"/>
      <c r="C11" s="132" t="s">
        <v>162</v>
      </c>
      <c r="D11" s="1175"/>
      <c r="E11" s="1175"/>
      <c r="F11" s="1176" t="s">
        <v>190</v>
      </c>
      <c r="G11" s="1176"/>
      <c r="H11" s="1186"/>
      <c r="I11" s="1186"/>
      <c r="J11" s="1174" t="s">
        <v>97</v>
      </c>
      <c r="K11" s="1174"/>
      <c r="L11" s="17" t="str">
        <f>IF(IF((COUNTIF(B26:B37,"&gt;0"))=0,0,(COUNTIF(B26:B37,"&gt;0")))&gt;Grundlagen!$C$24,Grundlagen!$C$24,IF((COUNTIF(B26:B37,"&gt;0"))=0,"",(COUNTIF(B26:B37,"&gt;0"))))</f>
        <v/>
      </c>
      <c r="M11" s="1"/>
      <c r="N11" s="85">
        <f>IF(N10="","",N10)</f>
        <v>0</v>
      </c>
      <c r="O11" s="58" t="str">
        <f>'päd.Personal - Leitung'!$O$11</f>
        <v>Jun               Dez</v>
      </c>
      <c r="P11" s="85">
        <f t="shared" si="0"/>
        <v>0</v>
      </c>
    </row>
    <row r="12" spans="1:16" ht="13.5" customHeight="1" x14ac:dyDescent="0.2">
      <c r="A12" s="1"/>
      <c r="B12" s="1"/>
      <c r="C12" s="1"/>
      <c r="D12" s="1"/>
      <c r="E12" s="1"/>
      <c r="F12" s="1176" t="s">
        <v>191</v>
      </c>
      <c r="G12" s="1176"/>
      <c r="H12" s="1186"/>
      <c r="I12" s="1186"/>
      <c r="J12" s="1"/>
      <c r="K12" s="1"/>
      <c r="L12" s="147" t="str">
        <f>IF((SUM(F14:F17))=0,"",IF(P12&gt;L8,L8,IF(L8="","",IF(L11="","",P12))))</f>
        <v/>
      </c>
      <c r="M12" s="1"/>
      <c r="N12" s="1"/>
      <c r="O12" s="174" t="s">
        <v>251</v>
      </c>
      <c r="P12" s="175">
        <f>IF(L11="",0,((IF(SUMIF(B26,"&gt;0"),N6,0))+(IF(SUMIF(B27,"&gt;0"),N7,0))+(IF(SUMIF(B28,"&gt;0"),N8,0))+(IF(SUMIF(B29,"&gt;0"),N9,0))+(IF(SUMIF(B30,"&gt;0"),N10,0))+(IF(SUMIF(B31,"&gt;0"),N11,0))+(IF(SUMIF(B32,"&gt;0"),P6,0))+(IF(SUMIF(B33,"&gt;0"),P7,0))+(IF(SUMIF(B34,"&gt;0"),P8,0))+(IF(SUMIF(B35,"&gt;0"),P9,0))+(IF(SUMIF(B36,"&gt;0"),P10,0))+(IF(SUMIF(B37,"&gt;0"),P11,0)))/Grundlagen!$C$24)</f>
        <v>0</v>
      </c>
    </row>
    <row r="13" spans="1:16" s="52" customFormat="1" ht="13.5" customHeight="1" x14ac:dyDescent="0.2">
      <c r="A13" s="61" t="s">
        <v>148</v>
      </c>
      <c r="B13" s="1168" t="s">
        <v>149</v>
      </c>
      <c r="C13" s="1168"/>
      <c r="D13" s="62" t="s">
        <v>150</v>
      </c>
      <c r="E13" s="63" t="s">
        <v>151</v>
      </c>
      <c r="F13" s="64" t="str">
        <f>CONCATENATE("Entg. ",N3," h/Wo")</f>
        <v>Entg.  h/Wo</v>
      </c>
      <c r="G13" s="65" t="s">
        <v>152</v>
      </c>
      <c r="H13" s="65" t="s">
        <v>153</v>
      </c>
      <c r="K13" s="1169" t="str">
        <f>CONCATENATE("Zuschläge / Zulagen für ",N3,"h/Wo")</f>
        <v>Zuschläge / Zulagen für h/Wo</v>
      </c>
      <c r="L13" s="1169"/>
      <c r="M13" s="66" t="str">
        <f>IF(A14="","",A14)</f>
        <v>Jan 2022</v>
      </c>
      <c r="N13" s="66" t="str">
        <f>IF(A15="","",A15)</f>
        <v/>
      </c>
      <c r="O13" s="66" t="str">
        <f>IF(A16="","",A16)</f>
        <v/>
      </c>
      <c r="P13" s="66" t="str">
        <f>IF(A17="","",A17)</f>
        <v/>
      </c>
    </row>
    <row r="14" spans="1:16" s="52" customFormat="1" ht="13.5" customHeight="1" x14ac:dyDescent="0.25">
      <c r="A14" s="54" t="str">
        <f>A26</f>
        <v>Jan 2022</v>
      </c>
      <c r="B14" s="1198"/>
      <c r="C14" s="1199"/>
      <c r="D14" s="181"/>
      <c r="E14" s="181"/>
      <c r="F14" s="87"/>
      <c r="G14" s="56">
        <f>IF(N3="",0,F14/N3/4.348)</f>
        <v>0</v>
      </c>
      <c r="H14" s="53">
        <f>IF(G14=0,0,M19)</f>
        <v>0</v>
      </c>
      <c r="K14" s="1146"/>
      <c r="L14" s="1146"/>
      <c r="M14" s="86"/>
      <c r="N14" s="86"/>
      <c r="O14" s="86"/>
      <c r="P14" s="86"/>
    </row>
    <row r="15" spans="1:16" s="52" customFormat="1" ht="13.5" customHeight="1" x14ac:dyDescent="0.25">
      <c r="A15" s="55"/>
      <c r="B15" s="1172" t="str">
        <f>IF(A15="","",B14)</f>
        <v/>
      </c>
      <c r="C15" s="1173"/>
      <c r="D15" s="181"/>
      <c r="E15" s="181"/>
      <c r="F15" s="87"/>
      <c r="G15" s="56">
        <f>IF(N3="",0,F15/N3/4.348)</f>
        <v>0</v>
      </c>
      <c r="H15" s="53">
        <f>IF(G15=0,0,N19)</f>
        <v>0</v>
      </c>
      <c r="K15" s="1146"/>
      <c r="L15" s="1146"/>
      <c r="M15" s="86"/>
      <c r="N15" s="86"/>
      <c r="O15" s="86"/>
      <c r="P15" s="86"/>
    </row>
    <row r="16" spans="1:16" s="52" customFormat="1" ht="13.5" customHeight="1" x14ac:dyDescent="0.25">
      <c r="A16" s="55"/>
      <c r="B16" s="1172" t="str">
        <f>IF(A16="","",B15)</f>
        <v/>
      </c>
      <c r="C16" s="1173"/>
      <c r="D16" s="181"/>
      <c r="E16" s="181"/>
      <c r="F16" s="87"/>
      <c r="G16" s="56">
        <f>IF(N3="",0,F16/N3/4.348)</f>
        <v>0</v>
      </c>
      <c r="H16" s="53">
        <f>IF(G16=0,0,O19)</f>
        <v>0</v>
      </c>
      <c r="K16" s="1146"/>
      <c r="L16" s="1146"/>
      <c r="M16" s="86"/>
      <c r="N16" s="86"/>
      <c r="O16" s="86"/>
      <c r="P16" s="86"/>
    </row>
    <row r="17" spans="1:16" s="52" customFormat="1" ht="13.5" customHeight="1" x14ac:dyDescent="0.25">
      <c r="A17" s="55"/>
      <c r="B17" s="1172" t="str">
        <f>IF(A17="","",B16)</f>
        <v/>
      </c>
      <c r="C17" s="1173"/>
      <c r="D17" s="181"/>
      <c r="E17" s="181"/>
      <c r="F17" s="87"/>
      <c r="G17" s="56">
        <f>IF(N3="",0,F17/N3/4.348)</f>
        <v>0</v>
      </c>
      <c r="H17" s="53">
        <f>IF(G17=0,0,P19)</f>
        <v>0</v>
      </c>
      <c r="K17" s="1146"/>
      <c r="L17" s="1146"/>
      <c r="M17" s="86"/>
      <c r="N17" s="86"/>
      <c r="O17" s="86"/>
      <c r="P17" s="86"/>
    </row>
    <row r="18" spans="1:16" s="52" customFormat="1" ht="13.5" customHeight="1" x14ac:dyDescent="0.25">
      <c r="B18" s="1167" t="s">
        <v>157</v>
      </c>
      <c r="C18" s="1167"/>
      <c r="E18" s="1167" t="s">
        <v>156</v>
      </c>
      <c r="F18" s="1167"/>
      <c r="J18" s="69"/>
      <c r="K18" s="1146"/>
      <c r="L18" s="1146"/>
      <c r="M18" s="86"/>
      <c r="N18" s="86"/>
      <c r="O18" s="86"/>
      <c r="P18" s="86"/>
    </row>
    <row r="19" spans="1:16" s="52" customFormat="1" ht="13.5" customHeight="1" x14ac:dyDescent="0.25">
      <c r="A19" s="70" t="s">
        <v>167</v>
      </c>
      <c r="B19" s="67"/>
      <c r="C19" s="99"/>
      <c r="D19" s="70" t="s">
        <v>167</v>
      </c>
      <c r="E19" s="67"/>
      <c r="F19" s="99"/>
      <c r="J19" s="68"/>
      <c r="M19" s="57">
        <f>SUM(M14:M18)</f>
        <v>0</v>
      </c>
      <c r="N19" s="57">
        <f t="shared" ref="N19:P19" si="1">SUM(N14:N18)</f>
        <v>0</v>
      </c>
      <c r="O19" s="57">
        <f t="shared" si="1"/>
        <v>0</v>
      </c>
      <c r="P19" s="57">
        <f t="shared" si="1"/>
        <v>0</v>
      </c>
    </row>
    <row r="20" spans="1:16" s="52" customFormat="1" ht="13.5" customHeight="1" x14ac:dyDescent="0.2">
      <c r="A20" s="60" t="s">
        <v>155</v>
      </c>
    </row>
    <row r="21" spans="1:16" ht="14.25" customHeight="1" x14ac:dyDescent="0.2">
      <c r="A21" s="1147"/>
      <c r="B21" s="1149" t="s">
        <v>9</v>
      </c>
      <c r="C21" s="1150"/>
      <c r="D21" s="1150"/>
      <c r="E21" s="1150"/>
      <c r="F21" s="1150"/>
      <c r="G21" s="1151"/>
      <c r="H21" s="1152" t="s">
        <v>119</v>
      </c>
      <c r="I21" s="1153"/>
      <c r="J21" s="1153"/>
      <c r="K21" s="1153"/>
      <c r="L21" s="1153"/>
      <c r="M21" s="1153"/>
      <c r="N21" s="1153"/>
      <c r="O21" s="33"/>
      <c r="P21" s="1154" t="s">
        <v>0</v>
      </c>
    </row>
    <row r="22" spans="1:16" ht="14.25" customHeight="1" x14ac:dyDescent="0.2">
      <c r="A22" s="1148"/>
      <c r="B22" s="1157" t="s">
        <v>117</v>
      </c>
      <c r="C22" s="130" t="s">
        <v>115</v>
      </c>
      <c r="D22" s="1159" t="s">
        <v>277</v>
      </c>
      <c r="E22" s="1161" t="s">
        <v>147</v>
      </c>
      <c r="F22" s="134" t="s">
        <v>7</v>
      </c>
      <c r="G22" s="1162" t="s">
        <v>6</v>
      </c>
      <c r="H22" s="1161" t="s">
        <v>129</v>
      </c>
      <c r="I22" s="1161" t="s">
        <v>5</v>
      </c>
      <c r="J22" s="1161" t="s">
        <v>4</v>
      </c>
      <c r="K22" s="1161" t="s">
        <v>3</v>
      </c>
      <c r="L22" s="1161" t="s">
        <v>121</v>
      </c>
      <c r="M22" s="1161" t="s">
        <v>122</v>
      </c>
      <c r="N22" s="1161" t="s">
        <v>123</v>
      </c>
      <c r="O22" s="1160" t="s">
        <v>114</v>
      </c>
      <c r="P22" s="1155"/>
    </row>
    <row r="23" spans="1:16" ht="14.25" customHeight="1" x14ac:dyDescent="0.2">
      <c r="A23" s="1148"/>
      <c r="B23" s="1157"/>
      <c r="C23" s="21" t="str">
        <f>IF(C19="","",C19)</f>
        <v/>
      </c>
      <c r="D23" s="1160"/>
      <c r="E23" s="1161"/>
      <c r="F23" s="1165" t="str">
        <f>IF(H14=0,"","siehe Zuschläge / Zulagen")</f>
        <v/>
      </c>
      <c r="G23" s="1162"/>
      <c r="H23" s="1164" t="s">
        <v>127</v>
      </c>
      <c r="I23" s="1164"/>
      <c r="J23" s="1164"/>
      <c r="K23" s="1164"/>
      <c r="L23" s="1164"/>
      <c r="M23" s="1164"/>
      <c r="N23" s="1164"/>
      <c r="O23" s="1160"/>
      <c r="P23" s="1155"/>
    </row>
    <row r="24" spans="1:16" x14ac:dyDescent="0.2">
      <c r="A24" s="1148"/>
      <c r="B24" s="1157"/>
      <c r="C24" s="128" t="s">
        <v>70</v>
      </c>
      <c r="D24" s="1160"/>
      <c r="E24" s="1161"/>
      <c r="F24" s="1165"/>
      <c r="G24" s="1162"/>
      <c r="H24" s="43" t="s">
        <v>128</v>
      </c>
      <c r="I24" s="43" t="s">
        <v>255</v>
      </c>
      <c r="J24" s="43" t="s">
        <v>256</v>
      </c>
      <c r="K24" s="43" t="s">
        <v>257</v>
      </c>
      <c r="L24" s="43"/>
      <c r="M24" s="43"/>
      <c r="N24" s="43" t="s">
        <v>254</v>
      </c>
      <c r="O24" s="1160"/>
      <c r="P24" s="1155"/>
    </row>
    <row r="25" spans="1:16" x14ac:dyDescent="0.2">
      <c r="A25" s="1148"/>
      <c r="B25" s="1158"/>
      <c r="C25" s="21" t="str">
        <f>IF(F19="","",F19)</f>
        <v/>
      </c>
      <c r="D25" s="51"/>
      <c r="E25" s="51"/>
      <c r="F25" s="1166"/>
      <c r="G25" s="1163"/>
      <c r="H25" s="93"/>
      <c r="I25" s="139">
        <f>'päd.Personal - Leitung'!$I$69</f>
        <v>0</v>
      </c>
      <c r="J25" s="139">
        <f>'päd.Personal - Leitung'!$J$69</f>
        <v>0</v>
      </c>
      <c r="K25" s="44">
        <f>'päd.Personal - Leitung'!$K$69</f>
        <v>0</v>
      </c>
      <c r="L25" s="21"/>
      <c r="M25" s="21"/>
      <c r="N25" s="139">
        <f>'päd.Personal - Leitung'!$N$69</f>
        <v>0</v>
      </c>
      <c r="O25" s="21">
        <f>'päd.Personal - Leitung'!$O$69</f>
        <v>0</v>
      </c>
      <c r="P25" s="1156"/>
    </row>
    <row r="26" spans="1:16" x14ac:dyDescent="0.2">
      <c r="A26" s="100" t="str">
        <f>'päd.Personal - Leitung'!$A$26</f>
        <v>Jan 2022</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76">
        <f>ROUND(IF((SUM(B26:F26))&gt;L41,L41*H25,SUM(B26:F26)*H25),2)</f>
        <v>0</v>
      </c>
      <c r="I26" s="76">
        <f>ROUND(IF((SUM(B26:F26))&gt;L42,L42*I25,SUM(B26:F26)*I25),2)</f>
        <v>0</v>
      </c>
      <c r="J26" s="76">
        <f>ROUND(IF((SUM(B26:F26))&gt;L42,L42*J25,SUM(B26:F26)*J25),2)</f>
        <v>0</v>
      </c>
      <c r="K26" s="76">
        <f>ROUND(IF((SUM(B26:F26))&gt;L41,L41*K25,SUM(B26:F26)*K25),2)</f>
        <v>0</v>
      </c>
      <c r="L26" s="76">
        <f>ROUND(IF((SUM(B26:F26))&gt;L42,L42*L25,(SUM(B26:F26)-C26)*L25),2)</f>
        <v>0</v>
      </c>
      <c r="M26" s="76">
        <f>ROUND(IF((SUM(B26:F26))&gt;L42,L42*M25,(SUM(B26:F26)-C26)*M25),2)</f>
        <v>0</v>
      </c>
      <c r="N26" s="76">
        <f>ROUND(IF((SUM(B26:F26))&gt;L42,L42*N25,SUM(B26:F26)*N25),2)</f>
        <v>0</v>
      </c>
      <c r="O26" s="23">
        <f>ROUND(SUM(B26+C26+F26)*O25,2)</f>
        <v>0</v>
      </c>
      <c r="P26" s="27">
        <f>SUM(G26:O26)</f>
        <v>0</v>
      </c>
    </row>
    <row r="27" spans="1:16" x14ac:dyDescent="0.2">
      <c r="A27" s="100" t="str">
        <f>'päd.Personal - Leitung'!$A$27</f>
        <v>Feb 2022</v>
      </c>
      <c r="B27" s="24">
        <f>ROUND(IF(N7=0,0,IFERROR(((LOOKUP(2,1/(A14:A17=A27),G14:G17))*N7*4.348),B26/N7*N7)),2)</f>
        <v>0</v>
      </c>
      <c r="C27" s="23">
        <f>ROUND(IFERROR(((LOOKUP(2,1/(B19=A27),((SUM(B32:B34)+SUM(F32:F34))/3)*C19))),0)+IFERROR(((LOOKUP(2,1/(E19=A27),(B38+F38)*F19))),0),2)</f>
        <v>0</v>
      </c>
      <c r="D27" s="23">
        <f>ROUND(IF(B27=0,0,D25/L7*N7),2)</f>
        <v>0</v>
      </c>
      <c r="E27" s="23">
        <f>ROUND(IF(B27=0,0,E25/N3*N7),2)</f>
        <v>0</v>
      </c>
      <c r="F27" s="24">
        <f>ROUND(IF(N7=0,0,IFERROR(((LOOKUP(2,1/(A14:A17=A27),H14:H17))/N3*N7),F26/N7*N7)),2)</f>
        <v>0</v>
      </c>
      <c r="G27" s="27">
        <f t="shared" ref="G27:G37" si="2">SUM(B27+C27+E27+F27)</f>
        <v>0</v>
      </c>
      <c r="H27" s="76">
        <f>ROUND(IF(SUM(B26:F26)&lt;(L41*1),IF((SUM(B26:F27))&gt;(L41*2),(((L41*2)-(SUM(B26:F27)-C26))*H25)+((SUM(B27:F27)-C26)*H25),SUM(B27:F27)*H25),IF(SUM(B26:F27)&gt;(L41*2),L41*H25,SUM(B27:F27)*H25)),2)</f>
        <v>0</v>
      </c>
      <c r="I27" s="76">
        <f>ROUND(IF(SUM(B26:F26)&lt;(L42*1),IF((SUM(B26:F27))&gt;(L42*2),(((L42*2)-(SUM(B26:F27)-C26))*I25)+((SUM(B27:F27)-C26)*I25),SUM(B27:F27)*I25),IF(SUM(B26:F27)&gt;(L42*2),L42*I25,SUM(B27:F27)*I25)),2)</f>
        <v>0</v>
      </c>
      <c r="J27" s="76">
        <f>ROUND(IF(SUM(B26:F26)&lt;(L42*1),IF((SUM(B26:F27))&gt;(L42*2),(((L42*2)-(SUM(B26:F27)-C26))*J25)+((SUM(B27:F27)-C26)*J25),SUM(B27:F27)*J25),IF(SUM(B26:F27)&gt;(L42*2),L42*J25,SUM(B27:F27)*J25)),2)</f>
        <v>0</v>
      </c>
      <c r="K27" s="76">
        <f>ROUND(IF(SUM(B26:F26)&lt;(L41*1),IF((SUM(B26:F27))&gt;(L41*2),(((L41*2)-(SUM(B26:F27)-C26))*K25)+((SUM(B27:F27)-C26)*K25),SUM(B27:F27)*K25),IF(SUM(B26:F27)&gt;(L41*2),L41*K25,SUM(B27:F27)*K25)),2)</f>
        <v>0</v>
      </c>
      <c r="L27" s="76">
        <f>ROUND(IF(SUM(B26:F26)&lt;(L42*1),IF((SUM(B26:F27))&gt;(L42*2),(((L42*2)-(SUM(B26:F27)-C27))*L25)+((SUM(B27:F27)-C27)*L25),(SUM(B27:F27)-C27)*L25),IF(SUM(B26:F27)&gt;(L42*2),L42*L25,SUM(B27:F27)*L25)),2)</f>
        <v>0</v>
      </c>
      <c r="M27" s="76">
        <f>ROUND(IF(SUM(B26:F26)&lt;(L42*1),IF((SUM(B26:F27))&gt;(L42*2),(((L42*2)-(SUM(B26:F27)-C27))*M25)+((SUM(B27:F27)-C27)*M25),(SUM(B27:F27)-C27)*M25),IF(SUM(B26:F27)&gt;(L42*2),L42*M25,SUM(B27:F27)*M25)),2)</f>
        <v>0</v>
      </c>
      <c r="N27" s="76">
        <f>ROUND(IF(SUM(B26:F26)&lt;(L42*1),IF((SUM(B26:F27))&gt;(L42*2),(((L42*2)-(SUM(B26:F27)-C26))*N25)+((SUM(B27:F27)-C26)*N25),SUM(B27:F27)*N25),IF(SUM(B26:F27)&gt;(L42*2),L42*N25,SUM(B27:F27)*N25)),2)</f>
        <v>0</v>
      </c>
      <c r="O27" s="23">
        <f>ROUND(SUM(B27+C27+F27)*O25,2)</f>
        <v>0</v>
      </c>
      <c r="P27" s="27">
        <f>SUM(G27:O27)</f>
        <v>0</v>
      </c>
    </row>
    <row r="28" spans="1:16" x14ac:dyDescent="0.2">
      <c r="A28" s="100" t="str">
        <f>'päd.Personal - Leitung'!$A$28</f>
        <v>Mrz 2022</v>
      </c>
      <c r="B28" s="24">
        <f>ROUND(IF(N8=0,0,IFERROR(((LOOKUP(2,1/(A14:A17=A28),G14:G17))*N8*4.348),B27/N8*N8)),2)</f>
        <v>0</v>
      </c>
      <c r="C28" s="23">
        <f>ROUND(IFERROR(((LOOKUP(2,1/(B19=A28),((SUM(B32:B34)+SUM(F32:F34))/3)*C19))),0)+IFERROR(((LOOKUP(2,1/(E19=A28),(B38+F38)*F19))),0),2)</f>
        <v>0</v>
      </c>
      <c r="D28" s="23">
        <f>ROUND(IF(B28=0,0,D25/L7*N8),2)</f>
        <v>0</v>
      </c>
      <c r="E28" s="23">
        <f>ROUND(IF(B28=0,0,E25/N3*N8),2)</f>
        <v>0</v>
      </c>
      <c r="F28" s="24">
        <f>ROUND(IF(N8=0,0,IFERROR(((LOOKUP(2,1/(A14:A17=A28),H14:H17))/N3*N8),F27/N8*N8)),2)</f>
        <v>0</v>
      </c>
      <c r="G28" s="27">
        <f t="shared" si="2"/>
        <v>0</v>
      </c>
      <c r="H28" s="76">
        <f>ROUND(IF(SUM(B26:F27)&lt;(L41*2),IF((SUM(B26:F28))&gt;(L41*3),(((L41*3)-(SUM(B26:F28)-C27))*H25)+((SUM(B28:F28)-C27)*H25),SUM(B28:F28)*H25),IF(SUM(B26:F28)&gt;(L41*3),L41*H25,SUM(B28:F28)*H25)),2)</f>
        <v>0</v>
      </c>
      <c r="I28" s="76">
        <f>ROUND(IF(SUM(B26:F27)&lt;(L42*2),IF((SUM(B26:F28))&gt;(L42*3),(((L42*3)-(SUM(B26:F28)-C27))*I25)+((SUM(B28:F28)-C27)*I25),SUM(B28:F28)*I25),IF(SUM(B26:F28)&gt;(L42*3),L42*I25,SUM(B28:F28)*I25)),2)</f>
        <v>0</v>
      </c>
      <c r="J28" s="76">
        <f>ROUND(IF(SUM(B26:F27)&lt;(L42*2),IF((SUM(B26:F28))&gt;(L42*3),(((L42*3)-(SUM(B26:F28)-C27))*J25)+((SUM(B28:F28)-C27)*J25),SUM(B28:F28)*J25),IF(SUM(B26:F28)&gt;(L42*3),L42*J25,SUM(B28:F28)*J25)),2)</f>
        <v>0</v>
      </c>
      <c r="K28" s="76">
        <f>ROUND(IF(SUM(B26:F27)&lt;(L41*2),IF((SUM(B26:F28))&gt;(L41*3),(((L41*3)-(SUM(B26:F28)-C27))*K25)+((SUM(B28:F28)-C27)*K25),SUM(B28:F28)*K25),IF(SUM(B26:F28)&gt;(L41*3),L41*K25,SUM(B28:F28)*K25)),2)</f>
        <v>0</v>
      </c>
      <c r="L28" s="76">
        <f>ROUND(IF(SUM(B26:F27)&lt;(L42*2),IF((SUM(B26:F28))&gt;(L42*3),(((L42*3)-(SUM(B26:F28)-C28))*L25)+((SUM(B28:F28)-C28)*L25),(SUM(B28:F28)-C28)*L25),IF(SUM(B26:F28)&gt;(L42*3),L42*L25,SUM(B28:F28)*L25)),2)</f>
        <v>0</v>
      </c>
      <c r="M28" s="76">
        <f>ROUND(IF(SUM(B26:F27)&lt;(L42*2),IF((SUM(B26:F28))&gt;(L42*3),(((L42*3)-(SUM(B26:F28)-C28))*M25)+((SUM(B28:F28)-C28)*M25),(SUM(B28:F28)-C28)*M25),IF(SUM(B26:F28)&gt;(L42*3),L42*M25,SUM(B28:F28)*M25)),2)</f>
        <v>0</v>
      </c>
      <c r="N28" s="76">
        <f>ROUND(IF(SUM(B26:F27)&lt;(L42*2),IF((SUM(B26:F28))&gt;(L42*3),(((L42*3)-(SUM(B26:F28)-C27))*N25)+((SUM(B28:F28)-C27)*N25),SUM(B28:F28)*N25),IF(SUM(B26:F28)&gt;(L42*3),L42*N25,SUM(B28:F28)*N25)),2)</f>
        <v>0</v>
      </c>
      <c r="O28" s="23">
        <f>ROUND(SUM(B28+C28+F28)*O25,2)</f>
        <v>0</v>
      </c>
      <c r="P28" s="27">
        <f t="shared" ref="P28:P37" si="3">SUM(G28:O28)</f>
        <v>0</v>
      </c>
    </row>
    <row r="29" spans="1:16" x14ac:dyDescent="0.2">
      <c r="A29" s="100" t="str">
        <f>'päd.Personal - Leitung'!$A$29</f>
        <v>Apr 2022</v>
      </c>
      <c r="B29" s="24">
        <f>ROUND(IF(N9=0,0,IFERROR(((LOOKUP(2,1/(A14:A17=A29),G14:G17))*N9*4.348),B28/N9*N9)),2)</f>
        <v>0</v>
      </c>
      <c r="C29" s="23">
        <f>ROUND(IFERROR(((LOOKUP(2,1/(B19=A29),((SUM(B32:B34)+SUM(F32:F34))/3)*C19))),0)+IFERROR(((LOOKUP(2,1/(E19=A29),(B38+F38)*F19))),0),2)</f>
        <v>0</v>
      </c>
      <c r="D29" s="23">
        <f>ROUND(IF(B29=0,0,D25/L7*N9),2)</f>
        <v>0</v>
      </c>
      <c r="E29" s="23">
        <f>ROUND(IF(B29=0,0,E25/N3*N9),2)</f>
        <v>0</v>
      </c>
      <c r="F29" s="24">
        <f>ROUND(IF(N9=0,0,IFERROR(((LOOKUP(2,1/(A14:A17=A29),H14:H17))/N3*N9),F28/N9*N9)),2)</f>
        <v>0</v>
      </c>
      <c r="G29" s="27">
        <f t="shared" si="2"/>
        <v>0</v>
      </c>
      <c r="H29" s="76">
        <f>ROUND(IF(SUM(B26:F28)&lt;(L41*3),IF((SUM(B26:F29))&gt;(L41*4),(((L41*4)-(SUM(B26:F29)-C28))*H25)+((SUM(B29:F29)-C28)*H25),SUM(B29:F29)*H25),IF(SUM(B26:F29)&gt;(L41*4),L41*H25,SUM(B29:F29)*H25)),2)</f>
        <v>0</v>
      </c>
      <c r="I29" s="76">
        <f>ROUND(IF(SUM(B26:F28)&lt;(L42*3),IF((SUM(B26:F29))&gt;(L42*4),(((L42*4)-(SUM(B26:F29)-C28))*I25)+((SUM(B29:F29)-C28)*I25),SUM(B29:F29)*I25),IF(SUM(B26:F29)&gt;(L42*4),L42*I25,SUM(B29:F29)*I25)),2)</f>
        <v>0</v>
      </c>
      <c r="J29" s="76">
        <f>ROUND(IF(SUM(B26:F28)&lt;(L42*3),IF((SUM(B26:F29))&gt;(L42*4),(((L42*4)-(SUM(B26:F29)-C28))*J25)+((SUM(B29:F29)-C28)*J25),SUM(B29:F29)*J25),IF(SUM(B26:F29)&gt;(L42*4),L42*J25,SUM(B29:F29)*J25)),2)</f>
        <v>0</v>
      </c>
      <c r="K29" s="76">
        <f>ROUND(IF(SUM(B26:F28)&lt;(L41*3),IF((SUM(B26:F29))&gt;(L41*4),(((L41*4)-(SUM(B26:F29)-C28))*K25)+((SUM(B29:F29)-C28)*K25),SUM(B29:F29)*K25),IF(SUM(B26:F29)&gt;(L41*4),L41*K25,SUM(B29:F29)*K25)),2)</f>
        <v>0</v>
      </c>
      <c r="L29" s="76">
        <f>ROUND(IF(SUM(B26:F28)&lt;(L42*3),IF((SUM(B26:F29))&gt;(L42*4),(((L42*4)-(SUM(B26:F29)-C29))*L25)+((SUM(B29:F29)-C29)*L25),(SUM(B29:F29)-C29)*L25),IF(SUM(B26:F29)&gt;(L42*4),L42*L25,SUM(B29:F29)*L25)),2)</f>
        <v>0</v>
      </c>
      <c r="M29" s="76">
        <f>ROUND(IF(SUM(B26:F28)&lt;(L42*3),IF((SUM(B26:F29))&gt;(L42*4),(((L42*4)-(SUM(B26:F29)-C29))*M25)+((SUM(B29:F29)-C29)*M25),(SUM(B29:F29)-C29)*M25),IF(SUM(B26:F29)&gt;(L42*4),L42*M25,SUM(B29:F29)*M25)),2)</f>
        <v>0</v>
      </c>
      <c r="N29" s="76">
        <f>ROUND(IF(SUM(B26:F28)&lt;(L42*3),IF((SUM(B26:F29))&gt;(L42*4),(((L42*4)-(SUM(B26:F29)-C28))*N25)+((SUM(B29:F29)-C28)*N25),SUM(B29:F29)*N25),IF(SUM(B26:F29)&gt;(L42*4),L42*N25,SUM(B29:F29)*N25)),2)</f>
        <v>0</v>
      </c>
      <c r="O29" s="23">
        <f>ROUND(SUM(B29+C29+F29)*O25,2)</f>
        <v>0</v>
      </c>
      <c r="P29" s="27">
        <f t="shared" si="3"/>
        <v>0</v>
      </c>
    </row>
    <row r="30" spans="1:16" x14ac:dyDescent="0.2">
      <c r="A30" s="100" t="str">
        <f>'päd.Personal - Leitung'!$A$30</f>
        <v>Mai 2022</v>
      </c>
      <c r="B30" s="24">
        <f>ROUND(IF(N10=0,0,IFERROR(((LOOKUP(2,1/(A14:A17=A30),G14:G17))*N10*4.348),B29/N10*N10)),2)</f>
        <v>0</v>
      </c>
      <c r="C30" s="23">
        <f>ROUND(IFERROR(((LOOKUP(2,1/(B19=A30),((SUM(B32:B34)+SUM(F32:F34))/3)*C19))),0)+IFERROR(((LOOKUP(2,1/(E19=A30),(B38+F38)*F19))),0),2)</f>
        <v>0</v>
      </c>
      <c r="D30" s="23">
        <f>ROUND(IF(B30=0,0,D25/L7*N10),2)</f>
        <v>0</v>
      </c>
      <c r="E30" s="23">
        <f>ROUND(IF(B30=0,0,E25/N3*N10),2)</f>
        <v>0</v>
      </c>
      <c r="F30" s="24">
        <f>ROUND(IF(N10=0,0,IFERROR(((LOOKUP(2,1/(A14:A17=A30),H14:H17))/N3*N10),F29/N10*N10)),2)</f>
        <v>0</v>
      </c>
      <c r="G30" s="27">
        <f t="shared" si="2"/>
        <v>0</v>
      </c>
      <c r="H30" s="76">
        <f>ROUND(IF(SUM(B26:F29)&lt;(L41*4),IF((SUM(B26:F30))&gt;(L41*5),(((L41*5)-(SUM(B26:F30)-C29))*H25)+((SUM(B30:F30)-C29)*H25),SUM(B30:F30)*H25),IF(SUM(B26:F30)&gt;(L41*5),L41*H25,SUM(B30:F30)*H25)),2)</f>
        <v>0</v>
      </c>
      <c r="I30" s="76">
        <f>ROUND(IF(SUM(B26:F29)&lt;(L42*4),IF((SUM(B26:F30))&gt;(L42*5),(((L42*5)-(SUM(B26:F30)-C29))*I25)+((SUM(B30:F30)-C29)*I25),SUM(B30:F30)*I25),IF(SUM(B26:F30)&gt;(L42*5),L42*I25,SUM(B30:F30)*I25)),2)</f>
        <v>0</v>
      </c>
      <c r="J30" s="76">
        <f>ROUND(IF(SUM(B26:F29)&lt;(L42*4),IF((SUM(B26:F30))&gt;(L42*5),(((L42*5)-(SUM(B26:F30)-C29))*J25)+((SUM(B30:F30)-C29)*J25),SUM(B30:F30)*J25),IF(SUM(B26:F30)&gt;(L42*5),L42*J25,SUM(B30:F30)*J25)),2)</f>
        <v>0</v>
      </c>
      <c r="K30" s="76">
        <f>ROUND(IF(SUM(B26:F29)&lt;(L41*4),IF((SUM(B26:F30))&gt;(L41*5),(((L41*5)-(SUM(B26:F30)-C29))*K25)+((SUM(B30:F30)-C29)*K25),SUM(B30:F30)*K25),IF(SUM(B26:F30)&gt;(L41*5),L41*K25,SUM(B30:F30)*K25)),2)</f>
        <v>0</v>
      </c>
      <c r="L30" s="76">
        <f>ROUND(IF(SUM(B26:F29)&lt;(L42*4),IF((SUM(B26:F30))&gt;(L42*5),(((L42*5)-(SUM(B26:F30)-C30))*L25)+((SUM(B30:F30)-C30)*L25),(SUM(B30:F30)-C30)*L25),IF(SUM(B26:F30)&gt;(L42*5),L42*L25,SUM(B30:F30)*L25)),2)</f>
        <v>0</v>
      </c>
      <c r="M30" s="76">
        <f>ROUND(IF(SUM(B26:F29)&lt;(L42*4),IF((SUM(B26:F30))&gt;(L42*5),(((L42*5)-(SUM(B26:F30)-C30))*M25)+((SUM(B30:F30)-C30)*M25),(SUM(B30:F30)-C30)*M25),IF(SUM(B26:F30)&gt;(L42*5),L42*M25,SUM(B30:F30)*M25)),2)</f>
        <v>0</v>
      </c>
      <c r="N30" s="76">
        <f>ROUND(IF(SUM(B26:F29)&lt;(L42*4),IF((SUM(B26:F30))&gt;(L42*5),(((L42*5)-(SUM(B26:F30)-C29))*N25)+((SUM(B30:F30)-C29)*N25),SUM(B30:F30)*N25),IF(SUM(B26:F30)&gt;(L42*5),L42*N25,SUM(B30:F30)*N25)),2)</f>
        <v>0</v>
      </c>
      <c r="O30" s="23">
        <f>ROUND(SUM(B30+C30+F30)*O25,2)</f>
        <v>0</v>
      </c>
      <c r="P30" s="27">
        <f t="shared" si="3"/>
        <v>0</v>
      </c>
    </row>
    <row r="31" spans="1:16" x14ac:dyDescent="0.2">
      <c r="A31" s="100" t="str">
        <f>'päd.Personal - Leitung'!$A$31</f>
        <v>Jun 2022</v>
      </c>
      <c r="B31" s="24">
        <f>ROUND(IF(N11=0,0,IFERROR(((LOOKUP(2,1/(A14:A17=A31),G14:G17))*N11*4.348),B30/N11*N11)),2)</f>
        <v>0</v>
      </c>
      <c r="C31" s="23">
        <f>ROUND(IFERROR(((LOOKUP(2,1/(B19=A31),((SUM(B32:B34)+SUM(F32:F34))/3)*C19))),0)+IFERROR(((LOOKUP(2,1/(E19=A31),(B38+F38)*F19))),0),2)</f>
        <v>0</v>
      </c>
      <c r="D31" s="23">
        <f>ROUND(IF(B31=0,0,D25/L7*N11),2)</f>
        <v>0</v>
      </c>
      <c r="E31" s="23">
        <f>ROUND(IF(B31=0,0,E25/N3*N11),2)</f>
        <v>0</v>
      </c>
      <c r="F31" s="24">
        <f>ROUND(IF(N11=0,0,IFERROR(((LOOKUP(2,1/(A14:A17=A31),H14:H17))/N3*N11),F30/N11*N11)),2)</f>
        <v>0</v>
      </c>
      <c r="G31" s="27">
        <f t="shared" si="2"/>
        <v>0</v>
      </c>
      <c r="H31" s="76">
        <f>ROUND(IF(SUM(B26:F30)&lt;(L41*5),IF((SUM(B26:F31))&gt;(L41*6),(((L41*6)-(SUM(B26:F31)-C30))*H25)+((SUM(B31:F31)-C30)*H25),SUM(B31:F31)*H25),IF(SUM(B26:F31)&gt;(L41*6),L41*H25,SUM(B31:F31)*H25)),2)</f>
        <v>0</v>
      </c>
      <c r="I31" s="76">
        <f>ROUND(IF(SUM(B26:F30)&lt;(L42*5),IF((SUM(B26:F31))&gt;(L42*6),(((L42*6)-(SUM(B26:F31)-C30))*I25)+((SUM(B31:F31)-C30)*I25),SUM(B31:F31)*I25),IF(SUM(B26:F31)&gt;(L42*6),L42*I25,SUM(B31:F31)*I25)),2)</f>
        <v>0</v>
      </c>
      <c r="J31" s="76">
        <f>ROUND(IF(SUM(B26:F30)&lt;(L42*5),IF((SUM(B26:F31))&gt;(L42*6),(((L42*6)-(SUM(B26:F31)-C30))*J25)+((SUM(B31:F31)-C30)*J25),SUM(B31:F31)*J25),IF(SUM(B26:F31)&gt;(L42*6),L42*J25,SUM(B31:F31)*J25)),2)</f>
        <v>0</v>
      </c>
      <c r="K31" s="76">
        <f>ROUND(IF(SUM(B26:F30)&lt;(L41*5),IF((SUM(B26:F31))&gt;(L41*6),(((L41*6)-(SUM(B26:F31)-C30))*K25)+((SUM(B31:F31)-C30)*K25),SUM(B31:F31)*K25),IF(SUM(B26:F31)&gt;(L41*6),L41*K25,SUM(B31:F31)*K25)),2)</f>
        <v>0</v>
      </c>
      <c r="L31" s="76">
        <f>ROUND(IF(SUM(B26:F30)&lt;(L42*5),IF((SUM(B26:F31))&gt;(L42*6),(((L42*6)-(SUM(B26:F31)-C31))*L25)+((SUM(B31:F31)-C31)*L25),(SUM(B31:F31)-C31)*L25),IF(SUM(B26:F31)&gt;(L42*6),L42*L25,SUM(B31:F31)*L25)),2)</f>
        <v>0</v>
      </c>
      <c r="M31" s="76">
        <f>ROUND(IF(SUM(B26:F30)&lt;(L42*5),IF((SUM(B26:F31))&gt;(L42*6),(((L42*6)-(SUM(B26:F31)-C31))*M25)+((SUM(B31:F31)-C31)*M25),(SUM(B31:F31)-C31)*M25),IF(SUM(B26:F31)&gt;(L42*6),L42*M25,SUM(B31:F31)*M25)),2)</f>
        <v>0</v>
      </c>
      <c r="N31" s="76">
        <f>ROUND(IF(SUM(B26:F30)&lt;(L42*5),IF((SUM(B26:F31))&gt;(L42*6),(((L42*6)-(SUM(B26:F31)-C30))*N25)+((SUM(B31:F31)-C30)*N25),SUM(B31:F31)*N25),IF(SUM(B26:F31)&gt;(L42*6),L42*N25,SUM(B31:F31)*N25)),2)</f>
        <v>0</v>
      </c>
      <c r="O31" s="23">
        <f>ROUND(SUM(B31+C31+F31)*O25,2)</f>
        <v>0</v>
      </c>
      <c r="P31" s="27">
        <f t="shared" si="3"/>
        <v>0</v>
      </c>
    </row>
    <row r="32" spans="1:16" x14ac:dyDescent="0.2">
      <c r="A32" s="100" t="str">
        <f>'päd.Personal - Leitung'!$A$32</f>
        <v>Jul 2022</v>
      </c>
      <c r="B32" s="24">
        <f>ROUND(IF(P6=0,0,IFERROR(((LOOKUP(2,1/(A14:A17=A32),G14:G17))*P6*4.348),B31/P6*P6)),2)</f>
        <v>0</v>
      </c>
      <c r="C32" s="23">
        <f>ROUND(IFERROR(((LOOKUP(2,1/(B19=A32),((SUM(B32:B34)+SUM(F32:F34))/3)*C19))),0)+IFERROR(((LOOKUP(2,1/(E19=A32),(B38+F38)*F19))),0),2)</f>
        <v>0</v>
      </c>
      <c r="D32" s="23">
        <f>ROUND(IF(B32=0,0,D25/L7*P6),2)</f>
        <v>0</v>
      </c>
      <c r="E32" s="23">
        <f>ROUND(IF(B32=0,0,E25/N3*P6),2)</f>
        <v>0</v>
      </c>
      <c r="F32" s="24">
        <f>ROUND(IF(P6=0,0,IFERROR(((LOOKUP(2,1/(A14:A17=A32),H14:H17))/N3*P6),F31/P6*P6)),2)</f>
        <v>0</v>
      </c>
      <c r="G32" s="27">
        <f t="shared" si="2"/>
        <v>0</v>
      </c>
      <c r="H32" s="76">
        <f>ROUND(IF(SUM(B26:F31)&lt;(L41*6),IF((SUM(B26:F32))&gt;(L41*7),(((L41*7)-(SUM(B26:F32)-C31))*H25)+((SUM(B32:F32)-C31)*H25),SUM(B32:F32)*H25),IF(SUM(B26:F32)&gt;(L41*7),L41*H25,SUM(B32:F32)*H25)),2)</f>
        <v>0</v>
      </c>
      <c r="I32" s="76">
        <f>ROUND(IF(SUM(B26:F31)&lt;(L42*6),IF((SUM(B26:F32))&gt;(L42*7),(((L42*7)-(SUM(B26:F32)-C31))*I25)+((SUM(B32:F32)-C31)*I25),SUM(B32:F32)*I25),IF(SUM(B26:F32)&gt;(L42*7),L42*I25,SUM(B32:F32)*I25)),2)</f>
        <v>0</v>
      </c>
      <c r="J32" s="76">
        <f>ROUND(IF(SUM(B26:F31)&lt;(L42*6),IF((SUM(B26:F32))&gt;(L42*7),(((L42*7)-(SUM(B26:F32)-C31))*J25)+((SUM(B32:F32)-C31)*J25),SUM(B32:F32)*J25),IF(SUM(B26:F32)&gt;(L42*7),L42*J25,SUM(B32:F32)*J25)),2)</f>
        <v>0</v>
      </c>
      <c r="K32" s="76">
        <f>ROUND(IF(SUM(B26:F31)&lt;(L41*6),IF((SUM(B26:F32))&gt;(L41*7),(((L41*7)-(SUM(B26:F32)-C31))*K25)+((SUM(B32:F32)-C31)*K25),SUM(B32:F32)*K25),IF(SUM(B26:F32)&gt;(L41*7),L41*K25,SUM(B32:F32)*K25)),2)</f>
        <v>0</v>
      </c>
      <c r="L32" s="76">
        <f>ROUND(IF(SUM(B26:F31)&lt;(L42*6),IF((SUM(B26:F32))&gt;(L42*7),(((L42*7)-(SUM(B26:F32)-C32))*L25)+((SUM(B32:F32)-C32)*L25),(SUM(B32:F32)-C32)*L25),IF(SUM(B26:F32)&gt;(L42*7),L42*L25,SUM(B32:F32)*L25)),2)</f>
        <v>0</v>
      </c>
      <c r="M32" s="76">
        <f>ROUND(IF(SUM(B26:F31)&lt;(L42*6),IF((SUM(B26:F32))&gt;(L42*7),(((L42*7)-(SUM(B26:F32)-C32))*M25)+((SUM(B32:F32)-C32)*M25),(SUM(B32:F32)-C32)*M25),IF(SUM(B26:F32)&gt;(L42*7),L42*M25,SUM(B32:F32)*M25)),2)</f>
        <v>0</v>
      </c>
      <c r="N32" s="76">
        <f>ROUND(IF(SUM(B26:F31)&lt;(L42*6),IF((SUM(B26:F32))&gt;(L42*7),(((L42*7)-(SUM(B26:F32)-C31))*N25)+((SUM(B32:F32)-C31)*N25),SUM(B32:F32)*N25),IF(SUM(B26:F32)&gt;(L42*7),L42*N25,SUM(B32:F32)*N25)),2)</f>
        <v>0</v>
      </c>
      <c r="O32" s="23">
        <f>ROUND(SUM(B32+C32+F32)*O25,2)</f>
        <v>0</v>
      </c>
      <c r="P32" s="27">
        <f t="shared" si="3"/>
        <v>0</v>
      </c>
    </row>
    <row r="33" spans="1:16" x14ac:dyDescent="0.2">
      <c r="A33" s="100" t="str">
        <f>'päd.Personal - Leitung'!$A$33</f>
        <v>Aug 2022</v>
      </c>
      <c r="B33" s="24">
        <f>ROUND(IF(P7=0,0,IFERROR(((LOOKUP(2,1/(A14:A17=A33),G14:G17))*P7*4.348),B32/P7*P7)),2)</f>
        <v>0</v>
      </c>
      <c r="C33" s="23">
        <f>ROUND(IFERROR(((LOOKUP(2,1/(B19=A33),((SUM(B32:B34)+SUM(F32:F34))/3)*C19))),0)+IFERROR(((LOOKUP(2,1/(E19=A33),(B38+F38)*F19))),0),2)</f>
        <v>0</v>
      </c>
      <c r="D33" s="23">
        <f>ROUND(IF(B33=0,0,D25/L7*P7),2)</f>
        <v>0</v>
      </c>
      <c r="E33" s="23">
        <f>ROUND(IF(B33=0,0,E25/N3*P7),2)</f>
        <v>0</v>
      </c>
      <c r="F33" s="24">
        <f>ROUND(IF(P7=0,0,IFERROR(((LOOKUP(2,1/(A14:A17=A33),H14:H17))/N3*P7),F32/P7*P7)),2)</f>
        <v>0</v>
      </c>
      <c r="G33" s="27">
        <f t="shared" si="2"/>
        <v>0</v>
      </c>
      <c r="H33" s="76">
        <f>ROUND(IF(SUM(B26:F32)&lt;(L41*7),IF((SUM(B26:F33))&gt;(L41*8),(((L41*8)-(SUM(B26:F33)-C32))*H25)+((SUM(B33:F33)-C32)*H25),SUM(B33:F33)*H25),IF(SUM(B26:F33)&gt;(L41*8),L41*H25,SUM(B33:F33)*H25)),2)</f>
        <v>0</v>
      </c>
      <c r="I33" s="76">
        <f>ROUND(IF(SUM(B26:F32)&lt;(L42*7),IF((SUM(B26:F33))&gt;(L42*8),(((L42*8)-(SUM(B26:F33)-C32))*I25)+((SUM(B33:F33)-C32)*I25),SUM(B33:F33)*I25),IF(SUM(B26:F33)&gt;(L42*8),L42*I25,SUM(B33:F33)*I25)),2)</f>
        <v>0</v>
      </c>
      <c r="J33" s="76">
        <f>ROUND(IF(SUM(B26:F32)&lt;(L42*7),IF((SUM(B26:F33))&gt;(L42*8),(((L42*8)-(SUM(B26:F33)-C32))*J25)+((SUM(B33:F33)-C32)*J25),SUM(B33:F33)*J25),IF(SUM(B26:F33)&gt;(L42*8),L42*J25,SUM(B33:F33)*J25)),2)</f>
        <v>0</v>
      </c>
      <c r="K33" s="76">
        <f>ROUND(IF(SUM(B26:F32)&lt;(L41*7),IF((SUM(B26:F33))&gt;(L41*8),(((L41*8)-(SUM(B26:F33)-C32))*K25)+((SUM(B33:F33)-C32)*K25),SUM(B33:F33)*K25),IF(SUM(B26:F33)&gt;(L41*8),L41*K25,SUM(B33:F33)*K25)),2)</f>
        <v>0</v>
      </c>
      <c r="L33" s="76">
        <f>ROUND(IF(SUM(B26:F32)&lt;(L42*7),IF((SUM(B26:F33))&gt;(L42*8),(((L42*8)-(SUM(B26:F33)-C33))*L25)+((SUM(B33:F33)-C33)*L25),(SUM(B33:F33)-C33)*L25),IF(SUM(B26:F33)&gt;(L42*8),L42*L25,SUM(B33:F33)*L25)),2)</f>
        <v>0</v>
      </c>
      <c r="M33" s="76">
        <f>ROUND(IF(SUM(B26:F32)&lt;(L42*7),IF((SUM(B26:F33))&gt;(L42*8),(((L42*8)-(SUM(B26:F33)-C33))*M25)+((SUM(B33:F33)-C33)*M25),(SUM(B33:F33)-C33)*M25),IF(SUM(B26:F33)&gt;(L42*8),L42*M25,SUM(B33:F33)*M25)),2)</f>
        <v>0</v>
      </c>
      <c r="N33" s="76">
        <f>ROUND(IF(SUM(B26:F32)&lt;(L42*7),IF((SUM(B26:F33))&gt;(L42*8),(((L42*8)-(SUM(B26:F33)-C32))*N25)+((SUM(B33:F33)-C32)*N25),SUM(B33:F33)*N25),IF(SUM(B26:F33)&gt;(L42*8),L42*N25,SUM(B33:F33)*N25)),2)</f>
        <v>0</v>
      </c>
      <c r="O33" s="23">
        <f>ROUND(SUM(B33+C33+F33)*O25,2)</f>
        <v>0</v>
      </c>
      <c r="P33" s="27">
        <f t="shared" si="3"/>
        <v>0</v>
      </c>
    </row>
    <row r="34" spans="1:16" x14ac:dyDescent="0.2">
      <c r="A34" s="100" t="str">
        <f>'päd.Personal - Leitung'!$A$34</f>
        <v>Sep 2022</v>
      </c>
      <c r="B34" s="24">
        <f>ROUND(IF(P8=0,0,IFERROR(((LOOKUP(2,1/(A14:A17=A34),G14:G17))*P8*4.348),B33/P8*P8)),2)</f>
        <v>0</v>
      </c>
      <c r="C34" s="23">
        <f>ROUND(IFERROR(((LOOKUP(2,1/(B19=A34),((SUM(B32:B34)+SUM(F32:F34))/3)*C19))),0)+IFERROR(((LOOKUP(2,1/(E19=A34),(B38+F38)*F19))),0),2)</f>
        <v>0</v>
      </c>
      <c r="D34" s="23">
        <f>ROUND(IF(B34=0,0,D25/L7*P8),2)</f>
        <v>0</v>
      </c>
      <c r="E34" s="23">
        <f>ROUND(IF(B34=0,0,E25/N3*P8),2)</f>
        <v>0</v>
      </c>
      <c r="F34" s="24">
        <f>ROUND(IF(P8=0,0,IFERROR(((LOOKUP(2,1/(A14:A17=A34),H14:H17))/N3*P8),F33/P8*P8)),2)</f>
        <v>0</v>
      </c>
      <c r="G34" s="27">
        <f t="shared" si="2"/>
        <v>0</v>
      </c>
      <c r="H34" s="76">
        <f>ROUND(IF(SUM(B26:F33)&lt;(L41*8),IF((SUM(B26:F34))&gt;(L41*9),(((L41*9)-(SUM(B26:F34)-C33))*H25)+((SUM(B34:F34)-C33)*H25),SUM(B34:F34)*H25),IF(SUM(B26:F34)&gt;(L41*9),L41*H25,SUM(B34:F34)*H25)),2)</f>
        <v>0</v>
      </c>
      <c r="I34" s="76">
        <f>ROUND(IF(SUM(B26:F33)&lt;(L42*8),IF((SUM(B26:F34))&gt;(L42*9),(((L42*9)-(SUM(B26:F34)-C33))*I25)+((SUM(B34:F34)-C33)*I25),SUM(B34:F34)*I25),IF(SUM(B26:F34)&gt;(L42*9),L42*I25,SUM(B34:F34)*I25)),2)</f>
        <v>0</v>
      </c>
      <c r="J34" s="76">
        <f>ROUND(IF(SUM(B26:F33)&lt;(L42*8),IF((SUM(B26:F34))&gt;(L42*9),(((L42*9)-(SUM(B26:F34)-C33))*J25)+((SUM(B34:F34)-C33)*J25),SUM(B34:F34)*J25),IF(SUM(B26:F34)&gt;(L42*9),L42*J25,SUM(B34:F34)*J25)),2)</f>
        <v>0</v>
      </c>
      <c r="K34" s="76">
        <f>ROUND(IF(SUM(B26:F33)&lt;(L41*8),IF((SUM(B26:F34))&gt;(L41*9),(((L41*9)-(SUM(B26:F34)-C33))*K25)+((SUM(B34:F34)-C33)*K25),SUM(B34:F34)*K25),IF(SUM(B26:F34)&gt;(L41*9),L41*K25,SUM(B34:F34)*K25)),2)</f>
        <v>0</v>
      </c>
      <c r="L34" s="76">
        <f>ROUND(IF(SUM(B26:F33)&lt;(L42*8),IF((SUM(B26:F34))&gt;(L42*9),(((L42*9)-(SUM(B26:F34)-C34))*L25)+((SUM(B34:F34)-C34)*L25),(SUM(B34:F34)-C34)*L25),IF(SUM(B26:F34)&gt;(L42*9),L42*L25,SUM(B34:F34)*L25)),2)</f>
        <v>0</v>
      </c>
      <c r="M34" s="76">
        <f>ROUND(IF(SUM(B26:F33)&lt;(L42*8),IF((SUM(B26:F34))&gt;(L42*9),(((L42*9)-(SUM(B26:F34)-C34))*M25)+((SUM(B34:F34)-C34)*M25),(SUM(B34:F34)-C34)*M25),IF(SUM(B26:F34)&gt;(L42*9),L42*M25,SUM(B34:F34)*M25)),2)</f>
        <v>0</v>
      </c>
      <c r="N34" s="76">
        <f>ROUND(IF(SUM(B26:F33)&lt;(L42*8),IF((SUM(B26:F34))&gt;(L42*9),(((L42*9)-(SUM(B26:F34)-C33))*N25)+((SUM(B34:F34)-C33)*N25),SUM(B34:F34)*N25),IF(SUM(B26:F34)&gt;(L42*9),L42*N25,SUM(B34:F34)*N25)),2)</f>
        <v>0</v>
      </c>
      <c r="O34" s="23">
        <f>ROUND(SUM(B34+C34+F34)*O25,2)</f>
        <v>0</v>
      </c>
      <c r="P34" s="27">
        <f t="shared" si="3"/>
        <v>0</v>
      </c>
    </row>
    <row r="35" spans="1:16" x14ac:dyDescent="0.2">
      <c r="A35" s="100" t="str">
        <f>'päd.Personal - Leitung'!$A$35</f>
        <v>Okt 2022</v>
      </c>
      <c r="B35" s="24">
        <f>ROUND(IF(P9=0,0,IFERROR(((LOOKUP(2,1/(A14:A17=A35),G14:G17))*P9*4.348),B34/P9*P9)),2)</f>
        <v>0</v>
      </c>
      <c r="C35" s="23">
        <f>ROUND(IFERROR(((LOOKUP(2,1/(B19=A35),((SUM(B32:B34)+SUM(F32:F34))/3)*C19))),0)+IFERROR(((LOOKUP(2,1/(E19=A35),(B38+F38)*F19))),0),2)</f>
        <v>0</v>
      </c>
      <c r="D35" s="23">
        <f>ROUND(IF(B35=0,0,D25/L7*P9),2)</f>
        <v>0</v>
      </c>
      <c r="E35" s="23">
        <f>ROUND(IF(B35=0,0,E25/N3*P9),2)</f>
        <v>0</v>
      </c>
      <c r="F35" s="24">
        <f>ROUND(IF(P9=0,0,IFERROR(((LOOKUP(2,1/(A14:A17=A35),H14:H17))/N3*P9),F34/P9*P9)),2)</f>
        <v>0</v>
      </c>
      <c r="G35" s="27">
        <f t="shared" si="2"/>
        <v>0</v>
      </c>
      <c r="H35" s="76">
        <f>ROUND(IF(SUM(B26:F34)&lt;(L41*9),IF((SUM(B26:F35))&gt;(L41*10),(((L41*10)-(SUM(B26:F35)-C34))*H25)+((SUM(B35:F35)-C34)*H25),SUM(B35:F35)*H25),IF(SUM(B26:F35)&gt;(L41*10),L41*H25,SUM(B35:F35)*H25)),2)</f>
        <v>0</v>
      </c>
      <c r="I35" s="76">
        <f>ROUND(IF(SUM(B26:F34)&lt;(L42*9),IF((SUM(B26:F35))&gt;(L42*10),(((L42*10)-(SUM(B26:F35)-C34))*I25)+((SUM(B35:F35)-C34)*I25),SUM(B35:F35)*I25),IF(SUM(B26:F35)&gt;(L42*10),L42*I25,SUM(B35:F35)*I25)),2)</f>
        <v>0</v>
      </c>
      <c r="J35" s="76">
        <f>ROUND(IF(SUM(B26:F34)&lt;(L42*9),IF((SUM(B26:F35))&gt;(L42*10),(((L42*10)-(SUM(B26:F35)-C34))*J25)+((SUM(B35:F35)-C34)*J25),SUM(B35:F35)*J25),IF(SUM(B26:F35)&gt;(L42*10),L42*J25,SUM(B35:F35)*J25)),2)</f>
        <v>0</v>
      </c>
      <c r="K35" s="76">
        <f>ROUND(IF(SUM(B26:F34)&lt;(L41*9),IF((SUM(B26:F35))&gt;(L41*10),(((L41*10)-(SUM(B26:F35)-C34))*K25)+((SUM(B35:F35)-C34)*K25),SUM(B35:F35)*K25),IF(SUM(B26:F35)&gt;(L41*10),L41*K25,SUM(B35:F35)*K25)),2)</f>
        <v>0</v>
      </c>
      <c r="L35" s="76">
        <f>ROUND(IF(SUM(B26:F34)&lt;(L42*9),IF((SUM(B26:F35))&gt;(L42*10),(((L42*10)-(SUM(B26:F35)-C35))*L25)+((SUM(B35:F35)-C35)*L25),(SUM(B35:F35)-C35)*L25),IF(SUM(B26:F35)&gt;(L42*10),L42*L25,SUM(B35:F35)*L25)),2)</f>
        <v>0</v>
      </c>
      <c r="M35" s="76">
        <f>ROUND(IF(SUM(B26:F34)&lt;(L42*9),IF((SUM(B26:F35))&gt;(L42*10),(((L42*10)-(SUM(B26:F35)-C35))*M25)+((SUM(B35:F35)-C35)*M25),(SUM(B35:F35)-C35)*M25),IF(SUM(B26:F35)&gt;(L42*10),L42*M25,SUM(B35:F35)*M25)),2)</f>
        <v>0</v>
      </c>
      <c r="N35" s="76">
        <f>ROUND(IF(SUM(B26:F34)&lt;(L42*9),IF((SUM(B26:F35))&gt;(L42*10),(((L42*10)-(SUM(B26:F35)-C34))*N25)+((SUM(B35:F35)-C34)*N25),SUM(B35:F35)*N25),IF(SUM(B26:F35)&gt;(L42*10),L42*N25,SUM(B35:F35)*N25)),2)</f>
        <v>0</v>
      </c>
      <c r="O35" s="23">
        <f>ROUND(SUM(B35+C35+F35)*O25,2)</f>
        <v>0</v>
      </c>
      <c r="P35" s="27">
        <f t="shared" si="3"/>
        <v>0</v>
      </c>
    </row>
    <row r="36" spans="1:16" x14ac:dyDescent="0.2">
      <c r="A36" s="100" t="str">
        <f>'päd.Personal - Leitung'!$A$36</f>
        <v>Nov 2022</v>
      </c>
      <c r="B36" s="24">
        <f>ROUND(IF(P10=0,0,IFERROR(((LOOKUP(2,1/(A14:A17=A36),G14:G17))*P10*4.348),B35/P10*P10)),2)</f>
        <v>0</v>
      </c>
      <c r="C36" s="23">
        <f>ROUND(IFERROR(((LOOKUP(2,1/(B19=A36),((SUM(B32:B34)+SUM(F32:F34))/3)*C19))),0)+IFERROR(((LOOKUP(2,1/(E19=A36),(B38+F38)*F19))),0),2)</f>
        <v>0</v>
      </c>
      <c r="D36" s="23">
        <f>ROUND(IF(B36=0,0,D25/L7*P10),2)</f>
        <v>0</v>
      </c>
      <c r="E36" s="23">
        <f>ROUND(IF(B36=0,0,E25/N3*P10),2)</f>
        <v>0</v>
      </c>
      <c r="F36" s="24">
        <f>ROUND(IF(P10=0,0,IFERROR(((LOOKUP(2,1/(A14:A17=A36),H14:H17))/N3*P10),F35/P10*P10)),2)</f>
        <v>0</v>
      </c>
      <c r="G36" s="27">
        <f t="shared" si="2"/>
        <v>0</v>
      </c>
      <c r="H36" s="76">
        <f>ROUND(IF(SUM(B26:F35)&lt;(L41*10),IF((SUM(B26:F36))&gt;(L41*11),(((L41*11)-(SUM(B26:F36)-C35))*H25)+((SUM(B36:F36)-C35)*H25),SUM(B36:F36)*H25),IF(SUM(B26:F36)&gt;(L41*11),L41*H25,SUM(B36:F36)*H25)),2)</f>
        <v>0</v>
      </c>
      <c r="I36" s="76">
        <f>ROUND(IF(SUM(B26:F35)&lt;(L42*10),IF((SUM(B26:F36))&gt;(L42*11),(((L42*11)-(SUM(B26:F36)-C35))*I25)+((SUM(B36:F36)-C35)*I25),SUM(B36:F36)*I25),IF(SUM(B26:F36)&gt;(L42*11),L42*I25,SUM(B36:F36)*I25)),2)</f>
        <v>0</v>
      </c>
      <c r="J36" s="76">
        <f>ROUND(IF(SUM(B26:F35)&lt;(L42*10),IF((SUM(B26:F36))&gt;(L42*11),(((L42*11)-(SUM(B26:F36)-C35))*J25)+((SUM(B36:F36)-C35)*J25),SUM(B36:F36)*J25),IF(SUM(B26:F36)&gt;(L42*11),L42*J25,SUM(B36:F36)*J25)),2)</f>
        <v>0</v>
      </c>
      <c r="K36" s="76">
        <f>ROUND(IF(SUM(B26:F35)&lt;(L41*10),IF((SUM(B26:F36))&gt;(L41*11),(((L41*11)-(SUM(B26:F36)-C35))*K25)+((SUM(B36:F36)-C35)*K25),SUM(B36:F36)*K25),IF(SUM(B26:F36)&gt;(L41*11),L41*K25,SUM(B36:F36)*K25)),2)</f>
        <v>0</v>
      </c>
      <c r="L36" s="76">
        <f>ROUND(IF(SUM(B26:F35)&lt;(L42*10),IF((SUM(B26:F36))&gt;(L42*11),(((L42*11)-(SUM(B26:F36)-C36))*L25)+((SUM(B36:F36)-C36)*L25),(SUM(B36:F36)-C36)*L25),IF(SUM(B26:F36)&gt;(L42*11),L42*L25,SUM(B36:F36)*L25)),2)</f>
        <v>0</v>
      </c>
      <c r="M36" s="76">
        <f>ROUND(IF(SUM(B26:F35)&lt;(L42*10),IF((SUM(B26:F36))&gt;(L42*11),(((L42*11)-(SUM(B26:F36)-C36))*M25)+((SUM(B36:F36)-C36)*M25),(SUM(B36:F36)-C36)*M25),IF(SUM(B26:F36)&gt;(L42*11),L42*M25,SUM(B36:F36)*M25)),2)</f>
        <v>0</v>
      </c>
      <c r="N36" s="76">
        <f>ROUND(IF(SUM(B26:F35)&lt;(L42*10),IF((SUM(B26:F36))&gt;(L42*11),(((L42*11)-(SUM(B26:F36)-C35))*N25)+((SUM(B36:F36)-C35)*N25),SUM(B36:F36)*N25),IF(SUM(B26:F36)&gt;(L42*11),L42*N25,SUM(B36:F36)*N25)),2)</f>
        <v>0</v>
      </c>
      <c r="O36" s="23">
        <f>ROUND(SUM(B36+C36+F36)*O25,2)</f>
        <v>0</v>
      </c>
      <c r="P36" s="27">
        <f t="shared" si="3"/>
        <v>0</v>
      </c>
    </row>
    <row r="37" spans="1:16" x14ac:dyDescent="0.2">
      <c r="A37" s="100" t="str">
        <f>'päd.Personal - Leitung'!$A$37</f>
        <v>Dez 2022</v>
      </c>
      <c r="B37" s="24">
        <f>ROUND(IF(P11=0,0,IFERROR(((LOOKUP(2,1/(A14:A17=A37),G14:G17))*P11*4.348),B36/P11*P11)),2)</f>
        <v>0</v>
      </c>
      <c r="C37" s="23">
        <f>ROUND(IFERROR(((LOOKUP(2,1/(B19=A37),((SUM(B32:B34)+SUM(F32:F34))/3)*C19))),0)+IFERROR(((LOOKUP(2,1/(E19=A37),(B38+F38)*F19))),0),2)</f>
        <v>0</v>
      </c>
      <c r="D37" s="23">
        <f>ROUND(IF(B37=0,0,D25/L7*P11),2)</f>
        <v>0</v>
      </c>
      <c r="E37" s="23">
        <f>ROUND(IF(B37=0,0,E25/N3*P11),2)</f>
        <v>0</v>
      </c>
      <c r="F37" s="24">
        <f>ROUND(IF(P11=0,0,IFERROR(((LOOKUP(2,1/(A14:A17=A37),H14:H17))/N3*P11),F36/P11*P11)),2)</f>
        <v>0</v>
      </c>
      <c r="G37" s="27">
        <f t="shared" si="2"/>
        <v>0</v>
      </c>
      <c r="H37" s="76">
        <f>ROUND(IF(SUM(B26:F36)&lt;(L41*11),IF((SUM(B26:F37))&gt;(L41*12),(((L41*12)-(SUM(B26:F37)-C36))*H25)+((SUM(B37:F37)-C36)*H25),SUM(B37:F37)*H25),IF(SUM(B26:F37)&gt;(L41*12),L41*H25,SUM(B37:F37)*H25)),2)</f>
        <v>0</v>
      </c>
      <c r="I37" s="76">
        <f>ROUND(IF(SUM(B26:F36)&lt;(L42*11),IF((SUM(B26:F37))&gt;(L42*12),(((L42*12)-(SUM(B26:F37)-C36))*I25)+((SUM(B37:F37)-C36)*I25),SUM(B37:F37)*I25),IF(SUM(B26:F37)&gt;(L42*12),L42*I25,SUM(B37:F37)*I25)),2)</f>
        <v>0</v>
      </c>
      <c r="J37" s="76">
        <f>ROUND(IF(SUM(B26:F36)&lt;(L42*11),IF((SUM(B26:F37))&gt;(L42*12),(((L42*12)-(SUM(B26:F37)-C36))*J25)+((SUM(B37:F37)-C36)*J25),SUM(B37:F37)*J25),IF(SUM(B26:F37)&gt;(L42*12),L42*J25,SUM(B37:F37)*J25)),2)</f>
        <v>0</v>
      </c>
      <c r="K37" s="76">
        <f>ROUND(IF(SUM(B26:F36)&lt;(L41*11),IF((SUM(B26:F37))&gt;(L41*12),(((L41*12)-(SUM(B26:F37)-C36))*K25)+((SUM(B37:F37)-C36)*K25),SUM(B37:F37)*K25),IF(SUM(B26:F37)&gt;(L41*12),L41*K25,SUM(B37:F37)*K25)),2)</f>
        <v>0</v>
      </c>
      <c r="L37" s="76">
        <f>ROUND(IF(SUM(B26:F36)&lt;(L42*11),IF((SUM(B26:F37))&gt;(L42*12),(((L42*12)-(SUM(B26:F37)-C37))*L25)+((SUM(B37:F37)-C37)*L25),(SUM(B37:F37)-C37)*L25),IF(SUM(B26:F37)&gt;(L42*12),L42*L25,SUM(B37:F37)*L25)),2)</f>
        <v>0</v>
      </c>
      <c r="M37" s="76">
        <f>ROUND(IF(SUM(B26:F36)&lt;(L42*11),IF((SUM(B26:F37))&gt;(L42*12),(((L42*12)-(SUM(B26:F37)-C37))*M25)+((SUM(B37:F37)-C37)*M25),(SUM(B37:F37)-C37)*M25),IF(SUM(B26:F37)&gt;(L42*12),L42*M25,SUM(B37:F37)*M25)),2)</f>
        <v>0</v>
      </c>
      <c r="N37" s="76">
        <f>ROUND(IF(SUM(B26:F36)&lt;(L42*11),IF((SUM(B26:F37))&gt;(L42*12),(((L42*12)-(SUM(B26:F37)-C36))*N25)+((SUM(B37:F37)-C36)*N25),SUM(B37:F37)*N25),IF(SUM(B26:F37)&gt;(L42*12),L42*N25,SUM(B37:F37)*N25)),2)</f>
        <v>0</v>
      </c>
      <c r="O37" s="23">
        <f>ROUND(SUM(B37+C37+F37)*O25,2)</f>
        <v>0</v>
      </c>
      <c r="P37" s="27">
        <f t="shared" si="3"/>
        <v>0</v>
      </c>
    </row>
    <row r="38" spans="1:16" s="14" customFormat="1" ht="15" x14ac:dyDescent="0.25">
      <c r="A38" s="4" t="s">
        <v>2</v>
      </c>
      <c r="B38" s="27">
        <f>SUM(B26:B37)</f>
        <v>0</v>
      </c>
      <c r="C38" s="27">
        <f t="shared" ref="C38:D38" si="4">SUM(C26:C37)</f>
        <v>0</v>
      </c>
      <c r="D38" s="27">
        <f t="shared" si="4"/>
        <v>0</v>
      </c>
      <c r="E38" s="27">
        <f>SUM(E26:E37)</f>
        <v>0</v>
      </c>
      <c r="F38" s="27">
        <f>SUM(F26:F37)</f>
        <v>0</v>
      </c>
      <c r="G38" s="27">
        <f>SUM(G26:G37)</f>
        <v>0</v>
      </c>
      <c r="H38" s="1133">
        <f>SUM(H26:N37)</f>
        <v>0</v>
      </c>
      <c r="I38" s="1134"/>
      <c r="J38" s="1134"/>
      <c r="K38" s="1134"/>
      <c r="L38" s="1134"/>
      <c r="M38" s="1134"/>
      <c r="N38" s="1135"/>
      <c r="O38" s="27">
        <f>SUM(O26:O37)</f>
        <v>0</v>
      </c>
      <c r="P38" s="27">
        <f>SUM(P26:P37)</f>
        <v>0</v>
      </c>
    </row>
    <row r="39" spans="1:16" s="13" customFormat="1" ht="11.25" x14ac:dyDescent="0.2">
      <c r="A39" s="3" t="s">
        <v>1</v>
      </c>
      <c r="B39" s="2"/>
      <c r="C39" s="2"/>
      <c r="D39" s="2"/>
      <c r="E39" s="2"/>
      <c r="F39" s="2"/>
      <c r="G39" s="2"/>
      <c r="H39" s="2"/>
      <c r="I39" s="2"/>
      <c r="J39" s="2"/>
      <c r="K39" s="2"/>
      <c r="L39" s="2"/>
      <c r="M39" s="2"/>
      <c r="N39" s="2"/>
      <c r="O39" s="2"/>
      <c r="P39" s="2"/>
    </row>
    <row r="40" spans="1:16" ht="14.25" customHeight="1" x14ac:dyDescent="0.2">
      <c r="A40" s="1136" t="s">
        <v>133</v>
      </c>
      <c r="B40" s="1137"/>
      <c r="C40" s="1137"/>
      <c r="D40" s="1137" t="s">
        <v>134</v>
      </c>
      <c r="E40" s="1137"/>
      <c r="F40" s="94" t="str">
        <f>IF(IF(G38=0,"",'päd.Personal - Leitung'!$F$40)=0,"",IF(G38=0,"",'päd.Personal - Leitung'!$F$40))</f>
        <v/>
      </c>
      <c r="G40" s="77" t="s">
        <v>135</v>
      </c>
      <c r="H40" s="96" t="str">
        <f>IF(IF(G38=0,"",'päd.Personal - Leitung'!$H$40)=0,"",IF(G38=0,"",'päd.Personal - Leitung'!$H$40))</f>
        <v/>
      </c>
      <c r="I40" s="73"/>
      <c r="J40" s="194" t="s">
        <v>160</v>
      </c>
      <c r="K40" s="194" t="str">
        <f>'päd.Personal - Leitung'!$K$40</f>
        <v>2021</v>
      </c>
      <c r="L40" s="194" t="str">
        <f>'päd.Personal - Leitung'!$L$40</f>
        <v>anteilig 2021</v>
      </c>
      <c r="M40" s="1138" t="s">
        <v>140</v>
      </c>
      <c r="N40" s="1138"/>
      <c r="O40" s="1139"/>
      <c r="P40" s="27">
        <f>ROUND(IF(F40="",IF(E44="",0,(E44*H44/K44)/L7*L8),G38*F40*H40/1000),2)</f>
        <v>0</v>
      </c>
    </row>
    <row r="41" spans="1:16" ht="15" customHeight="1" x14ac:dyDescent="0.2">
      <c r="A41" s="1140" t="s">
        <v>145</v>
      </c>
      <c r="B41" s="1141"/>
      <c r="C41" s="1141"/>
      <c r="D41" s="18"/>
      <c r="E41" s="107" t="s">
        <v>135</v>
      </c>
      <c r="F41" s="95" t="str">
        <f>IF(IF(G38=0,"",'päd.Personal - Leitung'!$F$41)=0,"",IF(G38=0,"",'päd.Personal - Leitung'!$F$41))</f>
        <v/>
      </c>
      <c r="G41" s="48"/>
      <c r="H41" s="47"/>
      <c r="I41" s="48"/>
      <c r="J41" s="195" t="s">
        <v>158</v>
      </c>
      <c r="K41" s="198">
        <f>'päd.Personal - Leitung'!$K$41</f>
        <v>4837.5</v>
      </c>
      <c r="L41" s="197">
        <f>IF(L7="",K41,K41/L7*L8)</f>
        <v>4837.5</v>
      </c>
      <c r="M41" s="1138" t="s">
        <v>139</v>
      </c>
      <c r="N41" s="1138"/>
      <c r="O41" s="1139"/>
      <c r="P41" s="27">
        <f>ROUND(IF(F41="",0,G38*F41/1000),2)</f>
        <v>0</v>
      </c>
    </row>
    <row r="42" spans="1:16" ht="15.75" customHeight="1" x14ac:dyDescent="0.2">
      <c r="A42" s="1142" t="s">
        <v>141</v>
      </c>
      <c r="B42" s="1143"/>
      <c r="C42" s="1143"/>
      <c r="D42" s="1144" t="s">
        <v>143</v>
      </c>
      <c r="E42" s="1144"/>
      <c r="F42" s="1145" t="str">
        <f>IF(IF(G38=0,"",'päd.Personal - Leitung'!$F$42)=0,"",IF(G38=0,"",'päd.Personal - Leitung'!$F$42))</f>
        <v/>
      </c>
      <c r="G42" s="1145"/>
      <c r="H42" s="72"/>
      <c r="I42" s="18"/>
      <c r="J42" s="195" t="s">
        <v>159</v>
      </c>
      <c r="K42" s="198">
        <f>'päd.Personal - Leitung'!$K$42</f>
        <v>6700</v>
      </c>
      <c r="L42" s="197">
        <f>IF(L7="",K42,K42/L7*L8)</f>
        <v>6700</v>
      </c>
      <c r="M42" s="1138" t="s">
        <v>141</v>
      </c>
      <c r="N42" s="1138"/>
      <c r="O42" s="1139"/>
      <c r="P42" s="23">
        <f>ROUND(IF(F42="",0,IF(G38=0,0,F42/L7*L8)),2)</f>
        <v>0</v>
      </c>
    </row>
    <row r="43" spans="1:16" ht="14.25" customHeight="1" x14ac:dyDescent="0.2">
      <c r="A43" s="18"/>
      <c r="B43" s="18"/>
      <c r="C43" s="18"/>
      <c r="D43" s="18"/>
      <c r="E43" s="18"/>
      <c r="F43" s="18"/>
      <c r="G43" s="18"/>
      <c r="H43" s="18"/>
      <c r="I43" s="18"/>
      <c r="J43" s="18"/>
      <c r="K43" s="74"/>
      <c r="L43" s="82"/>
      <c r="M43" s="1127" t="s">
        <v>146</v>
      </c>
      <c r="N43" s="1127"/>
      <c r="O43" s="1128"/>
      <c r="P43" s="23">
        <f>ROUND(IF(G38=0,0,'päd.Personal - Leitung'!$P$43),2)</f>
        <v>0</v>
      </c>
    </row>
    <row r="44" spans="1:16" ht="14.25" customHeight="1" x14ac:dyDescent="0.2">
      <c r="A44" s="1129" t="s">
        <v>142</v>
      </c>
      <c r="B44" s="1130"/>
      <c r="C44" s="133" t="s">
        <v>136</v>
      </c>
      <c r="D44" s="133" t="s">
        <v>137</v>
      </c>
      <c r="E44" s="1131" t="str">
        <f>IF(IF(G38=0,"",'päd.Personal - Leitung'!$E$44)=0,"",IF(G38=0,"",'päd.Personal - Leitung'!$E$44))</f>
        <v/>
      </c>
      <c r="F44" s="1131"/>
      <c r="G44" s="83" t="s">
        <v>138</v>
      </c>
      <c r="H44" s="97" t="str">
        <f>IF(IF(G38=0,"",'päd.Personal - Leitung'!$H$44)=0,"",IF(G38=0,"",'päd.Personal - Leitung'!$H$44))</f>
        <v/>
      </c>
      <c r="I44" s="1132" t="s">
        <v>144</v>
      </c>
      <c r="J44" s="1132"/>
      <c r="K44" s="98" t="str">
        <f>IF(IF(G38=0,"",'päd.Personal - Leitung'!$K$44)=0,"",IF(G38=0,"",'päd.Personal - Leitung'!$K$44))</f>
        <v/>
      </c>
      <c r="L44" s="29"/>
      <c r="M44" s="29"/>
      <c r="N44" s="29"/>
      <c r="O44" s="28" t="s">
        <v>0</v>
      </c>
      <c r="P44" s="27">
        <f>P38+SUM(P40:P43)</f>
        <v>0</v>
      </c>
    </row>
    <row r="45" spans="1:16" s="12" customFormat="1" ht="13.5" customHeight="1" x14ac:dyDescent="0.2">
      <c r="A45" s="1178" t="s">
        <v>18</v>
      </c>
      <c r="B45" s="1178"/>
      <c r="C45" s="1178"/>
      <c r="D45" s="1179" t="str">
        <f>IF($D$1="","",$D$1)</f>
        <v/>
      </c>
      <c r="E45" s="1179"/>
      <c r="F45" s="1179"/>
      <c r="G45" s="1179"/>
      <c r="H45" s="1179"/>
      <c r="I45" s="1179"/>
      <c r="J45" s="1179"/>
      <c r="K45" s="1179"/>
      <c r="L45" s="1179"/>
      <c r="M45" s="1179"/>
      <c r="N45" s="1179"/>
    </row>
    <row r="46" spans="1:16" s="12" customFormat="1" ht="15" customHeight="1" x14ac:dyDescent="0.2">
      <c r="A46" s="1178" t="s">
        <v>17</v>
      </c>
      <c r="B46" s="1178"/>
      <c r="C46" s="1178" t="s">
        <v>15</v>
      </c>
      <c r="D46" s="1179" t="str">
        <f>IF($D$2="","",$D$2)</f>
        <v/>
      </c>
      <c r="E46" s="1179"/>
      <c r="F46" s="1179"/>
      <c r="G46" s="1179"/>
      <c r="H46" s="1179"/>
      <c r="I46" s="1179"/>
      <c r="J46" s="1179"/>
      <c r="K46" s="1179"/>
      <c r="L46" s="1179"/>
      <c r="M46" s="1179"/>
      <c r="N46" s="1179"/>
    </row>
    <row r="47" spans="1:16" s="12" customFormat="1" ht="15" customHeight="1" x14ac:dyDescent="0.2">
      <c r="A47" s="1178" t="s">
        <v>16</v>
      </c>
      <c r="B47" s="1178"/>
      <c r="C47" s="1178" t="s">
        <v>15</v>
      </c>
      <c r="D47" s="1179" t="str">
        <f>IF($D$3="","",$D$3)</f>
        <v/>
      </c>
      <c r="E47" s="1179"/>
      <c r="F47" s="1179"/>
      <c r="G47" s="1179"/>
      <c r="H47" s="1179"/>
      <c r="I47" s="1179"/>
      <c r="J47" s="1179"/>
      <c r="K47" s="1178" t="s">
        <v>103</v>
      </c>
      <c r="L47" s="1178"/>
      <c r="M47" s="1178"/>
      <c r="N47" s="41" t="str">
        <f>IF($N$3="","",$N$3)</f>
        <v/>
      </c>
    </row>
    <row r="48" spans="1:16" s="13" customFormat="1" ht="11.25" x14ac:dyDescent="0.2">
      <c r="A48" s="1182"/>
      <c r="B48" s="1182"/>
      <c r="C48" s="1182"/>
      <c r="D48" s="1183"/>
      <c r="E48" s="1183"/>
      <c r="F48" s="1183"/>
      <c r="G48" s="1183"/>
      <c r="H48" s="1183"/>
      <c r="I48" s="1183"/>
      <c r="J48" s="1183"/>
      <c r="K48" s="11"/>
      <c r="L48" s="11"/>
      <c r="M48" s="11"/>
      <c r="N48" s="11"/>
      <c r="O48" s="11"/>
      <c r="P48" s="11"/>
    </row>
    <row r="49" spans="1:16" s="15" customFormat="1" ht="13.5" customHeight="1" x14ac:dyDescent="0.2">
      <c r="A49" s="1177" t="s">
        <v>175</v>
      </c>
      <c r="B49" s="1177"/>
      <c r="C49" s="1177"/>
      <c r="D49" s="1177"/>
      <c r="E49" s="1177"/>
      <c r="F49" s="1177"/>
      <c r="G49" s="1177"/>
      <c r="H49" s="1177"/>
      <c r="I49" s="1177"/>
      <c r="J49" s="1177"/>
      <c r="K49" s="9"/>
      <c r="L49" s="9"/>
      <c r="M49" s="9"/>
      <c r="N49" s="59" t="s">
        <v>154</v>
      </c>
      <c r="O49" s="191">
        <f>$O$5</f>
        <v>2022</v>
      </c>
      <c r="P49" s="59" t="s">
        <v>154</v>
      </c>
    </row>
    <row r="50" spans="1:16" s="10" customFormat="1" ht="13.5" customHeight="1" x14ac:dyDescent="0.25">
      <c r="B50" s="32"/>
      <c r="C50" s="32"/>
      <c r="D50" s="5" t="s">
        <v>176</v>
      </c>
      <c r="E50" s="31"/>
      <c r="F50" s="31"/>
      <c r="G50" s="31"/>
      <c r="H50" s="31"/>
      <c r="I50" s="26"/>
      <c r="J50" s="1197"/>
      <c r="K50" s="1197"/>
      <c r="L50" s="111"/>
      <c r="N50" s="84">
        <f>IF(L52="","",L52)</f>
        <v>0</v>
      </c>
      <c r="O50" s="58" t="str">
        <f>$O$6</f>
        <v>Jan                Jul</v>
      </c>
      <c r="P50" s="85">
        <f>IF(N55="","",N55)</f>
        <v>0</v>
      </c>
    </row>
    <row r="51" spans="1:16" s="7" customFormat="1" ht="13.5" customHeight="1" x14ac:dyDescent="0.25">
      <c r="A51" s="1180" t="s">
        <v>71</v>
      </c>
      <c r="B51" s="1180"/>
      <c r="C51" s="1180"/>
      <c r="D51" s="1184"/>
      <c r="E51" s="1184"/>
      <c r="F51" s="1184"/>
      <c r="G51" s="1184"/>
      <c r="H51" s="1184"/>
      <c r="I51" s="1184"/>
      <c r="J51" s="1174" t="s">
        <v>104</v>
      </c>
      <c r="K51" s="1174"/>
      <c r="L51" s="145"/>
      <c r="N51" s="85">
        <f>IF(N50="","",N50)</f>
        <v>0</v>
      </c>
      <c r="O51" s="58" t="str">
        <f>$O$7</f>
        <v>Feb              Aug</v>
      </c>
      <c r="P51" s="85">
        <f>IF(P50="","",P50)</f>
        <v>0</v>
      </c>
    </row>
    <row r="52" spans="1:16" ht="13.5" customHeight="1" x14ac:dyDescent="0.2">
      <c r="A52" s="1180" t="s">
        <v>13</v>
      </c>
      <c r="B52" s="1180"/>
      <c r="C52" s="1180"/>
      <c r="D52" s="1181"/>
      <c r="E52" s="1181"/>
      <c r="F52" s="1181"/>
      <c r="G52" s="1181"/>
      <c r="H52" s="1181"/>
      <c r="I52" s="1181"/>
      <c r="J52" s="1174" t="s">
        <v>164</v>
      </c>
      <c r="K52" s="1174"/>
      <c r="L52" s="145">
        <f>IF((L53+L54)&gt;L51,0,L51-L53-L54)</f>
        <v>0</v>
      </c>
      <c r="M52" s="1"/>
      <c r="N52" s="85">
        <f>IF(N51="","",N51)</f>
        <v>0</v>
      </c>
      <c r="O52" s="58" t="str">
        <f>$O$8</f>
        <v>Mrz              Sep</v>
      </c>
      <c r="P52" s="85">
        <f>IF(P51="","",P51)</f>
        <v>0</v>
      </c>
    </row>
    <row r="53" spans="1:16" ht="13.5" customHeight="1" x14ac:dyDescent="0.2">
      <c r="A53" s="1180" t="s">
        <v>12</v>
      </c>
      <c r="B53" s="1180"/>
      <c r="C53" s="1180"/>
      <c r="D53" s="1181"/>
      <c r="E53" s="1181"/>
      <c r="F53" s="1181"/>
      <c r="G53" s="1181"/>
      <c r="H53" s="1181"/>
      <c r="I53" s="1181"/>
      <c r="J53" s="1174" t="s">
        <v>165</v>
      </c>
      <c r="K53" s="1174"/>
      <c r="L53" s="145"/>
      <c r="M53" s="1"/>
      <c r="N53" s="85">
        <f>IF(N52="","",N52)</f>
        <v>0</v>
      </c>
      <c r="O53" s="58" t="str">
        <f>$O$9</f>
        <v>Apr               Okt</v>
      </c>
      <c r="P53" s="85">
        <f t="shared" ref="P53:P55" si="5">IF(P52="","",P52)</f>
        <v>0</v>
      </c>
    </row>
    <row r="54" spans="1:16" ht="13.5" customHeight="1" x14ac:dyDescent="0.2">
      <c r="A54" s="1180" t="s">
        <v>19</v>
      </c>
      <c r="B54" s="1180"/>
      <c r="C54" s="1180"/>
      <c r="D54" s="1181"/>
      <c r="E54" s="1181"/>
      <c r="F54" s="1181"/>
      <c r="G54" s="1181"/>
      <c r="H54" s="1181"/>
      <c r="I54" s="1181"/>
      <c r="J54" s="1174" t="s">
        <v>252</v>
      </c>
      <c r="K54" s="1174"/>
      <c r="L54" s="145"/>
      <c r="M54" s="92"/>
      <c r="N54" s="85">
        <f>IF(N53="","",N53)</f>
        <v>0</v>
      </c>
      <c r="O54" s="58" t="str">
        <f>$O$10</f>
        <v>Mai               Nov</v>
      </c>
      <c r="P54" s="85">
        <f t="shared" si="5"/>
        <v>0</v>
      </c>
    </row>
    <row r="55" spans="1:16" ht="13.5" customHeight="1" x14ac:dyDescent="0.2">
      <c r="A55" s="1"/>
      <c r="B55" s="8"/>
      <c r="C55" s="132" t="s">
        <v>162</v>
      </c>
      <c r="D55" s="1175"/>
      <c r="E55" s="1175"/>
      <c r="F55" s="1176" t="s">
        <v>190</v>
      </c>
      <c r="G55" s="1176"/>
      <c r="H55" s="1186"/>
      <c r="I55" s="1186"/>
      <c r="J55" s="1174" t="s">
        <v>97</v>
      </c>
      <c r="K55" s="1174"/>
      <c r="L55" s="17" t="str">
        <f>IF(IF((COUNTIF(B70:B81,"&gt;0"))=0,0,(COUNTIF(B70:B81,"&gt;0")))&gt;Grundlagen!$C$24,Grundlagen!$C$24,IF((COUNTIF(B70:B81,"&gt;0"))=0,"",(COUNTIF(B70:B81,"&gt;0"))))</f>
        <v/>
      </c>
      <c r="M55" s="1"/>
      <c r="N55" s="85">
        <f>IF(N54="","",N54)</f>
        <v>0</v>
      </c>
      <c r="O55" s="58" t="str">
        <f>'päd.Personal - Leitung'!$O$11</f>
        <v>Jun               Dez</v>
      </c>
      <c r="P55" s="85">
        <f t="shared" si="5"/>
        <v>0</v>
      </c>
    </row>
    <row r="56" spans="1:16" ht="13.5" customHeight="1" x14ac:dyDescent="0.2">
      <c r="A56" s="1"/>
      <c r="B56" s="1"/>
      <c r="C56" s="1"/>
      <c r="D56" s="1"/>
      <c r="E56" s="1"/>
      <c r="F56" s="1176" t="s">
        <v>191</v>
      </c>
      <c r="G56" s="1176"/>
      <c r="H56" s="1186"/>
      <c r="I56" s="1186"/>
      <c r="J56" s="1"/>
      <c r="K56" s="1"/>
      <c r="L56" s="147" t="str">
        <f>IF((SUM(F58:F61))=0,"",IF(P56&gt;L52,L52,IF(L52="","",IF(L55="","",P56))))</f>
        <v/>
      </c>
      <c r="M56" s="1"/>
      <c r="N56" s="1"/>
      <c r="O56" s="174" t="s">
        <v>251</v>
      </c>
      <c r="P56" s="175">
        <f>IF(L55="",0,((IF(SUMIF(B70,"&gt;0"),N50,0))+(IF(SUMIF(B71,"&gt;0"),N51,0))+(IF(SUMIF(B72,"&gt;0"),N52,0))+(IF(SUMIF(B73,"&gt;0"),N53,0))+(IF(SUMIF(B74,"&gt;0"),N54,0))+(IF(SUMIF(B75,"&gt;0"),N55,0))+(IF(SUMIF(B76,"&gt;0"),P50,0))+(IF(SUMIF(B77,"&gt;0"),P51,0))+(IF(SUMIF(B78,"&gt;0"),P52,0))+(IF(SUMIF(B79,"&gt;0"),P53,0))+(IF(SUMIF(B80,"&gt;0"),P54,0))+(IF(SUMIF(B81,"&gt;0"),P55,0)))/Grundlagen!$C$24)</f>
        <v>0</v>
      </c>
    </row>
    <row r="57" spans="1:16" s="52" customFormat="1" ht="13.5" customHeight="1" x14ac:dyDescent="0.2">
      <c r="A57" s="61" t="s">
        <v>148</v>
      </c>
      <c r="B57" s="1168" t="s">
        <v>149</v>
      </c>
      <c r="C57" s="1168"/>
      <c r="D57" s="62" t="s">
        <v>150</v>
      </c>
      <c r="E57" s="63" t="s">
        <v>151</v>
      </c>
      <c r="F57" s="64" t="str">
        <f>CONCATENATE("Entg. ",N47," h/Wo")</f>
        <v>Entg.  h/Wo</v>
      </c>
      <c r="G57" s="65" t="s">
        <v>152</v>
      </c>
      <c r="H57" s="65" t="s">
        <v>153</v>
      </c>
      <c r="K57" s="1169" t="str">
        <f>CONCATENATE("Zuschläge / Zulagen für ",N47,"h/Wo")</f>
        <v>Zuschläge / Zulagen für h/Wo</v>
      </c>
      <c r="L57" s="1169"/>
      <c r="M57" s="66" t="str">
        <f>IF(A58="","",A58)</f>
        <v>Jan 2022</v>
      </c>
      <c r="N57" s="66" t="str">
        <f>IF(A59="","",A59)</f>
        <v/>
      </c>
      <c r="O57" s="66" t="str">
        <f>IF(A60="","",A60)</f>
        <v/>
      </c>
      <c r="P57" s="66" t="str">
        <f>IF(A61="","",A61)</f>
        <v/>
      </c>
    </row>
    <row r="58" spans="1:16" s="52" customFormat="1" ht="13.5" customHeight="1" x14ac:dyDescent="0.25">
      <c r="A58" s="54" t="str">
        <f>A70</f>
        <v>Jan 2022</v>
      </c>
      <c r="B58" s="1172" t="str">
        <f>IF(B14="","",B14)</f>
        <v/>
      </c>
      <c r="C58" s="1173"/>
      <c r="D58" s="181"/>
      <c r="E58" s="181"/>
      <c r="F58" s="87"/>
      <c r="G58" s="56">
        <f>IF(N47="",0,F58/N47/4.348)</f>
        <v>0</v>
      </c>
      <c r="H58" s="53">
        <f>IF(G58=0,0,M63)</f>
        <v>0</v>
      </c>
      <c r="K58" s="1146"/>
      <c r="L58" s="1146"/>
      <c r="M58" s="86"/>
      <c r="N58" s="86"/>
      <c r="O58" s="86"/>
      <c r="P58" s="86"/>
    </row>
    <row r="59" spans="1:16" s="52" customFormat="1" ht="13.5" customHeight="1" x14ac:dyDescent="0.25">
      <c r="A59" s="55"/>
      <c r="B59" s="1172" t="str">
        <f>IF(A59="","",B58)</f>
        <v/>
      </c>
      <c r="C59" s="1173"/>
      <c r="D59" s="181"/>
      <c r="E59" s="181"/>
      <c r="F59" s="87"/>
      <c r="G59" s="56">
        <f>IF(N47="",0,F59/N47/4.348)</f>
        <v>0</v>
      </c>
      <c r="H59" s="53">
        <f>IF(G59=0,0,N63)</f>
        <v>0</v>
      </c>
      <c r="K59" s="1146"/>
      <c r="L59" s="1146"/>
      <c r="M59" s="86"/>
      <c r="N59" s="86"/>
      <c r="O59" s="86"/>
      <c r="P59" s="86"/>
    </row>
    <row r="60" spans="1:16" s="52" customFormat="1" ht="13.5" customHeight="1" x14ac:dyDescent="0.25">
      <c r="A60" s="55"/>
      <c r="B60" s="1172" t="str">
        <f>IF(A60="","",B59)</f>
        <v/>
      </c>
      <c r="C60" s="1173"/>
      <c r="D60" s="181"/>
      <c r="E60" s="181"/>
      <c r="F60" s="87"/>
      <c r="G60" s="56">
        <f>IF(N47="",0,F60/N47/4.348)</f>
        <v>0</v>
      </c>
      <c r="H60" s="53">
        <f>IF(G60=0,0,O63)</f>
        <v>0</v>
      </c>
      <c r="K60" s="1146"/>
      <c r="L60" s="1146"/>
      <c r="M60" s="86"/>
      <c r="N60" s="86"/>
      <c r="O60" s="86"/>
      <c r="P60" s="86"/>
    </row>
    <row r="61" spans="1:16" s="52" customFormat="1" ht="13.5" customHeight="1" x14ac:dyDescent="0.25">
      <c r="A61" s="55"/>
      <c r="B61" s="1172" t="str">
        <f>IF(A61="","",B60)</f>
        <v/>
      </c>
      <c r="C61" s="1173"/>
      <c r="D61" s="181"/>
      <c r="E61" s="181"/>
      <c r="F61" s="87"/>
      <c r="G61" s="56">
        <f>IF(N47="",0,F61/N47/4.348)</f>
        <v>0</v>
      </c>
      <c r="H61" s="53">
        <f>IF(G61=0,0,P63)</f>
        <v>0</v>
      </c>
      <c r="K61" s="1146"/>
      <c r="L61" s="1146"/>
      <c r="M61" s="86"/>
      <c r="N61" s="86"/>
      <c r="O61" s="86"/>
      <c r="P61" s="86"/>
    </row>
    <row r="62" spans="1:16" s="52" customFormat="1" ht="13.5" customHeight="1" x14ac:dyDescent="0.25">
      <c r="B62" s="1167" t="s">
        <v>157</v>
      </c>
      <c r="C62" s="1167"/>
      <c r="E62" s="1167" t="s">
        <v>156</v>
      </c>
      <c r="F62" s="1167"/>
      <c r="J62" s="69"/>
      <c r="K62" s="1146"/>
      <c r="L62" s="1146"/>
      <c r="M62" s="86"/>
      <c r="N62" s="86"/>
      <c r="O62" s="86"/>
      <c r="P62" s="86"/>
    </row>
    <row r="63" spans="1:16" s="52" customFormat="1" ht="13.5" customHeight="1" x14ac:dyDescent="0.25">
      <c r="A63" s="70" t="s">
        <v>167</v>
      </c>
      <c r="B63" s="67"/>
      <c r="C63" s="99" t="str">
        <f>IF(C19="","",C19)</f>
        <v/>
      </c>
      <c r="D63" s="70" t="s">
        <v>167</v>
      </c>
      <c r="E63" s="67"/>
      <c r="F63" s="99" t="str">
        <f>IF(F19="","",F19)</f>
        <v/>
      </c>
      <c r="J63" s="68"/>
      <c r="M63" s="57">
        <f>SUM(M58:M62)</f>
        <v>0</v>
      </c>
      <c r="N63" s="57">
        <f t="shared" ref="N63:P63" si="6">SUM(N58:N62)</f>
        <v>0</v>
      </c>
      <c r="O63" s="57">
        <f t="shared" si="6"/>
        <v>0</v>
      </c>
      <c r="P63" s="57">
        <f t="shared" si="6"/>
        <v>0</v>
      </c>
    </row>
    <row r="64" spans="1:16" s="52" customFormat="1" ht="13.5" customHeight="1" x14ac:dyDescent="0.2">
      <c r="A64" s="60" t="s">
        <v>155</v>
      </c>
    </row>
    <row r="65" spans="1:16" ht="14.25" customHeight="1" x14ac:dyDescent="0.2">
      <c r="A65" s="1147"/>
      <c r="B65" s="1149" t="s">
        <v>9</v>
      </c>
      <c r="C65" s="1150"/>
      <c r="D65" s="1150"/>
      <c r="E65" s="1150"/>
      <c r="F65" s="1150"/>
      <c r="G65" s="1151"/>
      <c r="H65" s="1152" t="s">
        <v>119</v>
      </c>
      <c r="I65" s="1153"/>
      <c r="J65" s="1153"/>
      <c r="K65" s="1153"/>
      <c r="L65" s="1153"/>
      <c r="M65" s="1153"/>
      <c r="N65" s="1153"/>
      <c r="O65" s="33"/>
      <c r="P65" s="1154" t="s">
        <v>0</v>
      </c>
    </row>
    <row r="66" spans="1:16" ht="14.25" customHeight="1" x14ac:dyDescent="0.2">
      <c r="A66" s="1148"/>
      <c r="B66" s="1157" t="s">
        <v>117</v>
      </c>
      <c r="C66" s="130" t="s">
        <v>115</v>
      </c>
      <c r="D66" s="1159" t="s">
        <v>277</v>
      </c>
      <c r="E66" s="1161" t="s">
        <v>147</v>
      </c>
      <c r="F66" s="134" t="s">
        <v>7</v>
      </c>
      <c r="G66" s="1162" t="s">
        <v>6</v>
      </c>
      <c r="H66" s="1161" t="s">
        <v>129</v>
      </c>
      <c r="I66" s="1161" t="s">
        <v>5</v>
      </c>
      <c r="J66" s="1161" t="s">
        <v>4</v>
      </c>
      <c r="K66" s="1161" t="s">
        <v>3</v>
      </c>
      <c r="L66" s="1161" t="s">
        <v>121</v>
      </c>
      <c r="M66" s="1161" t="s">
        <v>122</v>
      </c>
      <c r="N66" s="1161" t="s">
        <v>123</v>
      </c>
      <c r="O66" s="1160" t="s">
        <v>114</v>
      </c>
      <c r="P66" s="1155"/>
    </row>
    <row r="67" spans="1:16" ht="14.25" customHeight="1" x14ac:dyDescent="0.2">
      <c r="A67" s="1148"/>
      <c r="B67" s="1157"/>
      <c r="C67" s="21" t="str">
        <f>IF(C63="","",C63)</f>
        <v/>
      </c>
      <c r="D67" s="1160"/>
      <c r="E67" s="1161"/>
      <c r="F67" s="1165" t="str">
        <f>IF(H58=0,"","siehe Zuschläge / Zulagen")</f>
        <v/>
      </c>
      <c r="G67" s="1162"/>
      <c r="H67" s="1164" t="s">
        <v>127</v>
      </c>
      <c r="I67" s="1164"/>
      <c r="J67" s="1164"/>
      <c r="K67" s="1164"/>
      <c r="L67" s="1164"/>
      <c r="M67" s="1164"/>
      <c r="N67" s="1164"/>
      <c r="O67" s="1160"/>
      <c r="P67" s="1155"/>
    </row>
    <row r="68" spans="1:16" x14ac:dyDescent="0.2">
      <c r="A68" s="1148"/>
      <c r="B68" s="1157"/>
      <c r="C68" s="128" t="s">
        <v>70</v>
      </c>
      <c r="D68" s="1160"/>
      <c r="E68" s="1161"/>
      <c r="F68" s="1165"/>
      <c r="G68" s="1162"/>
      <c r="H68" s="43" t="s">
        <v>128</v>
      </c>
      <c r="I68" s="43" t="s">
        <v>255</v>
      </c>
      <c r="J68" s="43" t="s">
        <v>256</v>
      </c>
      <c r="K68" s="43" t="s">
        <v>257</v>
      </c>
      <c r="L68" s="43"/>
      <c r="M68" s="43"/>
      <c r="N68" s="43" t="s">
        <v>254</v>
      </c>
      <c r="O68" s="1160"/>
      <c r="P68" s="1155"/>
    </row>
    <row r="69" spans="1:16" x14ac:dyDescent="0.2">
      <c r="A69" s="1148"/>
      <c r="B69" s="1158"/>
      <c r="C69" s="21" t="str">
        <f>IF(F63="","",F63)</f>
        <v/>
      </c>
      <c r="D69" s="51"/>
      <c r="E69" s="51"/>
      <c r="F69" s="1166"/>
      <c r="G69" s="1163"/>
      <c r="H69" s="93"/>
      <c r="I69" s="139">
        <f>$I$25</f>
        <v>0</v>
      </c>
      <c r="J69" s="139">
        <f>$J$25</f>
        <v>0</v>
      </c>
      <c r="K69" s="44">
        <f>$K$25</f>
        <v>0</v>
      </c>
      <c r="L69" s="21"/>
      <c r="M69" s="21"/>
      <c r="N69" s="139">
        <f>$N$25</f>
        <v>0</v>
      </c>
      <c r="O69" s="21">
        <f>O25</f>
        <v>0</v>
      </c>
      <c r="P69" s="1156"/>
    </row>
    <row r="70" spans="1:16" x14ac:dyDescent="0.2">
      <c r="A70" s="100" t="str">
        <f>$A$26</f>
        <v>Jan 2022</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76">
        <f>ROUND(IF((SUM(B70:F70))&gt;L85,L85*H69,SUM(B70:F70)*H69),2)</f>
        <v>0</v>
      </c>
      <c r="I70" s="76">
        <f>ROUND(IF((SUM(B70:F70))&gt;L86,L86*I69,SUM(B70:F70)*I69),2)</f>
        <v>0</v>
      </c>
      <c r="J70" s="76">
        <f>ROUND(IF((SUM(B70:F70))&gt;L86,L86*J69,SUM(B70:F70)*J69),2)</f>
        <v>0</v>
      </c>
      <c r="K70" s="76">
        <f>ROUND(IF((SUM(B70:F70))&gt;L85,L85*K69,SUM(B70:F70)*K69),2)</f>
        <v>0</v>
      </c>
      <c r="L70" s="76">
        <f>ROUND(IF((SUM(B70:F70))&gt;L86,L86*L69,(SUM(B70:F70)-C70)*L69),2)</f>
        <v>0</v>
      </c>
      <c r="M70" s="76">
        <f>ROUND(IF((SUM(B70:F70))&gt;L86,L86*M69,(SUM(B70:F70)-C70)*M69),2)</f>
        <v>0</v>
      </c>
      <c r="N70" s="76">
        <f>ROUND(IF((SUM(B70:F70))&gt;L86,L86*N69,SUM(B70:F70)*N69),2)</f>
        <v>0</v>
      </c>
      <c r="O70" s="23">
        <f>ROUND(SUM(B70+C70+F70)*O69,2)</f>
        <v>0</v>
      </c>
      <c r="P70" s="27">
        <f>SUM(G70:O70)</f>
        <v>0</v>
      </c>
    </row>
    <row r="71" spans="1:16" x14ac:dyDescent="0.2">
      <c r="A71" s="100" t="str">
        <f>$A$27</f>
        <v>Feb 2022</v>
      </c>
      <c r="B71" s="24">
        <f>ROUND(IF(N51=0,0,IFERROR(((LOOKUP(2,1/(A58:A61=A71),G58:G61))*N51*4.348),B70/N51*N51)),2)</f>
        <v>0</v>
      </c>
      <c r="C71" s="23">
        <f>ROUND(IFERROR(((LOOKUP(2,1/(B63=A71),((SUM(B76:B78)+SUM(F76:F78))/3)*C63))),0)+IFERROR(((LOOKUP(2,1/(E63=A71),(B82+F82)*F63))),0),2)</f>
        <v>0</v>
      </c>
      <c r="D71" s="23">
        <f>ROUND(IF(B71=0,0,D69/L51*N51),2)</f>
        <v>0</v>
      </c>
      <c r="E71" s="23">
        <f>ROUND(IF(B71=0,0,E69/N47*N51),2)</f>
        <v>0</v>
      </c>
      <c r="F71" s="24">
        <f>ROUND(IF(N51=0,0,IFERROR(((LOOKUP(2,1/(A58:A61=A71),H58:H61))/N47*N51),F70/N51*N51)),2)</f>
        <v>0</v>
      </c>
      <c r="G71" s="27">
        <f t="shared" ref="G71:G81" si="7">SUM(B71+C71+E71+F71)</f>
        <v>0</v>
      </c>
      <c r="H71" s="76">
        <f>ROUND(IF(SUM(B70:F70)&lt;(L85*1),IF((SUM(B70:F71))&gt;(L85*2),(((L85*2)-(SUM(B70:F71)-C70))*H69)+((SUM(B71:F71)-C70)*H69),SUM(B71:F71)*H69),IF(SUM(B70:F71)&gt;(L85*2),L85*H69,SUM(B71:F71)*H69)),2)</f>
        <v>0</v>
      </c>
      <c r="I71" s="76">
        <f>ROUND(IF(SUM(B70:F70)&lt;(L86*1),IF((SUM(B70:F71))&gt;(L86*2),(((L86*2)-(SUM(B70:F71)-C70))*I69)+((SUM(B71:F71)-C70)*I69),SUM(B71:F71)*I69),IF(SUM(B70:F71)&gt;(L86*2),L86*I69,SUM(B71:F71)*I69)),2)</f>
        <v>0</v>
      </c>
      <c r="J71" s="76">
        <f>ROUND(IF(SUM(B70:F70)&lt;(L86*1),IF((SUM(B70:F71))&gt;(L86*2),(((L86*2)-(SUM(B70:F71)-C70))*J69)+((SUM(B71:F71)-C70)*J69),SUM(B71:F71)*J69),IF(SUM(B70:F71)&gt;(L86*2),L86*J69,SUM(B71:F71)*J69)),2)</f>
        <v>0</v>
      </c>
      <c r="K71" s="76">
        <f>ROUND(IF(SUM(B70:F70)&lt;(L85*1),IF((SUM(B70:F71))&gt;(L85*2),(((L85*2)-(SUM(B70:F71)-C70))*K69)+((SUM(B71:F71)-C70)*K69),SUM(B71:F71)*K69),IF(SUM(B70:F71)&gt;(L85*2),L85*K69,SUM(B71:F71)*K69)),2)</f>
        <v>0</v>
      </c>
      <c r="L71" s="76">
        <f>ROUND(IF(SUM(B70:F70)&lt;(L86*1),IF((SUM(B70:F71))&gt;(L86*2),(((L86*2)-(SUM(B70:F71)-C71))*L69)+((SUM(B71:F71)-C71)*L69),(SUM(B71:F71)-C71)*L69),IF(SUM(B70:F71)&gt;(L86*2),L86*L69,SUM(B71:F71)*L69)),2)</f>
        <v>0</v>
      </c>
      <c r="M71" s="76">
        <f>ROUND(IF(SUM(B70:F70)&lt;(L86*1),IF((SUM(B70:F71))&gt;(L86*2),(((L86*2)-(SUM(B70:F71)-C71))*M69)+((SUM(B71:F71)-C71)*M69),(SUM(B71:F71)-C71)*M69),IF(SUM(B70:F71)&gt;(L86*2),L86*M69,SUM(B71:F71)*M69)),2)</f>
        <v>0</v>
      </c>
      <c r="N71" s="76">
        <f>ROUND(IF(SUM(B70:F70)&lt;(L86*1),IF((SUM(B70:F71))&gt;(L86*2),(((L86*2)-(SUM(B70:F71)-C70))*N69)+((SUM(B71:F71)-C70)*N69),SUM(B71:F71)*N69),IF(SUM(B70:F71)&gt;(L86*2),L86*N69,SUM(B71:F71)*N69)),2)</f>
        <v>0</v>
      </c>
      <c r="O71" s="23">
        <f>ROUND(SUM(B71+C71+F71)*O69,2)</f>
        <v>0</v>
      </c>
      <c r="P71" s="27">
        <f>SUM(G71:O71)</f>
        <v>0</v>
      </c>
    </row>
    <row r="72" spans="1:16" x14ac:dyDescent="0.2">
      <c r="A72" s="100" t="str">
        <f>$A$28</f>
        <v>Mrz 2022</v>
      </c>
      <c r="B72" s="24">
        <f>ROUND(IF(N52=0,0,IFERROR(((LOOKUP(2,1/(A58:A61=A72),G58:G61))*N52*4.348),B71/N52*N52)),2)</f>
        <v>0</v>
      </c>
      <c r="C72" s="23">
        <f>ROUND(IFERROR(((LOOKUP(2,1/(B63=A72),((SUM(B76:B78)+SUM(F76:F78))/3)*C63))),0)+IFERROR(((LOOKUP(2,1/(E63=A72),(B82+F82)*F63))),0),2)</f>
        <v>0</v>
      </c>
      <c r="D72" s="23">
        <f>ROUND(IF(B72=0,0,D69/L51*N52),2)</f>
        <v>0</v>
      </c>
      <c r="E72" s="23">
        <f>ROUND(IF(B72=0,0,E69/N47*N52),2)</f>
        <v>0</v>
      </c>
      <c r="F72" s="24">
        <f>ROUND(IF(N52=0,0,IFERROR(((LOOKUP(2,1/(A58:A61=A72),H58:H61))/N47*N52),F71/N52*N52)),2)</f>
        <v>0</v>
      </c>
      <c r="G72" s="27">
        <f t="shared" si="7"/>
        <v>0</v>
      </c>
      <c r="H72" s="76">
        <f>ROUND(IF(SUM(B70:F71)&lt;(L85*2),IF((SUM(B70:F72))&gt;(L85*3),(((L85*3)-(SUM(B70:F72)-C71))*H69)+((SUM(B72:F72)-C71)*H69),SUM(B72:F72)*H69),IF(SUM(B70:F72)&gt;(L85*3),L85*H69,SUM(B72:F72)*H69)),2)</f>
        <v>0</v>
      </c>
      <c r="I72" s="76">
        <f>ROUND(IF(SUM(B70:F71)&lt;(L86*2),IF((SUM(B70:F72))&gt;(L86*3),(((L86*3)-(SUM(B70:F72)-C71))*I69)+((SUM(B72:F72)-C71)*I69),SUM(B72:F72)*I69),IF(SUM(B70:F72)&gt;(L86*3),L86*I69,SUM(B72:F72)*I69)),2)</f>
        <v>0</v>
      </c>
      <c r="J72" s="76">
        <f>ROUND(IF(SUM(B70:F71)&lt;(L86*2),IF((SUM(B70:F72))&gt;(L86*3),(((L86*3)-(SUM(B70:F72)-C71))*J69)+((SUM(B72:F72)-C71)*J69),SUM(B72:F72)*J69),IF(SUM(B70:F72)&gt;(L86*3),L86*J69,SUM(B72:F72)*J69)),2)</f>
        <v>0</v>
      </c>
      <c r="K72" s="76">
        <f>ROUND(IF(SUM(B70:F71)&lt;(L85*2),IF((SUM(B70:F72))&gt;(L85*3),(((L85*3)-(SUM(B70:F72)-C71))*K69)+((SUM(B72:F72)-C71)*K69),SUM(B72:F72)*K69),IF(SUM(B70:F72)&gt;(L85*3),L85*K69,SUM(B72:F72)*K69)),2)</f>
        <v>0</v>
      </c>
      <c r="L72" s="76">
        <f>ROUND(IF(SUM(B70:F71)&lt;(L86*2),IF((SUM(B70:F72))&gt;(L86*3),(((L86*3)-(SUM(B70:F72)-C72))*L69)+((SUM(B72:F72)-C72)*L69),(SUM(B72:F72)-C72)*L69),IF(SUM(B70:F72)&gt;(L86*3),L86*L69,SUM(B72:F72)*L69)),2)</f>
        <v>0</v>
      </c>
      <c r="M72" s="76">
        <f>ROUND(IF(SUM(B70:F71)&lt;(L86*2),IF((SUM(B70:F72))&gt;(L86*3),(((L86*3)-(SUM(B70:F72)-C72))*M69)+((SUM(B72:F72)-C72)*M69),(SUM(B72:F72)-C72)*M69),IF(SUM(B70:F72)&gt;(L86*3),L86*M69,SUM(B72:F72)*M69)),2)</f>
        <v>0</v>
      </c>
      <c r="N72" s="76">
        <f>ROUND(IF(SUM(B70:F71)&lt;(L86*2),IF((SUM(B70:F72))&gt;(L86*3),(((L86*3)-(SUM(B70:F72)-C71))*N69)+((SUM(B72:F72)-C71)*N69),SUM(B72:F72)*N69),IF(SUM(B70:F72)&gt;(L86*3),L86*N69,SUM(B72:F72)*N69)),2)</f>
        <v>0</v>
      </c>
      <c r="O72" s="23">
        <f>ROUND(SUM(B72+C72+F72)*O69,2)</f>
        <v>0</v>
      </c>
      <c r="P72" s="27">
        <f t="shared" ref="P72:P81" si="8">SUM(G72:O72)</f>
        <v>0</v>
      </c>
    </row>
    <row r="73" spans="1:16" x14ac:dyDescent="0.2">
      <c r="A73" s="100" t="str">
        <f>$A$29</f>
        <v>Apr 2022</v>
      </c>
      <c r="B73" s="24">
        <f>ROUND(IF(N53=0,0,IFERROR(((LOOKUP(2,1/(A58:A61=A73),G58:G61))*N53*4.348),B72/N53*N53)),2)</f>
        <v>0</v>
      </c>
      <c r="C73" s="23">
        <f>ROUND(IFERROR(((LOOKUP(2,1/(B63=A73),((SUM(B76:B78)+SUM(F76:F78))/3)*C63))),0)+IFERROR(((LOOKUP(2,1/(E63=A73),(B82+F82)*F63))),0),2)</f>
        <v>0</v>
      </c>
      <c r="D73" s="23">
        <f>ROUND(IF(B73=0,0,D69/L51*N53),2)</f>
        <v>0</v>
      </c>
      <c r="E73" s="23">
        <f>ROUND(IF(B73=0,0,E69/N47*N53),2)</f>
        <v>0</v>
      </c>
      <c r="F73" s="24">
        <f>ROUND(IF(N53=0,0,IFERROR(((LOOKUP(2,1/(A58:A61=A73),H58:H61))/N47*N53),F72/N53*N53)),2)</f>
        <v>0</v>
      </c>
      <c r="G73" s="27">
        <f t="shared" si="7"/>
        <v>0</v>
      </c>
      <c r="H73" s="76">
        <f>ROUND(IF(SUM(B70:F72)&lt;(L85*3),IF((SUM(B70:F73))&gt;(L85*4),(((L85*4)-(SUM(B70:F73)-C72))*H69)+((SUM(B73:F73)-C72)*H69),SUM(B73:F73)*H69),IF(SUM(B70:F73)&gt;(L85*4),L85*H69,SUM(B73:F73)*H69)),2)</f>
        <v>0</v>
      </c>
      <c r="I73" s="76">
        <f>ROUND(IF(SUM(B70:F72)&lt;(L86*3),IF((SUM(B70:F73))&gt;(L86*4),(((L86*4)-(SUM(B70:F73)-C72))*I69)+((SUM(B73:F73)-C72)*I69),SUM(B73:F73)*I69),IF(SUM(B70:F73)&gt;(L86*4),L86*I69,SUM(B73:F73)*I69)),2)</f>
        <v>0</v>
      </c>
      <c r="J73" s="76">
        <f>ROUND(IF(SUM(B70:F72)&lt;(L86*3),IF((SUM(B70:F73))&gt;(L86*4),(((L86*4)-(SUM(B70:F73)-C72))*J69)+((SUM(B73:F73)-C72)*J69),SUM(B73:F73)*J69),IF(SUM(B70:F73)&gt;(L86*4),L86*J69,SUM(B73:F73)*J69)),2)</f>
        <v>0</v>
      </c>
      <c r="K73" s="76">
        <f>ROUND(IF(SUM(B70:F72)&lt;(L85*3),IF((SUM(B70:F73))&gt;(L85*4),(((L85*4)-(SUM(B70:F73)-C72))*K69)+((SUM(B73:F73)-C72)*K69),SUM(B73:F73)*K69),IF(SUM(B70:F73)&gt;(L85*4),L85*K69,SUM(B73:F73)*K69)),2)</f>
        <v>0</v>
      </c>
      <c r="L73" s="76">
        <f>ROUND(IF(SUM(B70:F72)&lt;(L86*3),IF((SUM(B70:F73))&gt;(L86*4),(((L86*4)-(SUM(B70:F73)-C73))*L69)+((SUM(B73:F73)-C73)*L69),(SUM(B73:F73)-C73)*L69),IF(SUM(B70:F73)&gt;(L86*4),L86*L69,SUM(B73:F73)*L69)),2)</f>
        <v>0</v>
      </c>
      <c r="M73" s="76">
        <f>ROUND(IF(SUM(B70:F72)&lt;(L86*3),IF((SUM(B70:F73))&gt;(L86*4),(((L86*4)-(SUM(B70:F73)-C73))*M69)+((SUM(B73:F73)-C73)*M69),(SUM(B73:F73)-C73)*M69),IF(SUM(B70:F73)&gt;(L86*4),L86*M69,SUM(B73:F73)*M69)),2)</f>
        <v>0</v>
      </c>
      <c r="N73" s="76">
        <f>ROUND(IF(SUM(B70:F72)&lt;(L86*3),IF((SUM(B70:F73))&gt;(L86*4),(((L86*4)-(SUM(B70:F73)-C72))*N69)+((SUM(B73:F73)-C72)*N69),SUM(B73:F73)*N69),IF(SUM(B70:F73)&gt;(L86*4),L86*N69,SUM(B73:F73)*N69)),2)</f>
        <v>0</v>
      </c>
      <c r="O73" s="23">
        <f>ROUND(SUM(B73+C73+F73)*O69,2)</f>
        <v>0</v>
      </c>
      <c r="P73" s="27">
        <f t="shared" si="8"/>
        <v>0</v>
      </c>
    </row>
    <row r="74" spans="1:16" x14ac:dyDescent="0.2">
      <c r="A74" s="100" t="str">
        <f>$A$30</f>
        <v>Mai 2022</v>
      </c>
      <c r="B74" s="24">
        <f>ROUND(IF(N54=0,0,IFERROR(((LOOKUP(2,1/(A58:A61=A74),G58:G61))*N54*4.348),B73/N54*N54)),2)</f>
        <v>0</v>
      </c>
      <c r="C74" s="23">
        <f>ROUND(IFERROR(((LOOKUP(2,1/(B63=A74),((SUM(B76:B78)+SUM(F76:F78))/3)*C63))),0)+IFERROR(((LOOKUP(2,1/(E63=A74),(B82+F82)*F63))),0),2)</f>
        <v>0</v>
      </c>
      <c r="D74" s="23">
        <f>ROUND(IF(B74=0,0,D69/L51*N54),2)</f>
        <v>0</v>
      </c>
      <c r="E74" s="23">
        <f>ROUND(IF(B74=0,0,E69/N47*N54),2)</f>
        <v>0</v>
      </c>
      <c r="F74" s="24">
        <f>ROUND(IF(N54=0,0,IFERROR(((LOOKUP(2,1/(A58:A61=A74),H58:H61))/N47*N54),F73/N54*N54)),2)</f>
        <v>0</v>
      </c>
      <c r="G74" s="27">
        <f t="shared" si="7"/>
        <v>0</v>
      </c>
      <c r="H74" s="76">
        <f>ROUND(IF(SUM(B70:F73)&lt;(L85*4),IF((SUM(B70:F74))&gt;(L85*5),(((L85*5)-(SUM(B70:F74)-C73))*H69)+((SUM(B74:F74)-C73)*H69),SUM(B74:F74)*H69),IF(SUM(B70:F74)&gt;(L85*5),L85*H69,SUM(B74:F74)*H69)),2)</f>
        <v>0</v>
      </c>
      <c r="I74" s="76">
        <f>ROUND(IF(SUM(B70:F73)&lt;(L86*4),IF((SUM(B70:F74))&gt;(L86*5),(((L86*5)-(SUM(B70:F74)-C73))*I69)+((SUM(B74:F74)-C73)*I69),SUM(B74:F74)*I69),IF(SUM(B70:F74)&gt;(L86*5),L86*I69,SUM(B74:F74)*I69)),2)</f>
        <v>0</v>
      </c>
      <c r="J74" s="76">
        <f>ROUND(IF(SUM(B70:F73)&lt;(L86*4),IF((SUM(B70:F74))&gt;(L86*5),(((L86*5)-(SUM(B70:F74)-C73))*J69)+((SUM(B74:F74)-C73)*J69),SUM(B74:F74)*J69),IF(SUM(B70:F74)&gt;(L86*5),L86*J69,SUM(B74:F74)*J69)),2)</f>
        <v>0</v>
      </c>
      <c r="K74" s="76">
        <f>ROUND(IF(SUM(B70:F73)&lt;(L85*4),IF((SUM(B70:F74))&gt;(L85*5),(((L85*5)-(SUM(B70:F74)-C73))*K69)+((SUM(B74:F74)-C73)*K69),SUM(B74:F74)*K69),IF(SUM(B70:F74)&gt;(L85*5),L85*K69,SUM(B74:F74)*K69)),2)</f>
        <v>0</v>
      </c>
      <c r="L74" s="76">
        <f>ROUND(IF(SUM(B70:F73)&lt;(L86*4),IF((SUM(B70:F74))&gt;(L86*5),(((L86*5)-(SUM(B70:F74)-C74))*L69)+((SUM(B74:F74)-C74)*L69),(SUM(B74:F74)-C74)*L69),IF(SUM(B70:F74)&gt;(L86*5),L86*L69,SUM(B74:F74)*L69)),2)</f>
        <v>0</v>
      </c>
      <c r="M74" s="76">
        <f>ROUND(IF(SUM(B70:F73)&lt;(L86*4),IF((SUM(B70:F74))&gt;(L86*5),(((L86*5)-(SUM(B70:F74)-C74))*M69)+((SUM(B74:F74)-C74)*M69),(SUM(B74:F74)-C74)*M69),IF(SUM(B70:F74)&gt;(L86*5),L86*M69,SUM(B74:F74)*M69)),2)</f>
        <v>0</v>
      </c>
      <c r="N74" s="76">
        <f>ROUND(IF(SUM(B70:F73)&lt;(L86*4),IF((SUM(B70:F74))&gt;(L86*5),(((L86*5)-(SUM(B70:F74)-C73))*N69)+((SUM(B74:F74)-C73)*N69),SUM(B74:F74)*N69),IF(SUM(B70:F74)&gt;(L86*5),L86*N69,SUM(B74:F74)*N69)),2)</f>
        <v>0</v>
      </c>
      <c r="O74" s="23">
        <f>ROUND(SUM(B74+C74+F74)*O69,2)</f>
        <v>0</v>
      </c>
      <c r="P74" s="27">
        <f t="shared" si="8"/>
        <v>0</v>
      </c>
    </row>
    <row r="75" spans="1:16" x14ac:dyDescent="0.2">
      <c r="A75" s="100" t="str">
        <f>$A$31</f>
        <v>Jun 2022</v>
      </c>
      <c r="B75" s="24">
        <f>ROUND(IF(N55=0,0,IFERROR(((LOOKUP(2,1/(A58:A61=A75),G58:G61))*N55*4.348),B74/N55*N55)),2)</f>
        <v>0</v>
      </c>
      <c r="C75" s="23">
        <f>ROUND(IFERROR(((LOOKUP(2,1/(B63=A75),((SUM(B76:B78)+SUM(F76:F78))/3)*C63))),0)+IFERROR(((LOOKUP(2,1/(E63=A75),(B82+F82)*F63))),0),2)</f>
        <v>0</v>
      </c>
      <c r="D75" s="23">
        <f>ROUND(IF(B75=0,0,D69/L51*N55),2)</f>
        <v>0</v>
      </c>
      <c r="E75" s="23">
        <f>ROUND(IF(B75=0,0,E69/N47*N55),2)</f>
        <v>0</v>
      </c>
      <c r="F75" s="24">
        <f>ROUND(IF(N55=0,0,IFERROR(((LOOKUP(2,1/(A58:A61=A75),H58:H61))/N47*N55),F74/N55*N55)),2)</f>
        <v>0</v>
      </c>
      <c r="G75" s="27">
        <f t="shared" si="7"/>
        <v>0</v>
      </c>
      <c r="H75" s="76">
        <f>ROUND(IF(SUM(B70:F74)&lt;(L85*5),IF((SUM(B70:F75))&gt;(L85*6),(((L85*6)-(SUM(B70:F75)-C74))*H69)+((SUM(B75:F75)-C74)*H69),SUM(B75:F75)*H69),IF(SUM(B70:F75)&gt;(L85*6),L85*H69,SUM(B75:F75)*H69)),2)</f>
        <v>0</v>
      </c>
      <c r="I75" s="76">
        <f>ROUND(IF(SUM(B70:F74)&lt;(L86*5),IF((SUM(B70:F75))&gt;(L86*6),(((L86*6)-(SUM(B70:F75)-C74))*I69)+((SUM(B75:F75)-C74)*I69),SUM(B75:F75)*I69),IF(SUM(B70:F75)&gt;(L86*6),L86*I69,SUM(B75:F75)*I69)),2)</f>
        <v>0</v>
      </c>
      <c r="J75" s="76">
        <f>ROUND(IF(SUM(B70:F74)&lt;(L86*5),IF((SUM(B70:F75))&gt;(L86*6),(((L86*6)-(SUM(B70:F75)-C74))*J69)+((SUM(B75:F75)-C74)*J69),SUM(B75:F75)*J69),IF(SUM(B70:F75)&gt;(L86*6),L86*J69,SUM(B75:F75)*J69)),2)</f>
        <v>0</v>
      </c>
      <c r="K75" s="76">
        <f>ROUND(IF(SUM(B70:F74)&lt;(L85*5),IF((SUM(B70:F75))&gt;(L85*6),(((L85*6)-(SUM(B70:F75)-C74))*K69)+((SUM(B75:F75)-C74)*K69),SUM(B75:F75)*K69),IF(SUM(B70:F75)&gt;(L85*6),L85*K69,SUM(B75:F75)*K69)),2)</f>
        <v>0</v>
      </c>
      <c r="L75" s="76">
        <f>ROUND(IF(SUM(B70:F74)&lt;(L86*5),IF((SUM(B70:F75))&gt;(L86*6),(((L86*6)-(SUM(B70:F75)-C75))*L69)+((SUM(B75:F75)-C75)*L69),(SUM(B75:F75)-C75)*L69),IF(SUM(B70:F75)&gt;(L86*6),L86*L69,SUM(B75:F75)*L69)),2)</f>
        <v>0</v>
      </c>
      <c r="M75" s="76">
        <f>ROUND(IF(SUM(B70:F74)&lt;(L86*5),IF((SUM(B70:F75))&gt;(L86*6),(((L86*6)-(SUM(B70:F75)-C75))*M69)+((SUM(B75:F75)-C75)*M69),(SUM(B75:F75)-C75)*M69),IF(SUM(B70:F75)&gt;(L86*6),L86*M69,SUM(B75:F75)*M69)),2)</f>
        <v>0</v>
      </c>
      <c r="N75" s="76">
        <f>ROUND(IF(SUM(B70:F74)&lt;(L86*5),IF((SUM(B70:F75))&gt;(L86*6),(((L86*6)-(SUM(B70:F75)-C74))*N69)+((SUM(B75:F75)-C74)*N69),SUM(B75:F75)*N69),IF(SUM(B70:F75)&gt;(L86*6),L86*N69,SUM(B75:F75)*N69)),2)</f>
        <v>0</v>
      </c>
      <c r="O75" s="23">
        <f>ROUND(SUM(B75+C75+F75)*O69,2)</f>
        <v>0</v>
      </c>
      <c r="P75" s="27">
        <f t="shared" si="8"/>
        <v>0</v>
      </c>
    </row>
    <row r="76" spans="1:16" x14ac:dyDescent="0.2">
      <c r="A76" s="100" t="str">
        <f>$A$32</f>
        <v>Jul 2022</v>
      </c>
      <c r="B76" s="24">
        <f>ROUND(IF(P50=0,0,IFERROR(((LOOKUP(2,1/(A58:A61=A76),G58:G61))*P50*4.348),B75/P50*P50)),2)</f>
        <v>0</v>
      </c>
      <c r="C76" s="23">
        <f>ROUND(IFERROR(((LOOKUP(2,1/(B63=A76),((SUM(B76:B78)+SUM(F76:F78))/3)*C63))),0)+IFERROR(((LOOKUP(2,1/(E63=A76),(B82+F82)*F63))),0),2)</f>
        <v>0</v>
      </c>
      <c r="D76" s="23">
        <f>ROUND(IF(B76=0,0,D69/L51*P50),2)</f>
        <v>0</v>
      </c>
      <c r="E76" s="23">
        <f>ROUND(IF(B76=0,0,E69/N47*P50),2)</f>
        <v>0</v>
      </c>
      <c r="F76" s="24">
        <f>ROUND(IF(P50=0,0,IFERROR(((LOOKUP(2,1/(A58:A61=A76),H58:H61))/N47*P50),F75/P50*P50)),2)</f>
        <v>0</v>
      </c>
      <c r="G76" s="27">
        <f t="shared" si="7"/>
        <v>0</v>
      </c>
      <c r="H76" s="76">
        <f>ROUND(IF(SUM(B70:F75)&lt;(L85*6),IF((SUM(B70:F76))&gt;(L85*7),(((L85*7)-(SUM(B70:F76)-C75))*H69)+((SUM(B76:F76)-C75)*H69),SUM(B76:F76)*H69),IF(SUM(B70:F76)&gt;(L85*7),L85*H69,SUM(B76:F76)*H69)),2)</f>
        <v>0</v>
      </c>
      <c r="I76" s="76">
        <f>ROUND(IF(SUM(B70:F75)&lt;(L86*6),IF((SUM(B70:F76))&gt;(L86*7),(((L86*7)-(SUM(B70:F76)-C75))*I69)+((SUM(B76:F76)-C75)*I69),SUM(B76:F76)*I69),IF(SUM(B70:F76)&gt;(L86*7),L86*I69,SUM(B76:F76)*I69)),2)</f>
        <v>0</v>
      </c>
      <c r="J76" s="76">
        <f>ROUND(IF(SUM(B70:F75)&lt;(L86*6),IF((SUM(B70:F76))&gt;(L86*7),(((L86*7)-(SUM(B70:F76)-C75))*J69)+((SUM(B76:F76)-C75)*J69),SUM(B76:F76)*J69),IF(SUM(B70:F76)&gt;(L86*7),L86*J69,SUM(B76:F76)*J69)),2)</f>
        <v>0</v>
      </c>
      <c r="K76" s="76">
        <f>ROUND(IF(SUM(B70:F75)&lt;(L85*6),IF((SUM(B70:F76))&gt;(L85*7),(((L85*7)-(SUM(B70:F76)-C75))*K69)+((SUM(B76:F76)-C75)*K69),SUM(B76:F76)*K69),IF(SUM(B70:F76)&gt;(L85*7),L85*K69,SUM(B76:F76)*K69)),2)</f>
        <v>0</v>
      </c>
      <c r="L76" s="76">
        <f>ROUND(IF(SUM(B70:F75)&lt;(L86*6),IF((SUM(B70:F76))&gt;(L86*7),(((L86*7)-(SUM(B70:F76)-C76))*L69)+((SUM(B76:F76)-C76)*L69),(SUM(B76:F76)-C76)*L69),IF(SUM(B70:F76)&gt;(L86*7),L86*L69,SUM(B76:F76)*L69)),2)</f>
        <v>0</v>
      </c>
      <c r="M76" s="76">
        <f>ROUND(IF(SUM(B70:F75)&lt;(L86*6),IF((SUM(B70:F76))&gt;(L86*7),(((L86*7)-(SUM(B70:F76)-C76))*M69)+((SUM(B76:F76)-C76)*M69),(SUM(B76:F76)-C76)*M69),IF(SUM(B70:F76)&gt;(L86*7),L86*M69,SUM(B76:F76)*M69)),2)</f>
        <v>0</v>
      </c>
      <c r="N76" s="76">
        <f>ROUND(IF(SUM(B70:F75)&lt;(L86*6),IF((SUM(B70:F76))&gt;(L86*7),(((L86*7)-(SUM(B70:F76)-C75))*N69)+((SUM(B76:F76)-C75)*N69),SUM(B76:F76)*N69),IF(SUM(B70:F76)&gt;(L86*7),L86*N69,SUM(B76:F76)*N69)),2)</f>
        <v>0</v>
      </c>
      <c r="O76" s="23">
        <f>ROUND(SUM(B76+C76+F76)*O69,2)</f>
        <v>0</v>
      </c>
      <c r="P76" s="27">
        <f t="shared" si="8"/>
        <v>0</v>
      </c>
    </row>
    <row r="77" spans="1:16" x14ac:dyDescent="0.2">
      <c r="A77" s="100" t="str">
        <f>$A$33</f>
        <v>Aug 2022</v>
      </c>
      <c r="B77" s="24">
        <f>ROUND(IF(P51=0,0,IFERROR(((LOOKUP(2,1/(A58:A61=A77),G58:G61))*P51*4.348),B76/P51*P51)),2)</f>
        <v>0</v>
      </c>
      <c r="C77" s="23">
        <f>ROUND(IFERROR(((LOOKUP(2,1/(B63=A77),((SUM(B76:B78)+SUM(F76:F78))/3)*C63))),0)+IFERROR(((LOOKUP(2,1/(E63=A77),(B82+F82)*F63))),0),2)</f>
        <v>0</v>
      </c>
      <c r="D77" s="23">
        <f>ROUND(IF(B77=0,0,D69/L51*P51),2)</f>
        <v>0</v>
      </c>
      <c r="E77" s="23">
        <f>ROUND(IF(B77=0,0,E69/N47*P51),2)</f>
        <v>0</v>
      </c>
      <c r="F77" s="24">
        <f>ROUND(IF(P51=0,0,IFERROR(((LOOKUP(2,1/(A58:A61=A77),H58:H61))/N47*P51),F76/P51*P51)),2)</f>
        <v>0</v>
      </c>
      <c r="G77" s="27">
        <f t="shared" si="7"/>
        <v>0</v>
      </c>
      <c r="H77" s="76">
        <f>ROUND(IF(SUM(B70:F76)&lt;(L85*7),IF((SUM(B70:F77))&gt;(L85*8),(((L85*8)-(SUM(B70:F77)-C76))*H69)+((SUM(B77:F77)-C76)*H69),SUM(B77:F77)*H69),IF(SUM(B70:F77)&gt;(L85*8),L85*H69,SUM(B77:F77)*H69)),2)</f>
        <v>0</v>
      </c>
      <c r="I77" s="76">
        <f>ROUND(IF(SUM(B70:F76)&lt;(L86*7),IF((SUM(B70:F77))&gt;(L86*8),(((L86*8)-(SUM(B70:F77)-C76))*I69)+((SUM(B77:F77)-C76)*I69),SUM(B77:F77)*I69),IF(SUM(B70:F77)&gt;(L86*8),L86*I69,SUM(B77:F77)*I69)),2)</f>
        <v>0</v>
      </c>
      <c r="J77" s="76">
        <f>ROUND(IF(SUM(B70:F76)&lt;(L86*7),IF((SUM(B70:F77))&gt;(L86*8),(((L86*8)-(SUM(B70:F77)-C76))*J69)+((SUM(B77:F77)-C76)*J69),SUM(B77:F77)*J69),IF(SUM(B70:F77)&gt;(L86*8),L86*J69,SUM(B77:F77)*J69)),2)</f>
        <v>0</v>
      </c>
      <c r="K77" s="76">
        <f>ROUND(IF(SUM(B70:F76)&lt;(L85*7),IF((SUM(B70:F77))&gt;(L85*8),(((L85*8)-(SUM(B70:F77)-C76))*K69)+((SUM(B77:F77)-C76)*K69),SUM(B77:F77)*K69),IF(SUM(B70:F77)&gt;(L85*8),L85*K69,SUM(B77:F77)*K69)),2)</f>
        <v>0</v>
      </c>
      <c r="L77" s="76">
        <f>ROUND(IF(SUM(B70:F76)&lt;(L86*7),IF((SUM(B70:F77))&gt;(L86*8),(((L86*8)-(SUM(B70:F77)-C77))*L69)+((SUM(B77:F77)-C77)*L69),(SUM(B77:F77)-C77)*L69),IF(SUM(B70:F77)&gt;(L86*8),L86*L69,SUM(B77:F77)*L69)),2)</f>
        <v>0</v>
      </c>
      <c r="M77" s="76">
        <f>ROUND(IF(SUM(B70:F76)&lt;(L86*7),IF((SUM(B70:F77))&gt;(L86*8),(((L86*8)-(SUM(B70:F77)-C77))*M69)+((SUM(B77:F77)-C77)*M69),(SUM(B77:F77)-C77)*M69),IF(SUM(B70:F77)&gt;(L86*8),L86*M69,SUM(B77:F77)*M69)),2)</f>
        <v>0</v>
      </c>
      <c r="N77" s="76">
        <f>ROUND(IF(SUM(B70:F76)&lt;(L86*7),IF((SUM(B70:F77))&gt;(L86*8),(((L86*8)-(SUM(B70:F77)-C76))*N69)+((SUM(B77:F77)-C76)*N69),SUM(B77:F77)*N69),IF(SUM(B70:F77)&gt;(L86*8),L86*N69,SUM(B77:F77)*N69)),2)</f>
        <v>0</v>
      </c>
      <c r="O77" s="23">
        <f>ROUND(SUM(B77+C77+F77)*O69,2)</f>
        <v>0</v>
      </c>
      <c r="P77" s="27">
        <f t="shared" si="8"/>
        <v>0</v>
      </c>
    </row>
    <row r="78" spans="1:16" x14ac:dyDescent="0.2">
      <c r="A78" s="100" t="str">
        <f>$A$34</f>
        <v>Sep 2022</v>
      </c>
      <c r="B78" s="24">
        <f>ROUND(IF(P52=0,0,IFERROR(((LOOKUP(2,1/(A58:A61=A78),G58:G61))*P52*4.348),B77/P52*P52)),2)</f>
        <v>0</v>
      </c>
      <c r="C78" s="23">
        <f>ROUND(IFERROR(((LOOKUP(2,1/(B63=A78),((SUM(B76:B78)+SUM(F76:F78))/3)*C63))),0)+IFERROR(((LOOKUP(2,1/(E63=A78),(B82+F82)*F63))),0),2)</f>
        <v>0</v>
      </c>
      <c r="D78" s="23">
        <f>ROUND(IF(B78=0,0,D69/L51*P52),2)</f>
        <v>0</v>
      </c>
      <c r="E78" s="23">
        <f>ROUND(IF(B78=0,0,E69/N47*P52),2)</f>
        <v>0</v>
      </c>
      <c r="F78" s="24">
        <f>ROUND(IF(P52=0,0,IFERROR(((LOOKUP(2,1/(A58:A61=A78),H58:H61))/N47*P52),F77/P52*P52)),2)</f>
        <v>0</v>
      </c>
      <c r="G78" s="27">
        <f t="shared" si="7"/>
        <v>0</v>
      </c>
      <c r="H78" s="76">
        <f>ROUND(IF(SUM(B70:F77)&lt;(L85*8),IF((SUM(B70:F78))&gt;(L85*9),(((L85*9)-(SUM(B70:F78)-C77))*H69)+((SUM(B78:F78)-C77)*H69),SUM(B78:F78)*H69),IF(SUM(B70:F78)&gt;(L85*9),L85*H69,SUM(B78:F78)*H69)),2)</f>
        <v>0</v>
      </c>
      <c r="I78" s="76">
        <f>ROUND(IF(SUM(B70:F77)&lt;(L86*8),IF((SUM(B70:F78))&gt;(L86*9),(((L86*9)-(SUM(B70:F78)-C77))*I69)+((SUM(B78:F78)-C77)*I69),SUM(B78:F78)*I69),IF(SUM(B70:F78)&gt;(L86*9),L86*I69,SUM(B78:F78)*I69)),2)</f>
        <v>0</v>
      </c>
      <c r="J78" s="76">
        <f>ROUND(IF(SUM(B70:F77)&lt;(L86*8),IF((SUM(B70:F78))&gt;(L86*9),(((L86*9)-(SUM(B70:F78)-C77))*J69)+((SUM(B78:F78)-C77)*J69),SUM(B78:F78)*J69),IF(SUM(B70:F78)&gt;(L86*9),L86*J69,SUM(B78:F78)*J69)),2)</f>
        <v>0</v>
      </c>
      <c r="K78" s="76">
        <f>ROUND(IF(SUM(B70:F77)&lt;(L85*8),IF((SUM(B70:F78))&gt;(L85*9),(((L85*9)-(SUM(B70:F78)-C77))*K69)+((SUM(B78:F78)-C77)*K69),SUM(B78:F78)*K69),IF(SUM(B70:F78)&gt;(L85*9),L85*K69,SUM(B78:F78)*K69)),2)</f>
        <v>0</v>
      </c>
      <c r="L78" s="76">
        <f>ROUND(IF(SUM(B70:F77)&lt;(L86*8),IF((SUM(B70:F78))&gt;(L86*9),(((L86*9)-(SUM(B70:F78)-C78))*L69)+((SUM(B78:F78)-C78)*L69),(SUM(B78:F78)-C78)*L69),IF(SUM(B70:F78)&gt;(L86*9),L86*L69,SUM(B78:F78)*L69)),2)</f>
        <v>0</v>
      </c>
      <c r="M78" s="76">
        <f>ROUND(IF(SUM(B70:F77)&lt;(L86*8),IF((SUM(B70:F78))&gt;(L86*9),(((L86*9)-(SUM(B70:F78)-C78))*M69)+((SUM(B78:F78)-C78)*M69),(SUM(B78:F78)-C78)*M69),IF(SUM(B70:F78)&gt;(L86*9),L86*M69,SUM(B78:F78)*M69)),2)</f>
        <v>0</v>
      </c>
      <c r="N78" s="76">
        <f>ROUND(IF(SUM(B70:F77)&lt;(L86*8),IF((SUM(B70:F78))&gt;(L86*9),(((L86*9)-(SUM(B70:F78)-C77))*N69)+((SUM(B78:F78)-C77)*N69),SUM(B78:F78)*N69),IF(SUM(B70:F78)&gt;(L86*9),L86*N69,SUM(B78:F78)*N69)),2)</f>
        <v>0</v>
      </c>
      <c r="O78" s="23">
        <f>ROUND(SUM(B78+C78+F78)*O69,2)</f>
        <v>0</v>
      </c>
      <c r="P78" s="27">
        <f t="shared" si="8"/>
        <v>0</v>
      </c>
    </row>
    <row r="79" spans="1:16" x14ac:dyDescent="0.2">
      <c r="A79" s="100" t="str">
        <f>$A$35</f>
        <v>Okt 2022</v>
      </c>
      <c r="B79" s="24">
        <f>ROUND(IF(P53=0,0,IFERROR(((LOOKUP(2,1/(A58:A61=A79),G58:G61))*P53*4.348),B78/P53*P53)),2)</f>
        <v>0</v>
      </c>
      <c r="C79" s="23">
        <f>ROUND(IFERROR(((LOOKUP(2,1/(B63=A79),((SUM(B76:B78)+SUM(F76:F78))/3)*C63))),0)+IFERROR(((LOOKUP(2,1/(E63=A79),(B82+F82)*F63))),0),2)</f>
        <v>0</v>
      </c>
      <c r="D79" s="23">
        <f>ROUND(IF(B79=0,0,D69/L51*P53),2)</f>
        <v>0</v>
      </c>
      <c r="E79" s="23">
        <f>ROUND(IF(B79=0,0,E69/N47*P53),2)</f>
        <v>0</v>
      </c>
      <c r="F79" s="24">
        <f>ROUND(IF(P53=0,0,IFERROR(((LOOKUP(2,1/(A58:A61=A79),H58:H61))/N47*P53),F78/P53*P53)),2)</f>
        <v>0</v>
      </c>
      <c r="G79" s="27">
        <f t="shared" si="7"/>
        <v>0</v>
      </c>
      <c r="H79" s="76">
        <f>ROUND(IF(SUM(B70:F78)&lt;(L85*9),IF((SUM(B70:F79))&gt;(L85*10),(((L85*10)-(SUM(B70:F79)-C78))*H69)+((SUM(B79:F79)-C78)*H69),SUM(B79:F79)*H69),IF(SUM(B70:F79)&gt;(L85*10),L85*H69,SUM(B79:F79)*H69)),2)</f>
        <v>0</v>
      </c>
      <c r="I79" s="76">
        <f>ROUND(IF(SUM(B70:F78)&lt;(L86*9),IF((SUM(B70:F79))&gt;(L86*10),(((L86*10)-(SUM(B70:F79)-C78))*I69)+((SUM(B79:F79)-C78)*I69),SUM(B79:F79)*I69),IF(SUM(B70:F79)&gt;(L86*10),L86*I69,SUM(B79:F79)*I69)),2)</f>
        <v>0</v>
      </c>
      <c r="J79" s="76">
        <f>ROUND(IF(SUM(B70:F78)&lt;(L86*9),IF((SUM(B70:F79))&gt;(L86*10),(((L86*10)-(SUM(B70:F79)-C78))*J69)+((SUM(B79:F79)-C78)*J69),SUM(B79:F79)*J69),IF(SUM(B70:F79)&gt;(L86*10),L86*J69,SUM(B79:F79)*J69)),2)</f>
        <v>0</v>
      </c>
      <c r="K79" s="76">
        <f>ROUND(IF(SUM(B70:F78)&lt;(L85*9),IF((SUM(B70:F79))&gt;(L85*10),(((L85*10)-(SUM(B70:F79)-C78))*K69)+((SUM(B79:F79)-C78)*K69),SUM(B79:F79)*K69),IF(SUM(B70:F79)&gt;(L85*10),L85*K69,SUM(B79:F79)*K69)),2)</f>
        <v>0</v>
      </c>
      <c r="L79" s="76">
        <f>ROUND(IF(SUM(B70:F78)&lt;(L86*9),IF((SUM(B70:F79))&gt;(L86*10),(((L86*10)-(SUM(B70:F79)-C79))*L69)+((SUM(B79:F79)-C79)*L69),(SUM(B79:F79)-C79)*L69),IF(SUM(B70:F79)&gt;(L86*10),L86*L69,SUM(B79:F79)*L69)),2)</f>
        <v>0</v>
      </c>
      <c r="M79" s="76">
        <f>ROUND(IF(SUM(B70:F78)&lt;(L86*9),IF((SUM(B70:F79))&gt;(L86*10),(((L86*10)-(SUM(B70:F79)-C79))*M69)+((SUM(B79:F79)-C79)*M69),(SUM(B79:F79)-C79)*M69),IF(SUM(B70:F79)&gt;(L86*10),L86*M69,SUM(B79:F79)*M69)),2)</f>
        <v>0</v>
      </c>
      <c r="N79" s="76">
        <f>ROUND(IF(SUM(B70:F78)&lt;(L86*9),IF((SUM(B70:F79))&gt;(L86*10),(((L86*10)-(SUM(B70:F79)-C78))*N69)+((SUM(B79:F79)-C78)*N69),SUM(B79:F79)*N69),IF(SUM(B70:F79)&gt;(L86*10),L86*N69,SUM(B79:F79)*N69)),2)</f>
        <v>0</v>
      </c>
      <c r="O79" s="23">
        <f>ROUND(SUM(B79+C79+F79)*O69,2)</f>
        <v>0</v>
      </c>
      <c r="P79" s="27">
        <f t="shared" si="8"/>
        <v>0</v>
      </c>
    </row>
    <row r="80" spans="1:16" x14ac:dyDescent="0.2">
      <c r="A80" s="100" t="str">
        <f>$A$36</f>
        <v>Nov 2022</v>
      </c>
      <c r="B80" s="24">
        <f>ROUND(IF(P54=0,0,IFERROR(((LOOKUP(2,1/(A58:A61=A80),G58:G61))*P54*4.348),B79/P54*P54)),2)</f>
        <v>0</v>
      </c>
      <c r="C80" s="23">
        <f>ROUND(IFERROR(((LOOKUP(2,1/(B63=A80),((SUM(B76:B78)+SUM(F76:F78))/3)*C63))),0)+IFERROR(((LOOKUP(2,1/(E63=A80),(B82+F82)*F63))),0),2)</f>
        <v>0</v>
      </c>
      <c r="D80" s="23">
        <f>ROUND(IF(B80=0,0,D69/L51*P54),2)</f>
        <v>0</v>
      </c>
      <c r="E80" s="23">
        <f>ROUND(IF(B80=0,0,E69/N47*P54),2)</f>
        <v>0</v>
      </c>
      <c r="F80" s="24">
        <f>ROUND(IF(P54=0,0,IFERROR(((LOOKUP(2,1/(A58:A61=A80),H58:H61))/N47*P54),F79/P54*P54)),2)</f>
        <v>0</v>
      </c>
      <c r="G80" s="27">
        <f t="shared" si="7"/>
        <v>0</v>
      </c>
      <c r="H80" s="76">
        <f>ROUND(IF(SUM(B70:F79)&lt;(L85*10),IF((SUM(B70:F80))&gt;(L85*11),(((L85*11)-(SUM(B70:F80)-C79))*H69)+((SUM(B80:F80)-C79)*H69),SUM(B80:F80)*H69),IF(SUM(B70:F80)&gt;(L85*11),L85*H69,SUM(B80:F80)*H69)),2)</f>
        <v>0</v>
      </c>
      <c r="I80" s="76">
        <f>ROUND(IF(SUM(B70:F79)&lt;(L86*10),IF((SUM(B70:F80))&gt;(L86*11),(((L86*11)-(SUM(B70:F80)-C79))*I69)+((SUM(B80:F80)-C79)*I69),SUM(B80:F80)*I69),IF(SUM(B70:F80)&gt;(L86*11),L86*I69,SUM(B80:F80)*I69)),2)</f>
        <v>0</v>
      </c>
      <c r="J80" s="76">
        <f>ROUND(IF(SUM(B70:F79)&lt;(L86*10),IF((SUM(B70:F80))&gt;(L86*11),(((L86*11)-(SUM(B70:F80)-C79))*J69)+((SUM(B80:F80)-C79)*J69),SUM(B80:F80)*J69),IF(SUM(B70:F80)&gt;(L86*11),L86*J69,SUM(B80:F80)*J69)),2)</f>
        <v>0</v>
      </c>
      <c r="K80" s="76">
        <f>ROUND(IF(SUM(B70:F79)&lt;(L85*10),IF((SUM(B70:F80))&gt;(L85*11),(((L85*11)-(SUM(B70:F80)-C79))*K69)+((SUM(B80:F80)-C79)*K69),SUM(B80:F80)*K69),IF(SUM(B70:F80)&gt;(L85*11),L85*K69,SUM(B80:F80)*K69)),2)</f>
        <v>0</v>
      </c>
      <c r="L80" s="76">
        <f>ROUND(IF(SUM(B70:F79)&lt;(L86*10),IF((SUM(B70:F80))&gt;(L86*11),(((L86*11)-(SUM(B70:F80)-C80))*L69)+((SUM(B80:F80)-C80)*L69),(SUM(B80:F80)-C80)*L69),IF(SUM(B70:F80)&gt;(L86*11),L86*L69,SUM(B80:F80)*L69)),2)</f>
        <v>0</v>
      </c>
      <c r="M80" s="76">
        <f>ROUND(IF(SUM(B70:F79)&lt;(L86*10),IF((SUM(B70:F80))&gt;(L86*11),(((L86*11)-(SUM(B70:F80)-C80))*M69)+((SUM(B80:F80)-C80)*M69),(SUM(B80:F80)-C80)*M69),IF(SUM(B70:F80)&gt;(L86*11),L86*M69,SUM(B80:F80)*M69)),2)</f>
        <v>0</v>
      </c>
      <c r="N80" s="76">
        <f>ROUND(IF(SUM(B70:F79)&lt;(L86*10),IF((SUM(B70:F80))&gt;(L86*11),(((L86*11)-(SUM(B70:F80)-C79))*N69)+((SUM(B80:F80)-C79)*N69),SUM(B80:F80)*N69),IF(SUM(B70:F80)&gt;(L86*11),L86*N69,SUM(B80:F80)*N69)),2)</f>
        <v>0</v>
      </c>
      <c r="O80" s="23">
        <f>ROUND(SUM(B80+C80+F80)*O69,2)</f>
        <v>0</v>
      </c>
      <c r="P80" s="27">
        <f t="shared" si="8"/>
        <v>0</v>
      </c>
    </row>
    <row r="81" spans="1:16" x14ac:dyDescent="0.2">
      <c r="A81" s="100" t="str">
        <f>$A$37</f>
        <v>Dez 2022</v>
      </c>
      <c r="B81" s="24">
        <f>ROUND(IF(P55=0,0,IFERROR(((LOOKUP(2,1/(A58:A61=A81),G58:G61))*P55*4.348),B80/P55*P55)),2)</f>
        <v>0</v>
      </c>
      <c r="C81" s="23">
        <f>ROUND(IFERROR(((LOOKUP(2,1/(B63=A81),((SUM(B76:B78)+SUM(F76:F78))/3)*C63))),0)+IFERROR(((LOOKUP(2,1/(E63=A81),(B82+F82)*F63))),0),2)</f>
        <v>0</v>
      </c>
      <c r="D81" s="23">
        <f>ROUND(IF(B81=0,0,D69/L51*P55),2)</f>
        <v>0</v>
      </c>
      <c r="E81" s="23">
        <f>ROUND(IF(B81=0,0,E69/N47*P55),2)</f>
        <v>0</v>
      </c>
      <c r="F81" s="24">
        <f>ROUND(IF(P55=0,0,IFERROR(((LOOKUP(2,1/(A58:A61=A81),H58:H61))/N47*P55),F80/P55*P55)),2)</f>
        <v>0</v>
      </c>
      <c r="G81" s="27">
        <f t="shared" si="7"/>
        <v>0</v>
      </c>
      <c r="H81" s="76">
        <f>ROUND(IF(SUM(B70:F80)&lt;(L85*11),IF((SUM(B70:F81))&gt;(L85*12),(((L85*12)-(SUM(B70:F81)-C80))*H69)+((SUM(B81:F81)-C80)*H69),SUM(B81:F81)*H69),IF(SUM(B70:F81)&gt;(L85*12),L85*H69,SUM(B81:F81)*H69)),2)</f>
        <v>0</v>
      </c>
      <c r="I81" s="76">
        <f>ROUND(IF(SUM(B70:F80)&lt;(L86*11),IF((SUM(B70:F81))&gt;(L86*12),(((L86*12)-(SUM(B70:F81)-C80))*I69)+((SUM(B81:F81)-C80)*I69),SUM(B81:F81)*I69),IF(SUM(B70:F81)&gt;(L86*12),L86*I69,SUM(B81:F81)*I69)),2)</f>
        <v>0</v>
      </c>
      <c r="J81" s="76">
        <f>ROUND(IF(SUM(B70:F80)&lt;(L86*11),IF((SUM(B70:F81))&gt;(L86*12),(((L86*12)-(SUM(B70:F81)-C80))*J69)+((SUM(B81:F81)-C80)*J69),SUM(B81:F81)*J69),IF(SUM(B70:F81)&gt;(L86*12),L86*J69,SUM(B81:F81)*J69)),2)</f>
        <v>0</v>
      </c>
      <c r="K81" s="76">
        <f>ROUND(IF(SUM(B70:F80)&lt;(L85*11),IF((SUM(B70:F81))&gt;(L85*12),(((L85*12)-(SUM(B70:F81)-C80))*K69)+((SUM(B81:F81)-C80)*K69),SUM(B81:F81)*K69),IF(SUM(B70:F81)&gt;(L85*12),L85*K69,SUM(B81:F81)*K69)),2)</f>
        <v>0</v>
      </c>
      <c r="L81" s="76">
        <f>ROUND(IF(SUM(B70:F80)&lt;(L86*11),IF((SUM(B70:F81))&gt;(L86*12),(((L86*12)-(SUM(B70:F81)-C81))*L69)+((SUM(B81:F81)-C81)*L69),(SUM(B81:F81)-C81)*L69),IF(SUM(B70:F81)&gt;(L86*12),L86*L69,SUM(B81:F81)*L69)),2)</f>
        <v>0</v>
      </c>
      <c r="M81" s="76">
        <f>ROUND(IF(SUM(B70:F80)&lt;(L86*11),IF((SUM(B70:F81))&gt;(L86*12),(((L86*12)-(SUM(B70:F81)-C81))*M69)+((SUM(B81:F81)-C81)*M69),(SUM(B81:F81)-C81)*M69),IF(SUM(B70:F81)&gt;(L86*12),L86*M69,SUM(B81:F81)*M69)),2)</f>
        <v>0</v>
      </c>
      <c r="N81" s="76">
        <f>ROUND(IF(SUM(B70:F80)&lt;(L86*11),IF((SUM(B70:F81))&gt;(L86*12),(((L86*12)-(SUM(B70:F81)-C80))*N69)+((SUM(B81:F81)-C80)*N69),SUM(B81:F81)*N69),IF(SUM(B70:F81)&gt;(L86*12),L86*N69,SUM(B81:F81)*N69)),2)</f>
        <v>0</v>
      </c>
      <c r="O81" s="23">
        <f>ROUND(SUM(B81+C81+F81)*O69,2)</f>
        <v>0</v>
      </c>
      <c r="P81" s="27">
        <f t="shared" si="8"/>
        <v>0</v>
      </c>
    </row>
    <row r="82" spans="1:16" s="14" customFormat="1" ht="15" x14ac:dyDescent="0.25">
      <c r="A82" s="4" t="s">
        <v>2</v>
      </c>
      <c r="B82" s="27">
        <f>SUM(B70:B81)</f>
        <v>0</v>
      </c>
      <c r="C82" s="27">
        <f t="shared" ref="C82:D82" si="9">SUM(C70:C81)</f>
        <v>0</v>
      </c>
      <c r="D82" s="27">
        <f t="shared" si="9"/>
        <v>0</v>
      </c>
      <c r="E82" s="27">
        <f>SUM(E70:E81)</f>
        <v>0</v>
      </c>
      <c r="F82" s="27">
        <f>SUM(F70:F81)</f>
        <v>0</v>
      </c>
      <c r="G82" s="27">
        <f>SUM(G70:G81)</f>
        <v>0</v>
      </c>
      <c r="H82" s="1133">
        <f>SUM(H70:N81)</f>
        <v>0</v>
      </c>
      <c r="I82" s="1134"/>
      <c r="J82" s="1134"/>
      <c r="K82" s="1134"/>
      <c r="L82" s="1134"/>
      <c r="M82" s="1134"/>
      <c r="N82" s="1135"/>
      <c r="O82" s="27">
        <f>SUM(O70:O81)</f>
        <v>0</v>
      </c>
      <c r="P82" s="27">
        <f>SUM(P70:P81)</f>
        <v>0</v>
      </c>
    </row>
    <row r="83" spans="1:16" s="13" customFormat="1" ht="11.25" x14ac:dyDescent="0.2">
      <c r="A83" s="3" t="s">
        <v>1</v>
      </c>
      <c r="B83" s="2"/>
      <c r="C83" s="2"/>
      <c r="D83" s="2"/>
      <c r="E83" s="2"/>
      <c r="F83" s="2"/>
      <c r="G83" s="2"/>
      <c r="H83" s="2"/>
      <c r="I83" s="2"/>
      <c r="J83" s="2"/>
      <c r="K83" s="2"/>
      <c r="L83" s="2"/>
      <c r="M83" s="2"/>
      <c r="N83" s="2"/>
      <c r="O83" s="2"/>
      <c r="P83" s="2"/>
    </row>
    <row r="84" spans="1:16" ht="14.25" customHeight="1" x14ac:dyDescent="0.2">
      <c r="A84" s="1136" t="s">
        <v>133</v>
      </c>
      <c r="B84" s="1137"/>
      <c r="C84" s="1137"/>
      <c r="D84" s="1137" t="s">
        <v>134</v>
      </c>
      <c r="E84" s="1137"/>
      <c r="F84" s="94" t="str">
        <f>IF(IF(G82=0,"",'päd.Personal - Leitung'!$F$40)=0,"",IF(G82=0,"",'päd.Personal - Leitung'!$F$40))</f>
        <v/>
      </c>
      <c r="G84" s="77" t="s">
        <v>135</v>
      </c>
      <c r="H84" s="96" t="str">
        <f>IF(IF(G82=0,"",'päd.Personal - Leitung'!$H$40)=0,"",IF(G82=0,"",'päd.Personal - Leitung'!$H$40))</f>
        <v/>
      </c>
      <c r="I84" s="73"/>
      <c r="J84" s="194" t="s">
        <v>160</v>
      </c>
      <c r="K84" s="194" t="str">
        <f>$K$40</f>
        <v>2021</v>
      </c>
      <c r="L84" s="194" t="str">
        <f>$L$40</f>
        <v>anteilig 2021</v>
      </c>
      <c r="M84" s="1138" t="s">
        <v>140</v>
      </c>
      <c r="N84" s="1138"/>
      <c r="O84" s="1139"/>
      <c r="P84" s="27">
        <f>ROUND(IF(F84="",IF(E88="",0,(E88*H88/K88)/L51*L52),G82*F84*H84/1000),2)</f>
        <v>0</v>
      </c>
    </row>
    <row r="85" spans="1:16" ht="15" customHeight="1" x14ac:dyDescent="0.2">
      <c r="A85" s="1140" t="s">
        <v>145</v>
      </c>
      <c r="B85" s="1141"/>
      <c r="C85" s="1141"/>
      <c r="D85" s="18"/>
      <c r="E85" s="107" t="s">
        <v>135</v>
      </c>
      <c r="F85" s="95" t="str">
        <f>IF(IF(G82=0,"",'päd.Personal - Leitung'!$F$41)=0,"",IF(G82=0,"",'päd.Personal - Leitung'!$F$41))</f>
        <v/>
      </c>
      <c r="G85" s="48"/>
      <c r="H85" s="47"/>
      <c r="I85" s="48"/>
      <c r="J85" s="195" t="s">
        <v>158</v>
      </c>
      <c r="K85" s="198">
        <f>$K$41</f>
        <v>4837.5</v>
      </c>
      <c r="L85" s="197">
        <f>IF(L51="",K85,K85/L51*L52)</f>
        <v>4837.5</v>
      </c>
      <c r="M85" s="1138" t="s">
        <v>139</v>
      </c>
      <c r="N85" s="1138"/>
      <c r="O85" s="1139"/>
      <c r="P85" s="27">
        <f>ROUND(IF(F85="",0,G82*F85/1000),2)</f>
        <v>0</v>
      </c>
    </row>
    <row r="86" spans="1:16" ht="15.75" customHeight="1" x14ac:dyDescent="0.2">
      <c r="A86" s="1142" t="s">
        <v>141</v>
      </c>
      <c r="B86" s="1143"/>
      <c r="C86" s="1143"/>
      <c r="D86" s="1144" t="s">
        <v>143</v>
      </c>
      <c r="E86" s="1144"/>
      <c r="F86" s="1145" t="str">
        <f>IF(IF(G82=0,"",'päd.Personal - Leitung'!$F$42)=0,"",IF(G82=0,"",'päd.Personal - Leitung'!$F$42))</f>
        <v/>
      </c>
      <c r="G86" s="1145"/>
      <c r="H86" s="72"/>
      <c r="I86" s="18"/>
      <c r="J86" s="195" t="s">
        <v>159</v>
      </c>
      <c r="K86" s="198">
        <f>$K$42</f>
        <v>6700</v>
      </c>
      <c r="L86" s="197">
        <f>IF(L51="",K86,K86/L51*L52)</f>
        <v>6700</v>
      </c>
      <c r="M86" s="1138" t="s">
        <v>141</v>
      </c>
      <c r="N86" s="1138"/>
      <c r="O86" s="1139"/>
      <c r="P86" s="23">
        <f>ROUND(IF(F86="",0,IF(G82=0,0,F86/L51*L52)),2)</f>
        <v>0</v>
      </c>
    </row>
    <row r="87" spans="1:16" ht="14.25" customHeight="1" x14ac:dyDescent="0.2">
      <c r="A87" s="18"/>
      <c r="B87" s="18"/>
      <c r="C87" s="18"/>
      <c r="D87" s="18"/>
      <c r="E87" s="18"/>
      <c r="F87" s="18"/>
      <c r="G87" s="18"/>
      <c r="H87" s="18"/>
      <c r="I87" s="18"/>
      <c r="J87" s="18"/>
      <c r="K87" s="74"/>
      <c r="L87" s="82"/>
      <c r="M87" s="1127" t="s">
        <v>146</v>
      </c>
      <c r="N87" s="1127"/>
      <c r="O87" s="1128"/>
      <c r="P87" s="23">
        <f>ROUND(IF(G82=0,0,$P$43),2)</f>
        <v>0</v>
      </c>
    </row>
    <row r="88" spans="1:16" ht="14.25" customHeight="1" x14ac:dyDescent="0.2">
      <c r="A88" s="1129" t="s">
        <v>142</v>
      </c>
      <c r="B88" s="1130"/>
      <c r="C88" s="133" t="s">
        <v>136</v>
      </c>
      <c r="D88" s="133" t="s">
        <v>137</v>
      </c>
      <c r="E88" s="1131" t="str">
        <f>IF(IF(G82=0,"",'päd.Personal - Leitung'!$E$44)=0,"",IF(G82=0,"",'päd.Personal - Leitung'!$E$44))</f>
        <v/>
      </c>
      <c r="F88" s="1131"/>
      <c r="G88" s="83" t="s">
        <v>138</v>
      </c>
      <c r="H88" s="97" t="str">
        <f>IF(IF(G82=0,"",'päd.Personal - Leitung'!$H$44)=0,"",IF(G82=0,"",'päd.Personal - Leitung'!$H$44))</f>
        <v/>
      </c>
      <c r="I88" s="1132" t="s">
        <v>144</v>
      </c>
      <c r="J88" s="1132"/>
      <c r="K88" s="98" t="str">
        <f>IF(IF(G82=0,"",'päd.Personal - Leitung'!$K$44)=0,"",IF(G82=0,"",'päd.Personal - Leitung'!$K$44))</f>
        <v/>
      </c>
      <c r="L88" s="29"/>
      <c r="M88" s="29"/>
      <c r="N88" s="29"/>
      <c r="O88" s="28" t="s">
        <v>0</v>
      </c>
      <c r="P88" s="27">
        <f>P82+SUM(P84:P87)</f>
        <v>0</v>
      </c>
    </row>
    <row r="89" spans="1:16" s="12" customFormat="1" ht="13.5" customHeight="1" x14ac:dyDescent="0.2">
      <c r="A89" s="1178" t="s">
        <v>18</v>
      </c>
      <c r="B89" s="1178"/>
      <c r="C89" s="1178"/>
      <c r="D89" s="1179" t="str">
        <f>IF($D$1="","",$D$1)</f>
        <v/>
      </c>
      <c r="E89" s="1179"/>
      <c r="F89" s="1179"/>
      <c r="G89" s="1179"/>
      <c r="H89" s="1179"/>
      <c r="I89" s="1179"/>
      <c r="J89" s="1179"/>
      <c r="K89" s="1179"/>
      <c r="L89" s="1179"/>
      <c r="M89" s="1179"/>
      <c r="N89" s="1179"/>
    </row>
    <row r="90" spans="1:16" s="12" customFormat="1" ht="15" customHeight="1" x14ac:dyDescent="0.2">
      <c r="A90" s="1178" t="s">
        <v>17</v>
      </c>
      <c r="B90" s="1178"/>
      <c r="C90" s="1178" t="s">
        <v>15</v>
      </c>
      <c r="D90" s="1179" t="str">
        <f>IF($D$2="","",$D$2)</f>
        <v/>
      </c>
      <c r="E90" s="1179"/>
      <c r="F90" s="1179"/>
      <c r="G90" s="1179"/>
      <c r="H90" s="1179"/>
      <c r="I90" s="1179"/>
      <c r="J90" s="1179"/>
      <c r="K90" s="1179"/>
      <c r="L90" s="1179"/>
      <c r="M90" s="1179"/>
      <c r="N90" s="1179"/>
    </row>
    <row r="91" spans="1:16" s="12" customFormat="1" ht="15" customHeight="1" x14ac:dyDescent="0.2">
      <c r="A91" s="1178" t="s">
        <v>16</v>
      </c>
      <c r="B91" s="1178"/>
      <c r="C91" s="1178" t="s">
        <v>15</v>
      </c>
      <c r="D91" s="1179" t="str">
        <f>IF($D$3="","",$D$3)</f>
        <v/>
      </c>
      <c r="E91" s="1179"/>
      <c r="F91" s="1179"/>
      <c r="G91" s="1179"/>
      <c r="H91" s="1179"/>
      <c r="I91" s="1179"/>
      <c r="J91" s="1179"/>
      <c r="K91" s="1178" t="s">
        <v>103</v>
      </c>
      <c r="L91" s="1178"/>
      <c r="M91" s="1178"/>
      <c r="N91" s="41" t="str">
        <f>IF($N$3="","",$N$3)</f>
        <v/>
      </c>
    </row>
    <row r="92" spans="1:16" s="13" customFormat="1" ht="11.25" x14ac:dyDescent="0.2">
      <c r="A92" s="1182"/>
      <c r="B92" s="1182"/>
      <c r="C92" s="1182"/>
      <c r="D92" s="1183"/>
      <c r="E92" s="1183"/>
      <c r="F92" s="1183"/>
      <c r="G92" s="1183"/>
      <c r="H92" s="1183"/>
      <c r="I92" s="1183"/>
      <c r="J92" s="1183"/>
      <c r="K92" s="11"/>
      <c r="L92" s="11"/>
      <c r="M92" s="11"/>
      <c r="N92" s="11"/>
      <c r="O92" s="11"/>
      <c r="P92" s="11"/>
    </row>
    <row r="93" spans="1:16" s="15" customFormat="1" ht="13.5" customHeight="1" x14ac:dyDescent="0.2">
      <c r="A93" s="1177" t="s">
        <v>175</v>
      </c>
      <c r="B93" s="1177"/>
      <c r="C93" s="1177"/>
      <c r="D93" s="1177"/>
      <c r="E93" s="1177"/>
      <c r="F93" s="1177"/>
      <c r="G93" s="1177"/>
      <c r="H93" s="1177"/>
      <c r="I93" s="1177"/>
      <c r="J93" s="1177"/>
      <c r="K93" s="9"/>
      <c r="L93" s="9"/>
      <c r="M93" s="9"/>
      <c r="N93" s="59" t="s">
        <v>154</v>
      </c>
      <c r="O93" s="191">
        <f>$O$5</f>
        <v>2022</v>
      </c>
      <c r="P93" s="59" t="s">
        <v>154</v>
      </c>
    </row>
    <row r="94" spans="1:16" s="10" customFormat="1" ht="13.5" customHeight="1" x14ac:dyDescent="0.25">
      <c r="B94" s="32"/>
      <c r="C94" s="32"/>
      <c r="D94" s="5" t="s">
        <v>177</v>
      </c>
      <c r="E94" s="31"/>
      <c r="F94" s="31"/>
      <c r="G94" s="31"/>
      <c r="H94" s="31"/>
      <c r="I94" s="26"/>
      <c r="J94" s="1197"/>
      <c r="K94" s="1197"/>
      <c r="L94" s="111"/>
      <c r="N94" s="84">
        <f>IF(L96="","",L96)</f>
        <v>0</v>
      </c>
      <c r="O94" s="58" t="str">
        <f>$O$6</f>
        <v>Jan                Jul</v>
      </c>
      <c r="P94" s="85">
        <f>IF(N99="","",N99)</f>
        <v>0</v>
      </c>
    </row>
    <row r="95" spans="1:16" s="7" customFormat="1" ht="13.5" customHeight="1" x14ac:dyDescent="0.25">
      <c r="A95" s="1180" t="s">
        <v>71</v>
      </c>
      <c r="B95" s="1180"/>
      <c r="C95" s="1180"/>
      <c r="D95" s="1184"/>
      <c r="E95" s="1184"/>
      <c r="F95" s="1184"/>
      <c r="G95" s="1184"/>
      <c r="H95" s="1184"/>
      <c r="I95" s="1184"/>
      <c r="J95" s="1174" t="s">
        <v>104</v>
      </c>
      <c r="K95" s="1174"/>
      <c r="L95" s="145"/>
      <c r="N95" s="85">
        <f>IF(N94="","",N94)</f>
        <v>0</v>
      </c>
      <c r="O95" s="58" t="str">
        <f>$O$7</f>
        <v>Feb              Aug</v>
      </c>
      <c r="P95" s="85">
        <f>IF(P94="","",P94)</f>
        <v>0</v>
      </c>
    </row>
    <row r="96" spans="1:16" ht="13.5" customHeight="1" x14ac:dyDescent="0.2">
      <c r="A96" s="1180" t="s">
        <v>13</v>
      </c>
      <c r="B96" s="1180"/>
      <c r="C96" s="1180"/>
      <c r="D96" s="1181"/>
      <c r="E96" s="1181"/>
      <c r="F96" s="1181"/>
      <c r="G96" s="1181"/>
      <c r="H96" s="1181"/>
      <c r="I96" s="1181"/>
      <c r="J96" s="1174" t="s">
        <v>164</v>
      </c>
      <c r="K96" s="1174"/>
      <c r="L96" s="145">
        <f>IF((L97+L98)&gt;L95,0,L95-L97-L98)</f>
        <v>0</v>
      </c>
      <c r="M96" s="1"/>
      <c r="N96" s="85">
        <f>IF(N95="","",N95)</f>
        <v>0</v>
      </c>
      <c r="O96" s="58" t="str">
        <f>$O$8</f>
        <v>Mrz              Sep</v>
      </c>
      <c r="P96" s="85">
        <f>IF(P95="","",P95)</f>
        <v>0</v>
      </c>
    </row>
    <row r="97" spans="1:16" ht="13.5" customHeight="1" x14ac:dyDescent="0.2">
      <c r="A97" s="1180" t="s">
        <v>12</v>
      </c>
      <c r="B97" s="1180"/>
      <c r="C97" s="1180"/>
      <c r="D97" s="1181"/>
      <c r="E97" s="1181"/>
      <c r="F97" s="1181"/>
      <c r="G97" s="1181"/>
      <c r="H97" s="1181"/>
      <c r="I97" s="1181"/>
      <c r="J97" s="1174" t="s">
        <v>165</v>
      </c>
      <c r="K97" s="1174"/>
      <c r="L97" s="145"/>
      <c r="M97" s="1"/>
      <c r="N97" s="85">
        <f>IF(N96="","",N96)</f>
        <v>0</v>
      </c>
      <c r="O97" s="58" t="str">
        <f>$O$9</f>
        <v>Apr               Okt</v>
      </c>
      <c r="P97" s="85">
        <f t="shared" ref="P97:P99" si="10">IF(P96="","",P96)</f>
        <v>0</v>
      </c>
    </row>
    <row r="98" spans="1:16" ht="13.5" customHeight="1" x14ac:dyDescent="0.2">
      <c r="A98" s="1180" t="s">
        <v>19</v>
      </c>
      <c r="B98" s="1180"/>
      <c r="C98" s="1180"/>
      <c r="D98" s="1181"/>
      <c r="E98" s="1181"/>
      <c r="F98" s="1181"/>
      <c r="G98" s="1181"/>
      <c r="H98" s="1181"/>
      <c r="I98" s="1181"/>
      <c r="J98" s="1174" t="s">
        <v>252</v>
      </c>
      <c r="K98" s="1174"/>
      <c r="L98" s="145"/>
      <c r="M98" s="92"/>
      <c r="N98" s="85">
        <f>IF(N97="","",N97)</f>
        <v>0</v>
      </c>
      <c r="O98" s="58" t="str">
        <f>$O$10</f>
        <v>Mai               Nov</v>
      </c>
      <c r="P98" s="85">
        <f t="shared" si="10"/>
        <v>0</v>
      </c>
    </row>
    <row r="99" spans="1:16" ht="13.5" customHeight="1" x14ac:dyDescent="0.2">
      <c r="A99" s="1"/>
      <c r="B99" s="8"/>
      <c r="C99" s="132" t="s">
        <v>162</v>
      </c>
      <c r="D99" s="1175"/>
      <c r="E99" s="1175"/>
      <c r="F99" s="1176" t="s">
        <v>190</v>
      </c>
      <c r="G99" s="1176"/>
      <c r="H99" s="1186"/>
      <c r="I99" s="1186"/>
      <c r="J99" s="1174" t="s">
        <v>97</v>
      </c>
      <c r="K99" s="1174"/>
      <c r="L99" s="17" t="str">
        <f>IF(IF((COUNTIF(B114:B125,"&gt;0"))=0,0,(COUNTIF(B114:B125,"&gt;0")))&gt;Grundlagen!$C$24,Grundlagen!$C$24,IF((COUNTIF(B114:B125,"&gt;0"))=0,"",(COUNTIF(B114:B125,"&gt;0"))))</f>
        <v/>
      </c>
      <c r="M99" s="1"/>
      <c r="N99" s="85">
        <f>IF(N98="","",N98)</f>
        <v>0</v>
      </c>
      <c r="O99" s="58" t="str">
        <f>'päd.Personal - Leitung'!$O$11</f>
        <v>Jun               Dez</v>
      </c>
      <c r="P99" s="85">
        <f t="shared" si="10"/>
        <v>0</v>
      </c>
    </row>
    <row r="100" spans="1:16" ht="13.5" customHeight="1" x14ac:dyDescent="0.2">
      <c r="A100" s="1"/>
      <c r="B100" s="1"/>
      <c r="C100" s="1"/>
      <c r="D100" s="1"/>
      <c r="E100" s="1"/>
      <c r="F100" s="1176" t="s">
        <v>191</v>
      </c>
      <c r="G100" s="1176"/>
      <c r="H100" s="1186"/>
      <c r="I100" s="1186"/>
      <c r="J100" s="1"/>
      <c r="K100" s="1"/>
      <c r="L100" s="147" t="str">
        <f>IF((SUM(F102:F105))=0,"",IF(P100&gt;L96,L96,IF(L96="","",IF(L99="","",P100))))</f>
        <v/>
      </c>
      <c r="M100" s="1"/>
      <c r="N100" s="1"/>
      <c r="O100" s="174" t="s">
        <v>251</v>
      </c>
      <c r="P100" s="175">
        <f>IF(L99="",0,((IF(SUMIF(B114,"&gt;0"),N94,0))+(IF(SUMIF(B115,"&gt;0"),N95,0))+(IF(SUMIF(B116,"&gt;0"),N96,0))+(IF(SUMIF(B117,"&gt;0"),N97,0))+(IF(SUMIF(B118,"&gt;0"),N98,0))+(IF(SUMIF(B119,"&gt;0"),N99,0))+(IF(SUMIF(B120,"&gt;0"),P94,0))+(IF(SUMIF(B121,"&gt;0"),P95,0))+(IF(SUMIF(B122,"&gt;0"),P96,0))+(IF(SUMIF(B123,"&gt;0"),P97,0))+(IF(SUMIF(B124,"&gt;0"),P98,0))+(IF(SUMIF(B125,"&gt;0"),P99,0)))/Grundlagen!$C$24)</f>
        <v>0</v>
      </c>
    </row>
    <row r="101" spans="1:16" s="52" customFormat="1" ht="13.5" customHeight="1" x14ac:dyDescent="0.2">
      <c r="A101" s="61" t="s">
        <v>148</v>
      </c>
      <c r="B101" s="1168" t="s">
        <v>149</v>
      </c>
      <c r="C101" s="1168"/>
      <c r="D101" s="62" t="s">
        <v>150</v>
      </c>
      <c r="E101" s="63" t="s">
        <v>151</v>
      </c>
      <c r="F101" s="64" t="str">
        <f>CONCATENATE("Entg. ",N91," h/Wo")</f>
        <v>Entg.  h/Wo</v>
      </c>
      <c r="G101" s="65" t="s">
        <v>152</v>
      </c>
      <c r="H101" s="65" t="s">
        <v>153</v>
      </c>
      <c r="K101" s="1169" t="str">
        <f>CONCATENATE("Zuschläge / Zulagen für ",N91,"h/Wo")</f>
        <v>Zuschläge / Zulagen für h/Wo</v>
      </c>
      <c r="L101" s="1169"/>
      <c r="M101" s="66" t="str">
        <f>IF(A102="","",A102)</f>
        <v>Jan 2022</v>
      </c>
      <c r="N101" s="66" t="str">
        <f>IF(A103="","",A103)</f>
        <v/>
      </c>
      <c r="O101" s="66" t="str">
        <f>IF(A104="","",A104)</f>
        <v/>
      </c>
      <c r="P101" s="66" t="str">
        <f>IF(A105="","",A105)</f>
        <v/>
      </c>
    </row>
    <row r="102" spans="1:16" s="52" customFormat="1" ht="13.5" customHeight="1" x14ac:dyDescent="0.25">
      <c r="A102" s="54" t="str">
        <f>A114</f>
        <v>Jan 2022</v>
      </c>
      <c r="B102" s="1172" t="str">
        <f>IF(B58="","",B58)</f>
        <v/>
      </c>
      <c r="C102" s="1173"/>
      <c r="D102" s="181"/>
      <c r="E102" s="181"/>
      <c r="F102" s="87"/>
      <c r="G102" s="56">
        <f>IF(N91="",0,F102/N91/4.348)</f>
        <v>0</v>
      </c>
      <c r="H102" s="53">
        <f>IF(G102=0,0,M107)</f>
        <v>0</v>
      </c>
      <c r="K102" s="1146"/>
      <c r="L102" s="1146"/>
      <c r="M102" s="86"/>
      <c r="N102" s="86"/>
      <c r="O102" s="86"/>
      <c r="P102" s="86"/>
    </row>
    <row r="103" spans="1:16" s="52" customFormat="1" ht="13.5" customHeight="1" x14ac:dyDescent="0.25">
      <c r="A103" s="55"/>
      <c r="B103" s="1172" t="str">
        <f>IF(A103="","",B102)</f>
        <v/>
      </c>
      <c r="C103" s="1173"/>
      <c r="D103" s="181"/>
      <c r="E103" s="181"/>
      <c r="F103" s="87"/>
      <c r="G103" s="56">
        <f>IF(N91="",0,F103/N91/4.348)</f>
        <v>0</v>
      </c>
      <c r="H103" s="53">
        <f>IF(G103=0,0,N107)</f>
        <v>0</v>
      </c>
      <c r="K103" s="1146"/>
      <c r="L103" s="1146"/>
      <c r="M103" s="86"/>
      <c r="N103" s="86"/>
      <c r="O103" s="86"/>
      <c r="P103" s="86"/>
    </row>
    <row r="104" spans="1:16" s="52" customFormat="1" ht="13.5" customHeight="1" x14ac:dyDescent="0.25">
      <c r="A104" s="55"/>
      <c r="B104" s="1172" t="str">
        <f>IF(A104="","",B103)</f>
        <v/>
      </c>
      <c r="C104" s="1173"/>
      <c r="D104" s="181"/>
      <c r="E104" s="181"/>
      <c r="F104" s="87"/>
      <c r="G104" s="56">
        <f>IF(N91="",0,F104/N91/4.348)</f>
        <v>0</v>
      </c>
      <c r="H104" s="53">
        <f>IF(G104=0,0,O107)</f>
        <v>0</v>
      </c>
      <c r="K104" s="1146"/>
      <c r="L104" s="1146"/>
      <c r="M104" s="86"/>
      <c r="N104" s="86"/>
      <c r="O104" s="86"/>
      <c r="P104" s="86"/>
    </row>
    <row r="105" spans="1:16" s="52" customFormat="1" ht="13.5" customHeight="1" x14ac:dyDescent="0.25">
      <c r="A105" s="55"/>
      <c r="B105" s="1172" t="str">
        <f>IF(A105="","",B104)</f>
        <v/>
      </c>
      <c r="C105" s="1173"/>
      <c r="D105" s="181"/>
      <c r="E105" s="181"/>
      <c r="F105" s="87"/>
      <c r="G105" s="56">
        <f>IF(N91="",0,F105/N91/4.348)</f>
        <v>0</v>
      </c>
      <c r="H105" s="53">
        <f>IF(G105=0,0,P107)</f>
        <v>0</v>
      </c>
      <c r="K105" s="1146"/>
      <c r="L105" s="1146"/>
      <c r="M105" s="86"/>
      <c r="N105" s="86"/>
      <c r="O105" s="86"/>
      <c r="P105" s="86"/>
    </row>
    <row r="106" spans="1:16" s="52" customFormat="1" ht="13.5" customHeight="1" x14ac:dyDescent="0.25">
      <c r="B106" s="1167" t="s">
        <v>157</v>
      </c>
      <c r="C106" s="1167"/>
      <c r="E106" s="1167" t="s">
        <v>156</v>
      </c>
      <c r="F106" s="1167"/>
      <c r="J106" s="69"/>
      <c r="K106" s="1146"/>
      <c r="L106" s="1146"/>
      <c r="M106" s="86"/>
      <c r="N106" s="86"/>
      <c r="O106" s="86"/>
      <c r="P106" s="86"/>
    </row>
    <row r="107" spans="1:16" s="52" customFormat="1" ht="13.5" customHeight="1" x14ac:dyDescent="0.25">
      <c r="A107" s="70" t="s">
        <v>167</v>
      </c>
      <c r="B107" s="67"/>
      <c r="C107" s="99" t="str">
        <f>IF(C63="","",C63)</f>
        <v/>
      </c>
      <c r="D107" s="70" t="s">
        <v>167</v>
      </c>
      <c r="E107" s="67"/>
      <c r="F107" s="99" t="str">
        <f>IF(F63="","",F63)</f>
        <v/>
      </c>
      <c r="J107" s="68"/>
      <c r="M107" s="57">
        <f>SUM(M102:M106)</f>
        <v>0</v>
      </c>
      <c r="N107" s="57">
        <f t="shared" ref="N107:P107" si="11">SUM(N102:N106)</f>
        <v>0</v>
      </c>
      <c r="O107" s="57">
        <f t="shared" si="11"/>
        <v>0</v>
      </c>
      <c r="P107" s="57">
        <f t="shared" si="11"/>
        <v>0</v>
      </c>
    </row>
    <row r="108" spans="1:16" s="52" customFormat="1" ht="13.5" customHeight="1" x14ac:dyDescent="0.2">
      <c r="A108" s="60" t="s">
        <v>155</v>
      </c>
    </row>
    <row r="109" spans="1:16" ht="14.25" customHeight="1" x14ac:dyDescent="0.2">
      <c r="A109" s="1147"/>
      <c r="B109" s="1149" t="s">
        <v>9</v>
      </c>
      <c r="C109" s="1150"/>
      <c r="D109" s="1150"/>
      <c r="E109" s="1150"/>
      <c r="F109" s="1150"/>
      <c r="G109" s="1151"/>
      <c r="H109" s="1152" t="s">
        <v>119</v>
      </c>
      <c r="I109" s="1153"/>
      <c r="J109" s="1153"/>
      <c r="K109" s="1153"/>
      <c r="L109" s="1153"/>
      <c r="M109" s="1153"/>
      <c r="N109" s="1153"/>
      <c r="O109" s="33"/>
      <c r="P109" s="1154" t="s">
        <v>0</v>
      </c>
    </row>
    <row r="110" spans="1:16" ht="14.25" customHeight="1" x14ac:dyDescent="0.2">
      <c r="A110" s="1148"/>
      <c r="B110" s="1157" t="s">
        <v>117</v>
      </c>
      <c r="C110" s="130" t="s">
        <v>115</v>
      </c>
      <c r="D110" s="1159" t="s">
        <v>277</v>
      </c>
      <c r="E110" s="1161" t="s">
        <v>147</v>
      </c>
      <c r="F110" s="134" t="s">
        <v>7</v>
      </c>
      <c r="G110" s="1162" t="s">
        <v>6</v>
      </c>
      <c r="H110" s="1161" t="s">
        <v>129</v>
      </c>
      <c r="I110" s="1161" t="s">
        <v>5</v>
      </c>
      <c r="J110" s="1161" t="s">
        <v>4</v>
      </c>
      <c r="K110" s="1161" t="s">
        <v>3</v>
      </c>
      <c r="L110" s="1161" t="s">
        <v>121</v>
      </c>
      <c r="M110" s="1161" t="s">
        <v>122</v>
      </c>
      <c r="N110" s="1161" t="s">
        <v>123</v>
      </c>
      <c r="O110" s="1160" t="s">
        <v>114</v>
      </c>
      <c r="P110" s="1155"/>
    </row>
    <row r="111" spans="1:16" ht="14.25" customHeight="1" x14ac:dyDescent="0.2">
      <c r="A111" s="1148"/>
      <c r="B111" s="1157"/>
      <c r="C111" s="21" t="str">
        <f>IF(C107="","",C107)</f>
        <v/>
      </c>
      <c r="D111" s="1160"/>
      <c r="E111" s="1161"/>
      <c r="F111" s="1165" t="str">
        <f>IF(H102=0,"","siehe Zuschläge / Zulagen")</f>
        <v/>
      </c>
      <c r="G111" s="1162"/>
      <c r="H111" s="1164" t="s">
        <v>127</v>
      </c>
      <c r="I111" s="1164"/>
      <c r="J111" s="1164"/>
      <c r="K111" s="1164"/>
      <c r="L111" s="1164"/>
      <c r="M111" s="1164"/>
      <c r="N111" s="1164"/>
      <c r="O111" s="1160"/>
      <c r="P111" s="1155"/>
    </row>
    <row r="112" spans="1:16" x14ac:dyDescent="0.2">
      <c r="A112" s="1148"/>
      <c r="B112" s="1157"/>
      <c r="C112" s="128" t="s">
        <v>70</v>
      </c>
      <c r="D112" s="1160"/>
      <c r="E112" s="1161"/>
      <c r="F112" s="1165"/>
      <c r="G112" s="1162"/>
      <c r="H112" s="43" t="s">
        <v>128</v>
      </c>
      <c r="I112" s="43" t="s">
        <v>255</v>
      </c>
      <c r="J112" s="43" t="s">
        <v>256</v>
      </c>
      <c r="K112" s="43" t="s">
        <v>257</v>
      </c>
      <c r="L112" s="43"/>
      <c r="M112" s="43"/>
      <c r="N112" s="43" t="s">
        <v>254</v>
      </c>
      <c r="O112" s="1160"/>
      <c r="P112" s="1155"/>
    </row>
    <row r="113" spans="1:16" x14ac:dyDescent="0.2">
      <c r="A113" s="1148"/>
      <c r="B113" s="1158"/>
      <c r="C113" s="21" t="str">
        <f>IF(F107="","",F107)</f>
        <v/>
      </c>
      <c r="D113" s="51"/>
      <c r="E113" s="51"/>
      <c r="F113" s="1166"/>
      <c r="G113" s="1163"/>
      <c r="H113" s="93"/>
      <c r="I113" s="139">
        <f>$I$25</f>
        <v>0</v>
      </c>
      <c r="J113" s="139">
        <f>$J$25</f>
        <v>0</v>
      </c>
      <c r="K113" s="44">
        <f>$K$25</f>
        <v>0</v>
      </c>
      <c r="L113" s="21"/>
      <c r="M113" s="21"/>
      <c r="N113" s="139">
        <f>$N$25</f>
        <v>0</v>
      </c>
      <c r="O113" s="21">
        <f>O69</f>
        <v>0</v>
      </c>
      <c r="P113" s="1156"/>
    </row>
    <row r="114" spans="1:16" x14ac:dyDescent="0.2">
      <c r="A114" s="100" t="str">
        <f>$A$26</f>
        <v>Jan 2022</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76">
        <f>ROUND(IF((SUM(B114:F114))&gt;L129,L129*H113,SUM(B114:F114)*H113),2)</f>
        <v>0</v>
      </c>
      <c r="I114" s="76">
        <f>ROUND(IF((SUM(B114:F114))&gt;L130,L130*I113,SUM(B114:F114)*I113),2)</f>
        <v>0</v>
      </c>
      <c r="J114" s="76">
        <f>ROUND(IF((SUM(B114:F114))&gt;L130,L130*J113,SUM(B114:F114)*J113),2)</f>
        <v>0</v>
      </c>
      <c r="K114" s="76">
        <f>ROUND(IF((SUM(B114:F114))&gt;L129,L129*K113,SUM(B114:F114)*K113),2)</f>
        <v>0</v>
      </c>
      <c r="L114" s="76">
        <f>ROUND(IF((SUM(B114:F114))&gt;L130,L130*L113,(SUM(B114:F114)-C114)*L113),2)</f>
        <v>0</v>
      </c>
      <c r="M114" s="76">
        <f>ROUND(IF((SUM(B114:F114))&gt;L130,L130*M113,(SUM(B114:F114)-C114)*M113),2)</f>
        <v>0</v>
      </c>
      <c r="N114" s="76">
        <f>ROUND(IF((SUM(B114:F114))&gt;L130,L130*N113,SUM(B114:F114)*N113),2)</f>
        <v>0</v>
      </c>
      <c r="O114" s="23">
        <f>ROUND(SUM(B114+C114+F114)*O113,2)</f>
        <v>0</v>
      </c>
      <c r="P114" s="27">
        <f>SUM(G114:O114)</f>
        <v>0</v>
      </c>
    </row>
    <row r="115" spans="1:16" x14ac:dyDescent="0.2">
      <c r="A115" s="100" t="str">
        <f>$A$27</f>
        <v>Feb 2022</v>
      </c>
      <c r="B115" s="24">
        <f>ROUND(IF(N95=0,0,IFERROR(((LOOKUP(2,1/(A102:A105=A115),G102:G105))*N95*4.348),B114/N95*N95)),2)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ROUND(IF(N95=0,0,IFERROR(((LOOKUP(2,1/(A102:A105=A115),H102:H105))/N91*N95),F114/N95*N95)),2)</f>
        <v>0</v>
      </c>
      <c r="G115" s="27">
        <f t="shared" ref="G115:G125" si="12">SUM(B115+C115+E115+F115)</f>
        <v>0</v>
      </c>
      <c r="H115" s="76">
        <f>ROUND(IF(SUM(B114:F114)&lt;(L129*1),IF((SUM(B114:F115))&gt;(L129*2),(((L129*2)-(SUM(B114:F115)-C114))*H113)+((SUM(B115:F115)-C114)*H113),SUM(B115:F115)*H113),IF(SUM(B114:F115)&gt;(L129*2),L129*H113,SUM(B115:F115)*H113)),2)</f>
        <v>0</v>
      </c>
      <c r="I115" s="76">
        <f>ROUND(IF(SUM(B114:F114)&lt;(L130*1),IF((SUM(B114:F115))&gt;(L130*2),(((L130*2)-(SUM(B114:F115)-C114))*I113)+((SUM(B115:F115)-C114)*I113),SUM(B115:F115)*I113),IF(SUM(B114:F115)&gt;(L130*2),L130*I113,SUM(B115:F115)*I113)),2)</f>
        <v>0</v>
      </c>
      <c r="J115" s="76">
        <f>ROUND(IF(SUM(B114:F114)&lt;(L130*1),IF((SUM(B114:F115))&gt;(L130*2),(((L130*2)-(SUM(B114:F115)-C114))*J113)+((SUM(B115:F115)-C114)*J113),SUM(B115:F115)*J113),IF(SUM(B114:F115)&gt;(L130*2),L130*J113,SUM(B115:F115)*J113)),2)</f>
        <v>0</v>
      </c>
      <c r="K115" s="76">
        <f>ROUND(IF(SUM(B114:F114)&lt;(L129*1),IF((SUM(B114:F115))&gt;(L129*2),(((L129*2)-(SUM(B114:F115)-C114))*K113)+((SUM(B115:F115)-C114)*K113),SUM(B115:F115)*K113),IF(SUM(B114:F115)&gt;(L129*2),L129*K113,SUM(B115:F115)*K113)),2)</f>
        <v>0</v>
      </c>
      <c r="L115" s="76">
        <f>ROUND(IF(SUM(B114:F114)&lt;(L130*1),IF((SUM(B114:F115))&gt;(L130*2),(((L130*2)-(SUM(B114:F115)-C115))*L113)+((SUM(B115:F115)-C115)*L113),(SUM(B115:F115)-C115)*L113),IF(SUM(B114:F115)&gt;(L130*2),L130*L113,SUM(B115:F115)*L113)),2)</f>
        <v>0</v>
      </c>
      <c r="M115" s="76">
        <f>ROUND(IF(SUM(B114:F114)&lt;(L130*1),IF((SUM(B114:F115))&gt;(L130*2),(((L130*2)-(SUM(B114:F115)-C115))*M113)+((SUM(B115:F115)-C115)*M113),(SUM(B115:F115)-C115)*M113),IF(SUM(B114:F115)&gt;(L130*2),L130*M113,SUM(B115:F115)*M113)),2)</f>
        <v>0</v>
      </c>
      <c r="N115" s="76">
        <f>ROUND(IF(SUM(B114:F114)&lt;(L130*1),IF((SUM(B114:F115))&gt;(L130*2),(((L130*2)-(SUM(B114:F115)-C114))*N113)+((SUM(B115:F115)-C114)*N113),SUM(B115:F115)*N113),IF(SUM(B114:F115)&gt;(L130*2),L130*N113,SUM(B115:F115)*N113)),2)</f>
        <v>0</v>
      </c>
      <c r="O115" s="23">
        <f>ROUND(SUM(B115+C115+F115)*O113,2)</f>
        <v>0</v>
      </c>
      <c r="P115" s="27">
        <f>SUM(G115:O115)</f>
        <v>0</v>
      </c>
    </row>
    <row r="116" spans="1:16" x14ac:dyDescent="0.2">
      <c r="A116" s="100" t="str">
        <f>$A$28</f>
        <v>Mrz 2022</v>
      </c>
      <c r="B116" s="24">
        <f>ROUND(IF(N96=0,0,IFERROR(((LOOKUP(2,1/(A102:A105=A116),G102:G105))*N96*4.348),B115/N96*N96)),2)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ROUND(IF(N96=0,0,IFERROR(((LOOKUP(2,1/(A102:A105=A116),H102:H105))/N91*N96),F115/N96*N96)),2)</f>
        <v>0</v>
      </c>
      <c r="G116" s="27">
        <f t="shared" si="12"/>
        <v>0</v>
      </c>
      <c r="H116" s="76">
        <f>ROUND(IF(SUM(B114:F115)&lt;(L129*2),IF((SUM(B114:F116))&gt;(L129*3),(((L129*3)-(SUM(B114:F116)-C115))*H113)+((SUM(B116:F116)-C115)*H113),SUM(B116:F116)*H113),IF(SUM(B114:F116)&gt;(L129*3),L129*H113,SUM(B116:F116)*H113)),2)</f>
        <v>0</v>
      </c>
      <c r="I116" s="76">
        <f>ROUND(IF(SUM(B114:F115)&lt;(L130*2),IF((SUM(B114:F116))&gt;(L130*3),(((L130*3)-(SUM(B114:F116)-C115))*I113)+((SUM(B116:F116)-C115)*I113),SUM(B116:F116)*I113),IF(SUM(B114:F116)&gt;(L130*3),L130*I113,SUM(B116:F116)*I113)),2)</f>
        <v>0</v>
      </c>
      <c r="J116" s="76">
        <f>ROUND(IF(SUM(B114:F115)&lt;(L130*2),IF((SUM(B114:F116))&gt;(L130*3),(((L130*3)-(SUM(B114:F116)-C115))*J113)+((SUM(B116:F116)-C115)*J113),SUM(B116:F116)*J113),IF(SUM(B114:F116)&gt;(L130*3),L130*J113,SUM(B116:F116)*J113)),2)</f>
        <v>0</v>
      </c>
      <c r="K116" s="76">
        <f>ROUND(IF(SUM(B114:F115)&lt;(L129*2),IF((SUM(B114:F116))&gt;(L129*3),(((L129*3)-(SUM(B114:F116)-C115))*K113)+((SUM(B116:F116)-C115)*K113),SUM(B116:F116)*K113),IF(SUM(B114:F116)&gt;(L129*3),L129*K113,SUM(B116:F116)*K113)),2)</f>
        <v>0</v>
      </c>
      <c r="L116" s="76">
        <f>ROUND(IF(SUM(B114:F115)&lt;(L130*2),IF((SUM(B114:F116))&gt;(L130*3),(((L130*3)-(SUM(B114:F116)-C116))*L113)+((SUM(B116:F116)-C116)*L113),(SUM(B116:F116)-C116)*L113),IF(SUM(B114:F116)&gt;(L130*3),L130*L113,SUM(B116:F116)*L113)),2)</f>
        <v>0</v>
      </c>
      <c r="M116" s="76">
        <f>ROUND(IF(SUM(B114:F115)&lt;(L130*2),IF((SUM(B114:F116))&gt;(L130*3),(((L130*3)-(SUM(B114:F116)-C116))*M113)+((SUM(B116:F116)-C116)*M113),(SUM(B116:F116)-C116)*M113),IF(SUM(B114:F116)&gt;(L130*3),L130*M113,SUM(B116:F116)*M113)),2)</f>
        <v>0</v>
      </c>
      <c r="N116" s="76">
        <f>ROUND(IF(SUM(B114:F115)&lt;(L130*2),IF((SUM(B114:F116))&gt;(L130*3),(((L130*3)-(SUM(B114:F116)-C115))*N113)+((SUM(B116:F116)-C115)*N113),SUM(B116:F116)*N113),IF(SUM(B114:F116)&gt;(L130*3),L130*N113,SUM(B116:F116)*N113)),2)</f>
        <v>0</v>
      </c>
      <c r="O116" s="23">
        <f>ROUND(SUM(B116+C116+F116)*O113,2)</f>
        <v>0</v>
      </c>
      <c r="P116" s="27">
        <f t="shared" ref="P116:P125" si="13">SUM(G116:O116)</f>
        <v>0</v>
      </c>
    </row>
    <row r="117" spans="1:16" x14ac:dyDescent="0.2">
      <c r="A117" s="100" t="str">
        <f>$A$29</f>
        <v>Apr 2022</v>
      </c>
      <c r="B117" s="24">
        <f>ROUND(IF(N97=0,0,IFERROR(((LOOKUP(2,1/(A102:A105=A117),G102:G105))*N97*4.348),B116/N97*N97)),2)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ROUND(IF(N97=0,0,IFERROR(((LOOKUP(2,1/(A102:A105=A117),H102:H105))/N91*N97),F116/N97*N97)),2)</f>
        <v>0</v>
      </c>
      <c r="G117" s="27">
        <f t="shared" si="12"/>
        <v>0</v>
      </c>
      <c r="H117" s="76">
        <f>ROUND(IF(SUM(B114:F116)&lt;(L129*3),IF((SUM(B114:F117))&gt;(L129*4),(((L129*4)-(SUM(B114:F117)-C116))*H113)+((SUM(B117:F117)-C116)*H113),SUM(B117:F117)*H113),IF(SUM(B114:F117)&gt;(L129*4),L129*H113,SUM(B117:F117)*H113)),2)</f>
        <v>0</v>
      </c>
      <c r="I117" s="76">
        <f>ROUND(IF(SUM(B114:F116)&lt;(L130*3),IF((SUM(B114:F117))&gt;(L130*4),(((L130*4)-(SUM(B114:F117)-C116))*I113)+((SUM(B117:F117)-C116)*I113),SUM(B117:F117)*I113),IF(SUM(B114:F117)&gt;(L130*4),L130*I113,SUM(B117:F117)*I113)),2)</f>
        <v>0</v>
      </c>
      <c r="J117" s="76">
        <f>ROUND(IF(SUM(B114:F116)&lt;(L130*3),IF((SUM(B114:F117))&gt;(L130*4),(((L130*4)-(SUM(B114:F117)-C116))*J113)+((SUM(B117:F117)-C116)*J113),SUM(B117:F117)*J113),IF(SUM(B114:F117)&gt;(L130*4),L130*J113,SUM(B117:F117)*J113)),2)</f>
        <v>0</v>
      </c>
      <c r="K117" s="76">
        <f>ROUND(IF(SUM(B114:F116)&lt;(L129*3),IF((SUM(B114:F117))&gt;(L129*4),(((L129*4)-(SUM(B114:F117)-C116))*K113)+((SUM(B117:F117)-C116)*K113),SUM(B117:F117)*K113),IF(SUM(B114:F117)&gt;(L129*4),L129*K113,SUM(B117:F117)*K113)),2)</f>
        <v>0</v>
      </c>
      <c r="L117" s="76">
        <f>ROUND(IF(SUM(B114:F116)&lt;(L130*3),IF((SUM(B114:F117))&gt;(L130*4),(((L130*4)-(SUM(B114:F117)-C117))*L113)+((SUM(B117:F117)-C117)*L113),(SUM(B117:F117)-C117)*L113),IF(SUM(B114:F117)&gt;(L130*4),L130*L113,SUM(B117:F117)*L113)),2)</f>
        <v>0</v>
      </c>
      <c r="M117" s="76">
        <f>ROUND(IF(SUM(B114:F116)&lt;(L130*3),IF((SUM(B114:F117))&gt;(L130*4),(((L130*4)-(SUM(B114:F117)-C117))*M113)+((SUM(B117:F117)-C117)*M113),(SUM(B117:F117)-C117)*M113),IF(SUM(B114:F117)&gt;(L130*4),L130*M113,SUM(B117:F117)*M113)),2)</f>
        <v>0</v>
      </c>
      <c r="N117" s="76">
        <f>ROUND(IF(SUM(B114:F116)&lt;(L130*3),IF((SUM(B114:F117))&gt;(L130*4),(((L130*4)-(SUM(B114:F117)-C116))*N113)+((SUM(B117:F117)-C116)*N113),SUM(B117:F117)*N113),IF(SUM(B114:F117)&gt;(L130*4),L130*N113,SUM(B117:F117)*N113)),2)</f>
        <v>0</v>
      </c>
      <c r="O117" s="23">
        <f>ROUND(SUM(B117+C117+F117)*O113,2)</f>
        <v>0</v>
      </c>
      <c r="P117" s="27">
        <f t="shared" si="13"/>
        <v>0</v>
      </c>
    </row>
    <row r="118" spans="1:16" x14ac:dyDescent="0.2">
      <c r="A118" s="100" t="str">
        <f>$A$30</f>
        <v>Mai 2022</v>
      </c>
      <c r="B118" s="24">
        <f>ROUND(IF(N98=0,0,IFERROR(((LOOKUP(2,1/(A102:A105=A118),G102:G105))*N98*4.348),B117/N98*N98)),2)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ROUND(IF(N98=0,0,IFERROR(((LOOKUP(2,1/(A102:A105=A118),H102:H105))/N91*N98),F117/N98*N98)),2)</f>
        <v>0</v>
      </c>
      <c r="G118" s="27">
        <f t="shared" si="12"/>
        <v>0</v>
      </c>
      <c r="H118" s="76">
        <f>ROUND(IF(SUM(B114:F117)&lt;(L129*4),IF((SUM(B114:F118))&gt;(L129*5),(((L129*5)-(SUM(B114:F118)-C117))*H113)+((SUM(B118:F118)-C117)*H113),SUM(B118:F118)*H113),IF(SUM(B114:F118)&gt;(L129*5),L129*H113,SUM(B118:F118)*H113)),2)</f>
        <v>0</v>
      </c>
      <c r="I118" s="76">
        <f>ROUND(IF(SUM(B114:F117)&lt;(L130*4),IF((SUM(B114:F118))&gt;(L130*5),(((L130*5)-(SUM(B114:F118)-C117))*I113)+((SUM(B118:F118)-C117)*I113),SUM(B118:F118)*I113),IF(SUM(B114:F118)&gt;(L130*5),L130*I113,SUM(B118:F118)*I113)),2)</f>
        <v>0</v>
      </c>
      <c r="J118" s="76">
        <f>ROUND(IF(SUM(B114:F117)&lt;(L130*4),IF((SUM(B114:F118))&gt;(L130*5),(((L130*5)-(SUM(B114:F118)-C117))*J113)+((SUM(B118:F118)-C117)*J113),SUM(B118:F118)*J113),IF(SUM(B114:F118)&gt;(L130*5),L130*J113,SUM(B118:F118)*J113)),2)</f>
        <v>0</v>
      </c>
      <c r="K118" s="76">
        <f>ROUND(IF(SUM(B114:F117)&lt;(L129*4),IF((SUM(B114:F118))&gt;(L129*5),(((L129*5)-(SUM(B114:F118)-C117))*K113)+((SUM(B118:F118)-C117)*K113),SUM(B118:F118)*K113),IF(SUM(B114:F118)&gt;(L129*5),L129*K113,SUM(B118:F118)*K113)),2)</f>
        <v>0</v>
      </c>
      <c r="L118" s="76">
        <f>ROUND(IF(SUM(B114:F117)&lt;(L130*4),IF((SUM(B114:F118))&gt;(L130*5),(((L130*5)-(SUM(B114:F118)-C118))*L113)+((SUM(B118:F118)-C118)*L113),(SUM(B118:F118)-C118)*L113),IF(SUM(B114:F118)&gt;(L130*5),L130*L113,SUM(B118:F118)*L113)),2)</f>
        <v>0</v>
      </c>
      <c r="M118" s="76">
        <f>ROUND(IF(SUM(B114:F117)&lt;(L130*4),IF((SUM(B114:F118))&gt;(L130*5),(((L130*5)-(SUM(B114:F118)-C118))*M113)+((SUM(B118:F118)-C118)*M113),(SUM(B118:F118)-C118)*M113),IF(SUM(B114:F118)&gt;(L130*5),L130*M113,SUM(B118:F118)*M113)),2)</f>
        <v>0</v>
      </c>
      <c r="N118" s="76">
        <f>ROUND(IF(SUM(B114:F117)&lt;(L130*4),IF((SUM(B114:F118))&gt;(L130*5),(((L130*5)-(SUM(B114:F118)-C117))*N113)+((SUM(B118:F118)-C117)*N113),SUM(B118:F118)*N113),IF(SUM(B114:F118)&gt;(L130*5),L130*N113,SUM(B118:F118)*N113)),2)</f>
        <v>0</v>
      </c>
      <c r="O118" s="23">
        <f>ROUND(SUM(B118+C118+F118)*O113,2)</f>
        <v>0</v>
      </c>
      <c r="P118" s="27">
        <f t="shared" si="13"/>
        <v>0</v>
      </c>
    </row>
    <row r="119" spans="1:16" x14ac:dyDescent="0.2">
      <c r="A119" s="100" t="str">
        <f>$A$31</f>
        <v>Jun 2022</v>
      </c>
      <c r="B119" s="24">
        <f>ROUND(IF(N99=0,0,IFERROR(((LOOKUP(2,1/(A102:A105=A119),G102:G105))*N99*4.348),B118/N99*N99)),2)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ROUND(IF(N99=0,0,IFERROR(((LOOKUP(2,1/(A102:A105=A119),H102:H105))/N91*N99),F118/N99*N99)),2)</f>
        <v>0</v>
      </c>
      <c r="G119" s="27">
        <f t="shared" si="12"/>
        <v>0</v>
      </c>
      <c r="H119" s="76">
        <f>ROUND(IF(SUM(B114:F118)&lt;(L129*5),IF((SUM(B114:F119))&gt;(L129*6),(((L129*6)-(SUM(B114:F119)-C118))*H113)+((SUM(B119:F119)-C118)*H113),SUM(B119:F119)*H113),IF(SUM(B114:F119)&gt;(L129*6),L129*H113,SUM(B119:F119)*H113)),2)</f>
        <v>0</v>
      </c>
      <c r="I119" s="76">
        <f>ROUND(IF(SUM(B114:F118)&lt;(L130*5),IF((SUM(B114:F119))&gt;(L130*6),(((L130*6)-(SUM(B114:F119)-C118))*I113)+((SUM(B119:F119)-C118)*I113),SUM(B119:F119)*I113),IF(SUM(B114:F119)&gt;(L130*6),L130*I113,SUM(B119:F119)*I113)),2)</f>
        <v>0</v>
      </c>
      <c r="J119" s="76">
        <f>ROUND(IF(SUM(B114:F118)&lt;(L130*5),IF((SUM(B114:F119))&gt;(L130*6),(((L130*6)-(SUM(B114:F119)-C118))*J113)+((SUM(B119:F119)-C118)*J113),SUM(B119:F119)*J113),IF(SUM(B114:F119)&gt;(L130*6),L130*J113,SUM(B119:F119)*J113)),2)</f>
        <v>0</v>
      </c>
      <c r="K119" s="76">
        <f>ROUND(IF(SUM(B114:F118)&lt;(L129*5),IF((SUM(B114:F119))&gt;(L129*6),(((L129*6)-(SUM(B114:F119)-C118))*K113)+((SUM(B119:F119)-C118)*K113),SUM(B119:F119)*K113),IF(SUM(B114:F119)&gt;(L129*6),L129*K113,SUM(B119:F119)*K113)),2)</f>
        <v>0</v>
      </c>
      <c r="L119" s="76">
        <f>ROUND(IF(SUM(B114:F118)&lt;(L130*5),IF((SUM(B114:F119))&gt;(L130*6),(((L130*6)-(SUM(B114:F119)-C119))*L113)+((SUM(B119:F119)-C119)*L113),(SUM(B119:F119)-C119)*L113),IF(SUM(B114:F119)&gt;(L130*6),L130*L113,SUM(B119:F119)*L113)),2)</f>
        <v>0</v>
      </c>
      <c r="M119" s="76">
        <f>ROUND(IF(SUM(B114:F118)&lt;(L130*5),IF((SUM(B114:F119))&gt;(L130*6),(((L130*6)-(SUM(B114:F119)-C119))*M113)+((SUM(B119:F119)-C119)*M113),(SUM(B119:F119)-C119)*M113),IF(SUM(B114:F119)&gt;(L130*6),L130*M113,SUM(B119:F119)*M113)),2)</f>
        <v>0</v>
      </c>
      <c r="N119" s="76">
        <f>ROUND(IF(SUM(B114:F118)&lt;(L130*5),IF((SUM(B114:F119))&gt;(L130*6),(((L130*6)-(SUM(B114:F119)-C118))*N113)+((SUM(B119:F119)-C118)*N113),SUM(B119:F119)*N113),IF(SUM(B114:F119)&gt;(L130*6),L130*N113,SUM(B119:F119)*N113)),2)</f>
        <v>0</v>
      </c>
      <c r="O119" s="23">
        <f>ROUND(SUM(B119+C119+F119)*O113,2)</f>
        <v>0</v>
      </c>
      <c r="P119" s="27">
        <f t="shared" si="13"/>
        <v>0</v>
      </c>
    </row>
    <row r="120" spans="1:16" x14ac:dyDescent="0.2">
      <c r="A120" s="100" t="str">
        <f>$A$32</f>
        <v>Jul 2022</v>
      </c>
      <c r="B120" s="24">
        <f>ROUND(IF(P94=0,0,IFERROR(((LOOKUP(2,1/(A102:A105=A120),G102:G105))*P94*4.348),B119/P94*P94)),2)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ROUND(IF(P94=0,0,IFERROR(((LOOKUP(2,1/(A102:A105=A120),H102:H105))/N91*P94),F119/P94*P94)),2)</f>
        <v>0</v>
      </c>
      <c r="G120" s="27">
        <f t="shared" si="12"/>
        <v>0</v>
      </c>
      <c r="H120" s="76">
        <f>ROUND(IF(SUM(B114:F119)&lt;(L129*6),IF((SUM(B114:F120))&gt;(L129*7),(((L129*7)-(SUM(B114:F120)-C119))*H113)+((SUM(B120:F120)-C119)*H113),SUM(B120:F120)*H113),IF(SUM(B114:F120)&gt;(L129*7),L129*H113,SUM(B120:F120)*H113)),2)</f>
        <v>0</v>
      </c>
      <c r="I120" s="76">
        <f>ROUND(IF(SUM(B114:F119)&lt;(L130*6),IF((SUM(B114:F120))&gt;(L130*7),(((L130*7)-(SUM(B114:F120)-C119))*I113)+((SUM(B120:F120)-C119)*I113),SUM(B120:F120)*I113),IF(SUM(B114:F120)&gt;(L130*7),L130*I113,SUM(B120:F120)*I113)),2)</f>
        <v>0</v>
      </c>
      <c r="J120" s="76">
        <f>ROUND(IF(SUM(B114:F119)&lt;(L130*6),IF((SUM(B114:F120))&gt;(L130*7),(((L130*7)-(SUM(B114:F120)-C119))*J113)+((SUM(B120:F120)-C119)*J113),SUM(B120:F120)*J113),IF(SUM(B114:F120)&gt;(L130*7),L130*J113,SUM(B120:F120)*J113)),2)</f>
        <v>0</v>
      </c>
      <c r="K120" s="76">
        <f>ROUND(IF(SUM(B114:F119)&lt;(L129*6),IF((SUM(B114:F120))&gt;(L129*7),(((L129*7)-(SUM(B114:F120)-C119))*K113)+((SUM(B120:F120)-C119)*K113),SUM(B120:F120)*K113),IF(SUM(B114:F120)&gt;(L129*7),L129*K113,SUM(B120:F120)*K113)),2)</f>
        <v>0</v>
      </c>
      <c r="L120" s="76">
        <f>ROUND(IF(SUM(B114:F119)&lt;(L130*6),IF((SUM(B114:F120))&gt;(L130*7),(((L130*7)-(SUM(B114:F120)-C120))*L113)+((SUM(B120:F120)-C120)*L113),(SUM(B120:F120)-C120)*L113),IF(SUM(B114:F120)&gt;(L130*7),L130*L113,SUM(B120:F120)*L113)),2)</f>
        <v>0</v>
      </c>
      <c r="M120" s="76">
        <f>ROUND(IF(SUM(B114:F119)&lt;(L130*6),IF((SUM(B114:F120))&gt;(L130*7),(((L130*7)-(SUM(B114:F120)-C120))*M113)+((SUM(B120:F120)-C120)*M113),(SUM(B120:F120)-C120)*M113),IF(SUM(B114:F120)&gt;(L130*7),L130*M113,SUM(B120:F120)*M113)),2)</f>
        <v>0</v>
      </c>
      <c r="N120" s="76">
        <f>ROUND(IF(SUM(B114:F119)&lt;(L130*6),IF((SUM(B114:F120))&gt;(L130*7),(((L130*7)-(SUM(B114:F120)-C119))*N113)+((SUM(B120:F120)-C119)*N113),SUM(B120:F120)*N113),IF(SUM(B114:F120)&gt;(L130*7),L130*N113,SUM(B120:F120)*N113)),2)</f>
        <v>0</v>
      </c>
      <c r="O120" s="23">
        <f>ROUND(SUM(B120+C120+F120)*O113,2)</f>
        <v>0</v>
      </c>
      <c r="P120" s="27">
        <f t="shared" si="13"/>
        <v>0</v>
      </c>
    </row>
    <row r="121" spans="1:16" x14ac:dyDescent="0.2">
      <c r="A121" s="100" t="str">
        <f>$A$33</f>
        <v>Aug 2022</v>
      </c>
      <c r="B121" s="24">
        <f>ROUND(IF(P95=0,0,IFERROR(((LOOKUP(2,1/(A102:A105=A121),G102:G105))*P95*4.348),B120/P95*P95)),2)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ROUND(IF(P95=0,0,IFERROR(((LOOKUP(2,1/(A102:A105=A121),H102:H105))/N91*P95),F120/P95*P95)),2)</f>
        <v>0</v>
      </c>
      <c r="G121" s="27">
        <f t="shared" si="12"/>
        <v>0</v>
      </c>
      <c r="H121" s="76">
        <f>ROUND(IF(SUM(B114:F120)&lt;(L129*7),IF((SUM(B114:F121))&gt;(L129*8),(((L129*8)-(SUM(B114:F121)-C120))*H113)+((SUM(B121:F121)-C120)*H113),SUM(B121:F121)*H113),IF(SUM(B114:F121)&gt;(L129*8),L129*H113,SUM(B121:F121)*H113)),2)</f>
        <v>0</v>
      </c>
      <c r="I121" s="76">
        <f>ROUND(IF(SUM(B114:F120)&lt;(L130*7),IF((SUM(B114:F121))&gt;(L130*8),(((L130*8)-(SUM(B114:F121)-C120))*I113)+((SUM(B121:F121)-C120)*I113),SUM(B121:F121)*I113),IF(SUM(B114:F121)&gt;(L130*8),L130*I113,SUM(B121:F121)*I113)),2)</f>
        <v>0</v>
      </c>
      <c r="J121" s="76">
        <f>ROUND(IF(SUM(B114:F120)&lt;(L130*7),IF((SUM(B114:F121))&gt;(L130*8),(((L130*8)-(SUM(B114:F121)-C120))*J113)+((SUM(B121:F121)-C120)*J113),SUM(B121:F121)*J113),IF(SUM(B114:F121)&gt;(L130*8),L130*J113,SUM(B121:F121)*J113)),2)</f>
        <v>0</v>
      </c>
      <c r="K121" s="76">
        <f>ROUND(IF(SUM(B114:F120)&lt;(L129*7),IF((SUM(B114:F121))&gt;(L129*8),(((L129*8)-(SUM(B114:F121)-C120))*K113)+((SUM(B121:F121)-C120)*K113),SUM(B121:F121)*K113),IF(SUM(B114:F121)&gt;(L129*8),L129*K113,SUM(B121:F121)*K113)),2)</f>
        <v>0</v>
      </c>
      <c r="L121" s="76">
        <f>ROUND(IF(SUM(B114:F120)&lt;(L130*7),IF((SUM(B114:F121))&gt;(L130*8),(((L130*8)-(SUM(B114:F121)-C121))*L113)+((SUM(B121:F121)-C121)*L113),(SUM(B121:F121)-C121)*L113),IF(SUM(B114:F121)&gt;(L130*8),L130*L113,SUM(B121:F121)*L113)),2)</f>
        <v>0</v>
      </c>
      <c r="M121" s="76">
        <f>ROUND(IF(SUM(B114:F120)&lt;(L130*7),IF((SUM(B114:F121))&gt;(L130*8),(((L130*8)-(SUM(B114:F121)-C121))*M113)+((SUM(B121:F121)-C121)*M113),(SUM(B121:F121)-C121)*M113),IF(SUM(B114:F121)&gt;(L130*8),L130*M113,SUM(B121:F121)*M113)),2)</f>
        <v>0</v>
      </c>
      <c r="N121" s="76">
        <f>ROUND(IF(SUM(B114:F120)&lt;(L130*7),IF((SUM(B114:F121))&gt;(L130*8),(((L130*8)-(SUM(B114:F121)-C120))*N113)+((SUM(B121:F121)-C120)*N113),SUM(B121:F121)*N113),IF(SUM(B114:F121)&gt;(L130*8),L130*N113,SUM(B121:F121)*N113)),2)</f>
        <v>0</v>
      </c>
      <c r="O121" s="23">
        <f>ROUND(SUM(B121+C121+F121)*O113,2)</f>
        <v>0</v>
      </c>
      <c r="P121" s="27">
        <f t="shared" si="13"/>
        <v>0</v>
      </c>
    </row>
    <row r="122" spans="1:16" x14ac:dyDescent="0.2">
      <c r="A122" s="100" t="str">
        <f>$A$34</f>
        <v>Sep 2022</v>
      </c>
      <c r="B122" s="24">
        <f>ROUND(IF(P96=0,0,IFERROR(((LOOKUP(2,1/(A102:A105=A122),G102:G105))*P96*4.348),B121/P96*P96)),2)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ROUND(IF(P96=0,0,IFERROR(((LOOKUP(2,1/(A102:A105=A122),H102:H105))/N91*P96),F121/P96*P96)),2)</f>
        <v>0</v>
      </c>
      <c r="G122" s="27">
        <f t="shared" si="12"/>
        <v>0</v>
      </c>
      <c r="H122" s="76">
        <f>ROUND(IF(SUM(B114:F121)&lt;(L129*8),IF((SUM(B114:F122))&gt;(L129*9),(((L129*9)-(SUM(B114:F122)-C121))*H113)+((SUM(B122:F122)-C121)*H113),SUM(B122:F122)*H113),IF(SUM(B114:F122)&gt;(L129*9),L129*H113,SUM(B122:F122)*H113)),2)</f>
        <v>0</v>
      </c>
      <c r="I122" s="76">
        <f>ROUND(IF(SUM(B114:F121)&lt;(L130*8),IF((SUM(B114:F122))&gt;(L130*9),(((L130*9)-(SUM(B114:F122)-C121))*I113)+((SUM(B122:F122)-C121)*I113),SUM(B122:F122)*I113),IF(SUM(B114:F122)&gt;(L130*9),L130*I113,SUM(B122:F122)*I113)),2)</f>
        <v>0</v>
      </c>
      <c r="J122" s="76">
        <f>ROUND(IF(SUM(B114:F121)&lt;(L130*8),IF((SUM(B114:F122))&gt;(L130*9),(((L130*9)-(SUM(B114:F122)-C121))*J113)+((SUM(B122:F122)-C121)*J113),SUM(B122:F122)*J113),IF(SUM(B114:F122)&gt;(L130*9),L130*J113,SUM(B122:F122)*J113)),2)</f>
        <v>0</v>
      </c>
      <c r="K122" s="76">
        <f>ROUND(IF(SUM(B114:F121)&lt;(L129*8),IF((SUM(B114:F122))&gt;(L129*9),(((L129*9)-(SUM(B114:F122)-C121))*K113)+((SUM(B122:F122)-C121)*K113),SUM(B122:F122)*K113),IF(SUM(B114:F122)&gt;(L129*9),L129*K113,SUM(B122:F122)*K113)),2)</f>
        <v>0</v>
      </c>
      <c r="L122" s="76">
        <f>ROUND(IF(SUM(B114:F121)&lt;(L130*8),IF((SUM(B114:F122))&gt;(L130*9),(((L130*9)-(SUM(B114:F122)-C122))*L113)+((SUM(B122:F122)-C122)*L113),(SUM(B122:F122)-C122)*L113),IF(SUM(B114:F122)&gt;(L130*9),L130*L113,SUM(B122:F122)*L113)),2)</f>
        <v>0</v>
      </c>
      <c r="M122" s="76">
        <f>ROUND(IF(SUM(B114:F121)&lt;(L130*8),IF((SUM(B114:F122))&gt;(L130*9),(((L130*9)-(SUM(B114:F122)-C122))*M113)+((SUM(B122:F122)-C122)*M113),(SUM(B122:F122)-C122)*M113),IF(SUM(B114:F122)&gt;(L130*9),L130*M113,SUM(B122:F122)*M113)),2)</f>
        <v>0</v>
      </c>
      <c r="N122" s="76">
        <f>ROUND(IF(SUM(B114:F121)&lt;(L130*8),IF((SUM(B114:F122))&gt;(L130*9),(((L130*9)-(SUM(B114:F122)-C121))*N113)+((SUM(B122:F122)-C121)*N113),SUM(B122:F122)*N113),IF(SUM(B114:F122)&gt;(L130*9),L130*N113,SUM(B122:F122)*N113)),2)</f>
        <v>0</v>
      </c>
      <c r="O122" s="23">
        <f>ROUND(SUM(B122+C122+F122)*O113,2)</f>
        <v>0</v>
      </c>
      <c r="P122" s="27">
        <f t="shared" si="13"/>
        <v>0</v>
      </c>
    </row>
    <row r="123" spans="1:16" x14ac:dyDescent="0.2">
      <c r="A123" s="100" t="str">
        <f>$A$35</f>
        <v>Okt 2022</v>
      </c>
      <c r="B123" s="24">
        <f>ROUND(IF(P97=0,0,IFERROR(((LOOKUP(2,1/(A102:A105=A123),G102:G105))*P97*4.348),B122/P97*P97)),2)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ROUND(IF(P97=0,0,IFERROR(((LOOKUP(2,1/(A102:A105=A123),H102:H105))/N91*P97),F122/P97*P97)),2)</f>
        <v>0</v>
      </c>
      <c r="G123" s="27">
        <f t="shared" si="12"/>
        <v>0</v>
      </c>
      <c r="H123" s="76">
        <f>ROUND(IF(SUM(B114:F122)&lt;(L129*9),IF((SUM(B114:F123))&gt;(L129*10),(((L129*10)-(SUM(B114:F123)-C122))*H113)+((SUM(B123:F123)-C122)*H113),SUM(B123:F123)*H113),IF(SUM(B114:F123)&gt;(L129*10),L129*H113,SUM(B123:F123)*H113)),2)</f>
        <v>0</v>
      </c>
      <c r="I123" s="76">
        <f>ROUND(IF(SUM(B114:F122)&lt;(L130*9),IF((SUM(B114:F123))&gt;(L130*10),(((L130*10)-(SUM(B114:F123)-C122))*I113)+((SUM(B123:F123)-C122)*I113),SUM(B123:F123)*I113),IF(SUM(B114:F123)&gt;(L130*10),L130*I113,SUM(B123:F123)*I113)),2)</f>
        <v>0</v>
      </c>
      <c r="J123" s="76">
        <f>ROUND(IF(SUM(B114:F122)&lt;(L130*9),IF((SUM(B114:F123))&gt;(L130*10),(((L130*10)-(SUM(B114:F123)-C122))*J113)+((SUM(B123:F123)-C122)*J113),SUM(B123:F123)*J113),IF(SUM(B114:F123)&gt;(L130*10),L130*J113,SUM(B123:F123)*J113)),2)</f>
        <v>0</v>
      </c>
      <c r="K123" s="76">
        <f>ROUND(IF(SUM(B114:F122)&lt;(L129*9),IF((SUM(B114:F123))&gt;(L129*10),(((L129*10)-(SUM(B114:F123)-C122))*K113)+((SUM(B123:F123)-C122)*K113),SUM(B123:F123)*K113),IF(SUM(B114:F123)&gt;(L129*10),L129*K113,SUM(B123:F123)*K113)),2)</f>
        <v>0</v>
      </c>
      <c r="L123" s="76">
        <f>ROUND(IF(SUM(B114:F122)&lt;(L130*9),IF((SUM(B114:F123))&gt;(L130*10),(((L130*10)-(SUM(B114:F123)-C123))*L113)+((SUM(B123:F123)-C123)*L113),(SUM(B123:F123)-C123)*L113),IF(SUM(B114:F123)&gt;(L130*10),L130*L113,SUM(B123:F123)*L113)),2)</f>
        <v>0</v>
      </c>
      <c r="M123" s="76">
        <f>ROUND(IF(SUM(B114:F122)&lt;(L130*9),IF((SUM(B114:F123))&gt;(L130*10),(((L130*10)-(SUM(B114:F123)-C123))*M113)+((SUM(B123:F123)-C123)*M113),(SUM(B123:F123)-C123)*M113),IF(SUM(B114:F123)&gt;(L130*10),L130*M113,SUM(B123:F123)*M113)),2)</f>
        <v>0</v>
      </c>
      <c r="N123" s="76">
        <f>ROUND(IF(SUM(B114:F122)&lt;(L130*9),IF((SUM(B114:F123))&gt;(L130*10),(((L130*10)-(SUM(B114:F123)-C122))*N113)+((SUM(B123:F123)-C122)*N113),SUM(B123:F123)*N113),IF(SUM(B114:F123)&gt;(L130*10),L130*N113,SUM(B123:F123)*N113)),2)</f>
        <v>0</v>
      </c>
      <c r="O123" s="23">
        <f>ROUND(SUM(B123+C123+F123)*O113,2)</f>
        <v>0</v>
      </c>
      <c r="P123" s="27">
        <f t="shared" si="13"/>
        <v>0</v>
      </c>
    </row>
    <row r="124" spans="1:16" x14ac:dyDescent="0.2">
      <c r="A124" s="100" t="str">
        <f>$A$36</f>
        <v>Nov 2022</v>
      </c>
      <c r="B124" s="24">
        <f>ROUND(IF(P98=0,0,IFERROR(((LOOKUP(2,1/(A102:A105=A124),G102:G105))*P98*4.348),B123/P98*P98)),2)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ROUND(IF(P98=0,0,IFERROR(((LOOKUP(2,1/(A102:A105=A124),H102:H105))/N91*P98),F123/P98*P98)),2)</f>
        <v>0</v>
      </c>
      <c r="G124" s="27">
        <f t="shared" si="12"/>
        <v>0</v>
      </c>
      <c r="H124" s="76">
        <f>ROUND(IF(SUM(B114:F123)&lt;(L129*10),IF((SUM(B114:F124))&gt;(L129*11),(((L129*11)-(SUM(B114:F124)-C123))*H113)+((SUM(B124:F124)-C123)*H113),SUM(B124:F124)*H113),IF(SUM(B114:F124)&gt;(L129*11),L129*H113,SUM(B124:F124)*H113)),2)</f>
        <v>0</v>
      </c>
      <c r="I124" s="76">
        <f>ROUND(IF(SUM(B114:F123)&lt;(L130*10),IF((SUM(B114:F124))&gt;(L130*11),(((L130*11)-(SUM(B114:F124)-C123))*I113)+((SUM(B124:F124)-C123)*I113),SUM(B124:F124)*I113),IF(SUM(B114:F124)&gt;(L130*11),L130*I113,SUM(B124:F124)*I113)),2)</f>
        <v>0</v>
      </c>
      <c r="J124" s="76">
        <f>ROUND(IF(SUM(B114:F123)&lt;(L130*10),IF((SUM(B114:F124))&gt;(L130*11),(((L130*11)-(SUM(B114:F124)-C123))*J113)+((SUM(B124:F124)-C123)*J113),SUM(B124:F124)*J113),IF(SUM(B114:F124)&gt;(L130*11),L130*J113,SUM(B124:F124)*J113)),2)</f>
        <v>0</v>
      </c>
      <c r="K124" s="76">
        <f>ROUND(IF(SUM(B114:F123)&lt;(L129*10),IF((SUM(B114:F124))&gt;(L129*11),(((L129*11)-(SUM(B114:F124)-C123))*K113)+((SUM(B124:F124)-C123)*K113),SUM(B124:F124)*K113),IF(SUM(B114:F124)&gt;(L129*11),L129*K113,SUM(B124:F124)*K113)),2)</f>
        <v>0</v>
      </c>
      <c r="L124" s="76">
        <f>ROUND(IF(SUM(B114:F123)&lt;(L130*10),IF((SUM(B114:F124))&gt;(L130*11),(((L130*11)-(SUM(B114:F124)-C124))*L113)+((SUM(B124:F124)-C124)*L113),(SUM(B124:F124)-C124)*L113),IF(SUM(B114:F124)&gt;(L130*11),L130*L113,SUM(B124:F124)*L113)),2)</f>
        <v>0</v>
      </c>
      <c r="M124" s="76">
        <f>ROUND(IF(SUM(B114:F123)&lt;(L130*10),IF((SUM(B114:F124))&gt;(L130*11),(((L130*11)-(SUM(B114:F124)-C124))*M113)+((SUM(B124:F124)-C124)*M113),(SUM(B124:F124)-C124)*M113),IF(SUM(B114:F124)&gt;(L130*11),L130*M113,SUM(B124:F124)*M113)),2)</f>
        <v>0</v>
      </c>
      <c r="N124" s="76">
        <f>ROUND(IF(SUM(B114:F123)&lt;(L130*10),IF((SUM(B114:F124))&gt;(L130*11),(((L130*11)-(SUM(B114:F124)-C123))*N113)+((SUM(B124:F124)-C123)*N113),SUM(B124:F124)*N113),IF(SUM(B114:F124)&gt;(L130*11),L130*N113,SUM(B124:F124)*N113)),2)</f>
        <v>0</v>
      </c>
      <c r="O124" s="23">
        <f>ROUND(SUM(B124+C124+F124)*O113,2)</f>
        <v>0</v>
      </c>
      <c r="P124" s="27">
        <f t="shared" si="13"/>
        <v>0</v>
      </c>
    </row>
    <row r="125" spans="1:16" x14ac:dyDescent="0.2">
      <c r="A125" s="100" t="str">
        <f>$A$37</f>
        <v>Dez 2022</v>
      </c>
      <c r="B125" s="24">
        <f>ROUND(IF(P99=0,0,IFERROR(((LOOKUP(2,1/(A102:A105=A125),G102:G105))*P99*4.348),B124/P99*P99)),2)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ROUND(IF(P99=0,0,IFERROR(((LOOKUP(2,1/(A102:A105=A125),H102:H105))/N91*P99),F124/P99*P99)),2)</f>
        <v>0</v>
      </c>
      <c r="G125" s="27">
        <f t="shared" si="12"/>
        <v>0</v>
      </c>
      <c r="H125" s="76">
        <f>ROUND(IF(SUM(B114:F124)&lt;(L129*11),IF((SUM(B114:F125))&gt;(L129*12),(((L129*12)-(SUM(B114:F125)-C124))*H113)+((SUM(B125:F125)-C124)*H113),SUM(B125:F125)*H113),IF(SUM(B114:F125)&gt;(L129*12),L129*H113,SUM(B125:F125)*H113)),2)</f>
        <v>0</v>
      </c>
      <c r="I125" s="76">
        <f>ROUND(IF(SUM(B114:F124)&lt;(L130*11),IF((SUM(B114:F125))&gt;(L130*12),(((L130*12)-(SUM(B114:F125)-C124))*I113)+((SUM(B125:F125)-C124)*I113),SUM(B125:F125)*I113),IF(SUM(B114:F125)&gt;(L130*12),L130*I113,SUM(B125:F125)*I113)),2)</f>
        <v>0</v>
      </c>
      <c r="J125" s="76">
        <f>ROUND(IF(SUM(B114:F124)&lt;(L130*11),IF((SUM(B114:F125))&gt;(L130*12),(((L130*12)-(SUM(B114:F125)-C124))*J113)+((SUM(B125:F125)-C124)*J113),SUM(B125:F125)*J113),IF(SUM(B114:F125)&gt;(L130*12),L130*J113,SUM(B125:F125)*J113)),2)</f>
        <v>0</v>
      </c>
      <c r="K125" s="76">
        <f>ROUND(IF(SUM(B114:F124)&lt;(L129*11),IF((SUM(B114:F125))&gt;(L129*12),(((L129*12)-(SUM(B114:F125)-C124))*K113)+((SUM(B125:F125)-C124)*K113),SUM(B125:F125)*K113),IF(SUM(B114:F125)&gt;(L129*12),L129*K113,SUM(B125:F125)*K113)),2)</f>
        <v>0</v>
      </c>
      <c r="L125" s="76">
        <f>ROUND(IF(SUM(B114:F124)&lt;(L130*11),IF((SUM(B114:F125))&gt;(L130*12),(((L130*12)-(SUM(B114:F125)-C125))*L113)+((SUM(B125:F125)-C125)*L113),(SUM(B125:F125)-C125)*L113),IF(SUM(B114:F125)&gt;(L130*12),L130*L113,SUM(B125:F125)*L113)),2)</f>
        <v>0</v>
      </c>
      <c r="M125" s="76">
        <f>ROUND(IF(SUM(B114:F124)&lt;(L130*11),IF((SUM(B114:F125))&gt;(L130*12),(((L130*12)-(SUM(B114:F125)-C125))*M113)+((SUM(B125:F125)-C125)*M113),(SUM(B125:F125)-C125)*M113),IF(SUM(B114:F125)&gt;(L130*12),L130*M113,SUM(B125:F125)*M113)),2)</f>
        <v>0</v>
      </c>
      <c r="N125" s="76">
        <f>ROUND(IF(SUM(B114:F124)&lt;(L130*11),IF((SUM(B114:F125))&gt;(L130*12),(((L130*12)-(SUM(B114:F125)-C124))*N113)+((SUM(B125:F125)-C124)*N113),SUM(B125:F125)*N113),IF(SUM(B114:F125)&gt;(L130*12),L130*N113,SUM(B125:F125)*N113)),2)</f>
        <v>0</v>
      </c>
      <c r="O125" s="23">
        <f>ROUND(SUM(B125+C125+F125)*O113,2)</f>
        <v>0</v>
      </c>
      <c r="P125" s="27">
        <f t="shared" si="13"/>
        <v>0</v>
      </c>
    </row>
    <row r="126" spans="1:16"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133">
        <f>SUM(H114:N125)</f>
        <v>0</v>
      </c>
      <c r="I126" s="1134"/>
      <c r="J126" s="1134"/>
      <c r="K126" s="1134"/>
      <c r="L126" s="1134"/>
      <c r="M126" s="1134"/>
      <c r="N126" s="1135"/>
      <c r="O126" s="27">
        <f>SUM(O114:O125)</f>
        <v>0</v>
      </c>
      <c r="P126" s="27">
        <f>SUM(P114:P125)</f>
        <v>0</v>
      </c>
    </row>
    <row r="127" spans="1:16" s="13" customFormat="1" ht="11.25" x14ac:dyDescent="0.2">
      <c r="A127" s="3" t="s">
        <v>1</v>
      </c>
      <c r="B127" s="2"/>
      <c r="C127" s="2"/>
      <c r="D127" s="2"/>
      <c r="E127" s="2"/>
      <c r="F127" s="2"/>
      <c r="G127" s="2"/>
      <c r="H127" s="2"/>
      <c r="I127" s="2"/>
      <c r="J127" s="2"/>
      <c r="K127" s="2"/>
      <c r="L127" s="2"/>
      <c r="M127" s="2"/>
      <c r="N127" s="2"/>
      <c r="O127" s="2"/>
      <c r="P127" s="2"/>
    </row>
    <row r="128" spans="1:16" ht="14.25" customHeight="1" x14ac:dyDescent="0.2">
      <c r="A128" s="1136" t="s">
        <v>133</v>
      </c>
      <c r="B128" s="1137"/>
      <c r="C128" s="1137"/>
      <c r="D128" s="1137" t="s">
        <v>134</v>
      </c>
      <c r="E128" s="1137"/>
      <c r="F128" s="94" t="str">
        <f>IF(IF(G126=0,"",'päd.Personal - Leitung'!$F$40)=0,"",IF(G126=0,"",'päd.Personal - Leitung'!$F$40))</f>
        <v/>
      </c>
      <c r="G128" s="77" t="s">
        <v>135</v>
      </c>
      <c r="H128" s="96" t="str">
        <f>IF(IF(G126=0,"",'päd.Personal - Leitung'!$H$40)=0,"",IF(G126=0,"",'päd.Personal - Leitung'!$H$40))</f>
        <v/>
      </c>
      <c r="I128" s="73"/>
      <c r="J128" s="194" t="s">
        <v>160</v>
      </c>
      <c r="K128" s="194" t="str">
        <f>$K$40</f>
        <v>2021</v>
      </c>
      <c r="L128" s="194" t="str">
        <f>$L$40</f>
        <v>anteilig 2021</v>
      </c>
      <c r="M128" s="1138" t="s">
        <v>140</v>
      </c>
      <c r="N128" s="1138"/>
      <c r="O128" s="1139"/>
      <c r="P128" s="27">
        <f>ROUND(IF(F128="",IF(E132="",0,(E132*H132/K132)/L95*L96),G126*F128*H128/1000),2)</f>
        <v>0</v>
      </c>
    </row>
    <row r="129" spans="1:16" ht="15" customHeight="1" x14ac:dyDescent="0.2">
      <c r="A129" s="1140" t="s">
        <v>145</v>
      </c>
      <c r="B129" s="1141"/>
      <c r="C129" s="1141"/>
      <c r="D129" s="18"/>
      <c r="E129" s="107" t="s">
        <v>135</v>
      </c>
      <c r="F129" s="95" t="str">
        <f>IF(IF(G126=0,"",'päd.Personal - Leitung'!$F$41)=0,"",IF(G126=0,"",'päd.Personal - Leitung'!$F$41))</f>
        <v/>
      </c>
      <c r="G129" s="48"/>
      <c r="H129" s="47"/>
      <c r="I129" s="48"/>
      <c r="J129" s="195" t="s">
        <v>158</v>
      </c>
      <c r="K129" s="198">
        <f>$K$41</f>
        <v>4837.5</v>
      </c>
      <c r="L129" s="197">
        <f>IF(L95="",K129,K129/L95*L96)</f>
        <v>4837.5</v>
      </c>
      <c r="M129" s="1138" t="s">
        <v>139</v>
      </c>
      <c r="N129" s="1138"/>
      <c r="O129" s="1139"/>
      <c r="P129" s="27">
        <f>ROUND(IF(F129="",0,G126*F129/1000),2)</f>
        <v>0</v>
      </c>
    </row>
    <row r="130" spans="1:16" ht="15.75" customHeight="1" x14ac:dyDescent="0.2">
      <c r="A130" s="1142" t="s">
        <v>141</v>
      </c>
      <c r="B130" s="1143"/>
      <c r="C130" s="1143"/>
      <c r="D130" s="1144" t="s">
        <v>143</v>
      </c>
      <c r="E130" s="1144"/>
      <c r="F130" s="1145" t="str">
        <f>IF(IF(G126=0,"",'päd.Personal - Leitung'!$F$42)=0,"",IF(G126=0,"",'päd.Personal - Leitung'!$F$42))</f>
        <v/>
      </c>
      <c r="G130" s="1145"/>
      <c r="H130" s="72"/>
      <c r="I130" s="18"/>
      <c r="J130" s="195" t="s">
        <v>159</v>
      </c>
      <c r="K130" s="198">
        <f>$K$42</f>
        <v>6700</v>
      </c>
      <c r="L130" s="197">
        <f>IF(L95="",K130,K130/L95*L96)</f>
        <v>6700</v>
      </c>
      <c r="M130" s="1138" t="s">
        <v>141</v>
      </c>
      <c r="N130" s="1138"/>
      <c r="O130" s="1139"/>
      <c r="P130" s="23">
        <f>ROUND(IF(F130="",0,IF(G126=0,0,F130/L95*L96)),2)</f>
        <v>0</v>
      </c>
    </row>
    <row r="131" spans="1:16" ht="14.25" customHeight="1" x14ac:dyDescent="0.2">
      <c r="A131" s="18"/>
      <c r="B131" s="18"/>
      <c r="C131" s="18"/>
      <c r="D131" s="18"/>
      <c r="E131" s="18"/>
      <c r="F131" s="18"/>
      <c r="G131" s="18"/>
      <c r="H131" s="18"/>
      <c r="I131" s="18"/>
      <c r="J131" s="18"/>
      <c r="K131" s="74"/>
      <c r="L131" s="82"/>
      <c r="M131" s="1127" t="s">
        <v>146</v>
      </c>
      <c r="N131" s="1127"/>
      <c r="O131" s="1128"/>
      <c r="P131" s="23">
        <f>ROUND(IF(G126=0,0,$P$43),2)</f>
        <v>0</v>
      </c>
    </row>
    <row r="132" spans="1:16" ht="14.25" customHeight="1" x14ac:dyDescent="0.2">
      <c r="A132" s="1129" t="s">
        <v>142</v>
      </c>
      <c r="B132" s="1130"/>
      <c r="C132" s="133" t="s">
        <v>136</v>
      </c>
      <c r="D132" s="133" t="s">
        <v>137</v>
      </c>
      <c r="E132" s="1131" t="str">
        <f>IF(IF(G126=0,"",'päd.Personal - Leitung'!$E$44)=0,"",IF(G126=0,"",'päd.Personal - Leitung'!$E$44))</f>
        <v/>
      </c>
      <c r="F132" s="1131"/>
      <c r="G132" s="83" t="s">
        <v>138</v>
      </c>
      <c r="H132" s="97" t="str">
        <f>IF(IF(G126=0,"",'päd.Personal - Leitung'!$H$44)=0,"",IF(G126=0,"",'päd.Personal - Leitung'!$H$44))</f>
        <v/>
      </c>
      <c r="I132" s="1132" t="s">
        <v>144</v>
      </c>
      <c r="J132" s="1132"/>
      <c r="K132" s="98" t="str">
        <f>IF(IF(G126=0,"",'päd.Personal - Leitung'!$K$44)=0,"",IF(G126=0,"",'päd.Personal - Leitung'!$K$44))</f>
        <v/>
      </c>
      <c r="L132" s="29"/>
      <c r="M132" s="29"/>
      <c r="N132" s="29"/>
      <c r="O132" s="28" t="s">
        <v>0</v>
      </c>
      <c r="P132" s="27">
        <f>P126+SUM(P128:P131)</f>
        <v>0</v>
      </c>
    </row>
    <row r="133" spans="1:16" s="12" customFormat="1" ht="13.5" customHeight="1" x14ac:dyDescent="0.2">
      <c r="A133" s="1178" t="s">
        <v>18</v>
      </c>
      <c r="B133" s="1178"/>
      <c r="C133" s="1178"/>
      <c r="D133" s="1179" t="str">
        <f>IF($D$1="","",$D$1)</f>
        <v/>
      </c>
      <c r="E133" s="1179"/>
      <c r="F133" s="1179"/>
      <c r="G133" s="1179"/>
      <c r="H133" s="1179"/>
      <c r="I133" s="1179"/>
      <c r="J133" s="1179"/>
      <c r="K133" s="1179"/>
      <c r="L133" s="1179"/>
      <c r="M133" s="1179"/>
      <c r="N133" s="1179"/>
    </row>
    <row r="134" spans="1:16" s="12" customFormat="1" ht="15" customHeight="1" x14ac:dyDescent="0.2">
      <c r="A134" s="1178" t="s">
        <v>17</v>
      </c>
      <c r="B134" s="1178"/>
      <c r="C134" s="1178" t="s">
        <v>15</v>
      </c>
      <c r="D134" s="1179" t="str">
        <f>IF($D$2="","",$D$2)</f>
        <v/>
      </c>
      <c r="E134" s="1179"/>
      <c r="F134" s="1179"/>
      <c r="G134" s="1179"/>
      <c r="H134" s="1179"/>
      <c r="I134" s="1179"/>
      <c r="J134" s="1179"/>
      <c r="K134" s="1179"/>
      <c r="L134" s="1179"/>
      <c r="M134" s="1179"/>
      <c r="N134" s="1179"/>
    </row>
    <row r="135" spans="1:16" s="12" customFormat="1" ht="15" customHeight="1" x14ac:dyDescent="0.2">
      <c r="A135" s="1178" t="s">
        <v>16</v>
      </c>
      <c r="B135" s="1178"/>
      <c r="C135" s="1178" t="s">
        <v>15</v>
      </c>
      <c r="D135" s="1179" t="str">
        <f>IF($D$3="","",$D$3)</f>
        <v/>
      </c>
      <c r="E135" s="1179"/>
      <c r="F135" s="1179"/>
      <c r="G135" s="1179"/>
      <c r="H135" s="1179"/>
      <c r="I135" s="1179"/>
      <c r="J135" s="1179"/>
      <c r="K135" s="1178" t="s">
        <v>103</v>
      </c>
      <c r="L135" s="1178"/>
      <c r="M135" s="1178"/>
      <c r="N135" s="41" t="str">
        <f>IF($N$3="","",$N$3)</f>
        <v/>
      </c>
    </row>
    <row r="136" spans="1:16" s="13" customFormat="1" ht="11.25" x14ac:dyDescent="0.2">
      <c r="A136" s="1182"/>
      <c r="B136" s="1182"/>
      <c r="C136" s="1182"/>
      <c r="D136" s="1183"/>
      <c r="E136" s="1183"/>
      <c r="F136" s="1183"/>
      <c r="G136" s="1183"/>
      <c r="H136" s="1183"/>
      <c r="I136" s="1183"/>
      <c r="J136" s="1183"/>
      <c r="K136" s="11"/>
      <c r="L136" s="11"/>
      <c r="M136" s="11"/>
      <c r="N136" s="11"/>
      <c r="O136" s="11"/>
      <c r="P136" s="11"/>
    </row>
    <row r="137" spans="1:16" s="15" customFormat="1" ht="13.5" customHeight="1" x14ac:dyDescent="0.2">
      <c r="A137" s="1177" t="s">
        <v>175</v>
      </c>
      <c r="B137" s="1177"/>
      <c r="C137" s="1177"/>
      <c r="D137" s="1177"/>
      <c r="E137" s="1177"/>
      <c r="F137" s="1177"/>
      <c r="G137" s="1177"/>
      <c r="H137" s="1177"/>
      <c r="I137" s="1177"/>
      <c r="J137" s="1177"/>
      <c r="K137" s="9"/>
      <c r="L137" s="9"/>
      <c r="M137" s="9"/>
      <c r="N137" s="59" t="s">
        <v>154</v>
      </c>
      <c r="O137" s="191">
        <f>$O$5</f>
        <v>2022</v>
      </c>
      <c r="P137" s="59" t="s">
        <v>154</v>
      </c>
    </row>
    <row r="138" spans="1:16" s="10" customFormat="1" ht="13.5" customHeight="1" x14ac:dyDescent="0.25">
      <c r="B138" s="32"/>
      <c r="C138" s="32"/>
      <c r="D138" s="5" t="s">
        <v>178</v>
      </c>
      <c r="E138" s="31"/>
      <c r="F138" s="31"/>
      <c r="G138" s="31"/>
      <c r="H138" s="31"/>
      <c r="I138" s="26"/>
      <c r="J138" s="1197"/>
      <c r="K138" s="1197"/>
      <c r="L138" s="111"/>
      <c r="N138" s="84">
        <f>IF(L140="","",L140)</f>
        <v>0</v>
      </c>
      <c r="O138" s="58" t="str">
        <f>$O$6</f>
        <v>Jan                Jul</v>
      </c>
      <c r="P138" s="85">
        <f>IF(N143="","",N143)</f>
        <v>0</v>
      </c>
    </row>
    <row r="139" spans="1:16" s="7" customFormat="1" ht="13.5" customHeight="1" x14ac:dyDescent="0.25">
      <c r="A139" s="1180" t="s">
        <v>71</v>
      </c>
      <c r="B139" s="1180"/>
      <c r="C139" s="1180"/>
      <c r="D139" s="1184"/>
      <c r="E139" s="1184"/>
      <c r="F139" s="1184"/>
      <c r="G139" s="1184"/>
      <c r="H139" s="1184"/>
      <c r="I139" s="1184"/>
      <c r="J139" s="1174" t="s">
        <v>104</v>
      </c>
      <c r="K139" s="1174"/>
      <c r="L139" s="145"/>
      <c r="N139" s="85">
        <f>IF(N138="","",N138)</f>
        <v>0</v>
      </c>
      <c r="O139" s="58" t="str">
        <f>$O$7</f>
        <v>Feb              Aug</v>
      </c>
      <c r="P139" s="85">
        <f>IF(P138="","",P138)</f>
        <v>0</v>
      </c>
    </row>
    <row r="140" spans="1:16" ht="13.5" customHeight="1" x14ac:dyDescent="0.2">
      <c r="A140" s="1180" t="s">
        <v>13</v>
      </c>
      <c r="B140" s="1180"/>
      <c r="C140" s="1180"/>
      <c r="D140" s="1181"/>
      <c r="E140" s="1181"/>
      <c r="F140" s="1181"/>
      <c r="G140" s="1181"/>
      <c r="H140" s="1181"/>
      <c r="I140" s="1181"/>
      <c r="J140" s="1174" t="s">
        <v>164</v>
      </c>
      <c r="K140" s="1174"/>
      <c r="L140" s="145">
        <f>IF((L141+L142)&gt;L139,0,L139-L141-L142)</f>
        <v>0</v>
      </c>
      <c r="M140" s="1"/>
      <c r="N140" s="85">
        <f>IF(N139="","",N139)</f>
        <v>0</v>
      </c>
      <c r="O140" s="58" t="str">
        <f>$O$8</f>
        <v>Mrz              Sep</v>
      </c>
      <c r="P140" s="85">
        <f>IF(P139="","",P139)</f>
        <v>0</v>
      </c>
    </row>
    <row r="141" spans="1:16" ht="13.5" customHeight="1" x14ac:dyDescent="0.2">
      <c r="A141" s="1180" t="s">
        <v>12</v>
      </c>
      <c r="B141" s="1180"/>
      <c r="C141" s="1180"/>
      <c r="D141" s="1181"/>
      <c r="E141" s="1181"/>
      <c r="F141" s="1181"/>
      <c r="G141" s="1181"/>
      <c r="H141" s="1181"/>
      <c r="I141" s="1181"/>
      <c r="J141" s="1174" t="s">
        <v>165</v>
      </c>
      <c r="K141" s="1174"/>
      <c r="L141" s="145"/>
      <c r="M141" s="1"/>
      <c r="N141" s="85">
        <f>IF(N140="","",N140)</f>
        <v>0</v>
      </c>
      <c r="O141" s="58" t="str">
        <f>$O$9</f>
        <v>Apr               Okt</v>
      </c>
      <c r="P141" s="85">
        <f t="shared" ref="P141:P143" si="15">IF(P140="","",P140)</f>
        <v>0</v>
      </c>
    </row>
    <row r="142" spans="1:16" ht="13.5" customHeight="1" x14ac:dyDescent="0.2">
      <c r="A142" s="1180" t="s">
        <v>19</v>
      </c>
      <c r="B142" s="1180"/>
      <c r="C142" s="1180"/>
      <c r="D142" s="1181"/>
      <c r="E142" s="1181"/>
      <c r="F142" s="1181"/>
      <c r="G142" s="1181"/>
      <c r="H142" s="1181"/>
      <c r="I142" s="1181"/>
      <c r="J142" s="1174" t="s">
        <v>252</v>
      </c>
      <c r="K142" s="1174"/>
      <c r="L142" s="145"/>
      <c r="M142" s="92"/>
      <c r="N142" s="85">
        <f>IF(N141="","",N141)</f>
        <v>0</v>
      </c>
      <c r="O142" s="58" t="str">
        <f>$O$10</f>
        <v>Mai               Nov</v>
      </c>
      <c r="P142" s="85">
        <f t="shared" si="15"/>
        <v>0</v>
      </c>
    </row>
    <row r="143" spans="1:16" ht="13.5" customHeight="1" x14ac:dyDescent="0.2">
      <c r="A143" s="1"/>
      <c r="B143" s="8"/>
      <c r="C143" s="132" t="s">
        <v>162</v>
      </c>
      <c r="D143" s="1175"/>
      <c r="E143" s="1175"/>
      <c r="F143" s="1176" t="s">
        <v>190</v>
      </c>
      <c r="G143" s="1176"/>
      <c r="H143" s="1186"/>
      <c r="I143" s="1186"/>
      <c r="J143" s="1174" t="s">
        <v>97</v>
      </c>
      <c r="K143" s="1174"/>
      <c r="L143" s="17" t="str">
        <f>IF(IF((COUNTIF(B158:B169,"&gt;0"))=0,0,(COUNTIF(B158:B169,"&gt;0")))&gt;Grundlagen!$C$24,Grundlagen!$C$24,IF((COUNTIF(B158:B169,"&gt;0"))=0,"",(COUNTIF(B158:B169,"&gt;0"))))</f>
        <v/>
      </c>
      <c r="M143" s="1"/>
      <c r="N143" s="85">
        <f>IF(N142="","",N142)</f>
        <v>0</v>
      </c>
      <c r="O143" s="58" t="str">
        <f>'päd.Personal - Leitung'!$O$11</f>
        <v>Jun               Dez</v>
      </c>
      <c r="P143" s="85">
        <f t="shared" si="15"/>
        <v>0</v>
      </c>
    </row>
    <row r="144" spans="1:16" ht="13.5" customHeight="1" x14ac:dyDescent="0.2">
      <c r="A144" s="1"/>
      <c r="B144" s="1"/>
      <c r="C144" s="1"/>
      <c r="D144" s="1"/>
      <c r="E144" s="1"/>
      <c r="F144" s="1176" t="s">
        <v>191</v>
      </c>
      <c r="G144" s="1176"/>
      <c r="H144" s="1186"/>
      <c r="I144" s="1186"/>
      <c r="J144" s="1"/>
      <c r="K144" s="1"/>
      <c r="L144" s="147" t="str">
        <f>IF((SUM(F146:F149))=0,"",IF(P144&gt;L140,L140,IF(L140="","",IF(L143="","",P144))))</f>
        <v/>
      </c>
      <c r="M144" s="1"/>
      <c r="N144" s="1"/>
      <c r="O144" s="174" t="s">
        <v>251</v>
      </c>
      <c r="P144" s="175">
        <f>IF(L143="",0,((IF(SUMIF(B158,"&gt;0"),N138,0))+(IF(SUMIF(B159,"&gt;0"),N139,0))+(IF(SUMIF(B160,"&gt;0"),N140,0))+(IF(SUMIF(B161,"&gt;0"),N141,0))+(IF(SUMIF(B162,"&gt;0"),N142,0))+(IF(SUMIF(B163,"&gt;0"),N143,0))+(IF(SUMIF(B164,"&gt;0"),P138,0))+(IF(SUMIF(B165,"&gt;0"),P139,0))+(IF(SUMIF(B166,"&gt;0"),P140,0))+(IF(SUMIF(B167,"&gt;0"),P141,0))+(IF(SUMIF(B168,"&gt;0"),P142,0))+(IF(SUMIF(B169,"&gt;0"),P143,0)))/Grundlagen!$C$24)</f>
        <v>0</v>
      </c>
    </row>
    <row r="145" spans="1:16" s="52" customFormat="1" ht="13.5" customHeight="1" x14ac:dyDescent="0.2">
      <c r="A145" s="61" t="s">
        <v>148</v>
      </c>
      <c r="B145" s="1168" t="s">
        <v>149</v>
      </c>
      <c r="C145" s="1168"/>
      <c r="D145" s="62" t="s">
        <v>150</v>
      </c>
      <c r="E145" s="63" t="s">
        <v>151</v>
      </c>
      <c r="F145" s="64" t="str">
        <f>CONCATENATE("Entg. ",N135," h/Wo")</f>
        <v>Entg.  h/Wo</v>
      </c>
      <c r="G145" s="65" t="s">
        <v>152</v>
      </c>
      <c r="H145" s="65" t="s">
        <v>153</v>
      </c>
      <c r="K145" s="1169" t="str">
        <f>CONCATENATE("Zuschläge / Zulagen für ",N135,"h/Wo")</f>
        <v>Zuschläge / Zulagen für h/Wo</v>
      </c>
      <c r="L145" s="1169"/>
      <c r="M145" s="66" t="str">
        <f>IF(A146="","",A146)</f>
        <v>Jan 2022</v>
      </c>
      <c r="N145" s="66" t="str">
        <f>IF(A147="","",A147)</f>
        <v/>
      </c>
      <c r="O145" s="66" t="str">
        <f>IF(A148="","",A148)</f>
        <v/>
      </c>
      <c r="P145" s="66" t="str">
        <f>IF(A149="","",A149)</f>
        <v/>
      </c>
    </row>
    <row r="146" spans="1:16" s="52" customFormat="1" ht="13.5" customHeight="1" x14ac:dyDescent="0.25">
      <c r="A146" s="54" t="str">
        <f>A158</f>
        <v>Jan 2022</v>
      </c>
      <c r="B146" s="1172" t="str">
        <f>IF(B102="","",B102)</f>
        <v/>
      </c>
      <c r="C146" s="1173"/>
      <c r="D146" s="181"/>
      <c r="E146" s="181"/>
      <c r="F146" s="87"/>
      <c r="G146" s="56">
        <f>IF(N135="",0,F146/N135/4.348)</f>
        <v>0</v>
      </c>
      <c r="H146" s="53">
        <f>IF(G146=0,0,M151)</f>
        <v>0</v>
      </c>
      <c r="K146" s="1146"/>
      <c r="L146" s="1146"/>
      <c r="M146" s="86"/>
      <c r="N146" s="86"/>
      <c r="O146" s="86"/>
      <c r="P146" s="86"/>
    </row>
    <row r="147" spans="1:16" s="52" customFormat="1" ht="13.5" customHeight="1" x14ac:dyDescent="0.25">
      <c r="A147" s="55"/>
      <c r="B147" s="1172" t="str">
        <f>IF(A147="","",B146)</f>
        <v/>
      </c>
      <c r="C147" s="1173"/>
      <c r="D147" s="181"/>
      <c r="E147" s="181"/>
      <c r="F147" s="87"/>
      <c r="G147" s="56">
        <f>IF(N135="",0,F147/N135/4.348)</f>
        <v>0</v>
      </c>
      <c r="H147" s="53">
        <f>IF(G147=0,0,N151)</f>
        <v>0</v>
      </c>
      <c r="K147" s="1146"/>
      <c r="L147" s="1146"/>
      <c r="M147" s="86"/>
      <c r="N147" s="86"/>
      <c r="O147" s="86"/>
      <c r="P147" s="86"/>
    </row>
    <row r="148" spans="1:16" s="52" customFormat="1" ht="13.5" customHeight="1" x14ac:dyDescent="0.25">
      <c r="A148" s="55"/>
      <c r="B148" s="1172" t="str">
        <f>IF(A148="","",B147)</f>
        <v/>
      </c>
      <c r="C148" s="1173"/>
      <c r="D148" s="181"/>
      <c r="E148" s="181"/>
      <c r="F148" s="87"/>
      <c r="G148" s="56">
        <f>IF(N135="",0,F148/N135/4.348)</f>
        <v>0</v>
      </c>
      <c r="H148" s="53">
        <f>IF(G148=0,0,O151)</f>
        <v>0</v>
      </c>
      <c r="K148" s="1146"/>
      <c r="L148" s="1146"/>
      <c r="M148" s="86"/>
      <c r="N148" s="86"/>
      <c r="O148" s="86"/>
      <c r="P148" s="86"/>
    </row>
    <row r="149" spans="1:16" s="52" customFormat="1" ht="13.5" customHeight="1" x14ac:dyDescent="0.25">
      <c r="A149" s="55"/>
      <c r="B149" s="1172" t="str">
        <f>IF(A149="","",B148)</f>
        <v/>
      </c>
      <c r="C149" s="1173"/>
      <c r="D149" s="181"/>
      <c r="E149" s="181"/>
      <c r="F149" s="87"/>
      <c r="G149" s="56">
        <f>IF(N135="",0,F149/N135/4.348)</f>
        <v>0</v>
      </c>
      <c r="H149" s="53">
        <f>IF(G149=0,0,P151)</f>
        <v>0</v>
      </c>
      <c r="K149" s="1146"/>
      <c r="L149" s="1146"/>
      <c r="M149" s="86"/>
      <c r="N149" s="86"/>
      <c r="O149" s="86"/>
      <c r="P149" s="86"/>
    </row>
    <row r="150" spans="1:16" s="52" customFormat="1" ht="13.5" customHeight="1" x14ac:dyDescent="0.25">
      <c r="B150" s="1167" t="s">
        <v>157</v>
      </c>
      <c r="C150" s="1167"/>
      <c r="E150" s="1167" t="s">
        <v>156</v>
      </c>
      <c r="F150" s="1167"/>
      <c r="J150" s="69"/>
      <c r="K150" s="1146"/>
      <c r="L150" s="1146"/>
      <c r="M150" s="86"/>
      <c r="N150" s="86"/>
      <c r="O150" s="86"/>
      <c r="P150" s="86"/>
    </row>
    <row r="151" spans="1:16" s="52" customFormat="1" ht="13.5" customHeight="1" x14ac:dyDescent="0.25">
      <c r="A151" s="70" t="s">
        <v>167</v>
      </c>
      <c r="B151" s="67"/>
      <c r="C151" s="99" t="str">
        <f>IF(C107="","",C107)</f>
        <v/>
      </c>
      <c r="D151" s="70" t="s">
        <v>167</v>
      </c>
      <c r="E151" s="67"/>
      <c r="F151" s="99" t="str">
        <f>IF(F107="","",F107)</f>
        <v/>
      </c>
      <c r="J151" s="68"/>
      <c r="M151" s="57">
        <f>SUM(M146:M150)</f>
        <v>0</v>
      </c>
      <c r="N151" s="57">
        <f t="shared" ref="N151:P151" si="16">SUM(N146:N150)</f>
        <v>0</v>
      </c>
      <c r="O151" s="57">
        <f t="shared" si="16"/>
        <v>0</v>
      </c>
      <c r="P151" s="57">
        <f t="shared" si="16"/>
        <v>0</v>
      </c>
    </row>
    <row r="152" spans="1:16" s="52" customFormat="1" ht="13.5" customHeight="1" x14ac:dyDescent="0.2">
      <c r="A152" s="60" t="s">
        <v>155</v>
      </c>
    </row>
    <row r="153" spans="1:16" ht="14.25" customHeight="1" x14ac:dyDescent="0.2">
      <c r="A153" s="1147"/>
      <c r="B153" s="1149" t="s">
        <v>9</v>
      </c>
      <c r="C153" s="1150"/>
      <c r="D153" s="1150"/>
      <c r="E153" s="1150"/>
      <c r="F153" s="1150"/>
      <c r="G153" s="1151"/>
      <c r="H153" s="1152" t="s">
        <v>119</v>
      </c>
      <c r="I153" s="1153"/>
      <c r="J153" s="1153"/>
      <c r="K153" s="1153"/>
      <c r="L153" s="1153"/>
      <c r="M153" s="1153"/>
      <c r="N153" s="1153"/>
      <c r="O153" s="33"/>
      <c r="P153" s="1154" t="s">
        <v>0</v>
      </c>
    </row>
    <row r="154" spans="1:16" ht="14.25" customHeight="1" x14ac:dyDescent="0.2">
      <c r="A154" s="1148"/>
      <c r="B154" s="1157" t="s">
        <v>117</v>
      </c>
      <c r="C154" s="130" t="s">
        <v>115</v>
      </c>
      <c r="D154" s="1159" t="s">
        <v>277</v>
      </c>
      <c r="E154" s="1161" t="s">
        <v>147</v>
      </c>
      <c r="F154" s="134" t="s">
        <v>7</v>
      </c>
      <c r="G154" s="1162" t="s">
        <v>6</v>
      </c>
      <c r="H154" s="1161" t="s">
        <v>129</v>
      </c>
      <c r="I154" s="1161" t="s">
        <v>5</v>
      </c>
      <c r="J154" s="1161" t="s">
        <v>4</v>
      </c>
      <c r="K154" s="1161" t="s">
        <v>3</v>
      </c>
      <c r="L154" s="1161" t="s">
        <v>121</v>
      </c>
      <c r="M154" s="1161" t="s">
        <v>122</v>
      </c>
      <c r="N154" s="1161" t="s">
        <v>123</v>
      </c>
      <c r="O154" s="1160" t="s">
        <v>114</v>
      </c>
      <c r="P154" s="1155"/>
    </row>
    <row r="155" spans="1:16" ht="14.25" customHeight="1" x14ac:dyDescent="0.2">
      <c r="A155" s="1148"/>
      <c r="B155" s="1157"/>
      <c r="C155" s="21" t="str">
        <f>IF(C151="","",C151)</f>
        <v/>
      </c>
      <c r="D155" s="1160"/>
      <c r="E155" s="1161"/>
      <c r="F155" s="1165" t="str">
        <f>IF(H146=0,"","siehe Zuschläge / Zulagen")</f>
        <v/>
      </c>
      <c r="G155" s="1162"/>
      <c r="H155" s="1164" t="s">
        <v>127</v>
      </c>
      <c r="I155" s="1164"/>
      <c r="J155" s="1164"/>
      <c r="K155" s="1164"/>
      <c r="L155" s="1164"/>
      <c r="M155" s="1164"/>
      <c r="N155" s="1164"/>
      <c r="O155" s="1160"/>
      <c r="P155" s="1155"/>
    </row>
    <row r="156" spans="1:16" x14ac:dyDescent="0.2">
      <c r="A156" s="1148"/>
      <c r="B156" s="1157"/>
      <c r="C156" s="128" t="s">
        <v>70</v>
      </c>
      <c r="D156" s="1160"/>
      <c r="E156" s="1161"/>
      <c r="F156" s="1165"/>
      <c r="G156" s="1162"/>
      <c r="H156" s="43" t="s">
        <v>128</v>
      </c>
      <c r="I156" s="43" t="s">
        <v>255</v>
      </c>
      <c r="J156" s="43" t="s">
        <v>256</v>
      </c>
      <c r="K156" s="43" t="s">
        <v>257</v>
      </c>
      <c r="L156" s="43"/>
      <c r="M156" s="43"/>
      <c r="N156" s="43" t="s">
        <v>254</v>
      </c>
      <c r="O156" s="1160"/>
      <c r="P156" s="1155"/>
    </row>
    <row r="157" spans="1:16" x14ac:dyDescent="0.2">
      <c r="A157" s="1148"/>
      <c r="B157" s="1158"/>
      <c r="C157" s="21" t="str">
        <f>IF(F151="","",F151)</f>
        <v/>
      </c>
      <c r="D157" s="51"/>
      <c r="E157" s="51"/>
      <c r="F157" s="1166"/>
      <c r="G157" s="1163"/>
      <c r="H157" s="93"/>
      <c r="I157" s="139">
        <f>$I$25</f>
        <v>0</v>
      </c>
      <c r="J157" s="139">
        <f>$J$25</f>
        <v>0</v>
      </c>
      <c r="K157" s="44">
        <f>$K$25</f>
        <v>0</v>
      </c>
      <c r="L157" s="21"/>
      <c r="M157" s="21"/>
      <c r="N157" s="139">
        <f>$N$25</f>
        <v>0</v>
      </c>
      <c r="O157" s="21">
        <f>O113</f>
        <v>0</v>
      </c>
      <c r="P157" s="1156"/>
    </row>
    <row r="158" spans="1:16" x14ac:dyDescent="0.2">
      <c r="A158" s="100" t="str">
        <f>$A$26</f>
        <v>Jan 2022</v>
      </c>
      <c r="B158" s="24">
        <f>ROUND(IF(N138=0,0,(LOOKUP(2,1/(A146:A149=A158),G146:G149))*N138*4.348),2)</f>
        <v>0</v>
      </c>
      <c r="C158" s="23">
        <f>ROUND(IFERROR(((LOOKUP(2,1/(B151=A158),((SUM(B164:B166)+SUM(F164:F166))/3)*C151))),0)+IFERROR(((LOOKUP(2,1/(E151=A158),(B170+F170)*F151))),0),2)</f>
        <v>0</v>
      </c>
      <c r="D158" s="23">
        <f>ROUND(IF(B158=0,0,D157/L139*N138),2)</f>
        <v>0</v>
      </c>
      <c r="E158" s="23">
        <f>ROUND(IF(B158=0,0,E157/N135*N138),2)</f>
        <v>0</v>
      </c>
      <c r="F158" s="24">
        <f>ROUND(IF(N138=0,0,(LOOKUP(2,1/(A146:A149=A158),H146:H149))/N135*N138),2)</f>
        <v>0</v>
      </c>
      <c r="G158" s="27">
        <f>SUM(B158+C158+E158+F158)</f>
        <v>0</v>
      </c>
      <c r="H158" s="76">
        <f>ROUND(IF((SUM(B158:F158))&gt;L173,L173*H157,SUM(B158:F158)*H157),2)</f>
        <v>0</v>
      </c>
      <c r="I158" s="76">
        <f>ROUND(IF((SUM(B158:F158))&gt;L174,L174*I157,SUM(B158:F158)*I157),2)</f>
        <v>0</v>
      </c>
      <c r="J158" s="76">
        <f>ROUND(IF((SUM(B158:F158))&gt;L174,L174*J157,SUM(B158:F158)*J157),2)</f>
        <v>0</v>
      </c>
      <c r="K158" s="76">
        <f>ROUND(IF((SUM(B158:F158))&gt;L173,L173*K157,SUM(B158:F158)*K157),2)</f>
        <v>0</v>
      </c>
      <c r="L158" s="76">
        <f>ROUND(IF((SUM(B158:F158))&gt;L174,L174*L157,(SUM(B158:F158)-C158)*L157),2)</f>
        <v>0</v>
      </c>
      <c r="M158" s="76">
        <f>ROUND(IF((SUM(B158:F158))&gt;L174,L174*M157,(SUM(B158:F158)-C158)*M157),2)</f>
        <v>0</v>
      </c>
      <c r="N158" s="76">
        <f>ROUND(IF((SUM(B158:F158))&gt;L174,L174*N157,SUM(B158:F158)*N157),2)</f>
        <v>0</v>
      </c>
      <c r="O158" s="23">
        <f>ROUND(SUM(B158+C158+F158)*O157,2)</f>
        <v>0</v>
      </c>
      <c r="P158" s="27">
        <f>SUM(G158:O158)</f>
        <v>0</v>
      </c>
    </row>
    <row r="159" spans="1:16" x14ac:dyDescent="0.2">
      <c r="A159" s="100" t="str">
        <f>$A$27</f>
        <v>Feb 2022</v>
      </c>
      <c r="B159" s="24">
        <f>ROUND(IF(N139=0,0,IFERROR(((LOOKUP(2,1/(A146:A149=A159),G146:G149))*N139*4.348),B158/N139*N139)),2)</f>
        <v>0</v>
      </c>
      <c r="C159" s="23">
        <f>ROUND(IFERROR(((LOOKUP(2,1/(B151=A159),((SUM(B164:B166)+SUM(F164:F166))/3)*C151))),0)+IFERROR(((LOOKUP(2,1/(E151=A159),(B170+F170)*F151))),0),2)</f>
        <v>0</v>
      </c>
      <c r="D159" s="23">
        <f>ROUND(IF(B159=0,0,D157/L139*N139),2)</f>
        <v>0</v>
      </c>
      <c r="E159" s="23">
        <f>ROUND(IF(B159=0,0,E157/N135*N139),2)</f>
        <v>0</v>
      </c>
      <c r="F159" s="24">
        <f>ROUND(IF(N139=0,0,IFERROR(((LOOKUP(2,1/(A146:A149=A159),H146:H149))/N135*N139),F158/N139*N139)),2)</f>
        <v>0</v>
      </c>
      <c r="G159" s="27">
        <f t="shared" ref="G159:G169" si="17">SUM(B159+C159+E159+F159)</f>
        <v>0</v>
      </c>
      <c r="H159" s="76">
        <f>ROUND(IF(SUM(B158:F158)&lt;(L173*1),IF((SUM(B158:F159))&gt;(L173*2),(((L173*2)-(SUM(B158:F159)-C158))*H157)+((SUM(B159:F159)-C158)*H157),SUM(B159:F159)*H157),IF(SUM(B158:F159)&gt;(L173*2),L173*H157,SUM(B159:F159)*H157)),2)</f>
        <v>0</v>
      </c>
      <c r="I159" s="76">
        <f>ROUND(IF(SUM(B158:F158)&lt;(L174*1),IF((SUM(B158:F159))&gt;(L174*2),(((L174*2)-(SUM(B158:F159)-C158))*I157)+((SUM(B159:F159)-C158)*I157),SUM(B159:F159)*I157),IF(SUM(B158:F159)&gt;(L174*2),L174*I157,SUM(B159:F159)*I157)),2)</f>
        <v>0</v>
      </c>
      <c r="J159" s="76">
        <f>ROUND(IF(SUM(B158:F158)&lt;(L174*1),IF((SUM(B158:F159))&gt;(L174*2),(((L174*2)-(SUM(B158:F159)-C158))*J157)+((SUM(B159:F159)-C158)*J157),SUM(B159:F159)*J157),IF(SUM(B158:F159)&gt;(L174*2),L174*J157,SUM(B159:F159)*J157)),2)</f>
        <v>0</v>
      </c>
      <c r="K159" s="76">
        <f>ROUND(IF(SUM(B158:F158)&lt;(L173*1),IF((SUM(B158:F159))&gt;(L173*2),(((L173*2)-(SUM(B158:F159)-C158))*K157)+((SUM(B159:F159)-C158)*K157),SUM(B159:F159)*K157),IF(SUM(B158:F159)&gt;(L173*2),L173*K157,SUM(B159:F159)*K157)),2)</f>
        <v>0</v>
      </c>
      <c r="L159" s="76">
        <f>ROUND(IF(SUM(B158:F158)&lt;(L174*1),IF((SUM(B158:F159))&gt;(L174*2),(((L174*2)-(SUM(B158:F159)-C159))*L157)+((SUM(B159:F159)-C159)*L157),(SUM(B159:F159)-C159)*L157),IF(SUM(B158:F159)&gt;(L174*2),L174*L157,SUM(B159:F159)*L157)),2)</f>
        <v>0</v>
      </c>
      <c r="M159" s="76">
        <f>ROUND(IF(SUM(B158:F158)&lt;(L174*1),IF((SUM(B158:F159))&gt;(L174*2),(((L174*2)-(SUM(B158:F159)-C159))*M157)+((SUM(B159:F159)-C159)*M157),(SUM(B159:F159)-C159)*M157),IF(SUM(B158:F159)&gt;(L174*2),L174*M157,SUM(B159:F159)*M157)),2)</f>
        <v>0</v>
      </c>
      <c r="N159" s="76">
        <f>ROUND(IF(SUM(B158:F158)&lt;(L174*1),IF((SUM(B158:F159))&gt;(L174*2),(((L174*2)-(SUM(B158:F159)-C158))*N157)+((SUM(B159:F159)-C158)*N157),SUM(B159:F159)*N157),IF(SUM(B158:F159)&gt;(L174*2),L174*N157,SUM(B159:F159)*N157)),2)</f>
        <v>0</v>
      </c>
      <c r="O159" s="23">
        <f>ROUND(SUM(B159+C159+F159)*O157,2)</f>
        <v>0</v>
      </c>
      <c r="P159" s="27">
        <f>SUM(G159:O159)</f>
        <v>0</v>
      </c>
    </row>
    <row r="160" spans="1:16" x14ac:dyDescent="0.2">
      <c r="A160" s="100" t="str">
        <f>$A$28</f>
        <v>Mrz 2022</v>
      </c>
      <c r="B160" s="24">
        <f>ROUND(IF(N140=0,0,IFERROR(((LOOKUP(2,1/(A146:A149=A160),G146:G149))*N140*4.348),B159/N140*N140)),2)</f>
        <v>0</v>
      </c>
      <c r="C160" s="23">
        <f>ROUND(IFERROR(((LOOKUP(2,1/(B151=A160),((SUM(B164:B166)+SUM(F164:F166))/3)*C151))),0)+IFERROR(((LOOKUP(2,1/(E151=A160),(B170+F170)*F151))),0),2)</f>
        <v>0</v>
      </c>
      <c r="D160" s="23">
        <f>ROUND(IF(B160=0,0,D157/L139*N140),2)</f>
        <v>0</v>
      </c>
      <c r="E160" s="23">
        <f>ROUND(IF(B160=0,0,E157/N135*N140),2)</f>
        <v>0</v>
      </c>
      <c r="F160" s="24">
        <f>ROUND(IF(N140=0,0,IFERROR(((LOOKUP(2,1/(A146:A149=A160),H146:H149))/N135*N140),F159/N140*N140)),2)</f>
        <v>0</v>
      </c>
      <c r="G160" s="27">
        <f t="shared" si="17"/>
        <v>0</v>
      </c>
      <c r="H160" s="76">
        <f>ROUND(IF(SUM(B158:F159)&lt;(L173*2),IF((SUM(B158:F160))&gt;(L173*3),(((L173*3)-(SUM(B158:F160)-C159))*H157)+((SUM(B160:F160)-C159)*H157),SUM(B160:F160)*H157),IF(SUM(B158:F160)&gt;(L173*3),L173*H157,SUM(B160:F160)*H157)),2)</f>
        <v>0</v>
      </c>
      <c r="I160" s="76">
        <f>ROUND(IF(SUM(B158:F159)&lt;(L174*2),IF((SUM(B158:F160))&gt;(L174*3),(((L174*3)-(SUM(B158:F160)-C159))*I157)+((SUM(B160:F160)-C159)*I157),SUM(B160:F160)*I157),IF(SUM(B158:F160)&gt;(L174*3),L174*I157,SUM(B160:F160)*I157)),2)</f>
        <v>0</v>
      </c>
      <c r="J160" s="76">
        <f>ROUND(IF(SUM(B158:F159)&lt;(L174*2),IF((SUM(B158:F160))&gt;(L174*3),(((L174*3)-(SUM(B158:F160)-C159))*J157)+((SUM(B160:F160)-C159)*J157),SUM(B160:F160)*J157),IF(SUM(B158:F160)&gt;(L174*3),L174*J157,SUM(B160:F160)*J157)),2)</f>
        <v>0</v>
      </c>
      <c r="K160" s="76">
        <f>ROUND(IF(SUM(B158:F159)&lt;(L173*2),IF((SUM(B158:F160))&gt;(L173*3),(((L173*3)-(SUM(B158:F160)-C159))*K157)+((SUM(B160:F160)-C159)*K157),SUM(B160:F160)*K157),IF(SUM(B158:F160)&gt;(L173*3),L173*K157,SUM(B160:F160)*K157)),2)</f>
        <v>0</v>
      </c>
      <c r="L160" s="76">
        <f>ROUND(IF(SUM(B158:F159)&lt;(L174*2),IF((SUM(B158:F160))&gt;(L174*3),(((L174*3)-(SUM(B158:F160)-C160))*L157)+((SUM(B160:F160)-C160)*L157),(SUM(B160:F160)-C160)*L157),IF(SUM(B158:F160)&gt;(L174*3),L174*L157,SUM(B160:F160)*L157)),2)</f>
        <v>0</v>
      </c>
      <c r="M160" s="76">
        <f>ROUND(IF(SUM(B158:F159)&lt;(L174*2),IF((SUM(B158:F160))&gt;(L174*3),(((L174*3)-(SUM(B158:F160)-C160))*M157)+((SUM(B160:F160)-C160)*M157),(SUM(B160:F160)-C160)*M157),IF(SUM(B158:F160)&gt;(L174*3),L174*M157,SUM(B160:F160)*M157)),2)</f>
        <v>0</v>
      </c>
      <c r="N160" s="76">
        <f>ROUND(IF(SUM(B158:F159)&lt;(L174*2),IF((SUM(B158:F160))&gt;(L174*3),(((L174*3)-(SUM(B158:F160)-C159))*N157)+((SUM(B160:F160)-C159)*N157),SUM(B160:F160)*N157),IF(SUM(B158:F160)&gt;(L174*3),L174*N157,SUM(B160:F160)*N157)),2)</f>
        <v>0</v>
      </c>
      <c r="O160" s="23">
        <f>ROUND(SUM(B160+C160+F160)*O157,2)</f>
        <v>0</v>
      </c>
      <c r="P160" s="27">
        <f t="shared" ref="P160:P169" si="18">SUM(G160:O160)</f>
        <v>0</v>
      </c>
    </row>
    <row r="161" spans="1:16" x14ac:dyDescent="0.2">
      <c r="A161" s="100" t="str">
        <f>$A$29</f>
        <v>Apr 2022</v>
      </c>
      <c r="B161" s="24">
        <f>ROUND(IF(N141=0,0,IFERROR(((LOOKUP(2,1/(A146:A149=A161),G146:G149))*N141*4.348),B160/N141*N141)),2)</f>
        <v>0</v>
      </c>
      <c r="C161" s="23">
        <f>ROUND(IFERROR(((LOOKUP(2,1/(B151=A161),((SUM(B164:B166)+SUM(F164:F166))/3)*C151))),0)+IFERROR(((LOOKUP(2,1/(E151=A161),(B170+F170)*F151))),0),2)</f>
        <v>0</v>
      </c>
      <c r="D161" s="23">
        <f>ROUND(IF(B161=0,0,D157/L139*N141),2)</f>
        <v>0</v>
      </c>
      <c r="E161" s="23">
        <f>ROUND(IF(B161=0,0,E157/N135*N141),2)</f>
        <v>0</v>
      </c>
      <c r="F161" s="24">
        <f>ROUND(IF(N141=0,0,IFERROR(((LOOKUP(2,1/(A146:A149=A161),H146:H149))/N135*N141),F160/N141*N141)),2)</f>
        <v>0</v>
      </c>
      <c r="G161" s="27">
        <f t="shared" si="17"/>
        <v>0</v>
      </c>
      <c r="H161" s="76">
        <f>ROUND(IF(SUM(B158:F160)&lt;(L173*3),IF((SUM(B158:F161))&gt;(L173*4),(((L173*4)-(SUM(B158:F161)-C160))*H157)+((SUM(B161:F161)-C160)*H157),SUM(B161:F161)*H157),IF(SUM(B158:F161)&gt;(L173*4),L173*H157,SUM(B161:F161)*H157)),2)</f>
        <v>0</v>
      </c>
      <c r="I161" s="76">
        <f>ROUND(IF(SUM(B158:F160)&lt;(L174*3),IF((SUM(B158:F161))&gt;(L174*4),(((L174*4)-(SUM(B158:F161)-C160))*I157)+((SUM(B161:F161)-C160)*I157),SUM(B161:F161)*I157),IF(SUM(B158:F161)&gt;(L174*4),L174*I157,SUM(B161:F161)*I157)),2)</f>
        <v>0</v>
      </c>
      <c r="J161" s="76">
        <f>ROUND(IF(SUM(B158:F160)&lt;(L174*3),IF((SUM(B158:F161))&gt;(L174*4),(((L174*4)-(SUM(B158:F161)-C160))*J157)+((SUM(B161:F161)-C160)*J157),SUM(B161:F161)*J157),IF(SUM(B158:F161)&gt;(L174*4),L174*J157,SUM(B161:F161)*J157)),2)</f>
        <v>0</v>
      </c>
      <c r="K161" s="76">
        <f>ROUND(IF(SUM(B158:F160)&lt;(L173*3),IF((SUM(B158:F161))&gt;(L173*4),(((L173*4)-(SUM(B158:F161)-C160))*K157)+((SUM(B161:F161)-C160)*K157),SUM(B161:F161)*K157),IF(SUM(B158:F161)&gt;(L173*4),L173*K157,SUM(B161:F161)*K157)),2)</f>
        <v>0</v>
      </c>
      <c r="L161" s="76">
        <f>ROUND(IF(SUM(B158:F160)&lt;(L174*3),IF((SUM(B158:F161))&gt;(L174*4),(((L174*4)-(SUM(B158:F161)-C161))*L157)+((SUM(B161:F161)-C161)*L157),(SUM(B161:F161)-C161)*L157),IF(SUM(B158:F161)&gt;(L174*4),L174*L157,SUM(B161:F161)*L157)),2)</f>
        <v>0</v>
      </c>
      <c r="M161" s="76">
        <f>ROUND(IF(SUM(B158:F160)&lt;(L174*3),IF((SUM(B158:F161))&gt;(L174*4),(((L174*4)-(SUM(B158:F161)-C161))*M157)+((SUM(B161:F161)-C161)*M157),(SUM(B161:F161)-C161)*M157),IF(SUM(B158:F161)&gt;(L174*4),L174*M157,SUM(B161:F161)*M157)),2)</f>
        <v>0</v>
      </c>
      <c r="N161" s="76">
        <f>ROUND(IF(SUM(B158:F160)&lt;(L174*3),IF((SUM(B158:F161))&gt;(L174*4),(((L174*4)-(SUM(B158:F161)-C160))*N157)+((SUM(B161:F161)-C160)*N157),SUM(B161:F161)*N157),IF(SUM(B158:F161)&gt;(L174*4),L174*N157,SUM(B161:F161)*N157)),2)</f>
        <v>0</v>
      </c>
      <c r="O161" s="23">
        <f>ROUND(SUM(B161+C161+F161)*O157,2)</f>
        <v>0</v>
      </c>
      <c r="P161" s="27">
        <f t="shared" si="18"/>
        <v>0</v>
      </c>
    </row>
    <row r="162" spans="1:16" x14ac:dyDescent="0.2">
      <c r="A162" s="100" t="str">
        <f>$A$30</f>
        <v>Mai 2022</v>
      </c>
      <c r="B162" s="24">
        <f>ROUND(IF(N142=0,0,IFERROR(((LOOKUP(2,1/(A146:A149=A162),G146:G149))*N142*4.348),B161/N142*N142)),2)</f>
        <v>0</v>
      </c>
      <c r="C162" s="23">
        <f>ROUND(IFERROR(((LOOKUP(2,1/(B151=A162),((SUM(B164:B166)+SUM(F164:F166))/3)*C151))),0)+IFERROR(((LOOKUP(2,1/(E151=A162),(B170+F170)*F151))),0),2)</f>
        <v>0</v>
      </c>
      <c r="D162" s="23">
        <f>ROUND(IF(B162=0,0,D157/L139*N142),2)</f>
        <v>0</v>
      </c>
      <c r="E162" s="23">
        <f>ROUND(IF(B162=0,0,E157/N135*N142),2)</f>
        <v>0</v>
      </c>
      <c r="F162" s="24">
        <f>ROUND(IF(N142=0,0,IFERROR(((LOOKUP(2,1/(A146:A149=A162),H146:H149))/N135*N142),F161/N142*N142)),2)</f>
        <v>0</v>
      </c>
      <c r="G162" s="27">
        <f t="shared" si="17"/>
        <v>0</v>
      </c>
      <c r="H162" s="76">
        <f>ROUND(IF(SUM(B158:F161)&lt;(L173*4),IF((SUM(B158:F162))&gt;(L173*5),(((L173*5)-(SUM(B158:F162)-C161))*H157)+((SUM(B162:F162)-C161)*H157),SUM(B162:F162)*H157),IF(SUM(B158:F162)&gt;(L173*5),L173*H157,SUM(B162:F162)*H157)),2)</f>
        <v>0</v>
      </c>
      <c r="I162" s="76">
        <f>ROUND(IF(SUM(B158:F161)&lt;(L174*4),IF((SUM(B158:F162))&gt;(L174*5),(((L174*5)-(SUM(B158:F162)-C161))*I157)+((SUM(B162:F162)-C161)*I157),SUM(B162:F162)*I157),IF(SUM(B158:F162)&gt;(L174*5),L174*I157,SUM(B162:F162)*I157)),2)</f>
        <v>0</v>
      </c>
      <c r="J162" s="76">
        <f>ROUND(IF(SUM(B158:F161)&lt;(L174*4),IF((SUM(B158:F162))&gt;(L174*5),(((L174*5)-(SUM(B158:F162)-C161))*J157)+((SUM(B162:F162)-C161)*J157),SUM(B162:F162)*J157),IF(SUM(B158:F162)&gt;(L174*5),L174*J157,SUM(B162:F162)*J157)),2)</f>
        <v>0</v>
      </c>
      <c r="K162" s="76">
        <f>ROUND(IF(SUM(B158:F161)&lt;(L173*4),IF((SUM(B158:F162))&gt;(L173*5),(((L173*5)-(SUM(B158:F162)-C161))*K157)+((SUM(B162:F162)-C161)*K157),SUM(B162:F162)*K157),IF(SUM(B158:F162)&gt;(L173*5),L173*K157,SUM(B162:F162)*K157)),2)</f>
        <v>0</v>
      </c>
      <c r="L162" s="76">
        <f>ROUND(IF(SUM(B158:F161)&lt;(L174*4),IF((SUM(B158:F162))&gt;(L174*5),(((L174*5)-(SUM(B158:F162)-C162))*L157)+((SUM(B162:F162)-C162)*L157),(SUM(B162:F162)-C162)*L157),IF(SUM(B158:F162)&gt;(L174*5),L174*L157,SUM(B162:F162)*L157)),2)</f>
        <v>0</v>
      </c>
      <c r="M162" s="76">
        <f>ROUND(IF(SUM(B158:F161)&lt;(L174*4),IF((SUM(B158:F162))&gt;(L174*5),(((L174*5)-(SUM(B158:F162)-C162))*M157)+((SUM(B162:F162)-C162)*M157),(SUM(B162:F162)-C162)*M157),IF(SUM(B158:F162)&gt;(L174*5),L174*M157,SUM(B162:F162)*M157)),2)</f>
        <v>0</v>
      </c>
      <c r="N162" s="76">
        <f>ROUND(IF(SUM(B158:F161)&lt;(L174*4),IF((SUM(B158:F162))&gt;(L174*5),(((L174*5)-(SUM(B158:F162)-C161))*N157)+((SUM(B162:F162)-C161)*N157),SUM(B162:F162)*N157),IF(SUM(B158:F162)&gt;(L174*5),L174*N157,SUM(B162:F162)*N157)),2)</f>
        <v>0</v>
      </c>
      <c r="O162" s="23">
        <f>ROUND(SUM(B162+C162+F162)*O157,2)</f>
        <v>0</v>
      </c>
      <c r="P162" s="27">
        <f t="shared" si="18"/>
        <v>0</v>
      </c>
    </row>
    <row r="163" spans="1:16" x14ac:dyDescent="0.2">
      <c r="A163" s="100" t="str">
        <f>$A$31</f>
        <v>Jun 2022</v>
      </c>
      <c r="B163" s="24">
        <f>ROUND(IF(N143=0,0,IFERROR(((LOOKUP(2,1/(A146:A149=A163),G146:G149))*N143*4.348),B162/N143*N143)),2)</f>
        <v>0</v>
      </c>
      <c r="C163" s="23">
        <f>ROUND(IFERROR(((LOOKUP(2,1/(B151=A163),((SUM(B164:B166)+SUM(F164:F166))/3)*C151))),0)+IFERROR(((LOOKUP(2,1/(E151=A163),(B170+F170)*F151))),0),2)</f>
        <v>0</v>
      </c>
      <c r="D163" s="23">
        <f>ROUND(IF(B163=0,0,D157/L139*N143),2)</f>
        <v>0</v>
      </c>
      <c r="E163" s="23">
        <f>ROUND(IF(B163=0,0,E157/N135*N143),2)</f>
        <v>0</v>
      </c>
      <c r="F163" s="24">
        <f>ROUND(IF(N143=0,0,IFERROR(((LOOKUP(2,1/(A146:A149=A163),H146:H149))/N135*N143),F162/N143*N143)),2)</f>
        <v>0</v>
      </c>
      <c r="G163" s="27">
        <f t="shared" si="17"/>
        <v>0</v>
      </c>
      <c r="H163" s="76">
        <f>ROUND(IF(SUM(B158:F162)&lt;(L173*5),IF((SUM(B158:F163))&gt;(L173*6),(((L173*6)-(SUM(B158:F163)-C162))*H157)+((SUM(B163:F163)-C162)*H157),SUM(B163:F163)*H157),IF(SUM(B158:F163)&gt;(L173*6),L173*H157,SUM(B163:F163)*H157)),2)</f>
        <v>0</v>
      </c>
      <c r="I163" s="76">
        <f>ROUND(IF(SUM(B158:F162)&lt;(L174*5),IF((SUM(B158:F163))&gt;(L174*6),(((L174*6)-(SUM(B158:F163)-C162))*I157)+((SUM(B163:F163)-C162)*I157),SUM(B163:F163)*I157),IF(SUM(B158:F163)&gt;(L174*6),L174*I157,SUM(B163:F163)*I157)),2)</f>
        <v>0</v>
      </c>
      <c r="J163" s="76">
        <f>ROUND(IF(SUM(B158:F162)&lt;(L174*5),IF((SUM(B158:F163))&gt;(L174*6),(((L174*6)-(SUM(B158:F163)-C162))*J157)+((SUM(B163:F163)-C162)*J157),SUM(B163:F163)*J157),IF(SUM(B158:F163)&gt;(L174*6),L174*J157,SUM(B163:F163)*J157)),2)</f>
        <v>0</v>
      </c>
      <c r="K163" s="76">
        <f>ROUND(IF(SUM(B158:F162)&lt;(L173*5),IF((SUM(B158:F163))&gt;(L173*6),(((L173*6)-(SUM(B158:F163)-C162))*K157)+((SUM(B163:F163)-C162)*K157),SUM(B163:F163)*K157),IF(SUM(B158:F163)&gt;(L173*6),L173*K157,SUM(B163:F163)*K157)),2)</f>
        <v>0</v>
      </c>
      <c r="L163" s="76">
        <f>ROUND(IF(SUM(B158:F162)&lt;(L174*5),IF((SUM(B158:F163))&gt;(L174*6),(((L174*6)-(SUM(B158:F163)-C163))*L157)+((SUM(B163:F163)-C163)*L157),(SUM(B163:F163)-C163)*L157),IF(SUM(B158:F163)&gt;(L174*6),L174*L157,SUM(B163:F163)*L157)),2)</f>
        <v>0</v>
      </c>
      <c r="M163" s="76">
        <f>ROUND(IF(SUM(B158:F162)&lt;(L174*5),IF((SUM(B158:F163))&gt;(L174*6),(((L174*6)-(SUM(B158:F163)-C163))*M157)+((SUM(B163:F163)-C163)*M157),(SUM(B163:F163)-C163)*M157),IF(SUM(B158:F163)&gt;(L174*6),L174*M157,SUM(B163:F163)*M157)),2)</f>
        <v>0</v>
      </c>
      <c r="N163" s="76">
        <f>ROUND(IF(SUM(B158:F162)&lt;(L174*5),IF((SUM(B158:F163))&gt;(L174*6),(((L174*6)-(SUM(B158:F163)-C162))*N157)+((SUM(B163:F163)-C162)*N157),SUM(B163:F163)*N157),IF(SUM(B158:F163)&gt;(L174*6),L174*N157,SUM(B163:F163)*N157)),2)</f>
        <v>0</v>
      </c>
      <c r="O163" s="23">
        <f>ROUND(SUM(B163+C163+F163)*O157,2)</f>
        <v>0</v>
      </c>
      <c r="P163" s="27">
        <f t="shared" si="18"/>
        <v>0</v>
      </c>
    </row>
    <row r="164" spans="1:16" x14ac:dyDescent="0.2">
      <c r="A164" s="100" t="str">
        <f>$A$32</f>
        <v>Jul 2022</v>
      </c>
      <c r="B164" s="24">
        <f>ROUND(IF(P138=0,0,IFERROR(((LOOKUP(2,1/(A146:A149=A164),G146:G149))*P138*4.348),B163/P138*P138)),2)</f>
        <v>0</v>
      </c>
      <c r="C164" s="23">
        <f>ROUND(IFERROR(((LOOKUP(2,1/(B151=A164),((SUM(B164:B166)+SUM(F164:F166))/3)*C151))),0)+IFERROR(((LOOKUP(2,1/(E151=A164),(B170+F170)*F151))),0),2)</f>
        <v>0</v>
      </c>
      <c r="D164" s="23">
        <f>ROUND(IF(B164=0,0,D157/L139*P138),2)</f>
        <v>0</v>
      </c>
      <c r="E164" s="23">
        <f>ROUND(IF(B164=0,0,E157/N135*P138),2)</f>
        <v>0</v>
      </c>
      <c r="F164" s="24">
        <f>ROUND(IF(P138=0,0,IFERROR(((LOOKUP(2,1/(A146:A149=A164),H146:H149))/N135*P138),F163/P138*P138)),2)</f>
        <v>0</v>
      </c>
      <c r="G164" s="27">
        <f t="shared" si="17"/>
        <v>0</v>
      </c>
      <c r="H164" s="76">
        <f>ROUND(IF(SUM(B158:F163)&lt;(L173*6),IF((SUM(B158:F164))&gt;(L173*7),(((L173*7)-(SUM(B158:F164)-C163))*H157)+((SUM(B164:F164)-C163)*H157),SUM(B164:F164)*H157),IF(SUM(B158:F164)&gt;(L173*7),L173*H157,SUM(B164:F164)*H157)),2)</f>
        <v>0</v>
      </c>
      <c r="I164" s="76">
        <f>ROUND(IF(SUM(B158:F163)&lt;(L174*6),IF((SUM(B158:F164))&gt;(L174*7),(((L174*7)-(SUM(B158:F164)-C163))*I157)+((SUM(B164:F164)-C163)*I157),SUM(B164:F164)*I157),IF(SUM(B158:F164)&gt;(L174*7),L174*I157,SUM(B164:F164)*I157)),2)</f>
        <v>0</v>
      </c>
      <c r="J164" s="76">
        <f>ROUND(IF(SUM(B158:F163)&lt;(L174*6),IF((SUM(B158:F164))&gt;(L174*7),(((L174*7)-(SUM(B158:F164)-C163))*J157)+((SUM(B164:F164)-C163)*J157),SUM(B164:F164)*J157),IF(SUM(B158:F164)&gt;(L174*7),L174*J157,SUM(B164:F164)*J157)),2)</f>
        <v>0</v>
      </c>
      <c r="K164" s="76">
        <f>ROUND(IF(SUM(B158:F163)&lt;(L173*6),IF((SUM(B158:F164))&gt;(L173*7),(((L173*7)-(SUM(B158:F164)-C163))*K157)+((SUM(B164:F164)-C163)*K157),SUM(B164:F164)*K157),IF(SUM(B158:F164)&gt;(L173*7),L173*K157,SUM(B164:F164)*K157)),2)</f>
        <v>0</v>
      </c>
      <c r="L164" s="76">
        <f>ROUND(IF(SUM(B158:F163)&lt;(L174*6),IF((SUM(B158:F164))&gt;(L174*7),(((L174*7)-(SUM(B158:F164)-C164))*L157)+((SUM(B164:F164)-C164)*L157),(SUM(B164:F164)-C164)*L157),IF(SUM(B158:F164)&gt;(L174*7),L174*L157,SUM(B164:F164)*L157)),2)</f>
        <v>0</v>
      </c>
      <c r="M164" s="76">
        <f>ROUND(IF(SUM(B158:F163)&lt;(L174*6),IF((SUM(B158:F164))&gt;(L174*7),(((L174*7)-(SUM(B158:F164)-C164))*M157)+((SUM(B164:F164)-C164)*M157),(SUM(B164:F164)-C164)*M157),IF(SUM(B158:F164)&gt;(L174*7),L174*M157,SUM(B164:F164)*M157)),2)</f>
        <v>0</v>
      </c>
      <c r="N164" s="76">
        <f>ROUND(IF(SUM(B158:F163)&lt;(L174*6),IF((SUM(B158:F164))&gt;(L174*7),(((L174*7)-(SUM(B158:F164)-C163))*N157)+((SUM(B164:F164)-C163)*N157),SUM(B164:F164)*N157),IF(SUM(B158:F164)&gt;(L174*7),L174*N157,SUM(B164:F164)*N157)),2)</f>
        <v>0</v>
      </c>
      <c r="O164" s="23">
        <f>ROUND(SUM(B164+C164+F164)*O157,2)</f>
        <v>0</v>
      </c>
      <c r="P164" s="27">
        <f t="shared" si="18"/>
        <v>0</v>
      </c>
    </row>
    <row r="165" spans="1:16" x14ac:dyDescent="0.2">
      <c r="A165" s="100" t="str">
        <f>$A$33</f>
        <v>Aug 2022</v>
      </c>
      <c r="B165" s="24">
        <f>ROUND(IF(P139=0,0,IFERROR(((LOOKUP(2,1/(A146:A149=A165),G146:G149))*P139*4.348),B164/P139*P139)),2)</f>
        <v>0</v>
      </c>
      <c r="C165" s="23">
        <f>ROUND(IFERROR(((LOOKUP(2,1/(B151=A165),((SUM(B164:B166)+SUM(F164:F166))/3)*C151))),0)+IFERROR(((LOOKUP(2,1/(E151=A165),(B170+F170)*F151))),0),2)</f>
        <v>0</v>
      </c>
      <c r="D165" s="23">
        <f>ROUND(IF(B165=0,0,D157/L139*P139),2)</f>
        <v>0</v>
      </c>
      <c r="E165" s="23">
        <f>ROUND(IF(B165=0,0,E157/N135*P139),2)</f>
        <v>0</v>
      </c>
      <c r="F165" s="24">
        <f>ROUND(IF(P139=0,0,IFERROR(((LOOKUP(2,1/(A146:A149=A165),H146:H149))/N135*P139),F164/P139*P139)),2)</f>
        <v>0</v>
      </c>
      <c r="G165" s="27">
        <f t="shared" si="17"/>
        <v>0</v>
      </c>
      <c r="H165" s="76">
        <f>ROUND(IF(SUM(B158:F164)&lt;(L173*7),IF((SUM(B158:F165))&gt;(L173*8),(((L173*8)-(SUM(B158:F165)-C164))*H157)+((SUM(B165:F165)-C164)*H157),SUM(B165:F165)*H157),IF(SUM(B158:F165)&gt;(L173*8),L173*H157,SUM(B165:F165)*H157)),2)</f>
        <v>0</v>
      </c>
      <c r="I165" s="76">
        <f>ROUND(IF(SUM(B158:F164)&lt;(L174*7),IF((SUM(B158:F165))&gt;(L174*8),(((L174*8)-(SUM(B158:F165)-C164))*I157)+((SUM(B165:F165)-C164)*I157),SUM(B165:F165)*I157),IF(SUM(B158:F165)&gt;(L174*8),L174*I157,SUM(B165:F165)*I157)),2)</f>
        <v>0</v>
      </c>
      <c r="J165" s="76">
        <f>ROUND(IF(SUM(B158:F164)&lt;(L174*7),IF((SUM(B158:F165))&gt;(L174*8),(((L174*8)-(SUM(B158:F165)-C164))*J157)+((SUM(B165:F165)-C164)*J157),SUM(B165:F165)*J157),IF(SUM(B158:F165)&gt;(L174*8),L174*J157,SUM(B165:F165)*J157)),2)</f>
        <v>0</v>
      </c>
      <c r="K165" s="76">
        <f>ROUND(IF(SUM(B158:F164)&lt;(L173*7),IF((SUM(B158:F165))&gt;(L173*8),(((L173*8)-(SUM(B158:F165)-C164))*K157)+((SUM(B165:F165)-C164)*K157),SUM(B165:F165)*K157),IF(SUM(B158:F165)&gt;(L173*8),L173*K157,SUM(B165:F165)*K157)),2)</f>
        <v>0</v>
      </c>
      <c r="L165" s="76">
        <f>ROUND(IF(SUM(B158:F164)&lt;(L174*7),IF((SUM(B158:F165))&gt;(L174*8),(((L174*8)-(SUM(B158:F165)-C165))*L157)+((SUM(B165:F165)-C165)*L157),(SUM(B165:F165)-C165)*L157),IF(SUM(B158:F165)&gt;(L174*8),L174*L157,SUM(B165:F165)*L157)),2)</f>
        <v>0</v>
      </c>
      <c r="M165" s="76">
        <f>ROUND(IF(SUM(B158:F164)&lt;(L174*7),IF((SUM(B158:F165))&gt;(L174*8),(((L174*8)-(SUM(B158:F165)-C165))*M157)+((SUM(B165:F165)-C165)*M157),(SUM(B165:F165)-C165)*M157),IF(SUM(B158:F165)&gt;(L174*8),L174*M157,SUM(B165:F165)*M157)),2)</f>
        <v>0</v>
      </c>
      <c r="N165" s="76">
        <f>ROUND(IF(SUM(B158:F164)&lt;(L174*7),IF((SUM(B158:F165))&gt;(L174*8),(((L174*8)-(SUM(B158:F165)-C164))*N157)+((SUM(B165:F165)-C164)*N157),SUM(B165:F165)*N157),IF(SUM(B158:F165)&gt;(L174*8),L174*N157,SUM(B165:F165)*N157)),2)</f>
        <v>0</v>
      </c>
      <c r="O165" s="23">
        <f>ROUND(SUM(B165+C165+F165)*O157,2)</f>
        <v>0</v>
      </c>
      <c r="P165" s="27">
        <f t="shared" si="18"/>
        <v>0</v>
      </c>
    </row>
    <row r="166" spans="1:16" x14ac:dyDescent="0.2">
      <c r="A166" s="100" t="str">
        <f>$A$34</f>
        <v>Sep 2022</v>
      </c>
      <c r="B166" s="24">
        <f>ROUND(IF(P140=0,0,IFERROR(((LOOKUP(2,1/(A146:A149=A166),G146:G149))*P140*4.348),B165/P140*P140)),2)</f>
        <v>0</v>
      </c>
      <c r="C166" s="23">
        <f>ROUND(IFERROR(((LOOKUP(2,1/(B151=A166),((SUM(B164:B166)+SUM(F164:F166))/3)*C151))),0)+IFERROR(((LOOKUP(2,1/(E151=A166),(B170+F170)*F151))),0),2)</f>
        <v>0</v>
      </c>
      <c r="D166" s="23">
        <f>ROUND(IF(B166=0,0,D157/L139*P140),2)</f>
        <v>0</v>
      </c>
      <c r="E166" s="23">
        <f>ROUND(IF(B166=0,0,E157/N135*P140),2)</f>
        <v>0</v>
      </c>
      <c r="F166" s="24">
        <f>ROUND(IF(P140=0,0,IFERROR(((LOOKUP(2,1/(A146:A149=A166),H146:H149))/N135*P140),F165/P140*P140)),2)</f>
        <v>0</v>
      </c>
      <c r="G166" s="27">
        <f t="shared" si="17"/>
        <v>0</v>
      </c>
      <c r="H166" s="76">
        <f>ROUND(IF(SUM(B158:F165)&lt;(L173*8),IF((SUM(B158:F166))&gt;(L173*9),(((L173*9)-(SUM(B158:F166)-C165))*H157)+((SUM(B166:F166)-C165)*H157),SUM(B166:F166)*H157),IF(SUM(B158:F166)&gt;(L173*9),L173*H157,SUM(B166:F166)*H157)),2)</f>
        <v>0</v>
      </c>
      <c r="I166" s="76">
        <f>ROUND(IF(SUM(B158:F165)&lt;(L174*8),IF((SUM(B158:F166))&gt;(L174*9),(((L174*9)-(SUM(B158:F166)-C165))*I157)+((SUM(B166:F166)-C165)*I157),SUM(B166:F166)*I157),IF(SUM(B158:F166)&gt;(L174*9),L174*I157,SUM(B166:F166)*I157)),2)</f>
        <v>0</v>
      </c>
      <c r="J166" s="76">
        <f>ROUND(IF(SUM(B158:F165)&lt;(L174*8),IF((SUM(B158:F166))&gt;(L174*9),(((L174*9)-(SUM(B158:F166)-C165))*J157)+((SUM(B166:F166)-C165)*J157),SUM(B166:F166)*J157),IF(SUM(B158:F166)&gt;(L174*9),L174*J157,SUM(B166:F166)*J157)),2)</f>
        <v>0</v>
      </c>
      <c r="K166" s="76">
        <f>ROUND(IF(SUM(B158:F165)&lt;(L173*8),IF((SUM(B158:F166))&gt;(L173*9),(((L173*9)-(SUM(B158:F166)-C165))*K157)+((SUM(B166:F166)-C165)*K157),SUM(B166:F166)*K157),IF(SUM(B158:F166)&gt;(L173*9),L173*K157,SUM(B166:F166)*K157)),2)</f>
        <v>0</v>
      </c>
      <c r="L166" s="76">
        <f>ROUND(IF(SUM(B158:F165)&lt;(L174*8),IF((SUM(B158:F166))&gt;(L174*9),(((L174*9)-(SUM(B158:F166)-C166))*L157)+((SUM(B166:F166)-C166)*L157),(SUM(B166:F166)-C166)*L157),IF(SUM(B158:F166)&gt;(L174*9),L174*L157,SUM(B166:F166)*L157)),2)</f>
        <v>0</v>
      </c>
      <c r="M166" s="76">
        <f>ROUND(IF(SUM(B158:F165)&lt;(L174*8),IF((SUM(B158:F166))&gt;(L174*9),(((L174*9)-(SUM(B158:F166)-C166))*M157)+((SUM(B166:F166)-C166)*M157),(SUM(B166:F166)-C166)*M157),IF(SUM(B158:F166)&gt;(L174*9),L174*M157,SUM(B166:F166)*M157)),2)</f>
        <v>0</v>
      </c>
      <c r="N166" s="76">
        <f>ROUND(IF(SUM(B158:F165)&lt;(L174*8),IF((SUM(B158:F166))&gt;(L174*9),(((L174*9)-(SUM(B158:F166)-C165))*N157)+((SUM(B166:F166)-C165)*N157),SUM(B166:F166)*N157),IF(SUM(B158:F166)&gt;(L174*9),L174*N157,SUM(B166:F166)*N157)),2)</f>
        <v>0</v>
      </c>
      <c r="O166" s="23">
        <f>ROUND(SUM(B166+C166+F166)*O157,2)</f>
        <v>0</v>
      </c>
      <c r="P166" s="27">
        <f t="shared" si="18"/>
        <v>0</v>
      </c>
    </row>
    <row r="167" spans="1:16" x14ac:dyDescent="0.2">
      <c r="A167" s="100" t="str">
        <f>$A$35</f>
        <v>Okt 2022</v>
      </c>
      <c r="B167" s="24">
        <f>ROUND(IF(P141=0,0,IFERROR(((LOOKUP(2,1/(A146:A149=A167),G146:G149))*P141*4.348),B166/P141*P141)),2)</f>
        <v>0</v>
      </c>
      <c r="C167" s="23">
        <f>ROUND(IFERROR(((LOOKUP(2,1/(B151=A167),((SUM(B164:B166)+SUM(F164:F166))/3)*C151))),0)+IFERROR(((LOOKUP(2,1/(E151=A167),(B170+F170)*F151))),0),2)</f>
        <v>0</v>
      </c>
      <c r="D167" s="23">
        <f>ROUND(IF(B167=0,0,D157/L139*P141),2)</f>
        <v>0</v>
      </c>
      <c r="E167" s="23">
        <f>ROUND(IF(B167=0,0,E157/N135*P141),2)</f>
        <v>0</v>
      </c>
      <c r="F167" s="24">
        <f>ROUND(IF(P141=0,0,IFERROR(((LOOKUP(2,1/(A146:A149=A167),H146:H149))/N135*P141),F166/P141*P141)),2)</f>
        <v>0</v>
      </c>
      <c r="G167" s="27">
        <f t="shared" si="17"/>
        <v>0</v>
      </c>
      <c r="H167" s="76">
        <f>ROUND(IF(SUM(B158:F166)&lt;(L173*9),IF((SUM(B158:F167))&gt;(L173*10),(((L173*10)-(SUM(B158:F167)-C166))*H157)+((SUM(B167:F167)-C166)*H157),SUM(B167:F167)*H157),IF(SUM(B158:F167)&gt;(L173*10),L173*H157,SUM(B167:F167)*H157)),2)</f>
        <v>0</v>
      </c>
      <c r="I167" s="76">
        <f>ROUND(IF(SUM(B158:F166)&lt;(L174*9),IF((SUM(B158:F167))&gt;(L174*10),(((L174*10)-(SUM(B158:F167)-C166))*I157)+((SUM(B167:F167)-C166)*I157),SUM(B167:F167)*I157),IF(SUM(B158:F167)&gt;(L174*10),L174*I157,SUM(B167:F167)*I157)),2)</f>
        <v>0</v>
      </c>
      <c r="J167" s="76">
        <f>ROUND(IF(SUM(B158:F166)&lt;(L174*9),IF((SUM(B158:F167))&gt;(L174*10),(((L174*10)-(SUM(B158:F167)-C166))*J157)+((SUM(B167:F167)-C166)*J157),SUM(B167:F167)*J157),IF(SUM(B158:F167)&gt;(L174*10),L174*J157,SUM(B167:F167)*J157)),2)</f>
        <v>0</v>
      </c>
      <c r="K167" s="76">
        <f>ROUND(IF(SUM(B158:F166)&lt;(L173*9),IF((SUM(B158:F167))&gt;(L173*10),(((L173*10)-(SUM(B158:F167)-C166))*K157)+((SUM(B167:F167)-C166)*K157),SUM(B167:F167)*K157),IF(SUM(B158:F167)&gt;(L173*10),L173*K157,SUM(B167:F167)*K157)),2)</f>
        <v>0</v>
      </c>
      <c r="L167" s="76">
        <f>ROUND(IF(SUM(B158:F166)&lt;(L174*9),IF((SUM(B158:F167))&gt;(L174*10),(((L174*10)-(SUM(B158:F167)-C167))*L157)+((SUM(B167:F167)-C167)*L157),(SUM(B167:F167)-C167)*L157),IF(SUM(B158:F167)&gt;(L174*10),L174*L157,SUM(B167:F167)*L157)),2)</f>
        <v>0</v>
      </c>
      <c r="M167" s="76">
        <f>ROUND(IF(SUM(B158:F166)&lt;(L174*9),IF((SUM(B158:F167))&gt;(L174*10),(((L174*10)-(SUM(B158:F167)-C167))*M157)+((SUM(B167:F167)-C167)*M157),(SUM(B167:F167)-C167)*M157),IF(SUM(B158:F167)&gt;(L174*10),L174*M157,SUM(B167:F167)*M157)),2)</f>
        <v>0</v>
      </c>
      <c r="N167" s="76">
        <f>ROUND(IF(SUM(B158:F166)&lt;(L174*9),IF((SUM(B158:F167))&gt;(L174*10),(((L174*10)-(SUM(B158:F167)-C166))*N157)+((SUM(B167:F167)-C166)*N157),SUM(B167:F167)*N157),IF(SUM(B158:F167)&gt;(L174*10),L174*N157,SUM(B167:F167)*N157)),2)</f>
        <v>0</v>
      </c>
      <c r="O167" s="23">
        <f>ROUND(SUM(B167+C167+F167)*O157,2)</f>
        <v>0</v>
      </c>
      <c r="P167" s="27">
        <f t="shared" si="18"/>
        <v>0</v>
      </c>
    </row>
    <row r="168" spans="1:16" x14ac:dyDescent="0.2">
      <c r="A168" s="100" t="str">
        <f>$A$36</f>
        <v>Nov 2022</v>
      </c>
      <c r="B168" s="24">
        <f>ROUND(IF(P142=0,0,IFERROR(((LOOKUP(2,1/(A146:A149=A168),G146:G149))*P142*4.348),B167/P142*P142)),2)</f>
        <v>0</v>
      </c>
      <c r="C168" s="23">
        <f>ROUND(IFERROR(((LOOKUP(2,1/(B151=A168),((SUM(B164:B166)+SUM(F164:F166))/3)*C151))),0)+IFERROR(((LOOKUP(2,1/(E151=A168),(B170+F170)*F151))),0),2)</f>
        <v>0</v>
      </c>
      <c r="D168" s="23">
        <f>ROUND(IF(B168=0,0,D157/L139*P142),2)</f>
        <v>0</v>
      </c>
      <c r="E168" s="23">
        <f>ROUND(IF(B168=0,0,E157/N135*P142),2)</f>
        <v>0</v>
      </c>
      <c r="F168" s="24">
        <f>ROUND(IF(P142=0,0,IFERROR(((LOOKUP(2,1/(A146:A149=A168),H146:H149))/N135*P142),F167/P142*P142)),2)</f>
        <v>0</v>
      </c>
      <c r="G168" s="27">
        <f t="shared" si="17"/>
        <v>0</v>
      </c>
      <c r="H168" s="76">
        <f>ROUND(IF(SUM(B158:F167)&lt;(L173*10),IF((SUM(B158:F168))&gt;(L173*11),(((L173*11)-(SUM(B158:F168)-C167))*H157)+((SUM(B168:F168)-C167)*H157),SUM(B168:F168)*H157),IF(SUM(B158:F168)&gt;(L173*11),L173*H157,SUM(B168:F168)*H157)),2)</f>
        <v>0</v>
      </c>
      <c r="I168" s="76">
        <f>ROUND(IF(SUM(B158:F167)&lt;(L174*10),IF((SUM(B158:F168))&gt;(L174*11),(((L174*11)-(SUM(B158:F168)-C167))*I157)+((SUM(B168:F168)-C167)*I157),SUM(B168:F168)*I157),IF(SUM(B158:F168)&gt;(L174*11),L174*I157,SUM(B168:F168)*I157)),2)</f>
        <v>0</v>
      </c>
      <c r="J168" s="76">
        <f>ROUND(IF(SUM(B158:F167)&lt;(L174*10),IF((SUM(B158:F168))&gt;(L174*11),(((L174*11)-(SUM(B158:F168)-C167))*J157)+((SUM(B168:F168)-C167)*J157),SUM(B168:F168)*J157),IF(SUM(B158:F168)&gt;(L174*11),L174*J157,SUM(B168:F168)*J157)),2)</f>
        <v>0</v>
      </c>
      <c r="K168" s="76">
        <f>ROUND(IF(SUM(B158:F167)&lt;(L173*10),IF((SUM(B158:F168))&gt;(L173*11),(((L173*11)-(SUM(B158:F168)-C167))*K157)+((SUM(B168:F168)-C167)*K157),SUM(B168:F168)*K157),IF(SUM(B158:F168)&gt;(L173*11),L173*K157,SUM(B168:F168)*K157)),2)</f>
        <v>0</v>
      </c>
      <c r="L168" s="76">
        <f>ROUND(IF(SUM(B158:F167)&lt;(L174*10),IF((SUM(B158:F168))&gt;(L174*11),(((L174*11)-(SUM(B158:F168)-C168))*L157)+((SUM(B168:F168)-C168)*L157),(SUM(B168:F168)-C168)*L157),IF(SUM(B158:F168)&gt;(L174*11),L174*L157,SUM(B168:F168)*L157)),2)</f>
        <v>0</v>
      </c>
      <c r="M168" s="76">
        <f>ROUND(IF(SUM(B158:F167)&lt;(L174*10),IF((SUM(B158:F168))&gt;(L174*11),(((L174*11)-(SUM(B158:F168)-C168))*M157)+((SUM(B168:F168)-C168)*M157),(SUM(B168:F168)-C168)*M157),IF(SUM(B158:F168)&gt;(L174*11),L174*M157,SUM(B168:F168)*M157)),2)</f>
        <v>0</v>
      </c>
      <c r="N168" s="76">
        <f>ROUND(IF(SUM(B158:F167)&lt;(L174*10),IF((SUM(B158:F168))&gt;(L174*11),(((L174*11)-(SUM(B158:F168)-C167))*N157)+((SUM(B168:F168)-C167)*N157),SUM(B168:F168)*N157),IF(SUM(B158:F168)&gt;(L174*11),L174*N157,SUM(B168:F168)*N157)),2)</f>
        <v>0</v>
      </c>
      <c r="O168" s="23">
        <f>ROUND(SUM(B168+C168+F168)*O157,2)</f>
        <v>0</v>
      </c>
      <c r="P168" s="27">
        <f t="shared" si="18"/>
        <v>0</v>
      </c>
    </row>
    <row r="169" spans="1:16" x14ac:dyDescent="0.2">
      <c r="A169" s="100" t="str">
        <f>$A$37</f>
        <v>Dez 2022</v>
      </c>
      <c r="B169" s="24">
        <f>ROUND(IF(P143=0,0,IFERROR(((LOOKUP(2,1/(A146:A149=A169),G146:G149))*P143*4.348),B168/P143*P143)),2)</f>
        <v>0</v>
      </c>
      <c r="C169" s="23">
        <f>ROUND(IFERROR(((LOOKUP(2,1/(B151=A169),((SUM(B164:B166)+SUM(F164:F166))/3)*C151))),0)+IFERROR(((LOOKUP(2,1/(E151=A169),(B170+F170)*F151))),0),2)</f>
        <v>0</v>
      </c>
      <c r="D169" s="23">
        <f>ROUND(IF(B169=0,0,D157/L139*P143),2)</f>
        <v>0</v>
      </c>
      <c r="E169" s="23">
        <f>ROUND(IF(B169=0,0,E157/N135*P143),2)</f>
        <v>0</v>
      </c>
      <c r="F169" s="24">
        <f>ROUND(IF(P143=0,0,IFERROR(((LOOKUP(2,1/(A146:A149=A169),H146:H149))/N135*P143),F168/P143*P143)),2)</f>
        <v>0</v>
      </c>
      <c r="G169" s="27">
        <f t="shared" si="17"/>
        <v>0</v>
      </c>
      <c r="H169" s="76">
        <f>ROUND(IF(SUM(B158:F168)&lt;(L173*11),IF((SUM(B158:F169))&gt;(L173*12),(((L173*12)-(SUM(B158:F169)-C168))*H157)+((SUM(B169:F169)-C168)*H157),SUM(B169:F169)*H157),IF(SUM(B158:F169)&gt;(L173*12),L173*H157,SUM(B169:F169)*H157)),2)</f>
        <v>0</v>
      </c>
      <c r="I169" s="76">
        <f>ROUND(IF(SUM(B158:F168)&lt;(L174*11),IF((SUM(B158:F169))&gt;(L174*12),(((L174*12)-(SUM(B158:F169)-C168))*I157)+((SUM(B169:F169)-C168)*I157),SUM(B169:F169)*I157),IF(SUM(B158:F169)&gt;(L174*12),L174*I157,SUM(B169:F169)*I157)),2)</f>
        <v>0</v>
      </c>
      <c r="J169" s="76">
        <f>ROUND(IF(SUM(B158:F168)&lt;(L174*11),IF((SUM(B158:F169))&gt;(L174*12),(((L174*12)-(SUM(B158:F169)-C168))*J157)+((SUM(B169:F169)-C168)*J157),SUM(B169:F169)*J157),IF(SUM(B158:F169)&gt;(L174*12),L174*J157,SUM(B169:F169)*J157)),2)</f>
        <v>0</v>
      </c>
      <c r="K169" s="76">
        <f>ROUND(IF(SUM(B158:F168)&lt;(L173*11),IF((SUM(B158:F169))&gt;(L173*12),(((L173*12)-(SUM(B158:F169)-C168))*K157)+((SUM(B169:F169)-C168)*K157),SUM(B169:F169)*K157),IF(SUM(B158:F169)&gt;(L173*12),L173*K157,SUM(B169:F169)*K157)),2)</f>
        <v>0</v>
      </c>
      <c r="L169" s="76">
        <f>ROUND(IF(SUM(B158:F168)&lt;(L174*11),IF((SUM(B158:F169))&gt;(L174*12),(((L174*12)-(SUM(B158:F169)-C169))*L157)+((SUM(B169:F169)-C169)*L157),(SUM(B169:F169)-C169)*L157),IF(SUM(B158:F169)&gt;(L174*12),L174*L157,SUM(B169:F169)*L157)),2)</f>
        <v>0</v>
      </c>
      <c r="M169" s="76">
        <f>ROUND(IF(SUM(B158:F168)&lt;(L174*11),IF((SUM(B158:F169))&gt;(L174*12),(((L174*12)-(SUM(B158:F169)-C169))*M157)+((SUM(B169:F169)-C169)*M157),(SUM(B169:F169)-C169)*M157),IF(SUM(B158:F169)&gt;(L174*12),L174*M157,SUM(B169:F169)*M157)),2)</f>
        <v>0</v>
      </c>
      <c r="N169" s="76">
        <f>ROUND(IF(SUM(B158:F168)&lt;(L174*11),IF((SUM(B158:F169))&gt;(L174*12),(((L174*12)-(SUM(B158:F169)-C168))*N157)+((SUM(B169:F169)-C168)*N157),SUM(B169:F169)*N157),IF(SUM(B158:F169)&gt;(L174*12),L174*N157,SUM(B169:F169)*N157)),2)</f>
        <v>0</v>
      </c>
      <c r="O169" s="23">
        <f>ROUND(SUM(B169+C169+F169)*O157,2)</f>
        <v>0</v>
      </c>
      <c r="P169" s="27">
        <f t="shared" si="18"/>
        <v>0</v>
      </c>
    </row>
    <row r="170" spans="1:16" s="14" customFormat="1" ht="15" x14ac:dyDescent="0.25">
      <c r="A170" s="4" t="s">
        <v>2</v>
      </c>
      <c r="B170" s="27">
        <f>SUM(B158:B169)</f>
        <v>0</v>
      </c>
      <c r="C170" s="27">
        <f t="shared" ref="C170:D170" si="19">SUM(C158:C169)</f>
        <v>0</v>
      </c>
      <c r="D170" s="27">
        <f t="shared" si="19"/>
        <v>0</v>
      </c>
      <c r="E170" s="27">
        <f>SUM(E158:E169)</f>
        <v>0</v>
      </c>
      <c r="F170" s="27">
        <f>SUM(F158:F169)</f>
        <v>0</v>
      </c>
      <c r="G170" s="27">
        <f>SUM(G158:G169)</f>
        <v>0</v>
      </c>
      <c r="H170" s="1133">
        <f>SUM(H158:N169)</f>
        <v>0</v>
      </c>
      <c r="I170" s="1134"/>
      <c r="J170" s="1134"/>
      <c r="K170" s="1134"/>
      <c r="L170" s="1134"/>
      <c r="M170" s="1134"/>
      <c r="N170" s="1135"/>
      <c r="O170" s="27">
        <f>SUM(O158:O169)</f>
        <v>0</v>
      </c>
      <c r="P170" s="27">
        <f>SUM(P158:P169)</f>
        <v>0</v>
      </c>
    </row>
    <row r="171" spans="1:16" s="13" customFormat="1" ht="11.25" x14ac:dyDescent="0.2">
      <c r="A171" s="3" t="s">
        <v>1</v>
      </c>
      <c r="B171" s="2"/>
      <c r="C171" s="2"/>
      <c r="D171" s="2"/>
      <c r="E171" s="2"/>
      <c r="F171" s="2"/>
      <c r="G171" s="2"/>
      <c r="H171" s="2"/>
      <c r="I171" s="2"/>
      <c r="J171" s="2"/>
      <c r="K171" s="2"/>
      <c r="L171" s="2"/>
      <c r="M171" s="2"/>
      <c r="N171" s="2"/>
      <c r="O171" s="2"/>
      <c r="P171" s="2"/>
    </row>
    <row r="172" spans="1:16" ht="14.25" customHeight="1" x14ac:dyDescent="0.2">
      <c r="A172" s="1136" t="s">
        <v>133</v>
      </c>
      <c r="B172" s="1137"/>
      <c r="C172" s="1137"/>
      <c r="D172" s="1137" t="s">
        <v>134</v>
      </c>
      <c r="E172" s="1137"/>
      <c r="F172" s="94" t="str">
        <f>IF(IF(G170=0,"",'päd.Personal - Leitung'!$F$40)=0,"",IF(G170=0,"",'päd.Personal - Leitung'!$F$40))</f>
        <v/>
      </c>
      <c r="G172" s="77" t="s">
        <v>135</v>
      </c>
      <c r="H172" s="96" t="str">
        <f>IF(IF(G170=0,"",'päd.Personal - Leitung'!$H$40)=0,"",IF(G170=0,"",'päd.Personal - Leitung'!$H$40))</f>
        <v/>
      </c>
      <c r="I172" s="73"/>
      <c r="J172" s="194" t="s">
        <v>160</v>
      </c>
      <c r="K172" s="194" t="str">
        <f>$K$40</f>
        <v>2021</v>
      </c>
      <c r="L172" s="194" t="str">
        <f>$L$40</f>
        <v>anteilig 2021</v>
      </c>
      <c r="M172" s="1138" t="s">
        <v>140</v>
      </c>
      <c r="N172" s="1138"/>
      <c r="O172" s="1139"/>
      <c r="P172" s="27">
        <f>ROUND(IF(F172="",IF(E176="",0,(E176*H176/K176)/L139*L140),G170*F172*H172/1000),2)</f>
        <v>0</v>
      </c>
    </row>
    <row r="173" spans="1:16" ht="15" customHeight="1" x14ac:dyDescent="0.2">
      <c r="A173" s="1140" t="s">
        <v>145</v>
      </c>
      <c r="B173" s="1141"/>
      <c r="C173" s="1141"/>
      <c r="D173" s="18"/>
      <c r="E173" s="107" t="s">
        <v>135</v>
      </c>
      <c r="F173" s="95" t="str">
        <f>IF(IF(G170=0,"",'päd.Personal - Leitung'!$F$41)=0,"",IF(G170=0,"",'päd.Personal - Leitung'!$F$41))</f>
        <v/>
      </c>
      <c r="G173" s="48"/>
      <c r="H173" s="47"/>
      <c r="I173" s="48"/>
      <c r="J173" s="195" t="s">
        <v>158</v>
      </c>
      <c r="K173" s="198">
        <f>$K$41</f>
        <v>4837.5</v>
      </c>
      <c r="L173" s="197">
        <f>IF(L139="",K173,K173/L139*L140)</f>
        <v>4837.5</v>
      </c>
      <c r="M173" s="1138" t="s">
        <v>139</v>
      </c>
      <c r="N173" s="1138"/>
      <c r="O173" s="1139"/>
      <c r="P173" s="27">
        <f>ROUND(IF(F173="",0,G170*F173/1000),2)</f>
        <v>0</v>
      </c>
    </row>
    <row r="174" spans="1:16" ht="15.75" customHeight="1" x14ac:dyDescent="0.2">
      <c r="A174" s="1142" t="s">
        <v>141</v>
      </c>
      <c r="B174" s="1143"/>
      <c r="C174" s="1143"/>
      <c r="D174" s="1144" t="s">
        <v>143</v>
      </c>
      <c r="E174" s="1144"/>
      <c r="F174" s="1145" t="str">
        <f>IF(IF(G170=0,"",'päd.Personal - Leitung'!$F$42)=0,"",IF(G170=0,"",'päd.Personal - Leitung'!$F$42))</f>
        <v/>
      </c>
      <c r="G174" s="1145"/>
      <c r="H174" s="72"/>
      <c r="I174" s="18"/>
      <c r="J174" s="195" t="s">
        <v>159</v>
      </c>
      <c r="K174" s="198">
        <f>$K$42</f>
        <v>6700</v>
      </c>
      <c r="L174" s="197">
        <f>IF(L139="",K174,K174/L139*L140)</f>
        <v>6700</v>
      </c>
      <c r="M174" s="1138" t="s">
        <v>141</v>
      </c>
      <c r="N174" s="1138"/>
      <c r="O174" s="1139"/>
      <c r="P174" s="23">
        <f>ROUND(IF(F174="",0,IF(G170=0,0,F174/L139*L140)),2)</f>
        <v>0</v>
      </c>
    </row>
    <row r="175" spans="1:16" ht="14.25" customHeight="1" x14ac:dyDescent="0.2">
      <c r="A175" s="18"/>
      <c r="B175" s="18"/>
      <c r="C175" s="18"/>
      <c r="D175" s="18"/>
      <c r="E175" s="18"/>
      <c r="F175" s="18"/>
      <c r="G175" s="18"/>
      <c r="H175" s="18"/>
      <c r="I175" s="18"/>
      <c r="J175" s="18"/>
      <c r="K175" s="74"/>
      <c r="L175" s="82"/>
      <c r="M175" s="1127" t="s">
        <v>146</v>
      </c>
      <c r="N175" s="1127"/>
      <c r="O175" s="1128"/>
      <c r="P175" s="23">
        <f>ROUND(IF(G170=0,0,$P$43),2)</f>
        <v>0</v>
      </c>
    </row>
    <row r="176" spans="1:16" ht="14.25" customHeight="1" x14ac:dyDescent="0.2">
      <c r="A176" s="1129" t="s">
        <v>142</v>
      </c>
      <c r="B176" s="1130"/>
      <c r="C176" s="133" t="s">
        <v>136</v>
      </c>
      <c r="D176" s="133" t="s">
        <v>137</v>
      </c>
      <c r="E176" s="1131" t="str">
        <f>IF(IF(G170=0,"",'päd.Personal - Leitung'!$E$44)=0,"",IF(G170=0,"",'päd.Personal - Leitung'!$E$44))</f>
        <v/>
      </c>
      <c r="F176" s="1131"/>
      <c r="G176" s="83" t="s">
        <v>138</v>
      </c>
      <c r="H176" s="97" t="str">
        <f>IF(IF(G170=0,"",'päd.Personal - Leitung'!$H$44)=0,"",IF(G170=0,"",'päd.Personal - Leitung'!$H$44))</f>
        <v/>
      </c>
      <c r="I176" s="1132" t="s">
        <v>144</v>
      </c>
      <c r="J176" s="1132"/>
      <c r="K176" s="98" t="str">
        <f>IF(IF(G170=0,"",'päd.Personal - Leitung'!$K$44)=0,"",IF(G170=0,"",'päd.Personal - Leitung'!$K$44))</f>
        <v/>
      </c>
      <c r="L176" s="29"/>
      <c r="M176" s="29"/>
      <c r="N176" s="29"/>
      <c r="O176" s="28" t="s">
        <v>0</v>
      </c>
      <c r="P176" s="27">
        <f>P170+SUM(P172:P175)</f>
        <v>0</v>
      </c>
    </row>
  </sheetData>
  <sheetProtection algorithmName="SHA-512" hashValue="11t5zGYwCFIReKmBNzjluaxSDQ4m7JFpbRZL6cCHRNH48dvtC93006I01jCMjYiqIJ0nku9arszLiok6nIv22A==" saltValue="j1NdNjXnf2+bJD7FFkFU5A==" spinCount="100000" sheet="1" objects="1" scenarios="1"/>
  <mergeCells count="292">
    <mergeCell ref="J11:K11"/>
    <mergeCell ref="J55:K55"/>
    <mergeCell ref="J99:K99"/>
    <mergeCell ref="J143:K143"/>
    <mergeCell ref="A5:K5"/>
    <mergeCell ref="M175:O175"/>
    <mergeCell ref="A176:B176"/>
    <mergeCell ref="E176:F176"/>
    <mergeCell ref="I176:J176"/>
    <mergeCell ref="H170:N170"/>
    <mergeCell ref="A172:C172"/>
    <mergeCell ref="D172:E172"/>
    <mergeCell ref="M172:O172"/>
    <mergeCell ref="A173:C173"/>
    <mergeCell ref="M173:O173"/>
    <mergeCell ref="A174:C174"/>
    <mergeCell ref="D174:E174"/>
    <mergeCell ref="F174:G174"/>
    <mergeCell ref="M174:O174"/>
    <mergeCell ref="B148:C148"/>
    <mergeCell ref="K148:L148"/>
    <mergeCell ref="B149:C149"/>
    <mergeCell ref="K149:L149"/>
    <mergeCell ref="B150:C150"/>
    <mergeCell ref="E150:F150"/>
    <mergeCell ref="K150:L150"/>
    <mergeCell ref="A153:A157"/>
    <mergeCell ref="A142:C142"/>
    <mergeCell ref="P153:P157"/>
    <mergeCell ref="B154:B157"/>
    <mergeCell ref="D154:D156"/>
    <mergeCell ref="E154:E156"/>
    <mergeCell ref="G154:G157"/>
    <mergeCell ref="H154:H155"/>
    <mergeCell ref="I154:I155"/>
    <mergeCell ref="J154:J155"/>
    <mergeCell ref="K154:K155"/>
    <mergeCell ref="L154:L155"/>
    <mergeCell ref="M154:M155"/>
    <mergeCell ref="N154:N155"/>
    <mergeCell ref="O154:O156"/>
    <mergeCell ref="F155:F157"/>
    <mergeCell ref="B153:G153"/>
    <mergeCell ref="H153:N153"/>
    <mergeCell ref="D142:I142"/>
    <mergeCell ref="J142:K142"/>
    <mergeCell ref="F143:G143"/>
    <mergeCell ref="H143:I143"/>
    <mergeCell ref="B145:C145"/>
    <mergeCell ref="K145:L145"/>
    <mergeCell ref="B146:C146"/>
    <mergeCell ref="K146:L146"/>
    <mergeCell ref="A137:J137"/>
    <mergeCell ref="J138:K138"/>
    <mergeCell ref="A139:C139"/>
    <mergeCell ref="D139:I139"/>
    <mergeCell ref="J139:K139"/>
    <mergeCell ref="A140:C140"/>
    <mergeCell ref="D140:I140"/>
    <mergeCell ref="J140:K140"/>
    <mergeCell ref="A141:C141"/>
    <mergeCell ref="D141:I141"/>
    <mergeCell ref="J141:K141"/>
    <mergeCell ref="A133:C133"/>
    <mergeCell ref="D133:N133"/>
    <mergeCell ref="A134:C134"/>
    <mergeCell ref="D134:N134"/>
    <mergeCell ref="A135:C135"/>
    <mergeCell ref="D135:J135"/>
    <mergeCell ref="K135:M135"/>
    <mergeCell ref="A136:C136"/>
    <mergeCell ref="D136:J136"/>
    <mergeCell ref="A129:C129"/>
    <mergeCell ref="M129:O129"/>
    <mergeCell ref="A130:C130"/>
    <mergeCell ref="D130:E130"/>
    <mergeCell ref="F130:G130"/>
    <mergeCell ref="M130:O130"/>
    <mergeCell ref="M131:O131"/>
    <mergeCell ref="A132:B132"/>
    <mergeCell ref="E132:F132"/>
    <mergeCell ref="I132:J132"/>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B104:C104"/>
    <mergeCell ref="K104:L104"/>
    <mergeCell ref="B105:C105"/>
    <mergeCell ref="K105:L105"/>
    <mergeCell ref="B106:C106"/>
    <mergeCell ref="E106:F106"/>
    <mergeCell ref="K106:L106"/>
    <mergeCell ref="A109:A113"/>
    <mergeCell ref="B109:G109"/>
    <mergeCell ref="H109:N109"/>
    <mergeCell ref="D99:E99"/>
    <mergeCell ref="F99:G99"/>
    <mergeCell ref="H99:I99"/>
    <mergeCell ref="B101:C101"/>
    <mergeCell ref="K101:L101"/>
    <mergeCell ref="B102:C102"/>
    <mergeCell ref="K102:L102"/>
    <mergeCell ref="B103:C103"/>
    <mergeCell ref="K103:L103"/>
    <mergeCell ref="A96:C96"/>
    <mergeCell ref="D96:I96"/>
    <mergeCell ref="J96:K96"/>
    <mergeCell ref="A97:C97"/>
    <mergeCell ref="D97:I97"/>
    <mergeCell ref="J97:K97"/>
    <mergeCell ref="A98:C98"/>
    <mergeCell ref="D98:I98"/>
    <mergeCell ref="J98:K98"/>
    <mergeCell ref="D90:N90"/>
    <mergeCell ref="A91:C91"/>
    <mergeCell ref="D91:J91"/>
    <mergeCell ref="K91:M91"/>
    <mergeCell ref="A92:C92"/>
    <mergeCell ref="D92:J92"/>
    <mergeCell ref="A93:J93"/>
    <mergeCell ref="J94:K94"/>
    <mergeCell ref="A95:C95"/>
    <mergeCell ref="D95:I95"/>
    <mergeCell ref="J95:K95"/>
    <mergeCell ref="B62:C62"/>
    <mergeCell ref="E62:F62"/>
    <mergeCell ref="K62:L62"/>
    <mergeCell ref="A65:A69"/>
    <mergeCell ref="B65:G65"/>
    <mergeCell ref="H65:N65"/>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A48:C48"/>
    <mergeCell ref="D48:J48"/>
    <mergeCell ref="A49:J49"/>
    <mergeCell ref="J50:K50"/>
    <mergeCell ref="A51:C51"/>
    <mergeCell ref="D51:I51"/>
    <mergeCell ref="J51:K51"/>
    <mergeCell ref="B57:C57"/>
    <mergeCell ref="K57:L57"/>
    <mergeCell ref="A21:A25"/>
    <mergeCell ref="B21:G21"/>
    <mergeCell ref="H21:N21"/>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B147:C147"/>
    <mergeCell ref="K147:L147"/>
    <mergeCell ref="H126:N126"/>
    <mergeCell ref="A128:C128"/>
    <mergeCell ref="D128:E128"/>
    <mergeCell ref="M128:O128"/>
    <mergeCell ref="D143:E143"/>
    <mergeCell ref="A85:C85"/>
    <mergeCell ref="M85:O85"/>
    <mergeCell ref="A86:C86"/>
    <mergeCell ref="D86:E86"/>
    <mergeCell ref="F86:G86"/>
    <mergeCell ref="F100:G100"/>
    <mergeCell ref="H100:I100"/>
    <mergeCell ref="F144:G144"/>
    <mergeCell ref="H144:I144"/>
    <mergeCell ref="M86:O86"/>
    <mergeCell ref="M87:O87"/>
    <mergeCell ref="A88:B88"/>
    <mergeCell ref="E88:F88"/>
    <mergeCell ref="I88:J88"/>
    <mergeCell ref="A89:C89"/>
    <mergeCell ref="D89:N89"/>
    <mergeCell ref="A90:C90"/>
    <mergeCell ref="A84:C84"/>
    <mergeCell ref="H82:N82"/>
    <mergeCell ref="D84:E84"/>
    <mergeCell ref="M84:O84"/>
    <mergeCell ref="A52:C52"/>
    <mergeCell ref="D52:I52"/>
    <mergeCell ref="J52:K52"/>
    <mergeCell ref="A53:C53"/>
    <mergeCell ref="D53:I53"/>
    <mergeCell ref="J53:K53"/>
    <mergeCell ref="A54:C54"/>
    <mergeCell ref="D54:I54"/>
    <mergeCell ref="J54:K54"/>
    <mergeCell ref="D55:E55"/>
    <mergeCell ref="F55:G55"/>
    <mergeCell ref="H55:I55"/>
    <mergeCell ref="B58:C58"/>
    <mergeCell ref="K58:L58"/>
    <mergeCell ref="B59:C59"/>
    <mergeCell ref="K59:L59"/>
    <mergeCell ref="B60:C60"/>
    <mergeCell ref="K60:L60"/>
    <mergeCell ref="B61:C61"/>
    <mergeCell ref="K61:L61"/>
    <mergeCell ref="A45:C45"/>
    <mergeCell ref="A46:C46"/>
    <mergeCell ref="A47:C47"/>
    <mergeCell ref="A42:C42"/>
    <mergeCell ref="D42:E42"/>
    <mergeCell ref="F42:G42"/>
    <mergeCell ref="M42:O42"/>
    <mergeCell ref="M43:O43"/>
    <mergeCell ref="A44:B44"/>
    <mergeCell ref="E44:F44"/>
    <mergeCell ref="I44:J44"/>
    <mergeCell ref="D45:N45"/>
    <mergeCell ref="D46:N46"/>
    <mergeCell ref="D47:J47"/>
    <mergeCell ref="K47:M47"/>
    <mergeCell ref="J7:K7"/>
    <mergeCell ref="D8:I8"/>
    <mergeCell ref="J8:K8"/>
    <mergeCell ref="D9:I9"/>
    <mergeCell ref="J9:K9"/>
    <mergeCell ref="A40:C40"/>
    <mergeCell ref="A41:C41"/>
    <mergeCell ref="H38:N38"/>
    <mergeCell ref="D40:E40"/>
    <mergeCell ref="M40:O40"/>
    <mergeCell ref="M41:O41"/>
    <mergeCell ref="B13:C13"/>
    <mergeCell ref="K13:L13"/>
    <mergeCell ref="B14:C14"/>
    <mergeCell ref="K14:L14"/>
    <mergeCell ref="B15:C15"/>
    <mergeCell ref="K15:L15"/>
    <mergeCell ref="B16:C16"/>
    <mergeCell ref="K16:L16"/>
    <mergeCell ref="B17:C17"/>
    <mergeCell ref="K17:L17"/>
    <mergeCell ref="B18:C18"/>
    <mergeCell ref="E18:F18"/>
    <mergeCell ref="K18:L18"/>
    <mergeCell ref="A1:C1"/>
    <mergeCell ref="D1:N1"/>
    <mergeCell ref="A2:C2"/>
    <mergeCell ref="D2:N2"/>
    <mergeCell ref="A3:C3"/>
    <mergeCell ref="D3:J3"/>
    <mergeCell ref="K3:M3"/>
    <mergeCell ref="A8:C8"/>
    <mergeCell ref="F56:G56"/>
    <mergeCell ref="H56:I56"/>
    <mergeCell ref="F12:G12"/>
    <mergeCell ref="H12:I12"/>
    <mergeCell ref="A10:C10"/>
    <mergeCell ref="D10:I10"/>
    <mergeCell ref="J10:K10"/>
    <mergeCell ref="D11:E11"/>
    <mergeCell ref="F11:G11"/>
    <mergeCell ref="H11:I11"/>
    <mergeCell ref="A9:C9"/>
    <mergeCell ref="A4:C4"/>
    <mergeCell ref="A7:C7"/>
    <mergeCell ref="D4:J4"/>
    <mergeCell ref="J6:K6"/>
    <mergeCell ref="D7:I7"/>
  </mergeCells>
  <dataValidations count="1">
    <dataValidation type="list" allowBlank="1" showInputMessage="1" showErrorMessage="1" sqref="B19 E19 B63 E63 B107 E107 B151 E151">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Auszubildende&amp;R&amp;G</oddHeader>
    <oddFooter>&amp;L&amp;"Arial,Standard"&amp;7JSZ - Jahressonderzahlung
LOB - Leistungsorientierte Bezahlung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 A147:A149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3" tint="0.39997558519241921"/>
  </sheetPr>
  <dimension ref="A1:P176"/>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1.140625" style="1" customWidth="1"/>
    <col min="5" max="5" width="11.42578125" style="1" customWidth="1"/>
    <col min="6" max="6" width="10.140625" style="1" customWidth="1"/>
    <col min="7" max="7" width="11.5703125" style="1" customWidth="1"/>
    <col min="8" max="11" width="11.42578125" style="1"/>
    <col min="12" max="12" width="10.28515625" style="1" customWidth="1"/>
    <col min="13" max="13" width="11.140625" style="1" customWidth="1"/>
    <col min="14" max="14" width="11.42578125" style="1" customWidth="1"/>
    <col min="15" max="15" width="11.5703125" style="1" customWidth="1"/>
    <col min="16" max="16" width="10.85546875" style="1" customWidth="1"/>
    <col min="17" max="16384" width="11.42578125" style="1"/>
  </cols>
  <sheetData>
    <row r="1" spans="1:16" s="12" customFormat="1" ht="13.5" customHeight="1" x14ac:dyDescent="0.2">
      <c r="A1" s="1178" t="s">
        <v>18</v>
      </c>
      <c r="B1" s="1178"/>
      <c r="C1" s="1178"/>
      <c r="D1" s="1179" t="str">
        <f>IF('päd.Personal - Leitung'!D1="","",'päd.Personal - Leitung'!D1)</f>
        <v/>
      </c>
      <c r="E1" s="1179"/>
      <c r="F1" s="1179"/>
      <c r="G1" s="1179"/>
      <c r="H1" s="1179"/>
      <c r="I1" s="1179"/>
      <c r="J1" s="1179"/>
      <c r="K1" s="1179"/>
      <c r="L1" s="1179"/>
      <c r="M1" s="1179"/>
      <c r="N1" s="1179"/>
    </row>
    <row r="2" spans="1:16" s="12" customFormat="1" ht="15" customHeight="1" x14ac:dyDescent="0.2">
      <c r="A2" s="1178" t="s">
        <v>17</v>
      </c>
      <c r="B2" s="1178"/>
      <c r="C2" s="1178" t="s">
        <v>15</v>
      </c>
      <c r="D2" s="1179" t="str">
        <f>IF('päd.Personal - Leitung'!D2="","",'päd.Personal - Leitung'!D2)</f>
        <v/>
      </c>
      <c r="E2" s="1179"/>
      <c r="F2" s="1179"/>
      <c r="G2" s="1179"/>
      <c r="H2" s="1179"/>
      <c r="I2" s="1179"/>
      <c r="J2" s="1179"/>
      <c r="K2" s="1179"/>
      <c r="L2" s="1179"/>
      <c r="M2" s="1179"/>
      <c r="N2" s="1179"/>
    </row>
    <row r="3" spans="1:16" s="12" customFormat="1" ht="15" customHeight="1" x14ac:dyDescent="0.2">
      <c r="A3" s="1178" t="s">
        <v>16</v>
      </c>
      <c r="B3" s="1178"/>
      <c r="C3" s="1178" t="s">
        <v>15</v>
      </c>
      <c r="D3" s="1179" t="str">
        <f>IF('päd.Personal - Leitung'!D3="","",'päd.Personal - Leitung'!D3)</f>
        <v/>
      </c>
      <c r="E3" s="1179"/>
      <c r="F3" s="1179"/>
      <c r="G3" s="1179"/>
      <c r="H3" s="1179"/>
      <c r="I3" s="1179"/>
      <c r="J3" s="1179"/>
      <c r="K3" s="1178" t="s">
        <v>103</v>
      </c>
      <c r="L3" s="1178"/>
      <c r="M3" s="1178"/>
      <c r="N3" s="41" t="str">
        <f>IF('päd.Personal - Leitung'!N3="","",'päd.Personal - Leitung'!N3)</f>
        <v/>
      </c>
    </row>
    <row r="4" spans="1:16" s="13" customFormat="1" ht="11.25" x14ac:dyDescent="0.2">
      <c r="A4" s="1182"/>
      <c r="B4" s="1182"/>
      <c r="C4" s="1182"/>
      <c r="D4" s="1183"/>
      <c r="E4" s="1183"/>
      <c r="F4" s="1183"/>
      <c r="G4" s="1183"/>
      <c r="H4" s="1183"/>
      <c r="I4" s="1183"/>
      <c r="J4" s="1183"/>
      <c r="K4" s="11"/>
      <c r="L4" s="11"/>
      <c r="M4" s="11"/>
      <c r="N4" s="11"/>
      <c r="O4" s="11"/>
      <c r="P4" s="11"/>
    </row>
    <row r="5" spans="1:16" s="15" customFormat="1" ht="13.5" customHeight="1" x14ac:dyDescent="0.2">
      <c r="A5" s="1177" t="s">
        <v>188</v>
      </c>
      <c r="B5" s="1177"/>
      <c r="C5" s="1177"/>
      <c r="D5" s="1177"/>
      <c r="E5" s="1177"/>
      <c r="F5" s="1177"/>
      <c r="G5" s="1177"/>
      <c r="H5" s="1177"/>
      <c r="I5" s="1177"/>
      <c r="J5" s="1177"/>
      <c r="K5" s="1177"/>
      <c r="L5" s="9"/>
      <c r="M5" s="9"/>
      <c r="N5" s="59" t="s">
        <v>154</v>
      </c>
      <c r="O5" s="191">
        <f>'päd.Personal - Leitung'!$O$5</f>
        <v>2022</v>
      </c>
      <c r="P5" s="59" t="s">
        <v>154</v>
      </c>
    </row>
    <row r="6" spans="1:16" s="10" customFormat="1" ht="13.5" customHeight="1" x14ac:dyDescent="0.25">
      <c r="B6" s="32"/>
      <c r="C6" s="32"/>
      <c r="D6" s="5" t="s">
        <v>187</v>
      </c>
      <c r="E6" s="31"/>
      <c r="F6" s="31"/>
      <c r="G6" s="31"/>
      <c r="H6" s="31"/>
      <c r="I6" s="26"/>
      <c r="J6" s="1197"/>
      <c r="K6" s="1197"/>
      <c r="L6" s="111"/>
      <c r="N6" s="84">
        <f>IF(L8="","",L8)</f>
        <v>0</v>
      </c>
      <c r="O6" s="58" t="str">
        <f>'päd.Personal - Leitung'!$O$6</f>
        <v>Jan                Jul</v>
      </c>
      <c r="P6" s="85">
        <f>IF(N11="","",N11)</f>
        <v>0</v>
      </c>
    </row>
    <row r="7" spans="1:16" s="7" customFormat="1" ht="13.5" customHeight="1" x14ac:dyDescent="0.25">
      <c r="A7" s="1180" t="s">
        <v>71</v>
      </c>
      <c r="B7" s="1180"/>
      <c r="C7" s="1180"/>
      <c r="D7" s="1184"/>
      <c r="E7" s="1184"/>
      <c r="F7" s="1184"/>
      <c r="G7" s="1184"/>
      <c r="H7" s="1184"/>
      <c r="I7" s="1184"/>
      <c r="J7" s="1174" t="s">
        <v>104</v>
      </c>
      <c r="K7" s="1174"/>
      <c r="L7" s="145"/>
      <c r="N7" s="85">
        <f>IF(N6="","",N6)</f>
        <v>0</v>
      </c>
      <c r="O7" s="58" t="str">
        <f>'päd.Personal - Leitung'!$O$7</f>
        <v>Feb              Aug</v>
      </c>
      <c r="P7" s="85">
        <f>IF(P6="","",P6)</f>
        <v>0</v>
      </c>
    </row>
    <row r="8" spans="1:16" ht="13.5" customHeight="1" x14ac:dyDescent="0.2">
      <c r="A8" s="1180" t="s">
        <v>13</v>
      </c>
      <c r="B8" s="1180"/>
      <c r="C8" s="1180"/>
      <c r="D8" s="1181"/>
      <c r="E8" s="1181"/>
      <c r="F8" s="1181"/>
      <c r="G8" s="1181"/>
      <c r="H8" s="1181"/>
      <c r="I8" s="1181"/>
      <c r="J8" s="1174" t="s">
        <v>164</v>
      </c>
      <c r="K8" s="1174"/>
      <c r="L8" s="145">
        <f>IF((L9+L10)&gt;L7,0,L7-L9-L10)</f>
        <v>0</v>
      </c>
      <c r="N8" s="85">
        <f>IF(N7="","",N7)</f>
        <v>0</v>
      </c>
      <c r="O8" s="58" t="str">
        <f>'päd.Personal - Leitung'!$O$8</f>
        <v>Mrz              Sep</v>
      </c>
      <c r="P8" s="85">
        <f>IF(P7="","",P7)</f>
        <v>0</v>
      </c>
    </row>
    <row r="9" spans="1:16" ht="13.5" customHeight="1" x14ac:dyDescent="0.2">
      <c r="A9" s="1180" t="s">
        <v>12</v>
      </c>
      <c r="B9" s="1180"/>
      <c r="C9" s="1180"/>
      <c r="D9" s="1181"/>
      <c r="E9" s="1181"/>
      <c r="F9" s="1181"/>
      <c r="G9" s="1181"/>
      <c r="H9" s="1181"/>
      <c r="I9" s="1181"/>
      <c r="J9" s="1174" t="s">
        <v>165</v>
      </c>
      <c r="K9" s="1174"/>
      <c r="L9" s="145"/>
      <c r="N9" s="85">
        <f>IF(N8="","",N8)</f>
        <v>0</v>
      </c>
      <c r="O9" s="58" t="str">
        <f>'päd.Personal - Leitung'!$O$9</f>
        <v>Apr               Okt</v>
      </c>
      <c r="P9" s="85">
        <f t="shared" ref="P9:P11" si="0">IF(P8="","",P8)</f>
        <v>0</v>
      </c>
    </row>
    <row r="10" spans="1:16" ht="13.5" customHeight="1" x14ac:dyDescent="0.2">
      <c r="A10" s="1180" t="s">
        <v>19</v>
      </c>
      <c r="B10" s="1180"/>
      <c r="C10" s="1180"/>
      <c r="D10" s="1181"/>
      <c r="E10" s="1181"/>
      <c r="F10" s="1181"/>
      <c r="G10" s="1181"/>
      <c r="H10" s="1181"/>
      <c r="I10" s="1181"/>
      <c r="J10" s="1174" t="s">
        <v>252</v>
      </c>
      <c r="K10" s="1174"/>
      <c r="L10" s="145"/>
      <c r="M10" s="92"/>
      <c r="N10" s="85">
        <f>IF(N9="","",N9)</f>
        <v>0</v>
      </c>
      <c r="O10" s="58" t="str">
        <f>'päd.Personal - Leitung'!$O$10</f>
        <v>Mai               Nov</v>
      </c>
      <c r="P10" s="85">
        <f t="shared" si="0"/>
        <v>0</v>
      </c>
    </row>
    <row r="11" spans="1:16" ht="13.5" customHeight="1" x14ac:dyDescent="0.2">
      <c r="B11" s="8"/>
      <c r="C11" s="132" t="s">
        <v>162</v>
      </c>
      <c r="D11" s="1175"/>
      <c r="E11" s="1175"/>
      <c r="F11" s="1176" t="s">
        <v>192</v>
      </c>
      <c r="G11" s="1176"/>
      <c r="H11" s="1186"/>
      <c r="I11" s="1186"/>
      <c r="J11" s="1174" t="s">
        <v>97</v>
      </c>
      <c r="K11" s="1174"/>
      <c r="L11" s="17" t="str">
        <f>IF(IF((COUNTIF(B26:B37,"&gt;0"))=0,0,(COUNTIF(B26:B37,"&gt;0")))&gt;Grundlagen!$C$24,Grundlagen!$C$24,IF((COUNTIF(B26:B37,"&gt;0"))=0,"",(COUNTIF(B26:B37,"&gt;0"))))</f>
        <v/>
      </c>
      <c r="N11" s="85">
        <f>IF(N10="","",N10)</f>
        <v>0</v>
      </c>
      <c r="O11" s="58" t="str">
        <f>'päd.Personal - Leitung'!$O$11</f>
        <v>Jun               Dez</v>
      </c>
      <c r="P11" s="85">
        <f t="shared" si="0"/>
        <v>0</v>
      </c>
    </row>
    <row r="12" spans="1:16" ht="13.5" customHeight="1" x14ac:dyDescent="0.2">
      <c r="F12" s="1176" t="s">
        <v>193</v>
      </c>
      <c r="G12" s="1176"/>
      <c r="H12" s="1186"/>
      <c r="I12" s="1186"/>
      <c r="L12" s="147" t="str">
        <f>IF((SUM(F14:F17))=0,"",IF(P12&gt;L8,L8,IF(L8="","",IF(L11="","",P12))))</f>
        <v/>
      </c>
      <c r="O12" s="174" t="s">
        <v>251</v>
      </c>
      <c r="P12" s="175">
        <f>IF(L11="",0,((IF(SUMIF(B26,"&gt;0"),N6,0))+(IF(SUMIF(B27,"&gt;0"),N7,0))+(IF(SUMIF(B28,"&gt;0"),N8,0))+(IF(SUMIF(B29,"&gt;0"),N9,0))+(IF(SUMIF(B30,"&gt;0"),N10,0))+(IF(SUMIF(B31,"&gt;0"),N11,0))+(IF(SUMIF(B32,"&gt;0"),P6,0))+(IF(SUMIF(B33,"&gt;0"),P7,0))+(IF(SUMIF(B34,"&gt;0"),P8,0))+(IF(SUMIF(B35,"&gt;0"),P9,0))+(IF(SUMIF(B36,"&gt;0"),P10,0))+(IF(SUMIF(B37,"&gt;0"),P11,0)))/Grundlagen!$C$24)</f>
        <v>0</v>
      </c>
    </row>
    <row r="13" spans="1:16" s="52" customFormat="1" ht="13.5" customHeight="1" x14ac:dyDescent="0.2">
      <c r="A13" s="61" t="s">
        <v>148</v>
      </c>
      <c r="B13" s="1168" t="s">
        <v>149</v>
      </c>
      <c r="C13" s="1168"/>
      <c r="D13" s="62" t="s">
        <v>150</v>
      </c>
      <c r="E13" s="63" t="s">
        <v>151</v>
      </c>
      <c r="F13" s="64" t="str">
        <f>CONCATENATE("Entg. ",N3," h/Wo")</f>
        <v>Entg.  h/Wo</v>
      </c>
      <c r="G13" s="65" t="s">
        <v>152</v>
      </c>
      <c r="H13" s="65" t="s">
        <v>153</v>
      </c>
      <c r="K13" s="1169" t="str">
        <f>CONCATENATE("Zuschläge / Zulagen für ",N3,"h/Wo")</f>
        <v>Zuschläge / Zulagen für h/Wo</v>
      </c>
      <c r="L13" s="1169"/>
      <c r="M13" s="66" t="str">
        <f>IF(A14="","",A14)</f>
        <v>Jan 2022</v>
      </c>
      <c r="N13" s="66" t="str">
        <f>IF(A15="","",A15)</f>
        <v/>
      </c>
      <c r="O13" s="66" t="str">
        <f>IF(A16="","",A16)</f>
        <v/>
      </c>
      <c r="P13" s="66" t="str">
        <f>IF(A17="","",A17)</f>
        <v/>
      </c>
    </row>
    <row r="14" spans="1:16" s="52" customFormat="1" ht="13.5" customHeight="1" x14ac:dyDescent="0.25">
      <c r="A14" s="54" t="str">
        <f>A26</f>
        <v>Jan 2022</v>
      </c>
      <c r="B14" s="1198"/>
      <c r="C14" s="1199"/>
      <c r="D14" s="181"/>
      <c r="E14" s="181"/>
      <c r="F14" s="87"/>
      <c r="G14" s="56">
        <f>IF(N3="",0,F14/N3/4.348)</f>
        <v>0</v>
      </c>
      <c r="H14" s="53">
        <f>IF(G14=0,0,M19)</f>
        <v>0</v>
      </c>
      <c r="K14" s="1146"/>
      <c r="L14" s="1146"/>
      <c r="M14" s="86"/>
      <c r="N14" s="86"/>
      <c r="O14" s="86"/>
      <c r="P14" s="86"/>
    </row>
    <row r="15" spans="1:16" s="52" customFormat="1" ht="13.5" customHeight="1" x14ac:dyDescent="0.25">
      <c r="A15" s="55"/>
      <c r="B15" s="1172" t="str">
        <f>IF(A15="","",B14)</f>
        <v/>
      </c>
      <c r="C15" s="1173"/>
      <c r="D15" s="181"/>
      <c r="E15" s="181"/>
      <c r="F15" s="87"/>
      <c r="G15" s="56">
        <f>IF(N3="",0,F15/N3/4.348)</f>
        <v>0</v>
      </c>
      <c r="H15" s="53">
        <f>IF(G15=0,0,N19)</f>
        <v>0</v>
      </c>
      <c r="K15" s="1146"/>
      <c r="L15" s="1146"/>
      <c r="M15" s="86"/>
      <c r="N15" s="86"/>
      <c r="O15" s="86"/>
      <c r="P15" s="86"/>
    </row>
    <row r="16" spans="1:16" s="52" customFormat="1" ht="13.5" customHeight="1" x14ac:dyDescent="0.25">
      <c r="A16" s="55"/>
      <c r="B16" s="1172" t="str">
        <f>IF(A16="","",B15)</f>
        <v/>
      </c>
      <c r="C16" s="1173"/>
      <c r="D16" s="181"/>
      <c r="E16" s="181"/>
      <c r="F16" s="87"/>
      <c r="G16" s="56">
        <f>IF(N3="",0,F16/N3/4.348)</f>
        <v>0</v>
      </c>
      <c r="H16" s="53">
        <f>IF(G16=0,0,O19)</f>
        <v>0</v>
      </c>
      <c r="K16" s="1146"/>
      <c r="L16" s="1146"/>
      <c r="M16" s="86"/>
      <c r="N16" s="86"/>
      <c r="O16" s="86"/>
      <c r="P16" s="86"/>
    </row>
    <row r="17" spans="1:16" s="52" customFormat="1" ht="13.5" customHeight="1" x14ac:dyDescent="0.25">
      <c r="A17" s="55"/>
      <c r="B17" s="1172" t="str">
        <f>IF(A17="","",B16)</f>
        <v/>
      </c>
      <c r="C17" s="1173"/>
      <c r="D17" s="181"/>
      <c r="E17" s="181"/>
      <c r="F17" s="87"/>
      <c r="G17" s="56">
        <f>IF(N3="",0,F17/N3/4.348)</f>
        <v>0</v>
      </c>
      <c r="H17" s="53">
        <f>IF(G17=0,0,P19)</f>
        <v>0</v>
      </c>
      <c r="K17" s="1146"/>
      <c r="L17" s="1146"/>
      <c r="M17" s="86"/>
      <c r="N17" s="86"/>
      <c r="O17" s="86"/>
      <c r="P17" s="86"/>
    </row>
    <row r="18" spans="1:16" s="52" customFormat="1" ht="13.5" customHeight="1" x14ac:dyDescent="0.25">
      <c r="B18" s="1167" t="s">
        <v>157</v>
      </c>
      <c r="C18" s="1167"/>
      <c r="E18" s="1167" t="s">
        <v>156</v>
      </c>
      <c r="F18" s="1167"/>
      <c r="J18" s="69"/>
      <c r="K18" s="1146"/>
      <c r="L18" s="1146"/>
      <c r="M18" s="86"/>
      <c r="N18" s="86"/>
      <c r="O18" s="86"/>
      <c r="P18" s="86"/>
    </row>
    <row r="19" spans="1:16" s="52" customFormat="1" ht="13.5" customHeight="1" x14ac:dyDescent="0.25">
      <c r="A19" s="70" t="s">
        <v>167</v>
      </c>
      <c r="B19" s="67"/>
      <c r="C19" s="99"/>
      <c r="D19" s="70" t="s">
        <v>167</v>
      </c>
      <c r="E19" s="67"/>
      <c r="F19" s="99"/>
      <c r="J19" s="68"/>
      <c r="M19" s="57">
        <f>SUM(M14:M18)</f>
        <v>0</v>
      </c>
      <c r="N19" s="57">
        <f t="shared" ref="N19:P19" si="1">SUM(N14:N18)</f>
        <v>0</v>
      </c>
      <c r="O19" s="57">
        <f t="shared" si="1"/>
        <v>0</v>
      </c>
      <c r="P19" s="57">
        <f t="shared" si="1"/>
        <v>0</v>
      </c>
    </row>
    <row r="20" spans="1:16" s="52" customFormat="1" ht="13.5" customHeight="1" x14ac:dyDescent="0.2">
      <c r="A20" s="60" t="s">
        <v>155</v>
      </c>
    </row>
    <row r="21" spans="1:16" ht="14.25" customHeight="1" x14ac:dyDescent="0.2">
      <c r="A21" s="1147"/>
      <c r="B21" s="1149" t="s">
        <v>9</v>
      </c>
      <c r="C21" s="1150"/>
      <c r="D21" s="1150"/>
      <c r="E21" s="1150"/>
      <c r="F21" s="1151"/>
      <c r="G21" s="1152" t="s">
        <v>119</v>
      </c>
      <c r="H21" s="1153"/>
      <c r="I21" s="1153"/>
      <c r="J21" s="1153"/>
      <c r="K21" s="1153"/>
      <c r="L21" s="1153"/>
      <c r="M21" s="1153"/>
      <c r="N21" s="135"/>
      <c r="O21" s="1154" t="s">
        <v>0</v>
      </c>
    </row>
    <row r="22" spans="1:16" ht="14.25" customHeight="1" x14ac:dyDescent="0.2">
      <c r="A22" s="1148"/>
      <c r="B22" s="1157" t="s">
        <v>117</v>
      </c>
      <c r="C22" s="130" t="s">
        <v>115</v>
      </c>
      <c r="D22" s="1161" t="s">
        <v>147</v>
      </c>
      <c r="E22" s="134" t="s">
        <v>7</v>
      </c>
      <c r="F22" s="1162" t="s">
        <v>6</v>
      </c>
      <c r="G22" s="1161" t="s">
        <v>129</v>
      </c>
      <c r="H22" s="1161" t="s">
        <v>5</v>
      </c>
      <c r="I22" s="1161" t="s">
        <v>4</v>
      </c>
      <c r="J22" s="1161" t="s">
        <v>3</v>
      </c>
      <c r="K22" s="1161" t="s">
        <v>121</v>
      </c>
      <c r="L22" s="1161" t="s">
        <v>122</v>
      </c>
      <c r="M22" s="1161" t="s">
        <v>123</v>
      </c>
      <c r="N22" s="134" t="s">
        <v>7</v>
      </c>
      <c r="O22" s="1155"/>
    </row>
    <row r="23" spans="1:16" ht="14.25" customHeight="1" x14ac:dyDescent="0.2">
      <c r="A23" s="1148"/>
      <c r="B23" s="1157"/>
      <c r="C23" s="21" t="str">
        <f>IF(C19="","",C19)</f>
        <v/>
      </c>
      <c r="D23" s="1161"/>
      <c r="E23" s="1165" t="str">
        <f>IF(H14=0,"","siehe Zuschläge / Zulagen")</f>
        <v/>
      </c>
      <c r="F23" s="1162"/>
      <c r="G23" s="1164" t="s">
        <v>127</v>
      </c>
      <c r="H23" s="1164"/>
      <c r="I23" s="1164"/>
      <c r="J23" s="1164"/>
      <c r="K23" s="1164"/>
      <c r="L23" s="1164"/>
      <c r="M23" s="1164"/>
      <c r="N23" s="1165"/>
      <c r="O23" s="1155"/>
    </row>
    <row r="24" spans="1:16" x14ac:dyDescent="0.2">
      <c r="A24" s="1148"/>
      <c r="B24" s="1157"/>
      <c r="C24" s="128" t="s">
        <v>70</v>
      </c>
      <c r="D24" s="1161"/>
      <c r="E24" s="1165"/>
      <c r="F24" s="1162"/>
      <c r="G24" s="43" t="s">
        <v>128</v>
      </c>
      <c r="H24" s="43" t="s">
        <v>255</v>
      </c>
      <c r="I24" s="43" t="s">
        <v>256</v>
      </c>
      <c r="J24" s="43" t="s">
        <v>257</v>
      </c>
      <c r="K24" s="43"/>
      <c r="L24" s="43"/>
      <c r="M24" s="43" t="s">
        <v>254</v>
      </c>
      <c r="N24" s="1165"/>
      <c r="O24" s="1155"/>
    </row>
    <row r="25" spans="1:16" x14ac:dyDescent="0.2">
      <c r="A25" s="1148"/>
      <c r="B25" s="1158"/>
      <c r="C25" s="21" t="str">
        <f>IF(F19="","",F19)</f>
        <v/>
      </c>
      <c r="D25" s="51"/>
      <c r="E25" s="1166"/>
      <c r="F25" s="1163"/>
      <c r="G25" s="93"/>
      <c r="H25" s="139">
        <f>'päd.Personal - Leitung'!$I$69</f>
        <v>0</v>
      </c>
      <c r="I25" s="139">
        <f>'päd.Personal - Leitung'!$J$69</f>
        <v>0</v>
      </c>
      <c r="J25" s="44">
        <f>'päd.Personal - Leitung'!$K$69</f>
        <v>0</v>
      </c>
      <c r="K25" s="21"/>
      <c r="L25" s="21"/>
      <c r="M25" s="139">
        <f>'päd.Personal - Leitung'!$N$69</f>
        <v>0</v>
      </c>
      <c r="N25" s="1166"/>
      <c r="O25" s="1156"/>
    </row>
    <row r="26" spans="1:16" x14ac:dyDescent="0.2">
      <c r="A26" s="100" t="str">
        <f>'päd.Personal - Leitung'!$A$26</f>
        <v>Jan 2022</v>
      </c>
      <c r="B26" s="24">
        <f>ROUND(IF(N6=0,0,(LOOKUP(2,1/(A14:A17=A26),G14:G17))*N6*4.348),2)</f>
        <v>0</v>
      </c>
      <c r="C26" s="23">
        <f>ROUND(IFERROR(((LOOKUP(2,1/(B19=A26),((SUM(B32:B34)+SUM(E32:E34))/3)*C19))),0)+IFERROR(((LOOKUP(2,1/(E19=A26),(B38+E38)*F19))),0),2)</f>
        <v>0</v>
      </c>
      <c r="D26" s="23">
        <f>ROUND(IF(B26=0,0,D25/N3*N6),2)</f>
        <v>0</v>
      </c>
      <c r="E26" s="24">
        <f>ROUND(IF(N6=0,0,(LOOKUP(2,1/(A14:A17=A26),H14:H17))/N3*N6),2)</f>
        <v>0</v>
      </c>
      <c r="F26" s="27">
        <f>SUM(B26:E26)</f>
        <v>0</v>
      </c>
      <c r="G26" s="76">
        <f>ROUND(IF((SUM(B26:E26))&gt;K41,K41*G25,SUM(B26:E26)*G25),2)</f>
        <v>0</v>
      </c>
      <c r="H26" s="76">
        <f>ROUND(IF((SUM(B26:E26))&gt;K42,K42*H25,SUM(B26:E26)*H25),2)</f>
        <v>0</v>
      </c>
      <c r="I26" s="76">
        <f>ROUND(IF((SUM(B26:E26))&gt;K42,K42*I25,SUM(B26:E26)*I25),2)</f>
        <v>0</v>
      </c>
      <c r="J26" s="76">
        <f>ROUND(IF((SUM(B26:E26))&gt;K41,K41*J25,SUM(B26:E26)*J25),2)</f>
        <v>0</v>
      </c>
      <c r="K26" s="76">
        <f>ROUND(IF((SUM(B26:E26))&gt;K42,K42*K25,(SUM(B26:E26)-C26)*K25),2)</f>
        <v>0</v>
      </c>
      <c r="L26" s="76">
        <f>ROUND(IF((SUM(B26:E26))&gt;K42,K42*L25,(SUM(B26:E26)-C26)*L25),2)</f>
        <v>0</v>
      </c>
      <c r="M26" s="76">
        <f>ROUND(IF((SUM(B26:E26))&gt;K42,K42*M25,SUM(B26:E26)*M25),2)</f>
        <v>0</v>
      </c>
      <c r="N26" s="23"/>
      <c r="O26" s="27">
        <f>SUM(F26:N26)</f>
        <v>0</v>
      </c>
    </row>
    <row r="27" spans="1:16" x14ac:dyDescent="0.2">
      <c r="A27" s="100" t="str">
        <f>'päd.Personal - Leitung'!$A$27</f>
        <v>Feb 2022</v>
      </c>
      <c r="B27" s="24">
        <f>ROUND(IF(N7=0,0,IFERROR(((LOOKUP(2,1/(A14:A17=A27),G14:G17))*N7*4.348),B26/N7*N7)),2)</f>
        <v>0</v>
      </c>
      <c r="C27" s="23">
        <f>ROUND(IFERROR(((LOOKUP(2,1/(B19=A27),((SUM(B32:B34)+SUM(E32:E34))/3)*C19))),0)+IFERROR(((LOOKUP(2,1/(E19=A27),(B38+E38)*F19))),0),2)</f>
        <v>0</v>
      </c>
      <c r="D27" s="23">
        <f>ROUND(IF(B27=0,0,D25/N3*N7),2)</f>
        <v>0</v>
      </c>
      <c r="E27" s="24">
        <f>ROUND(IF(N7=0,0,IFERROR(((LOOKUP(2,1/(A14:A17=A27),H14:H17))/N3*N7),E26/N7*N7)),2)</f>
        <v>0</v>
      </c>
      <c r="F27" s="27">
        <f t="shared" ref="F27:F37" si="2">SUM(B27:E27)</f>
        <v>0</v>
      </c>
      <c r="G27" s="76">
        <f>ROUND(IF(SUM(B26:E26)&lt;(K41*1),IF((SUM(B26:E27))&gt;(K41*2),(((K41*2)-(SUM(B26:E27)-C26))*G25)+((SUM(B27:E27)-C26)*G25),SUM(B27:E27)*G25),IF(SUM(B26:E27)&gt;(K41*2),K41*G25,SUM(B27:E27)*G25)),2)</f>
        <v>0</v>
      </c>
      <c r="H27" s="76">
        <f>ROUND(IF(SUM(B26:E26)&lt;(K42*1),IF((SUM(B26:E27))&gt;(K42*2),(((K42*2)-(SUM(B26:E27)-C26))*H25)+((SUM(B27:E27)-C26)*H25),SUM(B27:E27)*H25),IF(SUM(B26:E27)&gt;(K42*2),K42*H25,SUM(B27:E27)*H25)),2)</f>
        <v>0</v>
      </c>
      <c r="I27" s="76">
        <f>ROUND(IF(SUM(B26:E26)&lt;(K42*1),IF((SUM(B26:E27))&gt;(K42*2),(((K42*2)-(SUM(B26:E27)-C26))*I25)+((SUM(B27:E27)-C26)*I25),SUM(B27:E27)*I25),IF(SUM(B26:E27)&gt;(K42*2),K42*I25,SUM(B27:E27)*I25)),2)</f>
        <v>0</v>
      </c>
      <c r="J27" s="76">
        <f>ROUND(IF(SUM(B26:E26)&lt;(K41*1),IF((SUM(B26:E27))&gt;(K41*2),(((K41*2)-(SUM(B26:E27)-C26))*J25)+((SUM(B27:E27)-C26)*J25),SUM(B27:E27)*J25),IF(SUM(B26:E27)&gt;(K41*2),K41*J25,SUM(B27:E27)*J25)),2)</f>
        <v>0</v>
      </c>
      <c r="K27" s="76">
        <f>ROUND(IF(SUM(B26:E26)&lt;(K42*1),IF((SUM(B26:E27))&gt;(K42*2),(((K42*2)-(SUM(B26:E27)-C27))*K25)+((SUM(B27:E27)-C27)*K25),(SUM(B27:E27)-C27)*K25),IF(SUM(B26:E27)&gt;(K42*2),K42*K25,SUM(B27:E27)*K25)),2)</f>
        <v>0</v>
      </c>
      <c r="L27" s="76">
        <f>ROUND(IF(SUM(B26:E26)&lt;(K42*1),IF((SUM(B26:E27))&gt;(K42*2),(((K42*2)-(SUM(B26:E27)-C27))*L25)+((SUM(B27:E27)-C27)*L25),(SUM(B27:E27)-C27)*L25),IF(SUM(B26:E27)&gt;(K42*2),K42*L25,SUM(B27:E27)*L25)),2)</f>
        <v>0</v>
      </c>
      <c r="M27" s="76">
        <f>ROUND(IF(SUM(B26:E26)&lt;(K42*1),IF((SUM(B26:E27))&gt;(K42*2),(((K42*2)-(SUM(B26:E27)-C26))*M25)+((SUM(B27:E27)-C26)*M25),SUM(B27:E27)*M25),IF(SUM(B26:E27)&gt;(K42*2),K42*M25,SUM(B27:E27)*M25)),2)</f>
        <v>0</v>
      </c>
      <c r="N27" s="23"/>
      <c r="O27" s="27">
        <f t="shared" ref="O27:O36" si="3">SUM(F27:N27)</f>
        <v>0</v>
      </c>
    </row>
    <row r="28" spans="1:16" x14ac:dyDescent="0.2">
      <c r="A28" s="100" t="str">
        <f>'päd.Personal - Leitung'!$A$28</f>
        <v>Mrz 2022</v>
      </c>
      <c r="B28" s="24">
        <f>ROUND(IF(N8=0,0,IFERROR(((LOOKUP(2,1/(A14:A17=A28),G14:G17))*N8*4.348),B27/N8*N8)),2)</f>
        <v>0</v>
      </c>
      <c r="C28" s="23">
        <f>ROUND(IFERROR(((LOOKUP(2,1/(B19=A28),((SUM(B32:B34)+SUM(E32:E34))/3)*C19))),0)+IFERROR(((LOOKUP(2,1/(E19=A28),(B38+E38)*F19))),0),2)</f>
        <v>0</v>
      </c>
      <c r="D28" s="23">
        <f>ROUND(IF(B28=0,0,D25/N3*N8),2)</f>
        <v>0</v>
      </c>
      <c r="E28" s="24">
        <f>ROUND(IF(N8=0,0,IFERROR(((LOOKUP(2,1/(A14:A17=A28),H14:H17))/N3*N8),E27/N8*N8)),2)</f>
        <v>0</v>
      </c>
      <c r="F28" s="27">
        <f t="shared" si="2"/>
        <v>0</v>
      </c>
      <c r="G28" s="76">
        <f>ROUND(IF(SUM(B26:E27)&lt;(K41*2),IF((SUM(B26:E28))&gt;(K41*3),(((K41*3)-(SUM(B26:E28)-C27))*G25)+((SUM(B28:E28)-C27)*G25),SUM(B28:E28)*G25),IF(SUM(B26:E28)&gt;(K41*3),K41*G25,SUM(B28:E28)*G25)),2)</f>
        <v>0</v>
      </c>
      <c r="H28" s="76">
        <f>ROUND(IF(SUM(B26:E27)&lt;(K42*2),IF((SUM(B26:E28))&gt;(K42*3),(((K42*3)-(SUM(B26:E28)-C27))*H25)+((SUM(B28:E28)-C27)*H25),SUM(B28:E28)*H25),IF(SUM(B26:E28)&gt;(K42*3),K42*H25,SUM(B28:E28)*H25)),2)</f>
        <v>0</v>
      </c>
      <c r="I28" s="76">
        <f>ROUND(IF(SUM(B26:E27)&lt;(K42*2),IF((SUM(B26:E28))&gt;(K42*3),(((K42*3)-(SUM(B26:E28)-C27))*I25)+((SUM(B28:E28)-C27)*I25),SUM(B28:E28)*I25),IF(SUM(B26:E28)&gt;(K42*3),K42*I25,SUM(B28:E28)*I25)),2)</f>
        <v>0</v>
      </c>
      <c r="J28" s="76">
        <f>ROUND(IF(SUM(B26:E27)&lt;(K41*2),IF((SUM(B26:E28))&gt;(K41*3),(((K41*3)-(SUM(B26:E28)-C27))*J25)+((SUM(B28:E28)-C27)*J25),SUM(B28:E28)*J25),IF(SUM(B26:E28)&gt;(K41*3),K41*J25,SUM(B28:E28)*J25)),2)</f>
        <v>0</v>
      </c>
      <c r="K28" s="76">
        <f>ROUND(IF(SUM(B26:E27)&lt;(K42*2),IF((SUM(B26:E28))&gt;(K42*3),(((K42*3)-(SUM(B26:E28)-C28))*K25)+((SUM(B28:E28)-C28)*K25),(SUM(B28:E28)-C28)*K25),IF(SUM(B26:E28)&gt;(K42*3),K42*K25,SUM(B28:E28)*K25)),2)</f>
        <v>0</v>
      </c>
      <c r="L28" s="76">
        <f>ROUND(IF(SUM(B26:E27)&lt;(K42*2),IF((SUM(B26:E28))&gt;(K42*3),(((K42*3)-(SUM(B26:E28)-C28))*L25)+((SUM(B28:E28)-C28)*L25),(SUM(B28:E28)-C28)*L25),IF(SUM(B26:E28)&gt;(K42*3),K42*L25,SUM(B28:E28)*L25)),2)</f>
        <v>0</v>
      </c>
      <c r="M28" s="76">
        <f>ROUND(IF(SUM(B26:E27)&lt;(K42*2),IF((SUM(B26:E28))&gt;(K42*3),(((K42*3)-(SUM(B26:E28)-C27))*M25)+((SUM(B28:E28)-C27)*M25),SUM(B28:E28)*M25),IF(SUM(B26:E28)&gt;(K42*3),K42*M25,SUM(B28:E28)*M25)),2)</f>
        <v>0</v>
      </c>
      <c r="N28" s="23"/>
      <c r="O28" s="27">
        <f t="shared" si="3"/>
        <v>0</v>
      </c>
    </row>
    <row r="29" spans="1:16" x14ac:dyDescent="0.2">
      <c r="A29" s="100" t="str">
        <f>'päd.Personal - Leitung'!$A$29</f>
        <v>Apr 2022</v>
      </c>
      <c r="B29" s="24">
        <f>ROUND(IF(N9=0,0,IFERROR(((LOOKUP(2,1/(A14:A17=A29),G14:G17))*N9*4.348),B28/N9*N9)),2)</f>
        <v>0</v>
      </c>
      <c r="C29" s="23">
        <f>ROUND(IFERROR(((LOOKUP(2,1/(B19=A29),((SUM(B32:B34)+SUM(E32:E34))/3)*C19))),0)+IFERROR(((LOOKUP(2,1/(E19=A29),(B38+E38)*F19))),0),2)</f>
        <v>0</v>
      </c>
      <c r="D29" s="23">
        <f>ROUND(IF(B29=0,0,D25/N3*N9),2)</f>
        <v>0</v>
      </c>
      <c r="E29" s="24">
        <f>ROUND(IF(N9=0,0,IFERROR(((LOOKUP(2,1/(A14:A17=A29),H14:H17))/N3*N9),E28/N9*N9)),2)</f>
        <v>0</v>
      </c>
      <c r="F29" s="27">
        <f t="shared" si="2"/>
        <v>0</v>
      </c>
      <c r="G29" s="76">
        <f>ROUND(IF(SUM(B26:E28)&lt;(K41*3),IF((SUM(B26:E29))&gt;(K41*4),(((K41*4)-(SUM(B26:E29)-C28))*G25)+((SUM(B29:E29)-C28)*G25),SUM(B29:E29)*G25),IF(SUM(B26:E29)&gt;(K41*4),K41*G25,SUM(B29:E29)*G25)),2)</f>
        <v>0</v>
      </c>
      <c r="H29" s="76">
        <f>ROUND(IF(SUM(B26:E28)&lt;(K42*3),IF((SUM(B26:E29))&gt;(K42*4),(((K42*4)-(SUM(B26:E29)-C28))*H25)+((SUM(B29:E29)-C28)*H25),SUM(B29:E29)*H25),IF(SUM(B26:E29)&gt;(K42*4),K42*H25,SUM(B29:E29)*H25)),2)</f>
        <v>0</v>
      </c>
      <c r="I29" s="76">
        <f>ROUND(IF(SUM(B26:E28)&lt;(K42*3),IF((SUM(B26:E29))&gt;(K42*4),(((K42*4)-(SUM(B26:E29)-C28))*I25)+((SUM(B29:E29)-C28)*I25),SUM(B29:E29)*I25),IF(SUM(B26:E29)&gt;(K42*4),K42*I25,SUM(B29:E29)*I25)),2)</f>
        <v>0</v>
      </c>
      <c r="J29" s="76">
        <f>ROUND(IF(SUM(B26:E28)&lt;(K41*3),IF((SUM(B26:E29))&gt;(K41*4),(((K41*4)-(SUM(B26:E29)-C28))*J25)+((SUM(B29:E29)-C28)*J25),SUM(B29:E29)*J25),IF(SUM(B26:E29)&gt;(K41*4),K41*J25,SUM(B29:E29)*J25)),2)</f>
        <v>0</v>
      </c>
      <c r="K29" s="76">
        <f>ROUND(IF(SUM(B26:E28)&lt;(K42*3),IF((SUM(B26:E29))&gt;(K42*4),(((K42*4)-(SUM(B26:E29)-C29))*K25)+((SUM(B29:E29)-C29)*K25),(SUM(B29:E29)-C29)*K25),IF(SUM(B26:E29)&gt;(K42*4),K42*K25,SUM(B29:E29)*K25)),2)</f>
        <v>0</v>
      </c>
      <c r="L29" s="76">
        <f>ROUND(IF(SUM(B26:E28)&lt;(K42*3),IF((SUM(B26:E29))&gt;(K42*4),(((K42*4)-(SUM(B26:E29)-C29))*L25)+((SUM(B29:E29)-C29)*L25),(SUM(B29:E29)-C29)*L25),IF(SUM(B26:E29)&gt;(K42*4),K42*L25,SUM(B29:E29)*L25)),2)</f>
        <v>0</v>
      </c>
      <c r="M29" s="76">
        <f>ROUND(IF(SUM(B26:E28)&lt;(K42*3),IF((SUM(B26:E29))&gt;(K42*4),(((K42*4)-(SUM(B26:E29)-C28))*M25)+((SUM(B29:E29)-C28)*M25),SUM(B29:E29)*M25),IF(SUM(B26:E29)&gt;(K42*4),K42*M25,SUM(B29:E29)*M25)),2)</f>
        <v>0</v>
      </c>
      <c r="N29" s="23"/>
      <c r="O29" s="27">
        <f t="shared" si="3"/>
        <v>0</v>
      </c>
    </row>
    <row r="30" spans="1:16" ht="14.25" customHeight="1" x14ac:dyDescent="0.2">
      <c r="A30" s="100" t="str">
        <f>'päd.Personal - Leitung'!$A$30</f>
        <v>Mai 2022</v>
      </c>
      <c r="B30" s="24">
        <f>ROUND(IF(N10=0,0,IFERROR(((LOOKUP(2,1/(A14:A17=A30),G14:G17))*N10*4.348),B29/N10*N10)),2)</f>
        <v>0</v>
      </c>
      <c r="C30" s="23">
        <f>ROUND(IFERROR(((LOOKUP(2,1/(B19=A30),((SUM(B32:B34)+SUM(E32:E34))/3)*C19))),0)+IFERROR(((LOOKUP(2,1/(E19=A30),(B38+E38)*F19))),0),2)</f>
        <v>0</v>
      </c>
      <c r="D30" s="23">
        <f>ROUND(IF(B30=0,0,D25/N3*N10),2)</f>
        <v>0</v>
      </c>
      <c r="E30" s="24">
        <f>ROUND(IF(N10=0,0,IFERROR(((LOOKUP(2,1/(A14:A17=A30),H14:H17))/N3*N10),E29/N10*N10)),2)</f>
        <v>0</v>
      </c>
      <c r="F30" s="27">
        <f t="shared" si="2"/>
        <v>0</v>
      </c>
      <c r="G30" s="76">
        <f>ROUND(IF(SUM(B26:E29)&lt;(K41*4),IF((SUM(B26:E30))&gt;(K41*5),(((K41*5)-(SUM(B26:E30)-C29))*G25)+((SUM(B30:E30)-C29)*G25),SUM(B30:E30)*G25),IF(SUM(B26:E30)&gt;(K41*5),K41*G25,SUM(B30:E30)*G25)),2)</f>
        <v>0</v>
      </c>
      <c r="H30" s="76">
        <f>ROUND(IF(SUM(B26:E29)&lt;(K42*4),IF((SUM(B26:E30))&gt;(K42*5),(((K42*5)-(SUM(B26:E30)-C29))*H25)+((SUM(B30:E30)-C29)*H25),SUM(B30:E30)*H25),IF(SUM(B26:E30)&gt;(K42*5),K42*H25,SUM(B30:E30)*H25)),2)</f>
        <v>0</v>
      </c>
      <c r="I30" s="76">
        <f>ROUND(IF(SUM(B26:E29)&lt;(K42*4),IF((SUM(B26:E30))&gt;(K42*5),(((K42*5)-(SUM(B26:E30)-C29))*I25)+((SUM(B30:E30)-C29)*I25),SUM(B30:E30)*I25),IF(SUM(B26:E30)&gt;(K42*5),K42*I25,SUM(B30:E30)*I25)),2)</f>
        <v>0</v>
      </c>
      <c r="J30" s="76">
        <f>ROUND(IF(SUM(B26:E29)&lt;(K41*4),IF((SUM(B26:E30))&gt;(K41*5),(((K41*5)-(SUM(B26:E30)-C29))*J25)+((SUM(B30:E30)-C29)*J25),SUM(B30:E30)*J25),IF(SUM(B26:E30)&gt;(K41*5),K41*J25,SUM(B30:E30)*J25)),2)</f>
        <v>0</v>
      </c>
      <c r="K30" s="76">
        <f>ROUND(IF(SUM(B26:E29)&lt;(K42*4),IF((SUM(B26:E30))&gt;(K42*5),(((K42*5)-(SUM(B26:E30)-C30))*K25)+((SUM(B30:E30)-C30)*K25),(SUM(B30:E30)-C30)*K25),IF(SUM(B26:E30)&gt;(K42*5),K42*K25,SUM(B30:E30)*K25)),2)</f>
        <v>0</v>
      </c>
      <c r="L30" s="76">
        <f>ROUND(IF(SUM(B26:E29)&lt;(K42*4),IF((SUM(B26:E30))&gt;(K42*5),(((K42*5)-(SUM(B26:E30)-C30))*L25)+((SUM(B30:E30)-C30)*L25),(SUM(B30:E30)-C30)*L25),IF(SUM(B26:E30)&gt;(K42*5),K42*L25,SUM(B30:E30)*L25)),2)</f>
        <v>0</v>
      </c>
      <c r="M30" s="76">
        <f>ROUND(IF(SUM(B26:E29)&lt;(K42*4),IF((SUM(B26:E30))&gt;(K42*5),(((K42*5)-(SUM(B26:E30)-C29))*M25)+((SUM(B30:E30)-C29)*M25),SUM(B30:E30)*M25),IF(SUM(B26:E30)&gt;(K42*5),K42*M25,SUM(B30:E30)*M25)),2)</f>
        <v>0</v>
      </c>
      <c r="N30" s="23"/>
      <c r="O30" s="27">
        <f t="shared" si="3"/>
        <v>0</v>
      </c>
    </row>
    <row r="31" spans="1:16" x14ac:dyDescent="0.2">
      <c r="A31" s="100" t="str">
        <f>'päd.Personal - Leitung'!$A$31</f>
        <v>Jun 2022</v>
      </c>
      <c r="B31" s="24">
        <f>ROUND(IF(N11=0,0,IFERROR(((LOOKUP(2,1/(A14:A17=A31),G14:G17))*N11*4.348),B30/N11*N11)),2)</f>
        <v>0</v>
      </c>
      <c r="C31" s="23">
        <f>ROUND(IFERROR(((LOOKUP(2,1/(B19=A31),((SUM(B32:B34)+SUM(E32:E34))/3)*C19))),0)+IFERROR(((LOOKUP(2,1/(E19=A31),(B38+E38)*F19))),0),2)</f>
        <v>0</v>
      </c>
      <c r="D31" s="23">
        <f>ROUND(IF(B31=0,0,D25/N3*N11),2)</f>
        <v>0</v>
      </c>
      <c r="E31" s="24">
        <f>ROUND(IF(N11=0,0,IFERROR(((LOOKUP(2,1/(A14:A17=A31),H14:H17))/N3*N11),E30/N11*N11)),2)</f>
        <v>0</v>
      </c>
      <c r="F31" s="27">
        <f t="shared" si="2"/>
        <v>0</v>
      </c>
      <c r="G31" s="76">
        <f>ROUND(IF(SUM(B26:E30)&lt;(K41*5),IF((SUM(B26:E31))&gt;(K41*6),(((K41*6)-(SUM(B26:E31)-C30))*G25)+((SUM(B31:E31)-C30)*G25),SUM(B31:E31)*G25),IF(SUM(B26:E31)&gt;(K41*6),K41*G25,SUM(B31:E31)*G25)),2)</f>
        <v>0</v>
      </c>
      <c r="H31" s="76">
        <f>ROUND(IF(SUM(B26:E30)&lt;(K42*5),IF((SUM(B26:E31))&gt;(K42*6),(((K42*6)-(SUM(B26:E31)-C30))*H25)+((SUM(B31:E31)-C30)*H25),SUM(B31:E31)*H25),IF(SUM(B26:E31)&gt;(K42*6),K42*H25,SUM(B31:E31)*H25)),2)</f>
        <v>0</v>
      </c>
      <c r="I31" s="76">
        <f>ROUND(IF(SUM(B26:E30)&lt;(K42*5),IF((SUM(B26:E31))&gt;(K42*6),(((K42*6)-(SUM(B26:E31)-C30))*I25)+((SUM(B31:E31)-C30)*I25),SUM(B31:E31)*I25),IF(SUM(B26:E31)&gt;(K42*6),K42*I25,SUM(B31:E31)*I25)),2)</f>
        <v>0</v>
      </c>
      <c r="J31" s="76">
        <f>ROUND(IF(SUM(B26:E30)&lt;(K41*5),IF((SUM(B26:E31))&gt;(K41*6),(((K41*6)-(SUM(B26:E31)-C30))*J25)+((SUM(B31:E31)-C30)*J25),SUM(B31:E31)*J25),IF(SUM(B26:E31)&gt;(K41*6),K41*J25,SUM(B31:E31)*J25)),2)</f>
        <v>0</v>
      </c>
      <c r="K31" s="76">
        <f>ROUND(IF(SUM(B26:E30)&lt;(K42*5),IF((SUM(B26:E31))&gt;(K42*6),(((K42*6)-(SUM(B26:E31)-C31))*K25)+((SUM(B31:E31)-C31)*K25),(SUM(B31:E31)-C31)*K25),IF(SUM(B26:E31)&gt;(K42*6),K42*K25,SUM(B31:E31)*K25)),2)</f>
        <v>0</v>
      </c>
      <c r="L31" s="76">
        <f>ROUND(IF(SUM(B26:E30)&lt;(K42*5),IF((SUM(B26:E31))&gt;(K42*6),(((K42*6)-(SUM(B26:E31)-C31))*L25)+((SUM(B31:E31)-C31)*L25),(SUM(B31:E31)-C31)*L25),IF(SUM(B26:E31)&gt;(K42*6),K42*L25,SUM(B31:E31)*L25)),2)</f>
        <v>0</v>
      </c>
      <c r="M31" s="76">
        <f>ROUND(IF(SUM(B26:E30)&lt;(K42*5),IF((SUM(B26:E31))&gt;(K42*6),(((K42*6)-(SUM(B26:E31)-C30))*M25)+((SUM(B31:E31)-C30)*M25),SUM(B31:E31)*M25),IF(SUM(B26:E31)&gt;(K42*6),K42*M25,SUM(B31:E31)*M25)),2)</f>
        <v>0</v>
      </c>
      <c r="N31" s="23"/>
      <c r="O31" s="27">
        <f t="shared" si="3"/>
        <v>0</v>
      </c>
    </row>
    <row r="32" spans="1:16" x14ac:dyDescent="0.2">
      <c r="A32" s="100" t="str">
        <f>'päd.Personal - Leitung'!$A$32</f>
        <v>Jul 2022</v>
      </c>
      <c r="B32" s="24">
        <f>ROUND(IF(P6=0,0,IFERROR(((LOOKUP(2,1/(A14:A17=A32),G14:G17))*P6*4.348),B31/P6*P6)),2)</f>
        <v>0</v>
      </c>
      <c r="C32" s="23">
        <f>ROUND(IFERROR(((LOOKUP(2,1/(B19=A32),((SUM(B32:B34)+SUM(E32:E34))/3)*C19))),0)+IFERROR(((LOOKUP(2,1/(E19=A32),(B38+E38)*F19))),0),2)</f>
        <v>0</v>
      </c>
      <c r="D32" s="23">
        <f>ROUND(IF(B32=0,0,D25/N3*P6),2)</f>
        <v>0</v>
      </c>
      <c r="E32" s="24">
        <f>ROUND(IF(P6=0,0,IFERROR(((LOOKUP(2,1/(A14:A17=A32),H14:H17))/N3*P6),E31/P6*P6)),2)</f>
        <v>0</v>
      </c>
      <c r="F32" s="27">
        <f t="shared" si="2"/>
        <v>0</v>
      </c>
      <c r="G32" s="76">
        <f>ROUND(IF(SUM(B26:E31)&lt;(K41*6),IF((SUM(B26:E32))&gt;(K41*7),(((K41*7)-(SUM(B26:E32)-C31))*G25)+((SUM(B32:E32)-C31)*G25),SUM(B32:E32)*G25),IF(SUM(B26:E32)&gt;(K41*7),K41*G25,SUM(B32:E32)*G25)),2)</f>
        <v>0</v>
      </c>
      <c r="H32" s="76">
        <f>ROUND(IF(SUM(B26:E31)&lt;(K42*6),IF((SUM(B26:E32))&gt;(K42*7),(((K42*7)-(SUM(B26:E32)-C31))*H25)+((SUM(B32:E32)-C31)*H25),SUM(B32:E32)*H25),IF(SUM(B26:E32)&gt;(K42*7),K42*H25,SUM(B32:E32)*H25)),2)</f>
        <v>0</v>
      </c>
      <c r="I32" s="76">
        <f>ROUND(IF(SUM(B26:E31)&lt;(K42*6),IF((SUM(B26:E32))&gt;(K42*7),(((K42*7)-(SUM(B26:E32)-C31))*I25)+((SUM(B32:E32)-C31)*I25),SUM(B32:E32)*I25),IF(SUM(B26:E32)&gt;(K42*7),K42*I25,SUM(B32:E32)*I25)),2)</f>
        <v>0</v>
      </c>
      <c r="J32" s="76">
        <f>ROUND(IF(SUM(B26:E31)&lt;(K41*6),IF((SUM(B26:E32))&gt;(K41*7),(((K41*7)-(SUM(B26:E32)-C31))*J25)+((SUM(B32:E32)-C31)*J25),SUM(B32:E32)*J25),IF(SUM(B26:E32)&gt;(K41*7),K41*J25,SUM(B32:E32)*J25)),2)</f>
        <v>0</v>
      </c>
      <c r="K32" s="76">
        <f>ROUND(IF(SUM(B26:E31)&lt;(K42*6),IF((SUM(B26:E32))&gt;(K42*7),(((K42*7)-(SUM(B26:E32)-C32))*K25)+((SUM(B32:E32)-C32)*K25),(SUM(B32:E32)-C32)*K25),IF(SUM(B26:E32)&gt;(K42*7),K42*K25,SUM(B32:E32)*K25)),2)</f>
        <v>0</v>
      </c>
      <c r="L32" s="76">
        <f>ROUND(IF(SUM(B26:E31)&lt;(K42*6),IF((SUM(B26:E32))&gt;(K42*7),(((K42*7)-(SUM(B26:E32)-C32))*L25)+((SUM(B32:E32)-C32)*L25),(SUM(B32:E32)-C32)*L25),IF(SUM(B26:E32)&gt;(K42*7),K42*L25,SUM(B32:E32)*L25)),2)</f>
        <v>0</v>
      </c>
      <c r="M32" s="76">
        <f>ROUND(IF(SUM(B26:E31)&lt;(K42*6),IF((SUM(B26:E32))&gt;(K42*7),(((K42*7)-(SUM(B26:E32)-C31))*M25)+((SUM(B32:E32)-C31)*M25),SUM(B32:E32)*M25),IF(SUM(B26:E32)&gt;(K42*7),K42*M25,SUM(B32:E32)*M25)),2)</f>
        <v>0</v>
      </c>
      <c r="N32" s="23"/>
      <c r="O32" s="27">
        <f t="shared" si="3"/>
        <v>0</v>
      </c>
    </row>
    <row r="33" spans="1:16" x14ac:dyDescent="0.2">
      <c r="A33" s="100" t="str">
        <f>'päd.Personal - Leitung'!$A$33</f>
        <v>Aug 2022</v>
      </c>
      <c r="B33" s="24">
        <f>ROUND(IF(P7=0,0,IFERROR(((LOOKUP(2,1/(A14:A17=A33),G14:G17))*P7*4.348),B32/P7*P7)),2)</f>
        <v>0</v>
      </c>
      <c r="C33" s="23">
        <f>ROUND(IFERROR(((LOOKUP(2,1/(B19=A33),((SUM(B32:B34)+SUM(E32:E34))/3)*C19))),0)+IFERROR(((LOOKUP(2,1/(E19=A33),(B38+E38)*F19))),0),2)</f>
        <v>0</v>
      </c>
      <c r="D33" s="23">
        <f>ROUND(IF(B33=0,0,D25/N3*P7),2)</f>
        <v>0</v>
      </c>
      <c r="E33" s="24">
        <f>ROUND(IF(P7=0,0,IFERROR(((LOOKUP(2,1/(A14:A17=A33),H14:H17))/N3*P7),E32/P7*P7)),2)</f>
        <v>0</v>
      </c>
      <c r="F33" s="27">
        <f t="shared" si="2"/>
        <v>0</v>
      </c>
      <c r="G33" s="76">
        <f>ROUND(IF(SUM(B26:E32)&lt;(K41*7),IF((SUM(B26:E33))&gt;(K41*8),(((K41*8)-(SUM(B26:E33)-C32))*G25)+((SUM(B33:E33)-C32)*G25),SUM(B33:E33)*G25),IF(SUM(B26:E33)&gt;(K41*8),K41*G25,SUM(B33:E33)*G25)),2)</f>
        <v>0</v>
      </c>
      <c r="H33" s="76">
        <f>ROUND(IF(SUM(B26:E32)&lt;(K42*7),IF((SUM(B26:E33))&gt;(K42*8),(((K42*8)-(SUM(B26:E33)-C32))*H25)+((SUM(B33:E33)-C32)*H25),SUM(B33:E33)*H25),IF(SUM(B26:E33)&gt;(K42*8),K42*H25,SUM(B33:E33)*H25)),2)</f>
        <v>0</v>
      </c>
      <c r="I33" s="76">
        <f>ROUND(IF(SUM(B26:E32)&lt;(K42*7),IF((SUM(B26:E33))&gt;(K42*8),(((K42*8)-(SUM(B26:E33)-C32))*I25)+((SUM(B33:E33)-C32)*I25),SUM(B33:E33)*I25),IF(SUM(B26:E33)&gt;(K42*8),K42*I25,SUM(B33:E33)*I25)),2)</f>
        <v>0</v>
      </c>
      <c r="J33" s="76">
        <f>ROUND(IF(SUM(B26:E32)&lt;(K41*7),IF((SUM(B26:E33))&gt;(K41*8),(((K41*8)-(SUM(B26:E33)-C32))*J25)+((SUM(B33:E33)-C32)*J25),SUM(B33:E33)*J25),IF(SUM(B26:E33)&gt;(K41*8),K41*J25,SUM(B33:E33)*J25)),2)</f>
        <v>0</v>
      </c>
      <c r="K33" s="76">
        <f>ROUND(IF(SUM(B26:E32)&lt;(K42*7),IF((SUM(B26:E33))&gt;(K42*8),(((K42*8)-(SUM(B26:E33)-C33))*K25)+((SUM(B33:E33)-C33)*K25),(SUM(B33:E33)-C33)*K25),IF(SUM(B26:E33)&gt;(K42*8),K42*K25,SUM(B33:E33)*K25)),2)</f>
        <v>0</v>
      </c>
      <c r="L33" s="76">
        <f>ROUND(IF(SUM(B26:E32)&lt;(K42*7),IF((SUM(B26:E33))&gt;(K42*8),(((K42*8)-(SUM(B26:E33)-C33))*L25)+((SUM(B33:E33)-C33)*L25),(SUM(B33:E33)-C33)*L25),IF(SUM(B26:E33)&gt;(K42*8),K42*L25,SUM(B33:E33)*L25)),2)</f>
        <v>0</v>
      </c>
      <c r="M33" s="76">
        <f>ROUND(IF(SUM(B26:E32)&lt;(K42*7),IF((SUM(B26:E33))&gt;(K42*8),(((K42*8)-(SUM(B26:E33)-C32))*M25)+((SUM(B33:E33)-C32)*M25),SUM(B33:E33)*M25),IF(SUM(B26:E33)&gt;(K42*8),K42*M25,SUM(B33:E33)*M25)),2)</f>
        <v>0</v>
      </c>
      <c r="N33" s="23"/>
      <c r="O33" s="27">
        <f t="shared" si="3"/>
        <v>0</v>
      </c>
    </row>
    <row r="34" spans="1:16" x14ac:dyDescent="0.2">
      <c r="A34" s="100" t="str">
        <f>'päd.Personal - Leitung'!$A$34</f>
        <v>Sep 2022</v>
      </c>
      <c r="B34" s="24">
        <f>ROUND(IF(P8=0,0,IFERROR(((LOOKUP(2,1/(A14:A17=A34),G14:G17))*P8*4.348),B33/P8*P8)),2)</f>
        <v>0</v>
      </c>
      <c r="C34" s="23">
        <f>ROUND(IFERROR(((LOOKUP(2,1/(B19=A34),((SUM(B32:B34)+SUM(E32:E34))/3)*C19))),0)+IFERROR(((LOOKUP(2,1/(E19=A34),(B38+E38)*F19))),0),2)</f>
        <v>0</v>
      </c>
      <c r="D34" s="23">
        <f>ROUND(IF(B34=0,0,D25/N3*P8),2)</f>
        <v>0</v>
      </c>
      <c r="E34" s="24">
        <f>ROUND(IF(P8=0,0,IFERROR(((LOOKUP(2,1/(A14:A17=A34),H14:H17))/N3*P8),E33/P8*P8)),2)</f>
        <v>0</v>
      </c>
      <c r="F34" s="27">
        <f t="shared" si="2"/>
        <v>0</v>
      </c>
      <c r="G34" s="76">
        <f>ROUND(IF(SUM(B26:E33)&lt;(K41*8),IF((SUM(B26:E34))&gt;(K41*9),(((K41*9)-(SUM(B26:E34)-C33))*G25)+((SUM(B34:E34)-C33)*G25),SUM(B34:E34)*G25),IF(SUM(B26:E34)&gt;(K41*9),K41*G25,SUM(B34:E34)*G25)),2)</f>
        <v>0</v>
      </c>
      <c r="H34" s="76">
        <f>ROUND(IF(SUM(B26:E33)&lt;(K42*8),IF((SUM(B26:E34))&gt;(K42*9),(((K42*9)-(SUM(B26:E34)-C33))*H25)+((SUM(B34:E34)-C33)*H25),SUM(B34:E34)*H25),IF(SUM(B26:E34)&gt;(K42*9),K42*H25,SUM(B34:E34)*H25)),2)</f>
        <v>0</v>
      </c>
      <c r="I34" s="76">
        <f>ROUND(IF(SUM(B26:E33)&lt;(K42*8),IF((SUM(B26:E34))&gt;(K42*9),(((K42*9)-(SUM(B26:E34)-C33))*I25)+((SUM(B34:E34)-C33)*I25),SUM(B34:E34)*I25),IF(SUM(B26:E34)&gt;(K42*9),K42*I25,SUM(B34:E34)*I25)),2)</f>
        <v>0</v>
      </c>
      <c r="J34" s="76">
        <f>ROUND(IF(SUM(B26:E33)&lt;(K41*8),IF((SUM(B26:E34))&gt;(K41*9),(((K41*9)-(SUM(B26:E34)-C33))*J25)+((SUM(B34:E34)-C33)*J25),SUM(B34:E34)*J25),IF(SUM(B26:E34)&gt;(K41*9),K41*J25,SUM(B34:E34)*J25)),2)</f>
        <v>0</v>
      </c>
      <c r="K34" s="76">
        <f>ROUND(IF(SUM(B26:E33)&lt;(K42*8),IF((SUM(B26:E34))&gt;(K42*9),(((K42*9)-(SUM(B26:E34)-C34))*K25)+((SUM(B34:E34)-C34)*K25),(SUM(B34:E34)-C34)*K25),IF(SUM(B26:E34)&gt;(K42*9),K42*K25,SUM(B34:E34)*K25)),2)</f>
        <v>0</v>
      </c>
      <c r="L34" s="76">
        <f>ROUND(IF(SUM(B26:E33)&lt;(K42*8),IF((SUM(B26:E34))&gt;(K42*9),(((K42*9)-(SUM(B26:E34)-C34))*L25)+((SUM(B34:E34)-C34)*L25),(SUM(B34:E34)-C34)*L25),IF(SUM(B26:E34)&gt;(K42*9),K42*L25,SUM(B34:E34)*L25)),2)</f>
        <v>0</v>
      </c>
      <c r="M34" s="76">
        <f>ROUND(IF(SUM(B26:E33)&lt;(K42*8),IF((SUM(B26:E34))&gt;(K42*9),(((K42*9)-(SUM(B26:E34)-C33))*M25)+((SUM(B34:E34)-C33)*M25),SUM(B34:E34)*M25),IF(SUM(B26:E34)&gt;(K42*9),K42*M25,SUM(B34:E34)*M25)),2)</f>
        <v>0</v>
      </c>
      <c r="N34" s="23"/>
      <c r="O34" s="27">
        <f t="shared" si="3"/>
        <v>0</v>
      </c>
    </row>
    <row r="35" spans="1:16" x14ac:dyDescent="0.2">
      <c r="A35" s="100" t="str">
        <f>'päd.Personal - Leitung'!$A$35</f>
        <v>Okt 2022</v>
      </c>
      <c r="B35" s="24">
        <f>ROUND(IF(P9=0,0,IFERROR(((LOOKUP(2,1/(A14:A17=A35),G14:G17))*P9*4.348),B34/P9*P9)),2)</f>
        <v>0</v>
      </c>
      <c r="C35" s="23">
        <f>ROUND(IFERROR(((LOOKUP(2,1/(B19=A35),((SUM(B32:B34)+SUM(E32:E34))/3)*C19))),0)+IFERROR(((LOOKUP(2,1/(E19=A35),(B38+E38)*F19))),0),2)</f>
        <v>0</v>
      </c>
      <c r="D35" s="23">
        <f>ROUND(IF(B35=0,0,D25/N3*P9),2)</f>
        <v>0</v>
      </c>
      <c r="E35" s="24">
        <f>ROUND(IF(P9=0,0,IFERROR(((LOOKUP(2,1/(A14:A17=A35),H14:H17))/N3*P9),E34/P9*P9)),2)</f>
        <v>0</v>
      </c>
      <c r="F35" s="27">
        <f t="shared" si="2"/>
        <v>0</v>
      </c>
      <c r="G35" s="76">
        <f>ROUND(IF(SUM(B26:E34)&lt;(K41*9),IF((SUM(B26:E35))&gt;(K41*10),(((K41*10)-(SUM(B26:E35)-C34))*G25)+((SUM(B35:E35)-C34)*G25),SUM(B35:E35)*G25),IF(SUM(B26:E35)&gt;(K41*10),K41*G25,SUM(B35:E35)*G25)),2)</f>
        <v>0</v>
      </c>
      <c r="H35" s="76">
        <f>ROUND(IF(SUM(B26:E34)&lt;(K42*9),IF((SUM(B26:E35))&gt;(K42*10),(((K42*10)-(SUM(B26:E35)-C34))*H25)+((SUM(B35:E35)-C34)*H25),SUM(B35:E35)*H25),IF(SUM(B26:E35)&gt;(K42*10),K42*H25,SUM(B35:E35)*H25)),2)</f>
        <v>0</v>
      </c>
      <c r="I35" s="76">
        <f>ROUND(IF(SUM(B26:E34)&lt;(K42*9),IF((SUM(B26:E35))&gt;(K42*10),(((K42*10)-(SUM(B26:E35)-C34))*I25)+((SUM(B35:E35)-C34)*I25),SUM(B35:E35)*I25),IF(SUM(B26:E35)&gt;(K42*10),K42*I25,SUM(B35:E35)*I25)),2)</f>
        <v>0</v>
      </c>
      <c r="J35" s="76">
        <f>ROUND(IF(SUM(B26:E34)&lt;(K41*9),IF((SUM(B26:E35))&gt;(K41*10),(((K41*10)-(SUM(B26:E35)-C34))*J25)+((SUM(B35:E35)-C34)*J25),SUM(B35:E35)*J25),IF(SUM(B26:E35)&gt;(K41*10),K41*J25,SUM(B35:E35)*J25)),2)</f>
        <v>0</v>
      </c>
      <c r="K35" s="76">
        <f>ROUND(IF(SUM(B26:E34)&lt;(K42*9),IF((SUM(B26:E35))&gt;(K42*10),(((K42*10)-(SUM(B26:E35)-C35))*K25)+((SUM(B35:E35)-C35)*K25),(SUM(B35:E35)-C35)*K25),IF(SUM(B26:E35)&gt;(K42*10),K42*K25,SUM(B35:E35)*K25)),2)</f>
        <v>0</v>
      </c>
      <c r="L35" s="76">
        <f>ROUND(IF(SUM(B26:E34)&lt;(K42*9),IF((SUM(B26:E35))&gt;(K42*10),(((K42*10)-(SUM(B26:E35)-C35))*L25)+((SUM(B35:E35)-C35)*L25),(SUM(B35:E35)-C35)*L25),IF(SUM(B26:E35)&gt;(K42*10),K42*L25,SUM(B35:E35)*L25)),2)</f>
        <v>0</v>
      </c>
      <c r="M35" s="76">
        <f>ROUND(IF(SUM(B26:E34)&lt;(K42*9),IF((SUM(B26:E35))&gt;(K42*10),(((K42*10)-(SUM(B26:E35)-C34))*M25)+((SUM(B35:E35)-C34)*M25),SUM(B35:E35)*M25),IF(SUM(B26:E35)&gt;(K42*10),K42*M25,SUM(B35:E35)*M25)),2)</f>
        <v>0</v>
      </c>
      <c r="N35" s="23"/>
      <c r="O35" s="27">
        <f t="shared" si="3"/>
        <v>0</v>
      </c>
    </row>
    <row r="36" spans="1:16" x14ac:dyDescent="0.2">
      <c r="A36" s="100" t="str">
        <f>'päd.Personal - Leitung'!$A$36</f>
        <v>Nov 2022</v>
      </c>
      <c r="B36" s="24">
        <f>ROUND(IF(P10=0,0,IFERROR(((LOOKUP(2,1/(A14:A17=A36),G14:G17))*P10*4.348),B35/P10*P10)),2)</f>
        <v>0</v>
      </c>
      <c r="C36" s="23">
        <f>ROUND(IFERROR(((LOOKUP(2,1/(B19=A36),((SUM(B32:B34)+SUM(E32:E34))/3)*C19))),0)+IFERROR(((LOOKUP(2,1/(E19=A36),(B38+E38)*F19))),0),2)</f>
        <v>0</v>
      </c>
      <c r="D36" s="23">
        <f>ROUND(IF(B36=0,0,D25/N3*P10),2)</f>
        <v>0</v>
      </c>
      <c r="E36" s="24">
        <f>ROUND(IF(P10=0,0,IFERROR(((LOOKUP(2,1/(A14:A17=A36),H14:H17))/N3*P10),E35/P10*P10)),2)</f>
        <v>0</v>
      </c>
      <c r="F36" s="27">
        <f t="shared" si="2"/>
        <v>0</v>
      </c>
      <c r="G36" s="76">
        <f>ROUND(IF(SUM(B26:E35)&lt;(K41*10),IF((SUM(B26:E36))&gt;(K41*11),(((K41*11)-(SUM(B26:E36)-C35))*G25)+((SUM(B36:E36)-C35)*G25),SUM(B36:E36)*G25),IF(SUM(B26:E36)&gt;(K41*11),K41*G25,SUM(B36:E36)*G25)),2)</f>
        <v>0</v>
      </c>
      <c r="H36" s="76">
        <f>ROUND(IF(SUM(B26:E35)&lt;(K42*10),IF((SUM(B26:E36))&gt;(K42*11),(((K42*11)-(SUM(B26:E36)-C35))*H25)+((SUM(B36:E36)-C35)*H25),SUM(B36:E36)*H25),IF(SUM(B26:E36)&gt;(K42*11),K42*H25,SUM(B36:E36)*H25)),2)</f>
        <v>0</v>
      </c>
      <c r="I36" s="76">
        <f>ROUND(IF(SUM(B26:E35)&lt;(K42*10),IF((SUM(B26:E36))&gt;(K42*11),(((K42*11)-(SUM(B26:E36)-C35))*I25)+((SUM(B36:E36)-C35)*I25),SUM(B36:E36)*I25),IF(SUM(B26:E36)&gt;(K42*11),K42*I25,SUM(B36:E36)*I25)),2)</f>
        <v>0</v>
      </c>
      <c r="J36" s="76">
        <f>ROUND(IF(SUM(B26:E35)&lt;(K41*10),IF((SUM(B26:E36))&gt;(K41*11),(((K41*11)-(SUM(B26:E36)-C35))*J25)+((SUM(B36:E36)-C35)*J25),SUM(B36:E36)*J25),IF(SUM(B26:E36)&gt;(K41*11),K41*J25,SUM(B36:E36)*J25)),2)</f>
        <v>0</v>
      </c>
      <c r="K36" s="76">
        <f>ROUND(IF(SUM(B26:E35)&lt;(K42*10),IF((SUM(B26:E36))&gt;(K42*11),(((K42*11)-(SUM(B26:E36)-C36))*K25)+((SUM(B36:E36)-C36)*K25),(SUM(B36:E36)-C36)*K25),IF(SUM(B26:E36)&gt;(K42*11),K42*K25,SUM(B36:E36)*K25)),2)</f>
        <v>0</v>
      </c>
      <c r="L36" s="76">
        <f>ROUND(IF(SUM(B26:E35)&lt;(K42*10),IF((SUM(B26:E36))&gt;(K42*11),(((K42*11)-(SUM(B26:E36)-C36))*L25)+((SUM(B36:E36)-C36)*L25),(SUM(B36:E36)-C36)*L25),IF(SUM(B26:E36)&gt;(K42*11),K42*L25,SUM(B36:E36)*L25)),2)</f>
        <v>0</v>
      </c>
      <c r="M36" s="76">
        <f>ROUND(IF(SUM(B26:E35)&lt;(K42*10),IF((SUM(B26:E36))&gt;(K42*11),(((K42*11)-(SUM(B26:E36)-C35))*M25)+((SUM(B36:E36)-C35)*M25),SUM(B36:E36)*M25),IF(SUM(B26:E36)&gt;(K42*11),K42*M25,SUM(B36:E36)*M25)),2)</f>
        <v>0</v>
      </c>
      <c r="N36" s="23"/>
      <c r="O36" s="27">
        <f t="shared" si="3"/>
        <v>0</v>
      </c>
    </row>
    <row r="37" spans="1:16" x14ac:dyDescent="0.2">
      <c r="A37" s="100" t="str">
        <f>'päd.Personal - Leitung'!$A$37</f>
        <v>Dez 2022</v>
      </c>
      <c r="B37" s="24">
        <f>ROUND(IF(P11=0,0,IFERROR(((LOOKUP(2,1/(A14:A17=A37),G14:G17))*P11*4.348),B36/P11*P11)),2)</f>
        <v>0</v>
      </c>
      <c r="C37" s="23">
        <f>ROUND(IFERROR(((LOOKUP(2,1/(B19=A37),((SUM(B32:B34)+SUM(E32:E34))/3)*C19))),0)+IFERROR(((LOOKUP(2,1/(E19=A37),(B38+E38)*F19))),0),2)</f>
        <v>0</v>
      </c>
      <c r="D37" s="23">
        <f>ROUND(IF(B37=0,0,D25/N3*P11),2)</f>
        <v>0</v>
      </c>
      <c r="E37" s="24">
        <f>ROUND(IF(P11=0,0,IFERROR(((LOOKUP(2,1/(A14:A17=A37),H14:H17))/N3*P11),E36/P11*P11)),2)</f>
        <v>0</v>
      </c>
      <c r="F37" s="27">
        <f t="shared" si="2"/>
        <v>0</v>
      </c>
      <c r="G37" s="76">
        <f>ROUND(IF(SUM(B26:E36)&lt;(K41*11),IF((SUM(B26:E37))&gt;(K41*12),(((K41*12)-(SUM(B26:E37)-C36))*G25)+((SUM(B37:E37)-C36)*G25),SUM(B37:E37)*G25),IF(SUM(B26:E37)&gt;(K41*12),K41*G25,SUM(B37:E37)*G25)),2)</f>
        <v>0</v>
      </c>
      <c r="H37" s="76">
        <f>ROUND(IF(SUM(B26:E36)&lt;(K42*11),IF((SUM(B26:E37))&gt;(K42*12),(((K42*12)-(SUM(B26:E37)-C36))*H25)+((SUM(B37:E37)-C36)*H25),SUM(B37:E37)*H25),IF(SUM(B26:E37)&gt;(K42*12),K42*H25,SUM(B37:E37)*H25)),2)</f>
        <v>0</v>
      </c>
      <c r="I37" s="76">
        <f>ROUND(IF(SUM(B26:E36)&lt;(K42*11),IF((SUM(B26:E37))&gt;(K42*12),(((K42*12)-(SUM(B26:E37)-C36))*I25)+((SUM(B37:E37)-C36)*I25),SUM(B37:E37)*I25),IF(SUM(B26:E37)&gt;(K42*12),K42*I25,SUM(B37:E37)*I25)),2)</f>
        <v>0</v>
      </c>
      <c r="J37" s="76">
        <f>ROUND(IF(SUM(B26:E36)&lt;(K41*11),IF((SUM(B26:E37))&gt;(K41*12),(((K41*12)-(SUM(B26:E37)-C36))*J25)+((SUM(B37:E37)-C36)*J25),SUM(B37:E37)*J25),IF(SUM(B26:E37)&gt;(K41*12),K41*J25,SUM(B37:E37)*J25)),2)</f>
        <v>0</v>
      </c>
      <c r="K37" s="76">
        <f>ROUND(IF(SUM(B26:E36)&lt;(K42*11),IF((SUM(B26:E37))&gt;(K42*12),(((K42*12)-(SUM(B26:E37)-C37))*K25)+((SUM(B37:E37)-C37)*K25),(SUM(B37:E37)-C37)*K25),IF(SUM(B26:E37)&gt;(K42*12),K42*K25,SUM(B37:E37)*K25)),2)</f>
        <v>0</v>
      </c>
      <c r="L37" s="76">
        <f>ROUND(IF(SUM(B26:E36)&lt;(K42*11),IF((SUM(B26:E37))&gt;(K42*12),(((K42*12)-(SUM(B26:E37)-C37))*L25)+((SUM(B37:E37)-C37)*L25),(SUM(B37:E37)-C37)*L25),IF(SUM(B26:E37)&gt;(K42*12),K42*L25,SUM(B37:E37)*L25)),2)</f>
        <v>0</v>
      </c>
      <c r="M37" s="76">
        <f>ROUND(IF(SUM(B26:E36)&lt;(K42*11),IF((SUM(B26:E37))&gt;(K42*12),(((K42*12)-(SUM(B26:E37)-C36))*M25)+((SUM(B37:E37)-C36)*M25),SUM(B37:E37)*M25),IF(SUM(B26:E37)&gt;(K42*12),K42*M25,SUM(B37:E37)*M25)),2)</f>
        <v>0</v>
      </c>
      <c r="N37" s="23"/>
      <c r="O37" s="27">
        <f>SUM(F37:N37)</f>
        <v>0</v>
      </c>
    </row>
    <row r="38" spans="1:16" s="14" customFormat="1" ht="15" x14ac:dyDescent="0.25">
      <c r="A38" s="4" t="s">
        <v>2</v>
      </c>
      <c r="B38" s="27">
        <f>SUM(B26:B37)</f>
        <v>0</v>
      </c>
      <c r="C38" s="27">
        <f t="shared" ref="C38:E38" si="4">SUM(C26:C37)</f>
        <v>0</v>
      </c>
      <c r="D38" s="27">
        <f t="shared" si="4"/>
        <v>0</v>
      </c>
      <c r="E38" s="27">
        <f t="shared" si="4"/>
        <v>0</v>
      </c>
      <c r="F38" s="27">
        <f>SUM(F26:F37)</f>
        <v>0</v>
      </c>
      <c r="G38" s="1133">
        <f>SUM(G26:M37)</f>
        <v>0</v>
      </c>
      <c r="H38" s="1134"/>
      <c r="I38" s="1134"/>
      <c r="J38" s="1134"/>
      <c r="K38" s="1134"/>
      <c r="L38" s="1134"/>
      <c r="M38" s="1135"/>
      <c r="N38" s="27">
        <f>SUM(N26:N37)</f>
        <v>0</v>
      </c>
      <c r="O38" s="27">
        <f>SUM(O26:O37)</f>
        <v>0</v>
      </c>
      <c r="P38" s="1"/>
    </row>
    <row r="39" spans="1:16" s="13" customFormat="1" ht="11.25" x14ac:dyDescent="0.2">
      <c r="A39" s="3" t="s">
        <v>1</v>
      </c>
      <c r="B39" s="2"/>
      <c r="C39" s="2"/>
      <c r="D39" s="2"/>
      <c r="E39" s="2"/>
      <c r="F39" s="2"/>
      <c r="G39" s="2"/>
      <c r="H39" s="2"/>
      <c r="I39" s="2"/>
      <c r="J39" s="2"/>
      <c r="K39" s="2"/>
      <c r="L39" s="2"/>
      <c r="M39" s="2"/>
      <c r="N39" s="2"/>
      <c r="O39" s="2"/>
      <c r="P39" s="2"/>
    </row>
    <row r="40" spans="1:16" ht="14.25" customHeight="1" x14ac:dyDescent="0.2">
      <c r="A40" s="1136" t="s">
        <v>133</v>
      </c>
      <c r="B40" s="1137"/>
      <c r="C40" s="1137"/>
      <c r="D40" s="1137" t="s">
        <v>134</v>
      </c>
      <c r="E40" s="1137"/>
      <c r="F40" s="94" t="str">
        <f>IF(IF(G38=0,"",'päd.Personal - Leitung'!$F$40)=0,"",IF(G38=0,"",'päd.Personal - Leitung'!$F$40))</f>
        <v/>
      </c>
      <c r="G40" s="77" t="s">
        <v>135</v>
      </c>
      <c r="H40" s="96" t="str">
        <f>IF(IF(G38=0,"",'päd.Personal - Leitung'!$H$40)=0,"",IF(G38=0,"",'päd.Personal - Leitung'!$H$40))</f>
        <v/>
      </c>
      <c r="I40" s="73"/>
      <c r="J40" s="194" t="s">
        <v>160</v>
      </c>
      <c r="K40" s="194" t="str">
        <f>'päd.Personal - Leitung'!$K$40</f>
        <v>2021</v>
      </c>
      <c r="L40" s="194" t="str">
        <f>'päd.Personal - Leitung'!$L$40</f>
        <v>anteilig 2021</v>
      </c>
      <c r="M40" s="1138" t="s">
        <v>140</v>
      </c>
      <c r="N40" s="1138"/>
      <c r="O40" s="1139"/>
      <c r="P40" s="27">
        <f>ROUND(IF(F40="",IF(E44="",0,(E44*H44/K44)/L7*L8),F38*F40*H40/1000),2)</f>
        <v>0</v>
      </c>
    </row>
    <row r="41" spans="1:16" ht="15" customHeight="1" x14ac:dyDescent="0.2">
      <c r="A41" s="1140" t="s">
        <v>145</v>
      </c>
      <c r="B41" s="1141"/>
      <c r="C41" s="1141"/>
      <c r="D41" s="18"/>
      <c r="E41" s="107" t="s">
        <v>135</v>
      </c>
      <c r="F41" s="95" t="str">
        <f>IF(IF(G38=0,"",'päd.Personal - Leitung'!$F$41)=0,"",IF(G38=0,"",'päd.Personal - Leitung'!$F$41))</f>
        <v/>
      </c>
      <c r="G41" s="48"/>
      <c r="H41" s="47"/>
      <c r="I41" s="48"/>
      <c r="J41" s="195" t="s">
        <v>158</v>
      </c>
      <c r="K41" s="198">
        <f>'päd.Personal - Leitung'!$K$41</f>
        <v>4837.5</v>
      </c>
      <c r="L41" s="197">
        <f>IF(L7="",K41,K41/L7*L8)</f>
        <v>4837.5</v>
      </c>
      <c r="M41" s="1138" t="s">
        <v>139</v>
      </c>
      <c r="N41" s="1138"/>
      <c r="O41" s="1139"/>
      <c r="P41" s="108">
        <f>ROUND(IF(F41="",0,F38*F41/1000),2)</f>
        <v>0</v>
      </c>
    </row>
    <row r="42" spans="1:16" ht="15.75" customHeight="1" x14ac:dyDescent="0.2">
      <c r="A42" s="1142"/>
      <c r="B42" s="1143"/>
      <c r="C42" s="1143"/>
      <c r="D42" s="1144"/>
      <c r="E42" s="1144"/>
      <c r="F42" s="1200"/>
      <c r="G42" s="1200"/>
      <c r="H42" s="72"/>
      <c r="I42" s="18"/>
      <c r="J42" s="195" t="s">
        <v>159</v>
      </c>
      <c r="K42" s="198">
        <f>'päd.Personal - Leitung'!$K$42</f>
        <v>6700</v>
      </c>
      <c r="L42" s="197">
        <f>IF(L7="",K42,K42/L7*L8)</f>
        <v>6700</v>
      </c>
      <c r="M42" s="1201"/>
      <c r="N42" s="1201"/>
      <c r="O42" s="1201"/>
      <c r="P42" s="110"/>
    </row>
    <row r="43" spans="1:16" ht="14.25" customHeight="1" x14ac:dyDescent="0.2">
      <c r="A43" s="18"/>
      <c r="B43" s="18"/>
      <c r="C43" s="18"/>
      <c r="D43" s="18"/>
      <c r="E43" s="18"/>
      <c r="F43" s="18"/>
      <c r="G43" s="18"/>
      <c r="H43" s="18"/>
      <c r="I43" s="18"/>
      <c r="J43" s="18"/>
      <c r="K43" s="74"/>
      <c r="L43" s="82"/>
      <c r="M43" s="1127" t="s">
        <v>146</v>
      </c>
      <c r="N43" s="1127"/>
      <c r="O43" s="1128"/>
      <c r="P43" s="109">
        <f>ROUND(IF(F38=0,0,'päd.Personal - Leitung'!$P$43),2)</f>
        <v>0</v>
      </c>
    </row>
    <row r="44" spans="1:16" ht="14.25" customHeight="1" x14ac:dyDescent="0.2">
      <c r="A44" s="1129" t="s">
        <v>142</v>
      </c>
      <c r="B44" s="1130"/>
      <c r="C44" s="133" t="s">
        <v>136</v>
      </c>
      <c r="D44" s="133" t="s">
        <v>137</v>
      </c>
      <c r="E44" s="1131" t="str">
        <f>IF(IF(G38=0,"",'päd.Personal - Leitung'!$E$44)=0,"",IF(G38=0,"",'päd.Personal - Leitung'!$E$44))</f>
        <v/>
      </c>
      <c r="F44" s="1131"/>
      <c r="G44" s="83" t="s">
        <v>138</v>
      </c>
      <c r="H44" s="97" t="str">
        <f>IF(IF(G38=0,"",'päd.Personal - Leitung'!$H$44)=0,"",IF(G38=0,"",'päd.Personal - Leitung'!$H$44))</f>
        <v/>
      </c>
      <c r="I44" s="1132" t="s">
        <v>144</v>
      </c>
      <c r="J44" s="1132"/>
      <c r="K44" s="98" t="str">
        <f>IF(IF(G38=0,"",'päd.Personal - Leitung'!$K$44)=0,"",IF(G38=0,"",'päd.Personal - Leitung'!$K$44))</f>
        <v/>
      </c>
      <c r="L44" s="29"/>
      <c r="M44" s="29"/>
      <c r="N44" s="29"/>
      <c r="O44" s="28" t="s">
        <v>0</v>
      </c>
      <c r="P44" s="27">
        <f>O38+SUM(P40:P43)</f>
        <v>0</v>
      </c>
    </row>
    <row r="45" spans="1:16" s="12" customFormat="1" ht="13.5" customHeight="1" x14ac:dyDescent="0.2">
      <c r="A45" s="1178" t="s">
        <v>18</v>
      </c>
      <c r="B45" s="1178"/>
      <c r="C45" s="1178"/>
      <c r="D45" s="1179" t="str">
        <f>IF($D$1="","",$D$1)</f>
        <v/>
      </c>
      <c r="E45" s="1179"/>
      <c r="F45" s="1179"/>
      <c r="G45" s="1179"/>
      <c r="H45" s="1179"/>
      <c r="I45" s="1179"/>
      <c r="J45" s="1179"/>
      <c r="K45" s="1179"/>
      <c r="L45" s="1179"/>
      <c r="M45" s="1179"/>
      <c r="N45" s="1179"/>
    </row>
    <row r="46" spans="1:16" s="12" customFormat="1" ht="15" customHeight="1" x14ac:dyDescent="0.2">
      <c r="A46" s="1178" t="s">
        <v>17</v>
      </c>
      <c r="B46" s="1178"/>
      <c r="C46" s="1178" t="s">
        <v>15</v>
      </c>
      <c r="D46" s="1179" t="str">
        <f>IF($D$2="","",$D$2)</f>
        <v/>
      </c>
      <c r="E46" s="1179"/>
      <c r="F46" s="1179"/>
      <c r="G46" s="1179"/>
      <c r="H46" s="1179"/>
      <c r="I46" s="1179"/>
      <c r="J46" s="1179"/>
      <c r="K46" s="1179"/>
      <c r="L46" s="1179"/>
      <c r="M46" s="1179"/>
      <c r="N46" s="1179"/>
    </row>
    <row r="47" spans="1:16" s="12" customFormat="1" ht="15" customHeight="1" x14ac:dyDescent="0.2">
      <c r="A47" s="1178" t="s">
        <v>16</v>
      </c>
      <c r="B47" s="1178"/>
      <c r="C47" s="1178" t="s">
        <v>15</v>
      </c>
      <c r="D47" s="1179" t="str">
        <f>IF($D$3="","",$D$3)</f>
        <v/>
      </c>
      <c r="E47" s="1179"/>
      <c r="F47" s="1179"/>
      <c r="G47" s="1179"/>
      <c r="H47" s="1179"/>
      <c r="I47" s="1179"/>
      <c r="J47" s="1179"/>
      <c r="K47" s="1178" t="s">
        <v>103</v>
      </c>
      <c r="L47" s="1178"/>
      <c r="M47" s="1178"/>
      <c r="N47" s="41" t="str">
        <f>IF($N$3="","",$N$3)</f>
        <v/>
      </c>
    </row>
    <row r="48" spans="1:16" s="13" customFormat="1" ht="11.25" x14ac:dyDescent="0.2">
      <c r="A48" s="1182"/>
      <c r="B48" s="1182"/>
      <c r="C48" s="1182"/>
      <c r="D48" s="1183"/>
      <c r="E48" s="1183"/>
      <c r="F48" s="1183"/>
      <c r="G48" s="1183"/>
      <c r="H48" s="1183"/>
      <c r="I48" s="1183"/>
      <c r="J48" s="1183"/>
      <c r="K48" s="11"/>
      <c r="L48" s="11"/>
      <c r="M48" s="11"/>
      <c r="N48" s="11"/>
      <c r="O48" s="11"/>
      <c r="P48" s="11"/>
    </row>
    <row r="49" spans="1:16" s="15" customFormat="1" ht="13.5" customHeight="1" x14ac:dyDescent="0.2">
      <c r="A49" s="1177" t="s">
        <v>188</v>
      </c>
      <c r="B49" s="1177"/>
      <c r="C49" s="1177"/>
      <c r="D49" s="1177"/>
      <c r="E49" s="1177"/>
      <c r="F49" s="1177"/>
      <c r="G49" s="1177"/>
      <c r="H49" s="1177"/>
      <c r="I49" s="1177"/>
      <c r="J49" s="1177"/>
      <c r="K49" s="1177"/>
      <c r="L49" s="9"/>
      <c r="M49" s="9"/>
      <c r="N49" s="59" t="s">
        <v>154</v>
      </c>
      <c r="O49" s="191">
        <f>$O$5</f>
        <v>2022</v>
      </c>
      <c r="P49" s="59" t="s">
        <v>154</v>
      </c>
    </row>
    <row r="50" spans="1:16" s="10" customFormat="1" ht="13.5" customHeight="1" x14ac:dyDescent="0.25">
      <c r="B50" s="32"/>
      <c r="C50" s="32"/>
      <c r="D50" s="5" t="s">
        <v>189</v>
      </c>
      <c r="E50" s="31"/>
      <c r="F50" s="31"/>
      <c r="G50" s="31"/>
      <c r="H50" s="31"/>
      <c r="I50" s="26"/>
      <c r="J50" s="1197"/>
      <c r="K50" s="1197"/>
      <c r="L50" s="111"/>
      <c r="N50" s="84">
        <f>IF(L52="","",L52)</f>
        <v>0</v>
      </c>
      <c r="O50" s="58" t="str">
        <f>$O$6</f>
        <v>Jan                Jul</v>
      </c>
      <c r="P50" s="85">
        <f>IF(N55="","",N55)</f>
        <v>0</v>
      </c>
    </row>
    <row r="51" spans="1:16" s="7" customFormat="1" ht="13.5" customHeight="1" x14ac:dyDescent="0.25">
      <c r="A51" s="1180" t="s">
        <v>71</v>
      </c>
      <c r="B51" s="1180"/>
      <c r="C51" s="1180"/>
      <c r="D51" s="1184"/>
      <c r="E51" s="1184"/>
      <c r="F51" s="1184"/>
      <c r="G51" s="1184"/>
      <c r="H51" s="1184"/>
      <c r="I51" s="1184"/>
      <c r="J51" s="1174" t="s">
        <v>104</v>
      </c>
      <c r="K51" s="1174"/>
      <c r="L51" s="145"/>
      <c r="N51" s="85">
        <f>IF(N50="","",N50)</f>
        <v>0</v>
      </c>
      <c r="O51" s="58" t="str">
        <f>$O$7</f>
        <v>Feb              Aug</v>
      </c>
      <c r="P51" s="85">
        <f>IF(P50="","",P50)</f>
        <v>0</v>
      </c>
    </row>
    <row r="52" spans="1:16" ht="13.5" customHeight="1" x14ac:dyDescent="0.2">
      <c r="A52" s="1180" t="s">
        <v>13</v>
      </c>
      <c r="B52" s="1180"/>
      <c r="C52" s="1180"/>
      <c r="D52" s="1181"/>
      <c r="E52" s="1181"/>
      <c r="F52" s="1181"/>
      <c r="G52" s="1181"/>
      <c r="H52" s="1181"/>
      <c r="I52" s="1181"/>
      <c r="J52" s="1174" t="s">
        <v>164</v>
      </c>
      <c r="K52" s="1174"/>
      <c r="L52" s="145">
        <f>IF((L53+L54)&gt;L51,0,L51-L53-L54)</f>
        <v>0</v>
      </c>
      <c r="N52" s="85">
        <f>IF(N51="","",N51)</f>
        <v>0</v>
      </c>
      <c r="O52" s="58" t="str">
        <f>$O$8</f>
        <v>Mrz              Sep</v>
      </c>
      <c r="P52" s="85">
        <f>IF(P51="","",P51)</f>
        <v>0</v>
      </c>
    </row>
    <row r="53" spans="1:16" ht="13.5" customHeight="1" x14ac:dyDescent="0.2">
      <c r="A53" s="1180" t="s">
        <v>12</v>
      </c>
      <c r="B53" s="1180"/>
      <c r="C53" s="1180"/>
      <c r="D53" s="1181"/>
      <c r="E53" s="1181"/>
      <c r="F53" s="1181"/>
      <c r="G53" s="1181"/>
      <c r="H53" s="1181"/>
      <c r="I53" s="1181"/>
      <c r="J53" s="1174" t="s">
        <v>165</v>
      </c>
      <c r="K53" s="1174"/>
      <c r="L53" s="145"/>
      <c r="N53" s="85">
        <f>IF(N52="","",N52)</f>
        <v>0</v>
      </c>
      <c r="O53" s="58" t="str">
        <f>$O$9</f>
        <v>Apr               Okt</v>
      </c>
      <c r="P53" s="85">
        <f t="shared" ref="P53:P55" si="5">IF(P52="","",P52)</f>
        <v>0</v>
      </c>
    </row>
    <row r="54" spans="1:16" ht="13.5" customHeight="1" x14ac:dyDescent="0.2">
      <c r="A54" s="1180" t="s">
        <v>19</v>
      </c>
      <c r="B54" s="1180"/>
      <c r="C54" s="1180"/>
      <c r="D54" s="1181"/>
      <c r="E54" s="1181"/>
      <c r="F54" s="1181"/>
      <c r="G54" s="1181"/>
      <c r="H54" s="1181"/>
      <c r="I54" s="1181"/>
      <c r="J54" s="1174" t="s">
        <v>252</v>
      </c>
      <c r="K54" s="1174"/>
      <c r="L54" s="145"/>
      <c r="M54" s="92"/>
      <c r="N54" s="85">
        <f>IF(N53="","",N53)</f>
        <v>0</v>
      </c>
      <c r="O54" s="58" t="str">
        <f>$O$10</f>
        <v>Mai               Nov</v>
      </c>
      <c r="P54" s="85">
        <f t="shared" si="5"/>
        <v>0</v>
      </c>
    </row>
    <row r="55" spans="1:16" ht="13.5" customHeight="1" x14ac:dyDescent="0.2">
      <c r="B55" s="8"/>
      <c r="C55" s="132" t="s">
        <v>162</v>
      </c>
      <c r="D55" s="1175"/>
      <c r="E55" s="1175"/>
      <c r="F55" s="1176" t="s">
        <v>192</v>
      </c>
      <c r="G55" s="1176"/>
      <c r="H55" s="1186"/>
      <c r="I55" s="1186"/>
      <c r="J55" s="1174" t="s">
        <v>97</v>
      </c>
      <c r="K55" s="1174"/>
      <c r="L55" s="17" t="str">
        <f>IF(IF((COUNTIF(B70:B81,"&gt;0"))=0,0,(COUNTIF(B70:B81,"&gt;0")))&gt;Grundlagen!$C$24,Grundlagen!$C$24,IF((COUNTIF(B70:B81,"&gt;0"))=0,"",(COUNTIF(B70:B81,"&gt;0"))))</f>
        <v/>
      </c>
      <c r="N55" s="85">
        <f>IF(N54="","",N54)</f>
        <v>0</v>
      </c>
      <c r="O55" s="58" t="str">
        <f>'päd.Personal - Leitung'!$O$11</f>
        <v>Jun               Dez</v>
      </c>
      <c r="P55" s="85">
        <f t="shared" si="5"/>
        <v>0</v>
      </c>
    </row>
    <row r="56" spans="1:16" ht="13.5" customHeight="1" x14ac:dyDescent="0.2">
      <c r="F56" s="1176" t="s">
        <v>193</v>
      </c>
      <c r="G56" s="1176"/>
      <c r="H56" s="1186"/>
      <c r="I56" s="1186"/>
      <c r="L56" s="147" t="str">
        <f>IF((SUM(F58:F61))=0,"",IF(P56&gt;L52,L52,IF(L52="","",IF(L55="","",P56))))</f>
        <v/>
      </c>
      <c r="O56" s="174" t="s">
        <v>251</v>
      </c>
      <c r="P56" s="175">
        <f>IF(L55="",0,((IF(SUMIF(B70,"&gt;0"),N50,0))+(IF(SUMIF(B71,"&gt;0"),N51,0))+(IF(SUMIF(B72,"&gt;0"),N52,0))+(IF(SUMIF(B73,"&gt;0"),N53,0))+(IF(SUMIF(B74,"&gt;0"),N54,0))+(IF(SUMIF(B75,"&gt;0"),N55,0))+(IF(SUMIF(B76,"&gt;0"),P50,0))+(IF(SUMIF(B77,"&gt;0"),P51,0))+(IF(SUMIF(B78,"&gt;0"),P52,0))+(IF(SUMIF(B79,"&gt;0"),P53,0))+(IF(SUMIF(B80,"&gt;0"),P54,0))+(IF(SUMIF(B81,"&gt;0"),P55,0)))/Grundlagen!$C$24)</f>
        <v>0</v>
      </c>
    </row>
    <row r="57" spans="1:16" s="52" customFormat="1" ht="13.5" customHeight="1" x14ac:dyDescent="0.2">
      <c r="A57" s="61" t="s">
        <v>148</v>
      </c>
      <c r="B57" s="1168" t="s">
        <v>149</v>
      </c>
      <c r="C57" s="1168"/>
      <c r="D57" s="62" t="s">
        <v>150</v>
      </c>
      <c r="E57" s="63" t="s">
        <v>151</v>
      </c>
      <c r="F57" s="64" t="str">
        <f>CONCATENATE("Entg. ",N47," h/Wo")</f>
        <v>Entg.  h/Wo</v>
      </c>
      <c r="G57" s="65" t="s">
        <v>152</v>
      </c>
      <c r="H57" s="65" t="s">
        <v>153</v>
      </c>
      <c r="K57" s="1169" t="str">
        <f>CONCATENATE("Zuschläge / Zulagen für ",N47,"h/Wo")</f>
        <v>Zuschläge / Zulagen für h/Wo</v>
      </c>
      <c r="L57" s="1169"/>
      <c r="M57" s="66" t="str">
        <f>IF(A58="","",A58)</f>
        <v>Jan 2022</v>
      </c>
      <c r="N57" s="66" t="str">
        <f>IF(A59="","",A59)</f>
        <v/>
      </c>
      <c r="O57" s="66" t="str">
        <f>IF(A60="","",A60)</f>
        <v/>
      </c>
      <c r="P57" s="66" t="str">
        <f>IF(A61="","",A61)</f>
        <v/>
      </c>
    </row>
    <row r="58" spans="1:16" s="52" customFormat="1" ht="13.5" customHeight="1" x14ac:dyDescent="0.25">
      <c r="A58" s="54" t="str">
        <f>A70</f>
        <v>Jan 2022</v>
      </c>
      <c r="B58" s="1198" t="str">
        <f>IF(B14="","",B14)</f>
        <v/>
      </c>
      <c r="C58" s="1199"/>
      <c r="D58" s="181"/>
      <c r="E58" s="181"/>
      <c r="F58" s="87"/>
      <c r="G58" s="56">
        <f>IF(N47="",0,F58/N47/4.348)</f>
        <v>0</v>
      </c>
      <c r="H58" s="53">
        <f>IF(G58=0,0,M63)</f>
        <v>0</v>
      </c>
      <c r="K58" s="1146"/>
      <c r="L58" s="1146"/>
      <c r="M58" s="86"/>
      <c r="N58" s="86"/>
      <c r="O58" s="86"/>
      <c r="P58" s="86"/>
    </row>
    <row r="59" spans="1:16" s="52" customFormat="1" ht="13.5" customHeight="1" x14ac:dyDescent="0.25">
      <c r="A59" s="55"/>
      <c r="B59" s="1172" t="str">
        <f>IF(A59="","",B58)</f>
        <v/>
      </c>
      <c r="C59" s="1173"/>
      <c r="D59" s="181"/>
      <c r="E59" s="181"/>
      <c r="F59" s="87"/>
      <c r="G59" s="56">
        <f>IF(N47="",0,F59/N47/4.348)</f>
        <v>0</v>
      </c>
      <c r="H59" s="53">
        <f>IF(G59=0,0,N63)</f>
        <v>0</v>
      </c>
      <c r="K59" s="1146"/>
      <c r="L59" s="1146"/>
      <c r="M59" s="86"/>
      <c r="N59" s="86"/>
      <c r="O59" s="86"/>
      <c r="P59" s="86"/>
    </row>
    <row r="60" spans="1:16" s="52" customFormat="1" ht="13.5" customHeight="1" x14ac:dyDescent="0.25">
      <c r="A60" s="55"/>
      <c r="B60" s="1172" t="str">
        <f>IF(A60="","",B59)</f>
        <v/>
      </c>
      <c r="C60" s="1173"/>
      <c r="D60" s="181"/>
      <c r="E60" s="181"/>
      <c r="F60" s="87"/>
      <c r="G60" s="56">
        <f>IF(N47="",0,F60/N47/4.348)</f>
        <v>0</v>
      </c>
      <c r="H60" s="53">
        <f>IF(G60=0,0,O63)</f>
        <v>0</v>
      </c>
      <c r="K60" s="1146"/>
      <c r="L60" s="1146"/>
      <c r="M60" s="86"/>
      <c r="N60" s="86"/>
      <c r="O60" s="86"/>
      <c r="P60" s="86"/>
    </row>
    <row r="61" spans="1:16" s="52" customFormat="1" ht="13.5" customHeight="1" x14ac:dyDescent="0.25">
      <c r="A61" s="55"/>
      <c r="B61" s="1172" t="str">
        <f>IF(A61="","",B60)</f>
        <v/>
      </c>
      <c r="C61" s="1173"/>
      <c r="D61" s="181"/>
      <c r="E61" s="181"/>
      <c r="F61" s="87"/>
      <c r="G61" s="56">
        <f>IF(N47="",0,F61/N47/4.348)</f>
        <v>0</v>
      </c>
      <c r="H61" s="53">
        <f>IF(G61=0,0,P63)</f>
        <v>0</v>
      </c>
      <c r="K61" s="1146"/>
      <c r="L61" s="1146"/>
      <c r="M61" s="86"/>
      <c r="N61" s="86"/>
      <c r="O61" s="86"/>
      <c r="P61" s="86"/>
    </row>
    <row r="62" spans="1:16" s="52" customFormat="1" ht="13.5" customHeight="1" x14ac:dyDescent="0.25">
      <c r="B62" s="1167" t="s">
        <v>157</v>
      </c>
      <c r="C62" s="1167"/>
      <c r="E62" s="1167" t="s">
        <v>156</v>
      </c>
      <c r="F62" s="1167"/>
      <c r="J62" s="69"/>
      <c r="K62" s="1146"/>
      <c r="L62" s="1146"/>
      <c r="M62" s="86"/>
      <c r="N62" s="86"/>
      <c r="O62" s="86"/>
      <c r="P62" s="86"/>
    </row>
    <row r="63" spans="1:16" s="52" customFormat="1" ht="13.5" customHeight="1" x14ac:dyDescent="0.25">
      <c r="A63" s="70" t="s">
        <v>167</v>
      </c>
      <c r="B63" s="67"/>
      <c r="C63" s="99" t="str">
        <f>IF(C19="","",C19)</f>
        <v/>
      </c>
      <c r="D63" s="70" t="s">
        <v>167</v>
      </c>
      <c r="E63" s="67"/>
      <c r="F63" s="99" t="str">
        <f>IF(F19="","",F19)</f>
        <v/>
      </c>
      <c r="J63" s="68"/>
      <c r="M63" s="57">
        <f>SUM(M58:M62)</f>
        <v>0</v>
      </c>
      <c r="N63" s="57">
        <f t="shared" ref="N63:P63" si="6">SUM(N58:N62)</f>
        <v>0</v>
      </c>
      <c r="O63" s="57">
        <f t="shared" si="6"/>
        <v>0</v>
      </c>
      <c r="P63" s="57">
        <f t="shared" si="6"/>
        <v>0</v>
      </c>
    </row>
    <row r="64" spans="1:16" s="52" customFormat="1" ht="13.5" customHeight="1" x14ac:dyDescent="0.2">
      <c r="A64" s="60" t="s">
        <v>155</v>
      </c>
    </row>
    <row r="65" spans="1:15" ht="14.25" customHeight="1" x14ac:dyDescent="0.2">
      <c r="A65" s="1147"/>
      <c r="B65" s="1149" t="s">
        <v>9</v>
      </c>
      <c r="C65" s="1150"/>
      <c r="D65" s="1150"/>
      <c r="E65" s="1150"/>
      <c r="F65" s="1151"/>
      <c r="G65" s="1152" t="s">
        <v>119</v>
      </c>
      <c r="H65" s="1153"/>
      <c r="I65" s="1153"/>
      <c r="J65" s="1153"/>
      <c r="K65" s="1153"/>
      <c r="L65" s="1153"/>
      <c r="M65" s="1153"/>
      <c r="N65" s="135"/>
      <c r="O65" s="1202" t="s">
        <v>0</v>
      </c>
    </row>
    <row r="66" spans="1:15" ht="14.25" customHeight="1" x14ac:dyDescent="0.2">
      <c r="A66" s="1148"/>
      <c r="B66" s="1157" t="s">
        <v>117</v>
      </c>
      <c r="C66" s="130" t="s">
        <v>115</v>
      </c>
      <c r="D66" s="1161" t="s">
        <v>147</v>
      </c>
      <c r="E66" s="134" t="s">
        <v>7</v>
      </c>
      <c r="F66" s="1162" t="s">
        <v>6</v>
      </c>
      <c r="G66" s="1161" t="s">
        <v>129</v>
      </c>
      <c r="H66" s="1161" t="s">
        <v>5</v>
      </c>
      <c r="I66" s="1161" t="s">
        <v>4</v>
      </c>
      <c r="J66" s="1161" t="s">
        <v>3</v>
      </c>
      <c r="K66" s="1161" t="s">
        <v>121</v>
      </c>
      <c r="L66" s="1161" t="s">
        <v>122</v>
      </c>
      <c r="M66" s="1161" t="s">
        <v>123</v>
      </c>
      <c r="N66" s="134" t="s">
        <v>7</v>
      </c>
      <c r="O66" s="1161"/>
    </row>
    <row r="67" spans="1:15" ht="14.25" customHeight="1" x14ac:dyDescent="0.2">
      <c r="A67" s="1148"/>
      <c r="B67" s="1157"/>
      <c r="C67" s="21" t="str">
        <f>IF(C63="","",C63)</f>
        <v/>
      </c>
      <c r="D67" s="1161"/>
      <c r="E67" s="1165" t="str">
        <f>IF(G58=0,"","siehe Zuschläge / Zulagen")</f>
        <v/>
      </c>
      <c r="F67" s="1162"/>
      <c r="G67" s="1164" t="s">
        <v>127</v>
      </c>
      <c r="H67" s="1164"/>
      <c r="I67" s="1164"/>
      <c r="J67" s="1164"/>
      <c r="K67" s="1164"/>
      <c r="L67" s="1164"/>
      <c r="M67" s="1164"/>
      <c r="N67" s="1165" t="str">
        <f>IF(P58=0,"","siehe Zuschläge / Zulagen")</f>
        <v/>
      </c>
      <c r="O67" s="1161"/>
    </row>
    <row r="68" spans="1:15" x14ac:dyDescent="0.2">
      <c r="A68" s="1148"/>
      <c r="B68" s="1157"/>
      <c r="C68" s="128" t="s">
        <v>70</v>
      </c>
      <c r="D68" s="1161"/>
      <c r="E68" s="1165"/>
      <c r="F68" s="1162"/>
      <c r="G68" s="43" t="s">
        <v>128</v>
      </c>
      <c r="H68" s="43" t="s">
        <v>255</v>
      </c>
      <c r="I68" s="43" t="s">
        <v>256</v>
      </c>
      <c r="J68" s="43" t="s">
        <v>257</v>
      </c>
      <c r="K68" s="43"/>
      <c r="L68" s="43"/>
      <c r="M68" s="43" t="s">
        <v>254</v>
      </c>
      <c r="N68" s="1165"/>
      <c r="O68" s="1161"/>
    </row>
    <row r="69" spans="1:15" x14ac:dyDescent="0.2">
      <c r="A69" s="1148"/>
      <c r="B69" s="1158"/>
      <c r="C69" s="21" t="str">
        <f>IF(F63="","",F63)</f>
        <v/>
      </c>
      <c r="D69" s="51"/>
      <c r="E69" s="1166"/>
      <c r="F69" s="1163"/>
      <c r="G69" s="93"/>
      <c r="H69" s="139">
        <f>$H$25</f>
        <v>0</v>
      </c>
      <c r="I69" s="139">
        <f>$I$25</f>
        <v>0</v>
      </c>
      <c r="J69" s="44">
        <f>$J$25</f>
        <v>0</v>
      </c>
      <c r="K69" s="21"/>
      <c r="L69" s="21"/>
      <c r="M69" s="139">
        <f>$M$25</f>
        <v>0</v>
      </c>
      <c r="N69" s="1166"/>
      <c r="O69" s="1203"/>
    </row>
    <row r="70" spans="1:15" x14ac:dyDescent="0.2">
      <c r="A70" s="100" t="str">
        <f>$A$26</f>
        <v>Jan 2022</v>
      </c>
      <c r="B70" s="24">
        <f>ROUND(IF(N50=0,0,(LOOKUP(2,1/(A58:A61=A70),G58:G61))*N50*4.348),2)</f>
        <v>0</v>
      </c>
      <c r="C70" s="23">
        <f>ROUND(IFERROR(((LOOKUP(2,1/(B63=A70),((SUM(B76:B78)+SUM(E76:E78))/3)*C63))),0)+IFERROR(((LOOKUP(2,1/(E63=A70),(B82+E82)*F63))),0),2)</f>
        <v>0</v>
      </c>
      <c r="D70" s="23">
        <f>ROUND(IF(B70=0,0,D69/N47*N50),2)</f>
        <v>0</v>
      </c>
      <c r="E70" s="24">
        <f>ROUND(IF(N50=0,0,(LOOKUP(2,1/(A58:A61=A70),H58:H61))/N47*N50),2)</f>
        <v>0</v>
      </c>
      <c r="F70" s="27">
        <f>SUM(B70:E70)</f>
        <v>0</v>
      </c>
      <c r="G70" s="76">
        <f>ROUND(IF((SUM(B70:E70))&gt;K85,K85*G69,SUM(B70:E70)*G69),2)</f>
        <v>0</v>
      </c>
      <c r="H70" s="76">
        <f>ROUND(IF((SUM(B70:E70))&gt;K86,K86*H69,SUM(B70:E70)*H69),2)</f>
        <v>0</v>
      </c>
      <c r="I70" s="76">
        <f>ROUND(IF((SUM(B70:E70))&gt;K86,K86*I69,SUM(B70:E70)*I69),2)</f>
        <v>0</v>
      </c>
      <c r="J70" s="76">
        <f>ROUND(IF((SUM(B70:E70))&gt;K85,K85*J69,SUM(B70:E70)*J69),2)</f>
        <v>0</v>
      </c>
      <c r="K70" s="76">
        <f>ROUND(IF((SUM(B70:E70))&gt;K86,K86*K69,(SUM(B70:E70)-C70)*K69),2)</f>
        <v>0</v>
      </c>
      <c r="L70" s="76">
        <f>ROUND(IF((SUM(B70:E70))&gt;K86,K86*L69,(SUM(B70:E70)-C70)*L69),2)</f>
        <v>0</v>
      </c>
      <c r="M70" s="76">
        <f>ROUND(IF((SUM(B70:E70))&gt;K86,K86*M69,SUM(B70:E70)*M69),2)</f>
        <v>0</v>
      </c>
      <c r="N70" s="23"/>
      <c r="O70" s="27">
        <f>SUM(F70:N70)</f>
        <v>0</v>
      </c>
    </row>
    <row r="71" spans="1:15" x14ac:dyDescent="0.2">
      <c r="A71" s="100" t="str">
        <f>$A$27</f>
        <v>Feb 2022</v>
      </c>
      <c r="B71" s="24">
        <f>ROUND(IF(N51=0,0,IFERROR(((LOOKUP(2,1/(A58:A61=A71),G58:G61))*N51*4.348),B70/N51*N51)),2)</f>
        <v>0</v>
      </c>
      <c r="C71" s="23">
        <f>ROUND(IFERROR(((LOOKUP(2,1/(B63=A71),((SUM(B76:B78)+SUM(E76:E78))/3)*C63))),0)+IFERROR(((LOOKUP(2,1/(E63=A71),(B82+E82)*F63))),0),2)</f>
        <v>0</v>
      </c>
      <c r="D71" s="23">
        <f>ROUND(IF(B71=0,0,D69/N47*N51),2)</f>
        <v>0</v>
      </c>
      <c r="E71" s="24">
        <f>ROUND(IF(N51=0,0,IFERROR(((LOOKUP(2,1/(A58:A61=A71),H58:H61))/N47*N51),E70/N51*N51)),2)</f>
        <v>0</v>
      </c>
      <c r="F71" s="27">
        <f t="shared" ref="F71:F81" si="7">SUM(B71:E71)</f>
        <v>0</v>
      </c>
      <c r="G71" s="76">
        <f>ROUND(IF(SUM(B70:E70)&lt;(K85*1),IF((SUM(B70:E71))&gt;(K85*2),(((K85*2)-(SUM(B70:E71)-C70))*G69)+((SUM(B71:E71)-C70)*G69),SUM(B71:E71)*G69),IF(SUM(B70:E71)&gt;(K85*2),K85*G69,SUM(B71:E71)*G69)),2)</f>
        <v>0</v>
      </c>
      <c r="H71" s="76">
        <f>ROUND(IF(SUM(B70:E70)&lt;(K86*1),IF((SUM(B70:E71))&gt;(K86*2),(((K86*2)-(SUM(B70:E71)-C70))*H69)+((SUM(B71:E71)-C70)*H69),SUM(B71:E71)*H69),IF(SUM(B70:E71)&gt;(K86*2),K86*H69,SUM(B71:E71)*H69)),2)</f>
        <v>0</v>
      </c>
      <c r="I71" s="76">
        <f>ROUND(IF(SUM(B70:E70)&lt;(K86*1),IF((SUM(B70:E71))&gt;(K86*2),(((K86*2)-(SUM(B70:E71)-C70))*I69)+((SUM(B71:E71)-C70)*I69),SUM(B71:E71)*I69),IF(SUM(B70:E71)&gt;(K86*2),K86*I69,SUM(B71:E71)*I69)),2)</f>
        <v>0</v>
      </c>
      <c r="J71" s="76">
        <f>ROUND(IF(SUM(B70:E70)&lt;(K85*1),IF((SUM(B70:E71))&gt;(K85*2),(((K85*2)-(SUM(B70:E71)-C70))*J69)+((SUM(B71:E71)-C70)*J69),SUM(B71:E71)*J69),IF(SUM(B70:E71)&gt;(K85*2),K85*J69,SUM(B71:E71)*J69)),2)</f>
        <v>0</v>
      </c>
      <c r="K71" s="76">
        <f>ROUND(IF(SUM(B70:E70)&lt;(K86*1),IF((SUM(B70:E71))&gt;(K86*2),(((K86*2)-(SUM(B70:E71)-C71))*K69)+((SUM(B71:E71)-C71)*K69),(SUM(B71:E71)-C71)*K69),IF(SUM(B70:E71)&gt;(K86*2),K86*K69,SUM(B71:E71)*K69)),2)</f>
        <v>0</v>
      </c>
      <c r="L71" s="76">
        <f>ROUND(IF(SUM(B70:E70)&lt;(K86*1),IF((SUM(B70:E71))&gt;(K86*2),(((K86*2)-(SUM(B70:E71)-C71))*L69)+((SUM(B71:E71)-C71)*L69),(SUM(B71:E71)-C71)*L69),IF(SUM(B70:E71)&gt;(K86*2),K86*L69,SUM(B71:E71)*L69)),2)</f>
        <v>0</v>
      </c>
      <c r="M71" s="76">
        <f>ROUND(IF(SUM(B70:E70)&lt;(K86*1),IF((SUM(B70:E71))&gt;(K86*2),(((K86*2)-(SUM(B70:E71)-C70))*M69)+((SUM(B71:E71)-C70)*M69),SUM(B71:E71)*M69),IF(SUM(B70:E71)&gt;(K86*2),K86*M69,SUM(B71:E71)*M69)),2)</f>
        <v>0</v>
      </c>
      <c r="N71" s="23"/>
      <c r="O71" s="27">
        <f t="shared" ref="O71:O80" si="8">SUM(F71:N71)</f>
        <v>0</v>
      </c>
    </row>
    <row r="72" spans="1:15" x14ac:dyDescent="0.2">
      <c r="A72" s="100" t="str">
        <f>$A$28</f>
        <v>Mrz 2022</v>
      </c>
      <c r="B72" s="24">
        <f>ROUND(IF(N52=0,0,IFERROR(((LOOKUP(2,1/(A58:A61=A72),G58:G61))*N52*4.348),B71/N52*N52)),2)</f>
        <v>0</v>
      </c>
      <c r="C72" s="23">
        <f>ROUND(IFERROR(((LOOKUP(2,1/(B63=A72),((SUM(B76:B78)+SUM(E76:E78))/3)*C63))),0)+IFERROR(((LOOKUP(2,1/(E63=A72),(B82+E82)*F63))),0),2)</f>
        <v>0</v>
      </c>
      <c r="D72" s="23">
        <f>ROUND(IF(B72=0,0,D69/N47*N52),2)</f>
        <v>0</v>
      </c>
      <c r="E72" s="24">
        <f>ROUND(IF(N52=0,0,IFERROR(((LOOKUP(2,1/(A58:A61=A72),H58:H61))/N47*N52),E71/N52*N52)),2)</f>
        <v>0</v>
      </c>
      <c r="F72" s="27">
        <f t="shared" si="7"/>
        <v>0</v>
      </c>
      <c r="G72" s="76">
        <f>ROUND(IF(SUM(B70:E71)&lt;(K85*2),IF((SUM(B70:E72))&gt;(K85*3),(((K85*3)-(SUM(B70:E72)-C71))*G69)+((SUM(B72:E72)-C71)*G69),SUM(B72:E72)*G69),IF(SUM(B70:E72)&gt;(K85*3),K85*G69,SUM(B72:E72)*G69)),2)</f>
        <v>0</v>
      </c>
      <c r="H72" s="76">
        <f>ROUND(IF(SUM(B70:E71)&lt;(K86*2),IF((SUM(B70:E72))&gt;(K86*3),(((K86*3)-(SUM(B70:E72)-C71))*H69)+((SUM(B72:E72)-C71)*H69),SUM(B72:E72)*H69),IF(SUM(B70:E72)&gt;(K86*3),K86*H69,SUM(B72:E72)*H69)),2)</f>
        <v>0</v>
      </c>
      <c r="I72" s="76">
        <f>ROUND(IF(SUM(B70:E71)&lt;(K86*2),IF((SUM(B70:E72))&gt;(K86*3),(((K86*3)-(SUM(B70:E72)-C71))*I69)+((SUM(B72:E72)-C71)*I69),SUM(B72:E72)*I69),IF(SUM(B70:E72)&gt;(K86*3),K86*I69,SUM(B72:E72)*I69)),2)</f>
        <v>0</v>
      </c>
      <c r="J72" s="76">
        <f>ROUND(IF(SUM(B70:E71)&lt;(K85*2),IF((SUM(B70:E72))&gt;(K85*3),(((K85*3)-(SUM(B70:E72)-C71))*J69)+((SUM(B72:E72)-C71)*J69),SUM(B72:E72)*J69),IF(SUM(B70:E72)&gt;(K85*3),K85*J69,SUM(B72:E72)*J69)),2)</f>
        <v>0</v>
      </c>
      <c r="K72" s="76">
        <f>ROUND(IF(SUM(B70:E71)&lt;(K86*2),IF((SUM(B70:E72))&gt;(K86*3),(((K86*3)-(SUM(B70:E72)-C72))*K69)+((SUM(B72:E72)-C72)*K69),(SUM(B72:E72)-C72)*K69),IF(SUM(B70:E72)&gt;(K86*3),K86*K69,SUM(B72:E72)*K69)),2)</f>
        <v>0</v>
      </c>
      <c r="L72" s="76">
        <f>ROUND(IF(SUM(B70:E71)&lt;(K86*2),IF((SUM(B70:E72))&gt;(K86*3),(((K86*3)-(SUM(B70:E72)-C72))*L69)+((SUM(B72:E72)-C72)*L69),(SUM(B72:E72)-C72)*L69),IF(SUM(B70:E72)&gt;(K86*3),K86*L69,SUM(B72:E72)*L69)),2)</f>
        <v>0</v>
      </c>
      <c r="M72" s="76">
        <f>ROUND(IF(SUM(B70:E71)&lt;(K86*2),IF((SUM(B70:E72))&gt;(K86*3),(((K86*3)-(SUM(B70:E72)-C71))*M69)+((SUM(B72:E72)-C71)*M69),SUM(B72:E72)*M69),IF(SUM(B70:E72)&gt;(K86*3),K86*M69,SUM(B72:E72)*M69)),2)</f>
        <v>0</v>
      </c>
      <c r="N72" s="23"/>
      <c r="O72" s="27">
        <f t="shared" si="8"/>
        <v>0</v>
      </c>
    </row>
    <row r="73" spans="1:15" x14ac:dyDescent="0.2">
      <c r="A73" s="100" t="str">
        <f>$A$29</f>
        <v>Apr 2022</v>
      </c>
      <c r="B73" s="24">
        <f>ROUND(IF(N53=0,0,IFERROR(((LOOKUP(2,1/(A58:A61=A73),G58:G61))*N53*4.348),B72/N53*N53)),2)</f>
        <v>0</v>
      </c>
      <c r="C73" s="23">
        <f>ROUND(IFERROR(((LOOKUP(2,1/(B63=A73),((SUM(B76:B78)+SUM(E76:E78))/3)*C63))),0)+IFERROR(((LOOKUP(2,1/(E63=A73),(B82+E82)*F63))),0),2)</f>
        <v>0</v>
      </c>
      <c r="D73" s="23">
        <f>ROUND(IF(B73=0,0,D69/N47*N53),2)</f>
        <v>0</v>
      </c>
      <c r="E73" s="24">
        <f>ROUND(IF(N53=0,0,IFERROR(((LOOKUP(2,1/(A58:A61=A73),H58:H61))/N47*N53),E72/N53*N53)),2)</f>
        <v>0</v>
      </c>
      <c r="F73" s="27">
        <f t="shared" si="7"/>
        <v>0</v>
      </c>
      <c r="G73" s="76">
        <f>ROUND(IF(SUM(B70:E72)&lt;(K85*3),IF((SUM(B70:E73))&gt;(K85*4),(((K85*4)-(SUM(B70:E73)-C72))*G69)+((SUM(B73:E73)-C72)*G69),SUM(B73:E73)*G69),IF(SUM(B70:E73)&gt;(K85*4),K85*G69,SUM(B73:E73)*G69)),2)</f>
        <v>0</v>
      </c>
      <c r="H73" s="76">
        <f>ROUND(IF(SUM(B70:E72)&lt;(K86*3),IF((SUM(B70:E73))&gt;(K86*4),(((K86*4)-(SUM(B70:E73)-C72))*H69)+((SUM(B73:E73)-C72)*H69),SUM(B73:E73)*H69),IF(SUM(B70:E73)&gt;(K86*4),K86*H69,SUM(B73:E73)*H69)),2)</f>
        <v>0</v>
      </c>
      <c r="I73" s="76">
        <f>ROUND(IF(SUM(B70:E72)&lt;(K86*3),IF((SUM(B70:E73))&gt;(K86*4),(((K86*4)-(SUM(B70:E73)-C72))*I69)+((SUM(B73:E73)-C72)*I69),SUM(B73:E73)*I69),IF(SUM(B70:E73)&gt;(K86*4),K86*I69,SUM(B73:E73)*I69)),2)</f>
        <v>0</v>
      </c>
      <c r="J73" s="76">
        <f>ROUND(IF(SUM(B70:E72)&lt;(K85*3),IF((SUM(B70:E73))&gt;(K85*4),(((K85*4)-(SUM(B70:E73)-C72))*J69)+((SUM(B73:E73)-C72)*J69),SUM(B73:E73)*J69),IF(SUM(B70:E73)&gt;(K85*4),K85*J69,SUM(B73:E73)*J69)),2)</f>
        <v>0</v>
      </c>
      <c r="K73" s="76">
        <f>ROUND(IF(SUM(B70:E72)&lt;(K86*3),IF((SUM(B70:E73))&gt;(K86*4),(((K86*4)-(SUM(B70:E73)-C73))*K69)+((SUM(B73:E73)-C73)*K69),(SUM(B73:E73)-C73)*K69),IF(SUM(B70:E73)&gt;(K86*4),K86*K69,SUM(B73:E73)*K69)),2)</f>
        <v>0</v>
      </c>
      <c r="L73" s="76">
        <f>ROUND(IF(SUM(B70:E72)&lt;(K86*3),IF((SUM(B70:E73))&gt;(K86*4),(((K86*4)-(SUM(B70:E73)-C73))*L69)+((SUM(B73:E73)-C73)*L69),(SUM(B73:E73)-C73)*L69),IF(SUM(B70:E73)&gt;(K86*4),K86*L69,SUM(B73:E73)*L69)),2)</f>
        <v>0</v>
      </c>
      <c r="M73" s="76">
        <f>ROUND(IF(SUM(B70:E72)&lt;(K86*3),IF((SUM(B70:E73))&gt;(K86*4),(((K86*4)-(SUM(B70:E73)-C72))*M69)+((SUM(B73:E73)-C72)*M69),SUM(B73:E73)*M69),IF(SUM(B70:E73)&gt;(K86*4),K86*M69,SUM(B73:E73)*M69)),2)</f>
        <v>0</v>
      </c>
      <c r="N73" s="23"/>
      <c r="O73" s="27">
        <f t="shared" si="8"/>
        <v>0</v>
      </c>
    </row>
    <row r="74" spans="1:15" x14ac:dyDescent="0.2">
      <c r="A74" s="100" t="str">
        <f>$A$30</f>
        <v>Mai 2022</v>
      </c>
      <c r="B74" s="24">
        <f>ROUND(IF(N54=0,0,IFERROR(((LOOKUP(2,1/(A58:A61=A74),G58:G61))*N54*4.348),B73/N54*N54)),2)</f>
        <v>0</v>
      </c>
      <c r="C74" s="23">
        <f>ROUND(IFERROR(((LOOKUP(2,1/(B63=A74),((SUM(B76:B78)+SUM(E76:E78))/3)*C63))),0)+IFERROR(((LOOKUP(2,1/(E63=A74),(B82+E82)*F63))),0),2)</f>
        <v>0</v>
      </c>
      <c r="D74" s="23">
        <f>ROUND(IF(B74=0,0,D69/N47*N54),2)</f>
        <v>0</v>
      </c>
      <c r="E74" s="24">
        <f>ROUND(IF(N54=0,0,IFERROR(((LOOKUP(2,1/(A58:A61=A74),H58:H61))/N47*N54),E73/N54*N54)),2)</f>
        <v>0</v>
      </c>
      <c r="F74" s="27">
        <f t="shared" si="7"/>
        <v>0</v>
      </c>
      <c r="G74" s="76">
        <f>ROUND(IF(SUM(B70:E73)&lt;(K85*4),IF((SUM(B70:E74))&gt;(K85*5),(((K85*5)-(SUM(B70:E74)-C73))*G69)+((SUM(B74:E74)-C73)*G69),SUM(B74:E74)*G69),IF(SUM(B70:E74)&gt;(K85*5),K85*G69,SUM(B74:E74)*G69)),2)</f>
        <v>0</v>
      </c>
      <c r="H74" s="76">
        <f>ROUND(IF(SUM(B70:E73)&lt;(K86*4),IF((SUM(B70:E74))&gt;(K86*5),(((K86*5)-(SUM(B70:E74)-C73))*H69)+((SUM(B74:E74)-C73)*H69),SUM(B74:E74)*H69),IF(SUM(B70:E74)&gt;(K86*5),K86*H69,SUM(B74:E74)*H69)),2)</f>
        <v>0</v>
      </c>
      <c r="I74" s="76">
        <f>ROUND(IF(SUM(B70:E73)&lt;(K86*4),IF((SUM(B70:E74))&gt;(K86*5),(((K86*5)-(SUM(B70:E74)-C73))*I69)+((SUM(B74:E74)-C73)*I69),SUM(B74:E74)*I69),IF(SUM(B70:E74)&gt;(K86*5),K86*I69,SUM(B74:E74)*I69)),2)</f>
        <v>0</v>
      </c>
      <c r="J74" s="76">
        <f>ROUND(IF(SUM(B70:E73)&lt;(K85*4),IF((SUM(B70:E74))&gt;(K85*5),(((K85*5)-(SUM(B70:E74)-C73))*J69)+((SUM(B74:E74)-C73)*J69),SUM(B74:E74)*J69),IF(SUM(B70:E74)&gt;(K85*5),K85*J69,SUM(B74:E74)*J69)),2)</f>
        <v>0</v>
      </c>
      <c r="K74" s="76">
        <f>ROUND(IF(SUM(B70:E73)&lt;(K86*4),IF((SUM(B70:E74))&gt;(K86*5),(((K86*5)-(SUM(B70:E74)-C74))*K69)+((SUM(B74:E74)-C74)*K69),(SUM(B74:E74)-C74)*K69),IF(SUM(B70:E74)&gt;(K86*5),K86*K69,SUM(B74:E74)*K69)),2)</f>
        <v>0</v>
      </c>
      <c r="L74" s="76">
        <f>ROUND(IF(SUM(B70:E73)&lt;(K86*4),IF((SUM(B70:E74))&gt;(K86*5),(((K86*5)-(SUM(B70:E74)-C74))*L69)+((SUM(B74:E74)-C74)*L69),(SUM(B74:E74)-C74)*L69),IF(SUM(B70:E74)&gt;(K86*5),K86*L69,SUM(B74:E74)*L69)),2)</f>
        <v>0</v>
      </c>
      <c r="M74" s="76">
        <f>ROUND(IF(SUM(B70:E73)&lt;(K86*4),IF((SUM(B70:E74))&gt;(K86*5),(((K86*5)-(SUM(B70:E74)-C73))*M69)+((SUM(B74:E74)-C73)*M69),SUM(B74:E74)*M69),IF(SUM(B70:E74)&gt;(K86*5),K86*M69,SUM(B74:E74)*M69)),2)</f>
        <v>0</v>
      </c>
      <c r="N74" s="23"/>
      <c r="O74" s="27">
        <f t="shared" si="8"/>
        <v>0</v>
      </c>
    </row>
    <row r="75" spans="1:15" x14ac:dyDescent="0.2">
      <c r="A75" s="100" t="str">
        <f>$A$31</f>
        <v>Jun 2022</v>
      </c>
      <c r="B75" s="24">
        <f>ROUND(IF(N55=0,0,IFERROR(((LOOKUP(2,1/(A58:A61=A75),G58:G61))*N55*4.348),B74/N55*N55)),2)</f>
        <v>0</v>
      </c>
      <c r="C75" s="23">
        <f>ROUND(IFERROR(((LOOKUP(2,1/(B63=A75),((SUM(B76:B78)+SUM(E76:E78))/3)*C63))),0)+IFERROR(((LOOKUP(2,1/(E63=A75),(B82+E82)*F63))),0),2)</f>
        <v>0</v>
      </c>
      <c r="D75" s="23">
        <f>ROUND(IF(B75=0,0,D69/N47*N55),2)</f>
        <v>0</v>
      </c>
      <c r="E75" s="24">
        <f>ROUND(IF(N55=0,0,IFERROR(((LOOKUP(2,1/(A58:A61=A75),H58:H61))/N47*N55),E74/N55*N55)),2)</f>
        <v>0</v>
      </c>
      <c r="F75" s="27">
        <f t="shared" si="7"/>
        <v>0</v>
      </c>
      <c r="G75" s="76">
        <f>ROUND(IF(SUM(B70:E74)&lt;(K85*5),IF((SUM(B70:E75))&gt;(K85*6),(((K85*6)-(SUM(B70:E75)-C74))*G69)+((SUM(B75:E75)-C74)*G69),SUM(B75:E75)*G69),IF(SUM(B70:E75)&gt;(K85*6),K85*G69,SUM(B75:E75)*G69)),2)</f>
        <v>0</v>
      </c>
      <c r="H75" s="76">
        <f>ROUND(IF(SUM(B70:E74)&lt;(K86*5),IF((SUM(B70:E75))&gt;(K86*6),(((K86*6)-(SUM(B70:E75)-C74))*H69)+((SUM(B75:E75)-C74)*H69),SUM(B75:E75)*H69),IF(SUM(B70:E75)&gt;(K86*6),K86*H69,SUM(B75:E75)*H69)),2)</f>
        <v>0</v>
      </c>
      <c r="I75" s="76">
        <f>ROUND(IF(SUM(B70:E74)&lt;(K86*5),IF((SUM(B70:E75))&gt;(K86*6),(((K86*6)-(SUM(B70:E75)-C74))*I69)+((SUM(B75:E75)-C74)*I69),SUM(B75:E75)*I69),IF(SUM(B70:E75)&gt;(K86*6),K86*I69,SUM(B75:E75)*I69)),2)</f>
        <v>0</v>
      </c>
      <c r="J75" s="76">
        <f>ROUND(IF(SUM(B70:E74)&lt;(K85*5),IF((SUM(B70:E75))&gt;(K85*6),(((K85*6)-(SUM(B70:E75)-C74))*J69)+((SUM(B75:E75)-C74)*J69),SUM(B75:E75)*J69),IF(SUM(B70:E75)&gt;(K85*6),K85*J69,SUM(B75:E75)*J69)),2)</f>
        <v>0</v>
      </c>
      <c r="K75" s="76">
        <f>ROUND(IF(SUM(B70:E74)&lt;(K86*5),IF((SUM(B70:E75))&gt;(K86*6),(((K86*6)-(SUM(B70:E75)-C75))*K69)+((SUM(B75:E75)-C75)*K69),(SUM(B75:E75)-C75)*K69),IF(SUM(B70:E75)&gt;(K86*6),K86*K69,SUM(B75:E75)*K69)),2)</f>
        <v>0</v>
      </c>
      <c r="L75" s="76">
        <f>ROUND(IF(SUM(B70:E74)&lt;(K86*5),IF((SUM(B70:E75))&gt;(K86*6),(((K86*6)-(SUM(B70:E75)-C75))*L69)+((SUM(B75:E75)-C75)*L69),(SUM(B75:E75)-C75)*L69),IF(SUM(B70:E75)&gt;(K86*6),K86*L69,SUM(B75:E75)*L69)),2)</f>
        <v>0</v>
      </c>
      <c r="M75" s="76">
        <f>ROUND(IF(SUM(B70:E74)&lt;(K86*5),IF((SUM(B70:E75))&gt;(K86*6),(((K86*6)-(SUM(B70:E75)-C74))*M69)+((SUM(B75:E75)-C74)*M69),SUM(B75:E75)*M69),IF(SUM(B70:E75)&gt;(K86*6),K86*M69,SUM(B75:E75)*M69)),2)</f>
        <v>0</v>
      </c>
      <c r="N75" s="23"/>
      <c r="O75" s="27">
        <f t="shared" si="8"/>
        <v>0</v>
      </c>
    </row>
    <row r="76" spans="1:15" x14ac:dyDescent="0.2">
      <c r="A76" s="100" t="str">
        <f>$A$32</f>
        <v>Jul 2022</v>
      </c>
      <c r="B76" s="24">
        <f>ROUND(IF(P50=0,0,IFERROR(((LOOKUP(2,1/(A58:A61=A76),G58:G61))*P50*4.348),B75/P50*P50)),2)</f>
        <v>0</v>
      </c>
      <c r="C76" s="23">
        <f>ROUND(IFERROR(((LOOKUP(2,1/(B63=A76),((SUM(B76:B78)+SUM(E76:E78))/3)*C63))),0)+IFERROR(((LOOKUP(2,1/(E63=A76),(B82+E82)*F63))),0),2)</f>
        <v>0</v>
      </c>
      <c r="D76" s="23">
        <f>ROUND(IF(B76=0,0,D69/N47*P50),2)</f>
        <v>0</v>
      </c>
      <c r="E76" s="24">
        <f>ROUND(IF(P50=0,0,IFERROR(((LOOKUP(2,1/(A58:A61=A76),H58:H61))/N47*P50),E75/P50*P50)),2)</f>
        <v>0</v>
      </c>
      <c r="F76" s="27">
        <f t="shared" si="7"/>
        <v>0</v>
      </c>
      <c r="G76" s="76">
        <f>ROUND(IF(SUM(B70:E75)&lt;(K85*6),IF((SUM(B70:E76))&gt;(K85*7),(((K85*7)-(SUM(B70:E76)-C75))*G69)+((SUM(B76:E76)-C75)*G69),SUM(B76:E76)*G69),IF(SUM(B70:E76)&gt;(K85*7),K85*G69,SUM(B76:E76)*G69)),2)</f>
        <v>0</v>
      </c>
      <c r="H76" s="76">
        <f>ROUND(IF(SUM(B70:E75)&lt;(K86*6),IF((SUM(B70:E76))&gt;(K86*7),(((K86*7)-(SUM(B70:E76)-C75))*H69)+((SUM(B76:E76)-C75)*H69),SUM(B76:E76)*H69),IF(SUM(B70:E76)&gt;(K86*7),K86*H69,SUM(B76:E76)*H69)),2)</f>
        <v>0</v>
      </c>
      <c r="I76" s="76">
        <f>ROUND(IF(SUM(B70:E75)&lt;(K86*6),IF((SUM(B70:E76))&gt;(K86*7),(((K86*7)-(SUM(B70:E76)-C75))*I69)+((SUM(B76:E76)-C75)*I69),SUM(B76:E76)*I69),IF(SUM(B70:E76)&gt;(K86*7),K86*I69,SUM(B76:E76)*I69)),2)</f>
        <v>0</v>
      </c>
      <c r="J76" s="76">
        <f>ROUND(IF(SUM(B70:E75)&lt;(K85*6),IF((SUM(B70:E76))&gt;(K85*7),(((K85*7)-(SUM(B70:E76)-C75))*J69)+((SUM(B76:E76)-C75)*J69),SUM(B76:E76)*J69),IF(SUM(B70:E76)&gt;(K85*7),K85*J69,SUM(B76:E76)*J69)),2)</f>
        <v>0</v>
      </c>
      <c r="K76" s="76">
        <f>ROUND(IF(SUM(B70:E75)&lt;(K86*6),IF((SUM(B70:E76))&gt;(K86*7),(((K86*7)-(SUM(B70:E76)-C76))*K69)+((SUM(B76:E76)-C76)*K69),(SUM(B76:E76)-C76)*K69),IF(SUM(B70:E76)&gt;(K86*7),K86*K69,SUM(B76:E76)*K69)),2)</f>
        <v>0</v>
      </c>
      <c r="L76" s="76">
        <f>ROUND(IF(SUM(B70:E75)&lt;(K86*6),IF((SUM(B70:E76))&gt;(K86*7),(((K86*7)-(SUM(B70:E76)-C76))*L69)+((SUM(B76:E76)-C76)*L69),(SUM(B76:E76)-C76)*L69),IF(SUM(B70:E76)&gt;(K86*7),K86*L69,SUM(B76:E76)*L69)),2)</f>
        <v>0</v>
      </c>
      <c r="M76" s="76">
        <f>ROUND(IF(SUM(B70:E75)&lt;(K86*6),IF((SUM(B70:E76))&gt;(K86*7),(((K86*7)-(SUM(B70:E76)-C75))*M69)+((SUM(B76:E76)-C75)*M69),SUM(B76:E76)*M69),IF(SUM(B70:E76)&gt;(K86*7),K86*M69,SUM(B76:E76)*M69)),2)</f>
        <v>0</v>
      </c>
      <c r="N76" s="23"/>
      <c r="O76" s="27">
        <f t="shared" si="8"/>
        <v>0</v>
      </c>
    </row>
    <row r="77" spans="1:15" x14ac:dyDescent="0.2">
      <c r="A77" s="100" t="str">
        <f>$A$33</f>
        <v>Aug 2022</v>
      </c>
      <c r="B77" s="24">
        <f>ROUND(IF(P51=0,0,IFERROR(((LOOKUP(2,1/(A58:A61=A77),G58:G61))*P51*4.348),B76/P51*P51)),2)</f>
        <v>0</v>
      </c>
      <c r="C77" s="23">
        <f>ROUND(IFERROR(((LOOKUP(2,1/(B63=A77),((SUM(B76:B78)+SUM(E76:E78))/3)*C63))),0)+IFERROR(((LOOKUP(2,1/(E63=A77),(B82+E82)*F63))),0),2)</f>
        <v>0</v>
      </c>
      <c r="D77" s="23">
        <f>ROUND(IF(B77=0,0,D69/N47*P51),2)</f>
        <v>0</v>
      </c>
      <c r="E77" s="24">
        <f>ROUND(IF(P51=0,0,IFERROR(((LOOKUP(2,1/(A58:A61=A77),H58:H61))/N47*P51),E76/P51*P51)),2)</f>
        <v>0</v>
      </c>
      <c r="F77" s="27">
        <f t="shared" si="7"/>
        <v>0</v>
      </c>
      <c r="G77" s="76">
        <f>ROUND(IF(SUM(B70:E76)&lt;(K85*7),IF((SUM(B70:E77))&gt;(K85*8),(((K85*8)-(SUM(B70:E77)-C76))*G69)+((SUM(B77:E77)-C76)*G69),SUM(B77:E77)*G69),IF(SUM(B70:E77)&gt;(K85*8),K85*G69,SUM(B77:E77)*G69)),2)</f>
        <v>0</v>
      </c>
      <c r="H77" s="76">
        <f>ROUND(IF(SUM(B70:E76)&lt;(K86*7),IF((SUM(B70:E77))&gt;(K86*8),(((K86*8)-(SUM(B70:E77)-C76))*H69)+((SUM(B77:E77)-C76)*H69),SUM(B77:E77)*H69),IF(SUM(B70:E77)&gt;(K86*8),K86*H69,SUM(B77:E77)*H69)),2)</f>
        <v>0</v>
      </c>
      <c r="I77" s="76">
        <f>ROUND(IF(SUM(B70:E76)&lt;(K86*7),IF((SUM(B70:E77))&gt;(K86*8),(((K86*8)-(SUM(B70:E77)-C76))*I69)+((SUM(B77:E77)-C76)*I69),SUM(B77:E77)*I69),IF(SUM(B70:E77)&gt;(K86*8),K86*I69,SUM(B77:E77)*I69)),2)</f>
        <v>0</v>
      </c>
      <c r="J77" s="76">
        <f>ROUND(IF(SUM(B70:E76)&lt;(K85*7),IF((SUM(B70:E77))&gt;(K85*8),(((K85*8)-(SUM(B70:E77)-C76))*J69)+((SUM(B77:E77)-C76)*J69),SUM(B77:E77)*J69),IF(SUM(B70:E77)&gt;(K85*8),K85*J69,SUM(B77:E77)*J69)),2)</f>
        <v>0</v>
      </c>
      <c r="K77" s="76">
        <f>ROUND(IF(SUM(B70:E76)&lt;(K86*7),IF((SUM(B70:E77))&gt;(K86*8),(((K86*8)-(SUM(B70:E77)-C77))*K69)+((SUM(B77:E77)-C77)*K69),(SUM(B77:E77)-C77)*K69),IF(SUM(B70:E77)&gt;(K86*8),K86*K69,SUM(B77:E77)*K69)),2)</f>
        <v>0</v>
      </c>
      <c r="L77" s="76">
        <f>ROUND(IF(SUM(B70:E76)&lt;(K86*7),IF((SUM(B70:E77))&gt;(K86*8),(((K86*8)-(SUM(B70:E77)-C77))*L69)+((SUM(B77:E77)-C77)*L69),(SUM(B77:E77)-C77)*L69),IF(SUM(B70:E77)&gt;(K86*8),K86*L69,SUM(B77:E77)*L69)),2)</f>
        <v>0</v>
      </c>
      <c r="M77" s="76">
        <f>ROUND(IF(SUM(B70:E76)&lt;(K86*7),IF((SUM(B70:E77))&gt;(K86*8),(((K86*8)-(SUM(B70:E77)-C76))*M69)+((SUM(B77:E77)-C76)*M69),SUM(B77:E77)*M69),IF(SUM(B70:E77)&gt;(K86*8),K86*M69,SUM(B77:E77)*M69)),2)</f>
        <v>0</v>
      </c>
      <c r="N77" s="23"/>
      <c r="O77" s="27">
        <f t="shared" si="8"/>
        <v>0</v>
      </c>
    </row>
    <row r="78" spans="1:15" x14ac:dyDescent="0.2">
      <c r="A78" s="100" t="str">
        <f>$A$34</f>
        <v>Sep 2022</v>
      </c>
      <c r="B78" s="24">
        <f>ROUND(IF(P52=0,0,IFERROR(((LOOKUP(2,1/(A58:A61=A78),G58:G61))*P52*4.348),B77/P52*P52)),2)</f>
        <v>0</v>
      </c>
      <c r="C78" s="23">
        <f>ROUND(IFERROR(((LOOKUP(2,1/(B63=A78),((SUM(B76:B78)+SUM(E76:E78))/3)*C63))),0)+IFERROR(((LOOKUP(2,1/(E63=A78),(B82+E82)*F63))),0),2)</f>
        <v>0</v>
      </c>
      <c r="D78" s="23">
        <f>ROUND(IF(B78=0,0,D69/N47*P52),2)</f>
        <v>0</v>
      </c>
      <c r="E78" s="24">
        <f>ROUND(IF(P52=0,0,IFERROR(((LOOKUP(2,1/(A58:A61=A78),H58:H61))/N47*P52),E77/P52*P52)),2)</f>
        <v>0</v>
      </c>
      <c r="F78" s="27">
        <f t="shared" si="7"/>
        <v>0</v>
      </c>
      <c r="G78" s="76">
        <f>ROUND(IF(SUM(B70:E77)&lt;(K85*8),IF((SUM(B70:E78))&gt;(K85*9),(((K85*9)-(SUM(B70:E78)-C77))*G69)+((SUM(B78:E78)-C77)*G69),SUM(B78:E78)*G69),IF(SUM(B70:E78)&gt;(K85*9),K85*G69,SUM(B78:E78)*G69)),2)</f>
        <v>0</v>
      </c>
      <c r="H78" s="76">
        <f>ROUND(IF(SUM(B70:E77)&lt;(K86*8),IF((SUM(B70:E78))&gt;(K86*9),(((K86*9)-(SUM(B70:E78)-C77))*H69)+((SUM(B78:E78)-C77)*H69),SUM(B78:E78)*H69),IF(SUM(B70:E78)&gt;(K86*9),K86*H69,SUM(B78:E78)*H69)),2)</f>
        <v>0</v>
      </c>
      <c r="I78" s="76">
        <f>ROUND(IF(SUM(B70:E77)&lt;(K86*8),IF((SUM(B70:E78))&gt;(K86*9),(((K86*9)-(SUM(B70:E78)-C77))*I69)+((SUM(B78:E78)-C77)*I69),SUM(B78:E78)*I69),IF(SUM(B70:E78)&gt;(K86*9),K86*I69,SUM(B78:E78)*I69)),2)</f>
        <v>0</v>
      </c>
      <c r="J78" s="76">
        <f>ROUND(IF(SUM(B70:E77)&lt;(K85*8),IF((SUM(B70:E78))&gt;(K85*9),(((K85*9)-(SUM(B70:E78)-C77))*J69)+((SUM(B78:E78)-C77)*J69),SUM(B78:E78)*J69),IF(SUM(B70:E78)&gt;(K85*9),K85*J69,SUM(B78:E78)*J69)),2)</f>
        <v>0</v>
      </c>
      <c r="K78" s="76">
        <f>ROUND(IF(SUM(B70:E77)&lt;(K86*8),IF((SUM(B70:E78))&gt;(K86*9),(((K86*9)-(SUM(B70:E78)-C78))*K69)+((SUM(B78:E78)-C78)*K69),(SUM(B78:E78)-C78)*K69),IF(SUM(B70:E78)&gt;(K86*9),K86*K69,SUM(B78:E78)*K69)),2)</f>
        <v>0</v>
      </c>
      <c r="L78" s="76">
        <f>ROUND(IF(SUM(B70:E77)&lt;(K86*8),IF((SUM(B70:E78))&gt;(K86*9),(((K86*9)-(SUM(B70:E78)-C78))*L69)+((SUM(B78:E78)-C78)*L69),(SUM(B78:E78)-C78)*L69),IF(SUM(B70:E78)&gt;(K86*9),K86*L69,SUM(B78:E78)*L69)),2)</f>
        <v>0</v>
      </c>
      <c r="M78" s="76">
        <f>ROUND(IF(SUM(B70:E77)&lt;(K86*8),IF((SUM(B70:E78))&gt;(K86*9),(((K86*9)-(SUM(B70:E78)-C77))*M69)+((SUM(B78:E78)-C77)*M69),SUM(B78:E78)*M69),IF(SUM(B70:E78)&gt;(K86*9),K86*M69,SUM(B78:E78)*M69)),2)</f>
        <v>0</v>
      </c>
      <c r="N78" s="23"/>
      <c r="O78" s="27">
        <f t="shared" si="8"/>
        <v>0</v>
      </c>
    </row>
    <row r="79" spans="1:15" x14ac:dyDescent="0.2">
      <c r="A79" s="100" t="str">
        <f>$A$35</f>
        <v>Okt 2022</v>
      </c>
      <c r="B79" s="24">
        <f>ROUND(IF(P53=0,0,IFERROR(((LOOKUP(2,1/(A58:A61=A79),G58:G61))*P53*4.348),B78/P53*P53)),2)</f>
        <v>0</v>
      </c>
      <c r="C79" s="23">
        <f>ROUND(IFERROR(((LOOKUP(2,1/(B63=A79),((SUM(B76:B78)+SUM(E76:E78))/3)*C63))),0)+IFERROR(((LOOKUP(2,1/(E63=A79),(B82+E82)*F63))),0),2)</f>
        <v>0</v>
      </c>
      <c r="D79" s="23">
        <f>ROUND(IF(B79=0,0,D69/N47*P53),2)</f>
        <v>0</v>
      </c>
      <c r="E79" s="24">
        <f>ROUND(IF(P53=0,0,IFERROR(((LOOKUP(2,1/(A58:A61=A79),H58:H61))/N47*P53),E78/P53*P53)),2)</f>
        <v>0</v>
      </c>
      <c r="F79" s="27">
        <f t="shared" si="7"/>
        <v>0</v>
      </c>
      <c r="G79" s="76">
        <f>ROUND(IF(SUM(B70:E78)&lt;(K85*9),IF((SUM(B70:E79))&gt;(K85*10),(((K85*10)-(SUM(B70:E79)-C78))*G69)+((SUM(B79:E79)-C78)*G69),SUM(B79:E79)*G69),IF(SUM(B70:E79)&gt;(K85*10),K85*G69,SUM(B79:E79)*G69)),2)</f>
        <v>0</v>
      </c>
      <c r="H79" s="76">
        <f>ROUND(IF(SUM(B70:E78)&lt;(K86*9),IF((SUM(B70:E79))&gt;(K86*10),(((K86*10)-(SUM(B70:E79)-C78))*H69)+((SUM(B79:E79)-C78)*H69),SUM(B79:E79)*H69),IF(SUM(B70:E79)&gt;(K86*10),K86*H69,SUM(B79:E79)*H69)),2)</f>
        <v>0</v>
      </c>
      <c r="I79" s="76">
        <f>ROUND(IF(SUM(B70:E78)&lt;(K86*9),IF((SUM(B70:E79))&gt;(K86*10),(((K86*10)-(SUM(B70:E79)-C78))*I69)+((SUM(B79:E79)-C78)*I69),SUM(B79:E79)*I69),IF(SUM(B70:E79)&gt;(K86*10),K86*I69,SUM(B79:E79)*I69)),2)</f>
        <v>0</v>
      </c>
      <c r="J79" s="76">
        <f>ROUND(IF(SUM(B70:E78)&lt;(K85*9),IF((SUM(B70:E79))&gt;(K85*10),(((K85*10)-(SUM(B70:E79)-C78))*J69)+((SUM(B79:E79)-C78)*J69),SUM(B79:E79)*J69),IF(SUM(B70:E79)&gt;(K85*10),K85*J69,SUM(B79:E79)*J69)),2)</f>
        <v>0</v>
      </c>
      <c r="K79" s="76">
        <f>ROUND(IF(SUM(B70:E78)&lt;(K86*9),IF((SUM(B70:E79))&gt;(K86*10),(((K86*10)-(SUM(B70:E79)-C79))*K69)+((SUM(B79:E79)-C79)*K69),(SUM(B79:E79)-C79)*K69),IF(SUM(B70:E79)&gt;(K86*10),K86*K69,SUM(B79:E79)*K69)),2)</f>
        <v>0</v>
      </c>
      <c r="L79" s="76">
        <f>ROUND(IF(SUM(B70:E78)&lt;(K86*9),IF((SUM(B70:E79))&gt;(K86*10),(((K86*10)-(SUM(B70:E79)-C79))*L69)+((SUM(B79:E79)-C79)*L69),(SUM(B79:E79)-C79)*L69),IF(SUM(B70:E79)&gt;(K86*10),K86*L69,SUM(B79:E79)*L69)),2)</f>
        <v>0</v>
      </c>
      <c r="M79" s="76">
        <f>ROUND(IF(SUM(B70:E78)&lt;(K86*9),IF((SUM(B70:E79))&gt;(K86*10),(((K86*10)-(SUM(B70:E79)-C78))*M69)+((SUM(B79:E79)-C78)*M69),SUM(B79:E79)*M69),IF(SUM(B70:E79)&gt;(K86*10),K86*M69,SUM(B79:E79)*M69)),2)</f>
        <v>0</v>
      </c>
      <c r="N79" s="23"/>
      <c r="O79" s="27">
        <f t="shared" si="8"/>
        <v>0</v>
      </c>
    </row>
    <row r="80" spans="1:15" x14ac:dyDescent="0.2">
      <c r="A80" s="100" t="str">
        <f>$A$36</f>
        <v>Nov 2022</v>
      </c>
      <c r="B80" s="24">
        <f>ROUND(IF(P54=0,0,IFERROR(((LOOKUP(2,1/(A58:A61=A80),G58:G61))*P54*4.348),B79/P54*P54)),2)</f>
        <v>0</v>
      </c>
      <c r="C80" s="23">
        <f>ROUND(IFERROR(((LOOKUP(2,1/(B63=A80),((SUM(B76:B78)+SUM(E76:E78))/3)*C63))),0)+IFERROR(((LOOKUP(2,1/(E63=A80),(B82+E82)*F63))),0),2)</f>
        <v>0</v>
      </c>
      <c r="D80" s="23">
        <f>ROUND(IF(B80=0,0,D69/N47*P54),2)</f>
        <v>0</v>
      </c>
      <c r="E80" s="24">
        <f>ROUND(IF(P54=0,0,IFERROR(((LOOKUP(2,1/(A58:A61=A80),H58:H61))/N47*P54),E79/P54*P54)),2)</f>
        <v>0</v>
      </c>
      <c r="F80" s="27">
        <f t="shared" si="7"/>
        <v>0</v>
      </c>
      <c r="G80" s="76">
        <f>ROUND(IF(SUM(B70:E79)&lt;(K85*10),IF((SUM(B70:E80))&gt;(K85*11),(((K85*11)-(SUM(B70:E80)-C79))*G69)+((SUM(B80:E80)-C79)*G69),SUM(B80:E80)*G69),IF(SUM(B70:E80)&gt;(K85*11),K85*G69,SUM(B80:E80)*G69)),2)</f>
        <v>0</v>
      </c>
      <c r="H80" s="76">
        <f>ROUND(IF(SUM(B70:E79)&lt;(K86*10),IF((SUM(B70:E80))&gt;(K86*11),(((K86*11)-(SUM(B70:E80)-C79))*H69)+((SUM(B80:E80)-C79)*H69),SUM(B80:E80)*H69),IF(SUM(B70:E80)&gt;(K86*11),K86*H69,SUM(B80:E80)*H69)),2)</f>
        <v>0</v>
      </c>
      <c r="I80" s="76">
        <f>ROUND(IF(SUM(B70:E79)&lt;(K86*10),IF((SUM(B70:E80))&gt;(K86*11),(((K86*11)-(SUM(B70:E80)-C79))*I69)+((SUM(B80:E80)-C79)*I69),SUM(B80:E80)*I69),IF(SUM(B70:E80)&gt;(K86*11),K86*I69,SUM(B80:E80)*I69)),2)</f>
        <v>0</v>
      </c>
      <c r="J80" s="76">
        <f>ROUND(IF(SUM(B70:E79)&lt;(K85*10),IF((SUM(B70:E80))&gt;(K85*11),(((K85*11)-(SUM(B70:E80)-C79))*J69)+((SUM(B80:E80)-C79)*J69),SUM(B80:E80)*J69),IF(SUM(B70:E80)&gt;(K85*11),K85*J69,SUM(B80:E80)*J69)),2)</f>
        <v>0</v>
      </c>
      <c r="K80" s="76">
        <f>ROUND(IF(SUM(B70:E79)&lt;(K86*10),IF((SUM(B70:E80))&gt;(K86*11),(((K86*11)-(SUM(B70:E80)-C80))*K69)+((SUM(B80:E80)-C80)*K69),(SUM(B80:E80)-C80)*K69),IF(SUM(B70:E80)&gt;(K86*11),K86*K69,SUM(B80:E80)*K69)),2)</f>
        <v>0</v>
      </c>
      <c r="L80" s="76">
        <f>ROUND(IF(SUM(B70:E79)&lt;(K86*10),IF((SUM(B70:E80))&gt;(K86*11),(((K86*11)-(SUM(B70:E80)-C80))*L69)+((SUM(B80:E80)-C80)*L69),(SUM(B80:E80)-C80)*L69),IF(SUM(B70:E80)&gt;(K86*11),K86*L69,SUM(B80:E80)*L69)),2)</f>
        <v>0</v>
      </c>
      <c r="M80" s="76">
        <f>ROUND(IF(SUM(B70:E79)&lt;(K86*10),IF((SUM(B70:E80))&gt;(K86*11),(((K86*11)-(SUM(B70:E80)-C79))*M69)+((SUM(B80:E80)-C79)*M69),SUM(B80:E80)*M69),IF(SUM(B70:E80)&gt;(K86*11),K86*M69,SUM(B80:E80)*M69)),2)</f>
        <v>0</v>
      </c>
      <c r="N80" s="23"/>
      <c r="O80" s="27">
        <f t="shared" si="8"/>
        <v>0</v>
      </c>
    </row>
    <row r="81" spans="1:16" ht="14.25" customHeight="1" x14ac:dyDescent="0.2">
      <c r="A81" s="100" t="str">
        <f>$A$37</f>
        <v>Dez 2022</v>
      </c>
      <c r="B81" s="24">
        <f>ROUND(IF(P55=0,0,IFERROR(((LOOKUP(2,1/(A58:A61=A81),G58:G61))*P55*4.348),B80/P55*P55)),2)</f>
        <v>0</v>
      </c>
      <c r="C81" s="23">
        <f>ROUND(IFERROR(((LOOKUP(2,1/(B63=A81),((SUM(B76:B78)+SUM(E76:E78))/3)*C63))),0)+IFERROR(((LOOKUP(2,1/(E63=A81),(B82+E82)*F63))),0),2)</f>
        <v>0</v>
      </c>
      <c r="D81" s="23">
        <f>ROUND(IF(B81=0,0,D69/N47*P55),2)</f>
        <v>0</v>
      </c>
      <c r="E81" s="24">
        <f>ROUND(IF(P55=0,0,IFERROR(((LOOKUP(2,1/(A58:A61=A81),H58:H61))/N47*P55),E80/P55*P55)),2)</f>
        <v>0</v>
      </c>
      <c r="F81" s="27">
        <f t="shared" si="7"/>
        <v>0</v>
      </c>
      <c r="G81" s="76">
        <f>ROUND(IF(SUM(B70:E80)&lt;(K85*11),IF((SUM(B70:E81))&gt;(K85*12),(((K85*12)-(SUM(B70:E81)-C80))*G69)+((SUM(B81:E81)-C80)*G69),SUM(B81:E81)*G69),IF(SUM(B70:E81)&gt;(K85*12),K85*G69,SUM(B81:E81)*G69)),2)</f>
        <v>0</v>
      </c>
      <c r="H81" s="76">
        <f>ROUND(IF(SUM(B70:E80)&lt;(K86*11),IF((SUM(B70:E81))&gt;(K86*12),(((K86*12)-(SUM(B70:E81)-C80))*H69)+((SUM(B81:E81)-C80)*H69),SUM(B81:E81)*H69),IF(SUM(B70:E81)&gt;(K86*12),K86*H69,SUM(B81:E81)*H69)),2)</f>
        <v>0</v>
      </c>
      <c r="I81" s="76">
        <f>ROUND(IF(SUM(B70:E80)&lt;(K86*11),IF((SUM(B70:E81))&gt;(K86*12),(((K86*12)-(SUM(B70:E81)-C80))*I69)+((SUM(B81:E81)-C80)*I69),SUM(B81:E81)*I69),IF(SUM(B70:E81)&gt;(K86*12),K86*I69,SUM(B81:E81)*I69)),2)</f>
        <v>0</v>
      </c>
      <c r="J81" s="76">
        <f>ROUND(IF(SUM(B70:E80)&lt;(K85*11),IF((SUM(B70:E81))&gt;(K85*12),(((K85*12)-(SUM(B70:E81)-C80))*J69)+((SUM(B81:E81)-C80)*J69),SUM(B81:E81)*J69),IF(SUM(B70:E81)&gt;(K85*12),K85*J69,SUM(B81:E81)*J69)),2)</f>
        <v>0</v>
      </c>
      <c r="K81" s="76">
        <f>ROUND(IF(SUM(B70:E80)&lt;(K86*11),IF((SUM(B70:E81))&gt;(K86*12),(((K86*12)-(SUM(B70:E81)-C81))*K69)+((SUM(B81:E81)-C81)*K69),(SUM(B81:E81)-C81)*K69),IF(SUM(B70:E81)&gt;(K86*12),K86*K69,SUM(B81:E81)*K69)),2)</f>
        <v>0</v>
      </c>
      <c r="L81" s="76">
        <f>ROUND(IF(SUM(B70:E80)&lt;(K86*11),IF((SUM(B70:E81))&gt;(K86*12),(((K86*12)-(SUM(B70:E81)-C81))*L69)+((SUM(B81:E81)-C81)*L69),(SUM(B81:E81)-C81)*L69),IF(SUM(B70:E81)&gt;(K86*12),K86*L69,SUM(B81:E81)*L69)),2)</f>
        <v>0</v>
      </c>
      <c r="M81" s="76">
        <f>ROUND(IF(SUM(B70:E80)&lt;(K86*11),IF((SUM(B70:E81))&gt;(K86*12),(((K86*12)-(SUM(B70:E81)-C80))*M69)+((SUM(B81:E81)-C80)*M69),SUM(B81:E81)*M69),IF(SUM(B70:E81)&gt;(K86*12),K86*M69,SUM(B81:E81)*M69)),2)</f>
        <v>0</v>
      </c>
      <c r="N81" s="23"/>
      <c r="O81" s="27">
        <f>SUM(F81:N81)</f>
        <v>0</v>
      </c>
    </row>
    <row r="82" spans="1:16" s="14" customFormat="1" ht="15" x14ac:dyDescent="0.25">
      <c r="A82" s="4" t="s">
        <v>2</v>
      </c>
      <c r="B82" s="27">
        <f>SUM(B70:B81)</f>
        <v>0</v>
      </c>
      <c r="C82" s="27">
        <f t="shared" ref="C82:E82" si="9">SUM(C70:C81)</f>
        <v>0</v>
      </c>
      <c r="D82" s="27">
        <f t="shared" si="9"/>
        <v>0</v>
      </c>
      <c r="E82" s="27">
        <f t="shared" si="9"/>
        <v>0</v>
      </c>
      <c r="F82" s="27">
        <f>SUM(F70:F81)</f>
        <v>0</v>
      </c>
      <c r="G82" s="1133">
        <f>SUM(G70:M81)</f>
        <v>0</v>
      </c>
      <c r="H82" s="1134"/>
      <c r="I82" s="1134"/>
      <c r="J82" s="1134"/>
      <c r="K82" s="1134"/>
      <c r="L82" s="1134"/>
      <c r="M82" s="1135"/>
      <c r="N82" s="27">
        <f>SUM(N70:N81)</f>
        <v>0</v>
      </c>
      <c r="O82" s="27">
        <f>SUM(O70:O81)</f>
        <v>0</v>
      </c>
      <c r="P82" s="1"/>
    </row>
    <row r="83" spans="1:16" s="13" customFormat="1" ht="11.25" x14ac:dyDescent="0.2">
      <c r="A83" s="3" t="s">
        <v>1</v>
      </c>
      <c r="B83" s="2"/>
      <c r="C83" s="2"/>
      <c r="D83" s="2"/>
      <c r="E83" s="2"/>
      <c r="F83" s="2"/>
      <c r="G83" s="2"/>
      <c r="H83" s="2"/>
      <c r="I83" s="2"/>
      <c r="J83" s="2"/>
      <c r="K83" s="2"/>
      <c r="L83" s="2"/>
      <c r="M83" s="2"/>
      <c r="N83" s="2"/>
      <c r="O83" s="2"/>
      <c r="P83" s="2"/>
    </row>
    <row r="84" spans="1:16" ht="14.25" customHeight="1" x14ac:dyDescent="0.2">
      <c r="A84" s="1136" t="s">
        <v>133</v>
      </c>
      <c r="B84" s="1137"/>
      <c r="C84" s="1137"/>
      <c r="D84" s="1137" t="s">
        <v>134</v>
      </c>
      <c r="E84" s="1137"/>
      <c r="F84" s="94" t="str">
        <f>IF(IF(G82=0,"",'päd.Personal - Leitung'!$F$40)=0,"",IF(G82=0,"",'päd.Personal - Leitung'!$F$40))</f>
        <v/>
      </c>
      <c r="G84" s="77" t="s">
        <v>135</v>
      </c>
      <c r="H84" s="96" t="str">
        <f>IF(IF(G82=0,"",'päd.Personal - Leitung'!$H$40)=0,"",IF(G82=0,"",'päd.Personal - Leitung'!$H$40))</f>
        <v/>
      </c>
      <c r="I84" s="73"/>
      <c r="J84" s="194" t="s">
        <v>160</v>
      </c>
      <c r="K84" s="194" t="str">
        <f>$K$40</f>
        <v>2021</v>
      </c>
      <c r="L84" s="194" t="str">
        <f>$L$40</f>
        <v>anteilig 2021</v>
      </c>
      <c r="M84" s="1138" t="s">
        <v>140</v>
      </c>
      <c r="N84" s="1138"/>
      <c r="O84" s="1139"/>
      <c r="P84" s="27">
        <f>ROUND(IF(F84="",IF(E88="",0,(E88*H88/K88)/L51*L52),F82*F84*H84/1000),2)</f>
        <v>0</v>
      </c>
    </row>
    <row r="85" spans="1:16" ht="15" customHeight="1" x14ac:dyDescent="0.2">
      <c r="A85" s="1140" t="s">
        <v>145</v>
      </c>
      <c r="B85" s="1141"/>
      <c r="C85" s="1141"/>
      <c r="D85" s="18"/>
      <c r="E85" s="107" t="s">
        <v>135</v>
      </c>
      <c r="F85" s="95" t="str">
        <f>IF(IF(G82=0,"",'päd.Personal - Leitung'!$F$41)=0,"",IF(G82=0,"",'päd.Personal - Leitung'!$F$41))</f>
        <v/>
      </c>
      <c r="G85" s="48"/>
      <c r="H85" s="47"/>
      <c r="I85" s="48"/>
      <c r="J85" s="195" t="s">
        <v>158</v>
      </c>
      <c r="K85" s="198">
        <f>$K$41</f>
        <v>4837.5</v>
      </c>
      <c r="L85" s="197">
        <f>IF(L51="",K85,K85/L51*L52)</f>
        <v>4837.5</v>
      </c>
      <c r="M85" s="1138" t="s">
        <v>139</v>
      </c>
      <c r="N85" s="1138"/>
      <c r="O85" s="1139"/>
      <c r="P85" s="108">
        <f>ROUND(IF(F85="",0,F82*F85/1000),2)</f>
        <v>0</v>
      </c>
    </row>
    <row r="86" spans="1:16" ht="15.75" customHeight="1" x14ac:dyDescent="0.2">
      <c r="A86" s="1142"/>
      <c r="B86" s="1143"/>
      <c r="C86" s="1143"/>
      <c r="D86" s="1144"/>
      <c r="E86" s="1144"/>
      <c r="F86" s="1200"/>
      <c r="G86" s="1200"/>
      <c r="H86" s="72"/>
      <c r="I86" s="18"/>
      <c r="J86" s="195" t="s">
        <v>159</v>
      </c>
      <c r="K86" s="198">
        <f>$K$42</f>
        <v>6700</v>
      </c>
      <c r="L86" s="197">
        <f>IF(L51="",K86,K86/L51*L52)</f>
        <v>6700</v>
      </c>
      <c r="M86" s="1138"/>
      <c r="N86" s="1138"/>
      <c r="O86" s="1201"/>
      <c r="P86" s="110"/>
    </row>
    <row r="87" spans="1:16" ht="14.25" customHeight="1" x14ac:dyDescent="0.2">
      <c r="A87" s="18"/>
      <c r="B87" s="18"/>
      <c r="C87" s="18"/>
      <c r="D87" s="18"/>
      <c r="E87" s="18"/>
      <c r="F87" s="18"/>
      <c r="G87" s="18"/>
      <c r="H87" s="18"/>
      <c r="I87" s="18"/>
      <c r="J87" s="18"/>
      <c r="K87" s="74"/>
      <c r="L87" s="82"/>
      <c r="M87" s="1127" t="s">
        <v>146</v>
      </c>
      <c r="N87" s="1127"/>
      <c r="O87" s="1128"/>
      <c r="P87" s="23">
        <f>ROUND(IF(F82=0,0,$P$43),2)</f>
        <v>0</v>
      </c>
    </row>
    <row r="88" spans="1:16" ht="14.25" customHeight="1" x14ac:dyDescent="0.2">
      <c r="A88" s="1129" t="s">
        <v>142</v>
      </c>
      <c r="B88" s="1130"/>
      <c r="C88" s="133" t="s">
        <v>136</v>
      </c>
      <c r="D88" s="133" t="s">
        <v>137</v>
      </c>
      <c r="E88" s="1131" t="str">
        <f>IF(IF(G82=0,"",'päd.Personal - Leitung'!$E$44)=0,"",IF(G82=0,"",'päd.Personal - Leitung'!$E$44))</f>
        <v/>
      </c>
      <c r="F88" s="1131"/>
      <c r="G88" s="83" t="s">
        <v>138</v>
      </c>
      <c r="H88" s="97" t="str">
        <f>IF(IF(G82=0,"",'päd.Personal - Leitung'!$H$44)=0,"",IF(G82=0,"",'päd.Personal - Leitung'!$H$44))</f>
        <v/>
      </c>
      <c r="I88" s="1132" t="s">
        <v>144</v>
      </c>
      <c r="J88" s="1132"/>
      <c r="K88" s="98" t="str">
        <f>IF(IF(G82=0,"",'päd.Personal - Leitung'!$K$44)=0,"",IF(G82=0,"",'päd.Personal - Leitung'!$K$44))</f>
        <v/>
      </c>
      <c r="L88" s="29"/>
      <c r="M88" s="29"/>
      <c r="N88" s="29"/>
      <c r="O88" s="28" t="s">
        <v>0</v>
      </c>
      <c r="P88" s="27">
        <f>O82+SUM(P84:P87)</f>
        <v>0</v>
      </c>
    </row>
    <row r="89" spans="1:16" s="12" customFormat="1" ht="13.5" customHeight="1" x14ac:dyDescent="0.2">
      <c r="A89" s="1178" t="s">
        <v>18</v>
      </c>
      <c r="B89" s="1178"/>
      <c r="C89" s="1178"/>
      <c r="D89" s="1179" t="str">
        <f>IF($D$1="","",$D$1)</f>
        <v/>
      </c>
      <c r="E89" s="1179"/>
      <c r="F89" s="1179"/>
      <c r="G89" s="1179"/>
      <c r="H89" s="1179"/>
      <c r="I89" s="1179"/>
      <c r="J89" s="1179"/>
      <c r="K89" s="1179"/>
      <c r="L89" s="1179"/>
      <c r="M89" s="1179"/>
      <c r="N89" s="1179"/>
    </row>
    <row r="90" spans="1:16" s="12" customFormat="1" ht="15" customHeight="1" x14ac:dyDescent="0.2">
      <c r="A90" s="1178" t="s">
        <v>17</v>
      </c>
      <c r="B90" s="1178"/>
      <c r="C90" s="1178" t="s">
        <v>15</v>
      </c>
      <c r="D90" s="1179" t="str">
        <f>IF($D$2="","",$D$2)</f>
        <v/>
      </c>
      <c r="E90" s="1179"/>
      <c r="F90" s="1179"/>
      <c r="G90" s="1179"/>
      <c r="H90" s="1179"/>
      <c r="I90" s="1179"/>
      <c r="J90" s="1179"/>
      <c r="K90" s="1179"/>
      <c r="L90" s="1179"/>
      <c r="M90" s="1179"/>
      <c r="N90" s="1179"/>
    </row>
    <row r="91" spans="1:16" s="12" customFormat="1" ht="15" customHeight="1" x14ac:dyDescent="0.2">
      <c r="A91" s="1178" t="s">
        <v>16</v>
      </c>
      <c r="B91" s="1178"/>
      <c r="C91" s="1178" t="s">
        <v>15</v>
      </c>
      <c r="D91" s="1179" t="str">
        <f>IF($D$3="","",$D$3)</f>
        <v/>
      </c>
      <c r="E91" s="1179"/>
      <c r="F91" s="1179"/>
      <c r="G91" s="1179"/>
      <c r="H91" s="1179"/>
      <c r="I91" s="1179"/>
      <c r="J91" s="1179"/>
      <c r="K91" s="1178" t="s">
        <v>103</v>
      </c>
      <c r="L91" s="1178"/>
      <c r="M91" s="1178"/>
      <c r="N91" s="41" t="str">
        <f>IF($N$3="","",$N$3)</f>
        <v/>
      </c>
    </row>
    <row r="92" spans="1:16" s="13" customFormat="1" ht="11.25" x14ac:dyDescent="0.2">
      <c r="A92" s="1182"/>
      <c r="B92" s="1182"/>
      <c r="C92" s="1182"/>
      <c r="D92" s="1183"/>
      <c r="E92" s="1183"/>
      <c r="F92" s="1183"/>
      <c r="G92" s="1183"/>
      <c r="H92" s="1183"/>
      <c r="I92" s="1183"/>
      <c r="J92" s="1183"/>
      <c r="K92" s="11"/>
      <c r="L92" s="11"/>
      <c r="M92" s="11"/>
      <c r="N92" s="11"/>
      <c r="O92" s="11"/>
      <c r="P92" s="11"/>
    </row>
    <row r="93" spans="1:16" s="15" customFormat="1" ht="13.5" customHeight="1" x14ac:dyDescent="0.2">
      <c r="A93" s="1177" t="s">
        <v>188</v>
      </c>
      <c r="B93" s="1177"/>
      <c r="C93" s="1177"/>
      <c r="D93" s="1177"/>
      <c r="E93" s="1177"/>
      <c r="F93" s="1177"/>
      <c r="G93" s="1177"/>
      <c r="H93" s="1177"/>
      <c r="I93" s="1177"/>
      <c r="J93" s="1177"/>
      <c r="K93" s="1177"/>
      <c r="L93" s="9"/>
      <c r="M93" s="9"/>
      <c r="N93" s="59" t="s">
        <v>154</v>
      </c>
      <c r="O93" s="191">
        <f>$O$5</f>
        <v>2022</v>
      </c>
      <c r="P93" s="59" t="s">
        <v>154</v>
      </c>
    </row>
    <row r="94" spans="1:16" s="10" customFormat="1" ht="13.5" customHeight="1" x14ac:dyDescent="0.25">
      <c r="B94" s="32"/>
      <c r="C94" s="32"/>
      <c r="D94" s="5" t="s">
        <v>194</v>
      </c>
      <c r="E94" s="31"/>
      <c r="F94" s="31"/>
      <c r="G94" s="31"/>
      <c r="H94" s="31"/>
      <c r="I94" s="26"/>
      <c r="J94" s="1197"/>
      <c r="K94" s="1197"/>
      <c r="L94" s="111"/>
      <c r="N94" s="84">
        <f>IF(L96="","",L96)</f>
        <v>0</v>
      </c>
      <c r="O94" s="58" t="str">
        <f>$O$6</f>
        <v>Jan                Jul</v>
      </c>
      <c r="P94" s="85">
        <f>IF(N99="","",N99)</f>
        <v>0</v>
      </c>
    </row>
    <row r="95" spans="1:16" s="7" customFormat="1" ht="13.5" customHeight="1" x14ac:dyDescent="0.25">
      <c r="A95" s="1180" t="s">
        <v>71</v>
      </c>
      <c r="B95" s="1180"/>
      <c r="C95" s="1180"/>
      <c r="D95" s="1184"/>
      <c r="E95" s="1184"/>
      <c r="F95" s="1184"/>
      <c r="G95" s="1184"/>
      <c r="H95" s="1184"/>
      <c r="I95" s="1184"/>
      <c r="J95" s="1174" t="s">
        <v>104</v>
      </c>
      <c r="K95" s="1174"/>
      <c r="L95" s="145"/>
      <c r="N95" s="85">
        <f>IF(N94="","",N94)</f>
        <v>0</v>
      </c>
      <c r="O95" s="58" t="str">
        <f>$O$7</f>
        <v>Feb              Aug</v>
      </c>
      <c r="P95" s="85">
        <f>IF(P94="","",P94)</f>
        <v>0</v>
      </c>
    </row>
    <row r="96" spans="1:16" ht="13.5" customHeight="1" x14ac:dyDescent="0.2">
      <c r="A96" s="1180" t="s">
        <v>13</v>
      </c>
      <c r="B96" s="1180"/>
      <c r="C96" s="1180"/>
      <c r="D96" s="1181"/>
      <c r="E96" s="1181"/>
      <c r="F96" s="1181"/>
      <c r="G96" s="1181"/>
      <c r="H96" s="1181"/>
      <c r="I96" s="1181"/>
      <c r="J96" s="1174" t="s">
        <v>164</v>
      </c>
      <c r="K96" s="1174"/>
      <c r="L96" s="145">
        <f>IF((L97+L98)&gt;L95,0,L95-L97-L98)</f>
        <v>0</v>
      </c>
      <c r="N96" s="85">
        <f>IF(N95="","",N95)</f>
        <v>0</v>
      </c>
      <c r="O96" s="58" t="str">
        <f>$O$8</f>
        <v>Mrz              Sep</v>
      </c>
      <c r="P96" s="85">
        <f>IF(P95="","",P95)</f>
        <v>0</v>
      </c>
    </row>
    <row r="97" spans="1:16" ht="13.5" customHeight="1" x14ac:dyDescent="0.2">
      <c r="A97" s="1180" t="s">
        <v>12</v>
      </c>
      <c r="B97" s="1180"/>
      <c r="C97" s="1180"/>
      <c r="D97" s="1181"/>
      <c r="E97" s="1181"/>
      <c r="F97" s="1181"/>
      <c r="G97" s="1181"/>
      <c r="H97" s="1181"/>
      <c r="I97" s="1181"/>
      <c r="J97" s="1174" t="s">
        <v>165</v>
      </c>
      <c r="K97" s="1174"/>
      <c r="L97" s="145"/>
      <c r="N97" s="85">
        <f>IF(N96="","",N96)</f>
        <v>0</v>
      </c>
      <c r="O97" s="58" t="str">
        <f>$O$9</f>
        <v>Apr               Okt</v>
      </c>
      <c r="P97" s="85">
        <f t="shared" ref="P97:P99" si="10">IF(P96="","",P96)</f>
        <v>0</v>
      </c>
    </row>
    <row r="98" spans="1:16" ht="13.5" customHeight="1" x14ac:dyDescent="0.2">
      <c r="A98" s="1180" t="s">
        <v>19</v>
      </c>
      <c r="B98" s="1180"/>
      <c r="C98" s="1180"/>
      <c r="D98" s="1181"/>
      <c r="E98" s="1181"/>
      <c r="F98" s="1181"/>
      <c r="G98" s="1181"/>
      <c r="H98" s="1181"/>
      <c r="I98" s="1181"/>
      <c r="J98" s="1174" t="s">
        <v>252</v>
      </c>
      <c r="K98" s="1174"/>
      <c r="L98" s="145"/>
      <c r="M98" s="92"/>
      <c r="N98" s="85">
        <f>IF(N97="","",N97)</f>
        <v>0</v>
      </c>
      <c r="O98" s="58" t="str">
        <f>$O$10</f>
        <v>Mai               Nov</v>
      </c>
      <c r="P98" s="85">
        <f t="shared" si="10"/>
        <v>0</v>
      </c>
    </row>
    <row r="99" spans="1:16" ht="13.5" customHeight="1" x14ac:dyDescent="0.2">
      <c r="B99" s="8"/>
      <c r="C99" s="132" t="s">
        <v>162</v>
      </c>
      <c r="D99" s="1175"/>
      <c r="E99" s="1175"/>
      <c r="F99" s="1176" t="s">
        <v>192</v>
      </c>
      <c r="G99" s="1176"/>
      <c r="H99" s="1186"/>
      <c r="I99" s="1186"/>
      <c r="J99" s="1174" t="s">
        <v>97</v>
      </c>
      <c r="K99" s="1174"/>
      <c r="L99" s="17" t="str">
        <f>IF(IF((COUNTIF(B114:B125,"&gt;0"))=0,0,(COUNTIF(B114:B125,"&gt;0")))&gt;Grundlagen!$C$24,Grundlagen!$C$24,IF((COUNTIF(B114:B125,"&gt;0"))=0,"",(COUNTIF(B114:B125,"&gt;0"))))</f>
        <v/>
      </c>
      <c r="N99" s="85">
        <f>IF(N98="","",N98)</f>
        <v>0</v>
      </c>
      <c r="O99" s="58" t="str">
        <f>'päd.Personal - Leitung'!$O$11</f>
        <v>Jun               Dez</v>
      </c>
      <c r="P99" s="85">
        <f t="shared" si="10"/>
        <v>0</v>
      </c>
    </row>
    <row r="100" spans="1:16" ht="13.5" customHeight="1" x14ac:dyDescent="0.2">
      <c r="F100" s="1176" t="s">
        <v>193</v>
      </c>
      <c r="G100" s="1176"/>
      <c r="H100" s="1186"/>
      <c r="I100" s="1186"/>
      <c r="L100" s="147" t="str">
        <f>IF((SUM(F102:F105))=0,"",IF(P100&gt;L96,L96,IF(L96="","",IF(L99="","",P100))))</f>
        <v/>
      </c>
      <c r="O100" s="174" t="s">
        <v>251</v>
      </c>
      <c r="P100" s="175">
        <f>IF(L99="",0,((IF(SUMIF(B114,"&gt;0"),N94,0))+(IF(SUMIF(B115,"&gt;0"),N95,0))+(IF(SUMIF(B116,"&gt;0"),N96,0))+(IF(SUMIF(B117,"&gt;0"),N97,0))+(IF(SUMIF(B118,"&gt;0"),N98,0))+(IF(SUMIF(B119,"&gt;0"),N99,0))+(IF(SUMIF(B120,"&gt;0"),P94,0))+(IF(SUMIF(B121,"&gt;0"),P95,0))+(IF(SUMIF(B122,"&gt;0"),P96,0))+(IF(SUMIF(B123,"&gt;0"),P97,0))+(IF(SUMIF(B124,"&gt;0"),P98,0))+(IF(SUMIF(B125,"&gt;0"),P99,0)))/Grundlagen!$C$24)</f>
        <v>0</v>
      </c>
    </row>
    <row r="101" spans="1:16" s="52" customFormat="1" ht="13.5" customHeight="1" x14ac:dyDescent="0.2">
      <c r="A101" s="61" t="s">
        <v>148</v>
      </c>
      <c r="B101" s="1168" t="s">
        <v>149</v>
      </c>
      <c r="C101" s="1168"/>
      <c r="D101" s="62" t="s">
        <v>150</v>
      </c>
      <c r="E101" s="63" t="s">
        <v>151</v>
      </c>
      <c r="F101" s="64" t="str">
        <f>CONCATENATE("Entg. ",N91," h/Wo")</f>
        <v>Entg.  h/Wo</v>
      </c>
      <c r="G101" s="65" t="s">
        <v>152</v>
      </c>
      <c r="H101" s="65" t="s">
        <v>153</v>
      </c>
      <c r="K101" s="1169" t="str">
        <f>CONCATENATE("Zuschläge / Zulagen für ",N91,"h/Wo")</f>
        <v>Zuschläge / Zulagen für h/Wo</v>
      </c>
      <c r="L101" s="1169"/>
      <c r="M101" s="66" t="str">
        <f>IF(A102="","",A102)</f>
        <v>Jan 2022</v>
      </c>
      <c r="N101" s="66" t="str">
        <f>IF(A103="","",A103)</f>
        <v/>
      </c>
      <c r="O101" s="66" t="str">
        <f>IF(A104="","",A104)</f>
        <v/>
      </c>
      <c r="P101" s="66" t="str">
        <f>IF(A105="","",A105)</f>
        <v/>
      </c>
    </row>
    <row r="102" spans="1:16" s="52" customFormat="1" ht="13.5" customHeight="1" x14ac:dyDescent="0.25">
      <c r="A102" s="54" t="str">
        <f>A114</f>
        <v>Jan 2022</v>
      </c>
      <c r="B102" s="1198" t="str">
        <f>IF(B58="","",B58)</f>
        <v/>
      </c>
      <c r="C102" s="1199"/>
      <c r="D102" s="181"/>
      <c r="E102" s="181"/>
      <c r="F102" s="87"/>
      <c r="G102" s="56">
        <f>IF(N91="",0,F102/N91/4.348)</f>
        <v>0</v>
      </c>
      <c r="H102" s="53">
        <f>IF(G102=0,0,M107)</f>
        <v>0</v>
      </c>
      <c r="K102" s="1146"/>
      <c r="L102" s="1146"/>
      <c r="M102" s="86"/>
      <c r="N102" s="86"/>
      <c r="O102" s="86"/>
      <c r="P102" s="86"/>
    </row>
    <row r="103" spans="1:16" s="52" customFormat="1" ht="13.5" customHeight="1" x14ac:dyDescent="0.25">
      <c r="A103" s="55"/>
      <c r="B103" s="1172" t="str">
        <f>IF(A103="","",B102)</f>
        <v/>
      </c>
      <c r="C103" s="1173"/>
      <c r="D103" s="181"/>
      <c r="E103" s="181"/>
      <c r="F103" s="87"/>
      <c r="G103" s="56">
        <f>IF(N91="",0,F103/N91/4.348)</f>
        <v>0</v>
      </c>
      <c r="H103" s="53">
        <f>IF(G103=0,0,N107)</f>
        <v>0</v>
      </c>
      <c r="K103" s="1146"/>
      <c r="L103" s="1146"/>
      <c r="M103" s="86"/>
      <c r="N103" s="86"/>
      <c r="O103" s="86"/>
      <c r="P103" s="86"/>
    </row>
    <row r="104" spans="1:16" s="52" customFormat="1" ht="13.5" customHeight="1" x14ac:dyDescent="0.25">
      <c r="A104" s="55"/>
      <c r="B104" s="1172" t="str">
        <f>IF(A104="","",B103)</f>
        <v/>
      </c>
      <c r="C104" s="1173"/>
      <c r="D104" s="181"/>
      <c r="E104" s="181"/>
      <c r="F104" s="87"/>
      <c r="G104" s="56">
        <f>IF(N91="",0,F104/N91/4.348)</f>
        <v>0</v>
      </c>
      <c r="H104" s="53">
        <f>IF(G104=0,0,O107)</f>
        <v>0</v>
      </c>
      <c r="K104" s="1146"/>
      <c r="L104" s="1146"/>
      <c r="M104" s="86"/>
      <c r="N104" s="86"/>
      <c r="O104" s="86"/>
      <c r="P104" s="86"/>
    </row>
    <row r="105" spans="1:16" s="52" customFormat="1" ht="13.5" customHeight="1" x14ac:dyDescent="0.25">
      <c r="A105" s="55"/>
      <c r="B105" s="1172" t="str">
        <f>IF(A105="","",B104)</f>
        <v/>
      </c>
      <c r="C105" s="1173"/>
      <c r="D105" s="181"/>
      <c r="E105" s="181"/>
      <c r="F105" s="87"/>
      <c r="G105" s="56">
        <f>IF(N91="",0,F105/N91/4.348)</f>
        <v>0</v>
      </c>
      <c r="H105" s="53">
        <f>IF(G105=0,0,P107)</f>
        <v>0</v>
      </c>
      <c r="K105" s="1146"/>
      <c r="L105" s="1146"/>
      <c r="M105" s="86"/>
      <c r="N105" s="86"/>
      <c r="O105" s="86"/>
      <c r="P105" s="86"/>
    </row>
    <row r="106" spans="1:16" s="52" customFormat="1" ht="13.5" customHeight="1" x14ac:dyDescent="0.25">
      <c r="B106" s="1167" t="s">
        <v>157</v>
      </c>
      <c r="C106" s="1167"/>
      <c r="E106" s="1167" t="s">
        <v>156</v>
      </c>
      <c r="F106" s="1167"/>
      <c r="J106" s="69"/>
      <c r="K106" s="1146"/>
      <c r="L106" s="1146"/>
      <c r="M106" s="86"/>
      <c r="N106" s="86"/>
      <c r="O106" s="86"/>
      <c r="P106" s="86"/>
    </row>
    <row r="107" spans="1:16" s="52" customFormat="1" ht="13.5" customHeight="1" x14ac:dyDescent="0.25">
      <c r="A107" s="70" t="s">
        <v>167</v>
      </c>
      <c r="B107" s="67"/>
      <c r="C107" s="99" t="str">
        <f>IF(C63="","",C63)</f>
        <v/>
      </c>
      <c r="D107" s="70" t="s">
        <v>167</v>
      </c>
      <c r="E107" s="67"/>
      <c r="F107" s="99" t="str">
        <f>IF(F63="","",F63)</f>
        <v/>
      </c>
      <c r="J107" s="68"/>
      <c r="M107" s="57">
        <f>SUM(M102:M106)</f>
        <v>0</v>
      </c>
      <c r="N107" s="57">
        <f t="shared" ref="N107:P107" si="11">SUM(N102:N106)</f>
        <v>0</v>
      </c>
      <c r="O107" s="57">
        <f t="shared" si="11"/>
        <v>0</v>
      </c>
      <c r="P107" s="57">
        <f t="shared" si="11"/>
        <v>0</v>
      </c>
    </row>
    <row r="108" spans="1:16" s="52" customFormat="1" ht="13.5" customHeight="1" x14ac:dyDescent="0.2">
      <c r="A108" s="60" t="s">
        <v>155</v>
      </c>
    </row>
    <row r="109" spans="1:16" ht="14.25" customHeight="1" x14ac:dyDescent="0.2">
      <c r="A109" s="1147"/>
      <c r="B109" s="1149" t="s">
        <v>9</v>
      </c>
      <c r="C109" s="1150"/>
      <c r="D109" s="1150"/>
      <c r="E109" s="1150"/>
      <c r="F109" s="1151"/>
      <c r="G109" s="1152" t="s">
        <v>119</v>
      </c>
      <c r="H109" s="1153"/>
      <c r="I109" s="1153"/>
      <c r="J109" s="1153"/>
      <c r="K109" s="1153"/>
      <c r="L109" s="1153"/>
      <c r="M109" s="1153"/>
      <c r="N109" s="135"/>
      <c r="O109" s="1202" t="s">
        <v>0</v>
      </c>
    </row>
    <row r="110" spans="1:16" ht="14.25" customHeight="1" x14ac:dyDescent="0.2">
      <c r="A110" s="1148"/>
      <c r="B110" s="1157" t="s">
        <v>117</v>
      </c>
      <c r="C110" s="130" t="s">
        <v>115</v>
      </c>
      <c r="D110" s="1161" t="s">
        <v>147</v>
      </c>
      <c r="E110" s="134" t="s">
        <v>7</v>
      </c>
      <c r="F110" s="1162" t="s">
        <v>6</v>
      </c>
      <c r="G110" s="1161" t="s">
        <v>129</v>
      </c>
      <c r="H110" s="1161" t="s">
        <v>5</v>
      </c>
      <c r="I110" s="1161" t="s">
        <v>4</v>
      </c>
      <c r="J110" s="1161" t="s">
        <v>3</v>
      </c>
      <c r="K110" s="1161" t="s">
        <v>121</v>
      </c>
      <c r="L110" s="1161" t="s">
        <v>122</v>
      </c>
      <c r="M110" s="1161" t="s">
        <v>123</v>
      </c>
      <c r="N110" s="134" t="s">
        <v>7</v>
      </c>
      <c r="O110" s="1161"/>
    </row>
    <row r="111" spans="1:16" ht="14.25" customHeight="1" x14ac:dyDescent="0.2">
      <c r="A111" s="1148"/>
      <c r="B111" s="1157"/>
      <c r="C111" s="21" t="str">
        <f>IF(C107="","",C107)</f>
        <v/>
      </c>
      <c r="D111" s="1161"/>
      <c r="E111" s="1165" t="str">
        <f>IF(G102=0,"","siehe Zuschläge / Zulagen")</f>
        <v/>
      </c>
      <c r="F111" s="1162"/>
      <c r="G111" s="1164" t="s">
        <v>127</v>
      </c>
      <c r="H111" s="1164"/>
      <c r="I111" s="1164"/>
      <c r="J111" s="1164"/>
      <c r="K111" s="1164"/>
      <c r="L111" s="1164"/>
      <c r="M111" s="1164"/>
      <c r="N111" s="1165" t="str">
        <f>IF(P102=0,"","siehe Zuschläge / Zulagen")</f>
        <v/>
      </c>
      <c r="O111" s="1161"/>
    </row>
    <row r="112" spans="1:16" x14ac:dyDescent="0.2">
      <c r="A112" s="1148"/>
      <c r="B112" s="1157"/>
      <c r="C112" s="128" t="s">
        <v>70</v>
      </c>
      <c r="D112" s="1161"/>
      <c r="E112" s="1165"/>
      <c r="F112" s="1162"/>
      <c r="G112" s="43" t="s">
        <v>128</v>
      </c>
      <c r="H112" s="43" t="s">
        <v>255</v>
      </c>
      <c r="I112" s="43" t="s">
        <v>256</v>
      </c>
      <c r="J112" s="43" t="s">
        <v>257</v>
      </c>
      <c r="K112" s="43"/>
      <c r="L112" s="43"/>
      <c r="M112" s="43" t="s">
        <v>254</v>
      </c>
      <c r="N112" s="1165"/>
      <c r="O112" s="1161"/>
    </row>
    <row r="113" spans="1:16" x14ac:dyDescent="0.2">
      <c r="A113" s="1148"/>
      <c r="B113" s="1158"/>
      <c r="C113" s="21" t="str">
        <f>IF(F107="","",F107)</f>
        <v/>
      </c>
      <c r="D113" s="51"/>
      <c r="E113" s="1166"/>
      <c r="F113" s="1163"/>
      <c r="G113" s="93"/>
      <c r="H113" s="139">
        <f>$H$25</f>
        <v>0</v>
      </c>
      <c r="I113" s="139">
        <f>$I$25</f>
        <v>0</v>
      </c>
      <c r="J113" s="44">
        <f>$J$25</f>
        <v>0</v>
      </c>
      <c r="K113" s="21"/>
      <c r="L113" s="21"/>
      <c r="M113" s="139">
        <f>$M$25</f>
        <v>0</v>
      </c>
      <c r="N113" s="1166"/>
      <c r="O113" s="1203"/>
    </row>
    <row r="114" spans="1:16" x14ac:dyDescent="0.2">
      <c r="A114" s="100" t="str">
        <f>$A$26</f>
        <v>Jan 2022</v>
      </c>
      <c r="B114" s="24">
        <f>ROUND(IF(N94=0,0,(LOOKUP(2,1/(A102:A105=A114),G102:G105))*N94*4.348),2)</f>
        <v>0</v>
      </c>
      <c r="C114" s="23">
        <f>ROUND(IFERROR(((LOOKUP(2,1/(B107=A114),((SUM(B120:B122)+SUM(E120:E122))/3)*C107))),0)+IFERROR(((LOOKUP(2,1/(E107=A114),(B126+E126)*F107))),0),2)</f>
        <v>0</v>
      </c>
      <c r="D114" s="23">
        <f>ROUND(IF(B114=0,0,D113/N91*N94),2)</f>
        <v>0</v>
      </c>
      <c r="E114" s="24">
        <f>ROUND(IF(N94=0,0,(LOOKUP(2,1/(A102:A105=A114),H102:H105))/N91*N94),2)</f>
        <v>0</v>
      </c>
      <c r="F114" s="27">
        <f>SUM(B114:E114)</f>
        <v>0</v>
      </c>
      <c r="G114" s="76">
        <f>ROUND(IF((SUM(B114:E114))&gt;K129,K129*G113,SUM(B114:E114)*G113),2)</f>
        <v>0</v>
      </c>
      <c r="H114" s="76">
        <f>ROUND(IF((SUM(B114:E114))&gt;K130,K130*H113,SUM(B114:E114)*H113),2)</f>
        <v>0</v>
      </c>
      <c r="I114" s="76">
        <f>ROUND(IF((SUM(B114:E114))&gt;K130,K130*I113,SUM(B114:E114)*I113),2)</f>
        <v>0</v>
      </c>
      <c r="J114" s="76">
        <f>ROUND(IF((SUM(B114:E114))&gt;K129,K129*J113,SUM(B114:E114)*J113),2)</f>
        <v>0</v>
      </c>
      <c r="K114" s="76">
        <f>ROUND(IF((SUM(B114:E114))&gt;K130,K130*K113,(SUM(B114:E114)-C114)*K113),2)</f>
        <v>0</v>
      </c>
      <c r="L114" s="76">
        <f>ROUND(IF((SUM(B114:E114))&gt;K130,K130*L113,(SUM(B114:E114)-C114)*L113),2)</f>
        <v>0</v>
      </c>
      <c r="M114" s="76">
        <f>ROUND(IF((SUM(B114:E114))&gt;K130,K130*M113,SUM(B114:E114)*M113),2)</f>
        <v>0</v>
      </c>
      <c r="N114" s="23"/>
      <c r="O114" s="27">
        <f>SUM(F114:N114)</f>
        <v>0</v>
      </c>
    </row>
    <row r="115" spans="1:16" x14ac:dyDescent="0.2">
      <c r="A115" s="100" t="str">
        <f>$A$27</f>
        <v>Feb 2022</v>
      </c>
      <c r="B115" s="24">
        <f>ROUND(IF(N95=0,0,IFERROR(((LOOKUP(2,1/(A102:A105=A115),G102:G105))*N95*4.348),B114/N95*N95)),2)</f>
        <v>0</v>
      </c>
      <c r="C115" s="23">
        <f>ROUND(IFERROR(((LOOKUP(2,1/(B107=A115),((SUM(B120:B122)+SUM(E120:E122))/3)*C107))),0)+IFERROR(((LOOKUP(2,1/(E107=A115),(B126+E126)*F107))),0),2)</f>
        <v>0</v>
      </c>
      <c r="D115" s="23">
        <f>ROUND(IF(B115=0,0,D113/N91*N95),2)</f>
        <v>0</v>
      </c>
      <c r="E115" s="24">
        <f>ROUND(IF(N95=0,0,IFERROR(((LOOKUP(2,1/(A102:A105=A115),H102:H105))/N91*N95),E114/N95*N95)),2)</f>
        <v>0</v>
      </c>
      <c r="F115" s="27">
        <f t="shared" ref="F115:F125" si="12">SUM(B115:E115)</f>
        <v>0</v>
      </c>
      <c r="G115" s="76">
        <f>ROUND(IF(SUM(B114:E114)&lt;(K129*1),IF((SUM(B114:E115))&gt;(K129*2),(((K129*2)-(SUM(B114:E115)-C114))*G113)+((SUM(B115:E115)-C114)*G113),SUM(B115:E115)*G113),IF(SUM(B114:E115)&gt;(K129*2),K129*G113,SUM(B115:E115)*G113)),2)</f>
        <v>0</v>
      </c>
      <c r="H115" s="76">
        <f>ROUND(IF(SUM(B114:E114)&lt;(K130*1),IF((SUM(B114:E115))&gt;(K130*2),(((K130*2)-(SUM(B114:E115)-C114))*H113)+((SUM(B115:E115)-C114)*H113),SUM(B115:E115)*H113),IF(SUM(B114:E115)&gt;(K130*2),K130*H113,SUM(B115:E115)*H113)),2)</f>
        <v>0</v>
      </c>
      <c r="I115" s="76">
        <f>ROUND(IF(SUM(B114:E114)&lt;(K130*1),IF((SUM(B114:E115))&gt;(K130*2),(((K130*2)-(SUM(B114:E115)-C114))*I113)+((SUM(B115:E115)-C114)*I113),SUM(B115:E115)*I113),IF(SUM(B114:E115)&gt;(K130*2),K130*I113,SUM(B115:E115)*I113)),2)</f>
        <v>0</v>
      </c>
      <c r="J115" s="76">
        <f>ROUND(IF(SUM(B114:E114)&lt;(K129*1),IF((SUM(B114:E115))&gt;(K129*2),(((K129*2)-(SUM(B114:E115)-C114))*J113)+((SUM(B115:E115)-C114)*J113),SUM(B115:E115)*J113),IF(SUM(B114:E115)&gt;(K129*2),K129*J113,SUM(B115:E115)*J113)),2)</f>
        <v>0</v>
      </c>
      <c r="K115" s="76">
        <f>ROUND(IF(SUM(B114:E114)&lt;(K130*1),IF((SUM(B114:E115))&gt;(K130*2),(((K130*2)-(SUM(B114:E115)-C115))*K113)+((SUM(B115:E115)-C115)*K113),(SUM(B115:E115)-C115)*K113),IF(SUM(B114:E115)&gt;(K130*2),K130*K113,SUM(B115:E115)*K113)),2)</f>
        <v>0</v>
      </c>
      <c r="L115" s="76">
        <f>ROUND(IF(SUM(B114:E114)&lt;(K130*1),IF((SUM(B114:E115))&gt;(K130*2),(((K130*2)-(SUM(B114:E115)-C115))*L113)+((SUM(B115:E115)-C115)*L113),(SUM(B115:E115)-C115)*L113),IF(SUM(B114:E115)&gt;(K130*2),K130*L113,SUM(B115:E115)*L113)),2)</f>
        <v>0</v>
      </c>
      <c r="M115" s="76">
        <f>ROUND(IF(SUM(B114:E114)&lt;(K130*1),IF((SUM(B114:E115))&gt;(K130*2),(((K130*2)-(SUM(B114:E115)-C114))*M113)+((SUM(B115:E115)-C114)*M113),SUM(B115:E115)*M113),IF(SUM(B114:E115)&gt;(K130*2),K130*M113,SUM(B115:E115)*M113)),2)</f>
        <v>0</v>
      </c>
      <c r="N115" s="23"/>
      <c r="O115" s="27">
        <f t="shared" ref="O115:O124" si="13">SUM(F115:N115)</f>
        <v>0</v>
      </c>
    </row>
    <row r="116" spans="1:16" x14ac:dyDescent="0.2">
      <c r="A116" s="100" t="str">
        <f>$A$28</f>
        <v>Mrz 2022</v>
      </c>
      <c r="B116" s="24">
        <f>ROUND(IF(N96=0,0,IFERROR(((LOOKUP(2,1/(A102:A105=A116),G102:G105))*N96*4.348),B115/N96*N96)),2)</f>
        <v>0</v>
      </c>
      <c r="C116" s="23">
        <f>ROUND(IFERROR(((LOOKUP(2,1/(B107=A116),((SUM(B120:B122)+SUM(E120:E122))/3)*C107))),0)+IFERROR(((LOOKUP(2,1/(E107=A116),(B126+E126)*F107))),0),2)</f>
        <v>0</v>
      </c>
      <c r="D116" s="23">
        <f>ROUND(IF(B116=0,0,D113/N91*N96),2)</f>
        <v>0</v>
      </c>
      <c r="E116" s="24">
        <f>ROUND(IF(N96=0,0,IFERROR(((LOOKUP(2,1/(A102:A105=A116),H102:H105))/N91*N96),E115/N96*N96)),2)</f>
        <v>0</v>
      </c>
      <c r="F116" s="27">
        <f t="shared" si="12"/>
        <v>0</v>
      </c>
      <c r="G116" s="76">
        <f>ROUND(IF(SUM(B114:E115)&lt;(K129*2),IF((SUM(B114:E116))&gt;(K129*3),(((K129*3)-(SUM(B114:E116)-C115))*G113)+((SUM(B116:E116)-C115)*G113),SUM(B116:E116)*G113),IF(SUM(B114:E116)&gt;(K129*3),K129*G113,SUM(B116:E116)*G113)),2)</f>
        <v>0</v>
      </c>
      <c r="H116" s="76">
        <f>ROUND(IF(SUM(B114:E115)&lt;(K130*2),IF((SUM(B114:E116))&gt;(K130*3),(((K130*3)-(SUM(B114:E116)-C115))*H113)+((SUM(B116:E116)-C115)*H113),SUM(B116:E116)*H113),IF(SUM(B114:E116)&gt;(K130*3),K130*H113,SUM(B116:E116)*H113)),2)</f>
        <v>0</v>
      </c>
      <c r="I116" s="76">
        <f>ROUND(IF(SUM(B114:E115)&lt;(K130*2),IF((SUM(B114:E116))&gt;(K130*3),(((K130*3)-(SUM(B114:E116)-C115))*I113)+((SUM(B116:E116)-C115)*I113),SUM(B116:E116)*I113),IF(SUM(B114:E116)&gt;(K130*3),K130*I113,SUM(B116:E116)*I113)),2)</f>
        <v>0</v>
      </c>
      <c r="J116" s="76">
        <f>ROUND(IF(SUM(B114:E115)&lt;(K129*2),IF((SUM(B114:E116))&gt;(K129*3),(((K129*3)-(SUM(B114:E116)-C115))*J113)+((SUM(B116:E116)-C115)*J113),SUM(B116:E116)*J113),IF(SUM(B114:E116)&gt;(K129*3),K129*J113,SUM(B116:E116)*J113)),2)</f>
        <v>0</v>
      </c>
      <c r="K116" s="76">
        <f>ROUND(IF(SUM(B114:E115)&lt;(K130*2),IF((SUM(B114:E116))&gt;(K130*3),(((K130*3)-(SUM(B114:E116)-C116))*K113)+((SUM(B116:E116)-C116)*K113),(SUM(B116:E116)-C116)*K113),IF(SUM(B114:E116)&gt;(K130*3),K130*K113,SUM(B116:E116)*K113)),2)</f>
        <v>0</v>
      </c>
      <c r="L116" s="76">
        <f>ROUND(IF(SUM(B114:E115)&lt;(K130*2),IF((SUM(B114:E116))&gt;(K130*3),(((K130*3)-(SUM(B114:E116)-C116))*L113)+((SUM(B116:E116)-C116)*L113),(SUM(B116:E116)-C116)*L113),IF(SUM(B114:E116)&gt;(K130*3),K130*L113,SUM(B116:E116)*L113)),2)</f>
        <v>0</v>
      </c>
      <c r="M116" s="76">
        <f>ROUND(IF(SUM(B114:E115)&lt;(K130*2),IF((SUM(B114:E116))&gt;(K130*3),(((K130*3)-(SUM(B114:E116)-C115))*M113)+((SUM(B116:E116)-C115)*M113),SUM(B116:E116)*M113),IF(SUM(B114:E116)&gt;(K130*3),K130*M113,SUM(B116:E116)*M113)),2)</f>
        <v>0</v>
      </c>
      <c r="N116" s="23"/>
      <c r="O116" s="27">
        <f t="shared" si="13"/>
        <v>0</v>
      </c>
    </row>
    <row r="117" spans="1:16" x14ac:dyDescent="0.2">
      <c r="A117" s="100" t="str">
        <f>$A$29</f>
        <v>Apr 2022</v>
      </c>
      <c r="B117" s="24">
        <f>ROUND(IF(N97=0,0,IFERROR(((LOOKUP(2,1/(A102:A105=A117),G102:G105))*N97*4.348),B116/N97*N97)),2)</f>
        <v>0</v>
      </c>
      <c r="C117" s="23">
        <f>ROUND(IFERROR(((LOOKUP(2,1/(B107=A117),((SUM(B120:B122)+SUM(E120:E122))/3)*C107))),0)+IFERROR(((LOOKUP(2,1/(E107=A117),(B126+E126)*F107))),0),2)</f>
        <v>0</v>
      </c>
      <c r="D117" s="23">
        <f>ROUND(IF(B117=0,0,D113/N91*N97),2)</f>
        <v>0</v>
      </c>
      <c r="E117" s="24">
        <f>ROUND(IF(N97=0,0,IFERROR(((LOOKUP(2,1/(A102:A105=A117),H102:H105))/N91*N97),E116/N97*N97)),2)</f>
        <v>0</v>
      </c>
      <c r="F117" s="27">
        <f t="shared" si="12"/>
        <v>0</v>
      </c>
      <c r="G117" s="76">
        <f>ROUND(IF(SUM(B114:E116)&lt;(K129*3),IF((SUM(B114:E117))&gt;(K129*4),(((K129*4)-(SUM(B114:E117)-C116))*G113)+((SUM(B117:E117)-C116)*G113),SUM(B117:E117)*G113),IF(SUM(B114:E117)&gt;(K129*4),K129*G113,SUM(B117:E117)*G113)),2)</f>
        <v>0</v>
      </c>
      <c r="H117" s="76">
        <f>ROUND(IF(SUM(B114:E116)&lt;(K130*3),IF((SUM(B114:E117))&gt;(K130*4),(((K130*4)-(SUM(B114:E117)-C116))*H113)+((SUM(B117:E117)-C116)*H113),SUM(B117:E117)*H113),IF(SUM(B114:E117)&gt;(K130*4),K130*H113,SUM(B117:E117)*H113)),2)</f>
        <v>0</v>
      </c>
      <c r="I117" s="76">
        <f>ROUND(IF(SUM(B114:E116)&lt;(K130*3),IF((SUM(B114:E117))&gt;(K130*4),(((K130*4)-(SUM(B114:E117)-C116))*I113)+((SUM(B117:E117)-C116)*I113),SUM(B117:E117)*I113),IF(SUM(B114:E117)&gt;(K130*4),K130*I113,SUM(B117:E117)*I113)),2)</f>
        <v>0</v>
      </c>
      <c r="J117" s="76">
        <f>ROUND(IF(SUM(B114:E116)&lt;(K129*3),IF((SUM(B114:E117))&gt;(K129*4),(((K129*4)-(SUM(B114:E117)-C116))*J113)+((SUM(B117:E117)-C116)*J113),SUM(B117:E117)*J113),IF(SUM(B114:E117)&gt;(K129*4),K129*J113,SUM(B117:E117)*J113)),2)</f>
        <v>0</v>
      </c>
      <c r="K117" s="76">
        <f>ROUND(IF(SUM(B114:E116)&lt;(K130*3),IF((SUM(B114:E117))&gt;(K130*4),(((K130*4)-(SUM(B114:E117)-C117))*K113)+((SUM(B117:E117)-C117)*K113),(SUM(B117:E117)-C117)*K113),IF(SUM(B114:E117)&gt;(K130*4),K130*K113,SUM(B117:E117)*K113)),2)</f>
        <v>0</v>
      </c>
      <c r="L117" s="76">
        <f>ROUND(IF(SUM(B114:E116)&lt;(K130*3),IF((SUM(B114:E117))&gt;(K130*4),(((K130*4)-(SUM(B114:E117)-C117))*L113)+((SUM(B117:E117)-C117)*L113),(SUM(B117:E117)-C117)*L113),IF(SUM(B114:E117)&gt;(K130*4),K130*L113,SUM(B117:E117)*L113)),2)</f>
        <v>0</v>
      </c>
      <c r="M117" s="76">
        <f>ROUND(IF(SUM(B114:E116)&lt;(K130*3),IF((SUM(B114:E117))&gt;(K130*4),(((K130*4)-(SUM(B114:E117)-C116))*M113)+((SUM(B117:E117)-C116)*M113),SUM(B117:E117)*M113),IF(SUM(B114:E117)&gt;(K130*4),K130*M113,SUM(B117:E117)*M113)),2)</f>
        <v>0</v>
      </c>
      <c r="N117" s="23"/>
      <c r="O117" s="27">
        <f t="shared" si="13"/>
        <v>0</v>
      </c>
    </row>
    <row r="118" spans="1:16" x14ac:dyDescent="0.2">
      <c r="A118" s="100" t="str">
        <f>$A$30</f>
        <v>Mai 2022</v>
      </c>
      <c r="B118" s="24">
        <f>ROUND(IF(N98=0,0,IFERROR(((LOOKUP(2,1/(A102:A105=A118),G102:G105))*N98*4.348),B117/N98*N98)),2)</f>
        <v>0</v>
      </c>
      <c r="C118" s="23">
        <f>ROUND(IFERROR(((LOOKUP(2,1/(B107=A118),((SUM(B120:B122)+SUM(E120:E122))/3)*C107))),0)+IFERROR(((LOOKUP(2,1/(E107=A118),(B126+E126)*F107))),0),2)</f>
        <v>0</v>
      </c>
      <c r="D118" s="23">
        <f>ROUND(IF(B118=0,0,D113/N91*N98),2)</f>
        <v>0</v>
      </c>
      <c r="E118" s="24">
        <f>ROUND(IF(N98=0,0,IFERROR(((LOOKUP(2,1/(A102:A105=A118),H102:H105))/N91*N98),E117/N98*N98)),2)</f>
        <v>0</v>
      </c>
      <c r="F118" s="27">
        <f t="shared" si="12"/>
        <v>0</v>
      </c>
      <c r="G118" s="76">
        <f>ROUND(IF(SUM(B114:E117)&lt;(K129*4),IF((SUM(B114:E118))&gt;(K129*5),(((K129*5)-(SUM(B114:E118)-C117))*G113)+((SUM(B118:E118)-C117)*G113),SUM(B118:E118)*G113),IF(SUM(B114:E118)&gt;(K129*5),K129*G113,SUM(B118:E118)*G113)),2)</f>
        <v>0</v>
      </c>
      <c r="H118" s="76">
        <f>ROUND(IF(SUM(B114:E117)&lt;(K130*4),IF((SUM(B114:E118))&gt;(K130*5),(((K130*5)-(SUM(B114:E118)-C117))*H113)+((SUM(B118:E118)-C117)*H113),SUM(B118:E118)*H113),IF(SUM(B114:E118)&gt;(K130*5),K130*H113,SUM(B118:E118)*H113)),2)</f>
        <v>0</v>
      </c>
      <c r="I118" s="76">
        <f>ROUND(IF(SUM(B114:E117)&lt;(K130*4),IF((SUM(B114:E118))&gt;(K130*5),(((K130*5)-(SUM(B114:E118)-C117))*I113)+((SUM(B118:E118)-C117)*I113),SUM(B118:E118)*I113),IF(SUM(B114:E118)&gt;(K130*5),K130*I113,SUM(B118:E118)*I113)),2)</f>
        <v>0</v>
      </c>
      <c r="J118" s="76">
        <f>ROUND(IF(SUM(B114:E117)&lt;(K129*4),IF((SUM(B114:E118))&gt;(K129*5),(((K129*5)-(SUM(B114:E118)-C117))*J113)+((SUM(B118:E118)-C117)*J113),SUM(B118:E118)*J113),IF(SUM(B114:E118)&gt;(K129*5),K129*J113,SUM(B118:E118)*J113)),2)</f>
        <v>0</v>
      </c>
      <c r="K118" s="76">
        <f>ROUND(IF(SUM(B114:E117)&lt;(K130*4),IF((SUM(B114:E118))&gt;(K130*5),(((K130*5)-(SUM(B114:E118)-C118))*K113)+((SUM(B118:E118)-C118)*K113),(SUM(B118:E118)-C118)*K113),IF(SUM(B114:E118)&gt;(K130*5),K130*K113,SUM(B118:E118)*K113)),2)</f>
        <v>0</v>
      </c>
      <c r="L118" s="76">
        <f>ROUND(IF(SUM(B114:E117)&lt;(K130*4),IF((SUM(B114:E118))&gt;(K130*5),(((K130*5)-(SUM(B114:E118)-C118))*L113)+((SUM(B118:E118)-C118)*L113),(SUM(B118:E118)-C118)*L113),IF(SUM(B114:E118)&gt;(K130*5),K130*L113,SUM(B118:E118)*L113)),2)</f>
        <v>0</v>
      </c>
      <c r="M118" s="76">
        <f>ROUND(IF(SUM(B114:E117)&lt;(K130*4),IF((SUM(B114:E118))&gt;(K130*5),(((K130*5)-(SUM(B114:E118)-C117))*M113)+((SUM(B118:E118)-C117)*M113),SUM(B118:E118)*M113),IF(SUM(B114:E118)&gt;(K130*5),K130*M113,SUM(B118:E118)*M113)),2)</f>
        <v>0</v>
      </c>
      <c r="N118" s="23"/>
      <c r="O118" s="27">
        <f t="shared" si="13"/>
        <v>0</v>
      </c>
    </row>
    <row r="119" spans="1:16" x14ac:dyDescent="0.2">
      <c r="A119" s="100" t="str">
        <f>$A$31</f>
        <v>Jun 2022</v>
      </c>
      <c r="B119" s="24">
        <f>ROUND(IF(N99=0,0,IFERROR(((LOOKUP(2,1/(A102:A105=A119),G102:G105))*N99*4.348),B118/N99*N99)),2)</f>
        <v>0</v>
      </c>
      <c r="C119" s="23">
        <f>ROUND(IFERROR(((LOOKUP(2,1/(B107=A119),((SUM(B120:B122)+SUM(E120:E122))/3)*C107))),0)+IFERROR(((LOOKUP(2,1/(E107=A119),(B126+E126)*F107))),0),2)</f>
        <v>0</v>
      </c>
      <c r="D119" s="23">
        <f>ROUND(IF(B119=0,0,D113/N91*N99),2)</f>
        <v>0</v>
      </c>
      <c r="E119" s="24">
        <f>ROUND(IF(N99=0,0,IFERROR(((LOOKUP(2,1/(A102:A105=A119),H102:H105))/N91*N99),E118/N99*N99)),2)</f>
        <v>0</v>
      </c>
      <c r="F119" s="27">
        <f t="shared" si="12"/>
        <v>0</v>
      </c>
      <c r="G119" s="76">
        <f>ROUND(IF(SUM(B114:E118)&lt;(K129*5),IF((SUM(B114:E119))&gt;(K129*6),(((K129*6)-(SUM(B114:E119)-C118))*G113)+((SUM(B119:E119)-C118)*G113),SUM(B119:E119)*G113),IF(SUM(B114:E119)&gt;(K129*6),K129*G113,SUM(B119:E119)*G113)),2)</f>
        <v>0</v>
      </c>
      <c r="H119" s="76">
        <f>ROUND(IF(SUM(B114:E118)&lt;(K130*5),IF((SUM(B114:E119))&gt;(K130*6),(((K130*6)-(SUM(B114:E119)-C118))*H113)+((SUM(B119:E119)-C118)*H113),SUM(B119:E119)*H113),IF(SUM(B114:E119)&gt;(K130*6),K130*H113,SUM(B119:E119)*H113)),2)</f>
        <v>0</v>
      </c>
      <c r="I119" s="76">
        <f>ROUND(IF(SUM(B114:E118)&lt;(K130*5),IF((SUM(B114:E119))&gt;(K130*6),(((K130*6)-(SUM(B114:E119)-C118))*I113)+((SUM(B119:E119)-C118)*I113),SUM(B119:E119)*I113),IF(SUM(B114:E119)&gt;(K130*6),K130*I113,SUM(B119:E119)*I113)),2)</f>
        <v>0</v>
      </c>
      <c r="J119" s="76">
        <f>ROUND(IF(SUM(B114:E118)&lt;(K129*5),IF((SUM(B114:E119))&gt;(K129*6),(((K129*6)-(SUM(B114:E119)-C118))*J113)+((SUM(B119:E119)-C118)*J113),SUM(B119:E119)*J113),IF(SUM(B114:E119)&gt;(K129*6),K129*J113,SUM(B119:E119)*J113)),2)</f>
        <v>0</v>
      </c>
      <c r="K119" s="76">
        <f>ROUND(IF(SUM(B114:E118)&lt;(K130*5),IF((SUM(B114:E119))&gt;(K130*6),(((K130*6)-(SUM(B114:E119)-C119))*K113)+((SUM(B119:E119)-C119)*K113),(SUM(B119:E119)-C119)*K113),IF(SUM(B114:E119)&gt;(K130*6),K130*K113,SUM(B119:E119)*K113)),2)</f>
        <v>0</v>
      </c>
      <c r="L119" s="76">
        <f>ROUND(IF(SUM(B114:E118)&lt;(K130*5),IF((SUM(B114:E119))&gt;(K130*6),(((K130*6)-(SUM(B114:E119)-C119))*L113)+((SUM(B119:E119)-C119)*L113),(SUM(B119:E119)-C119)*L113),IF(SUM(B114:E119)&gt;(K130*6),K130*L113,SUM(B119:E119)*L113)),2)</f>
        <v>0</v>
      </c>
      <c r="M119" s="76">
        <f>ROUND(IF(SUM(B114:E118)&lt;(K130*5),IF((SUM(B114:E119))&gt;(K130*6),(((K130*6)-(SUM(B114:E119)-C118))*M113)+((SUM(B119:E119)-C118)*M113),SUM(B119:E119)*M113),IF(SUM(B114:E119)&gt;(K130*6),K130*M113,SUM(B119:E119)*M113)),2)</f>
        <v>0</v>
      </c>
      <c r="N119" s="23"/>
      <c r="O119" s="27">
        <f t="shared" si="13"/>
        <v>0</v>
      </c>
    </row>
    <row r="120" spans="1:16" x14ac:dyDescent="0.2">
      <c r="A120" s="100" t="str">
        <f>$A$32</f>
        <v>Jul 2022</v>
      </c>
      <c r="B120" s="24">
        <f>ROUND(IF(P94=0,0,IFERROR(((LOOKUP(2,1/(A102:A105=A120),G102:G105))*P94*4.348),B119/P94*P94)),2)</f>
        <v>0</v>
      </c>
      <c r="C120" s="23">
        <f>ROUND(IFERROR(((LOOKUP(2,1/(B107=A120),((SUM(B120:B122)+SUM(E120:E122))/3)*C107))),0)+IFERROR(((LOOKUP(2,1/(E107=A120),(B126+E126)*F107))),0),2)</f>
        <v>0</v>
      </c>
      <c r="D120" s="23">
        <f>ROUND(IF(B120=0,0,D113/N91*P94),2)</f>
        <v>0</v>
      </c>
      <c r="E120" s="24">
        <f>ROUND(IF(P94=0,0,IFERROR(((LOOKUP(2,1/(A102:A105=A120),H102:H105))/N91*P94),E119/P94*P94)),2)</f>
        <v>0</v>
      </c>
      <c r="F120" s="27">
        <f t="shared" si="12"/>
        <v>0</v>
      </c>
      <c r="G120" s="76">
        <f>ROUND(IF(SUM(B114:E119)&lt;(K129*6),IF((SUM(B114:E120))&gt;(K129*7),(((K129*7)-(SUM(B114:E120)-C119))*G113)+((SUM(B120:E120)-C119)*G113),SUM(B120:E120)*G113),IF(SUM(B114:E120)&gt;(K129*7),K129*G113,SUM(B120:E120)*G113)),2)</f>
        <v>0</v>
      </c>
      <c r="H120" s="76">
        <f>ROUND(IF(SUM(B114:E119)&lt;(K130*6),IF((SUM(B114:E120))&gt;(K130*7),(((K130*7)-(SUM(B114:E120)-C119))*H113)+((SUM(B120:E120)-C119)*H113),SUM(B120:E120)*H113),IF(SUM(B114:E120)&gt;(K130*7),K130*H113,SUM(B120:E120)*H113)),2)</f>
        <v>0</v>
      </c>
      <c r="I120" s="76">
        <f>ROUND(IF(SUM(B114:E119)&lt;(K130*6),IF((SUM(B114:E120))&gt;(K130*7),(((K130*7)-(SUM(B114:E120)-C119))*I113)+((SUM(B120:E120)-C119)*I113),SUM(B120:E120)*I113),IF(SUM(B114:E120)&gt;(K130*7),K130*I113,SUM(B120:E120)*I113)),2)</f>
        <v>0</v>
      </c>
      <c r="J120" s="76">
        <f>ROUND(IF(SUM(B114:E119)&lt;(K129*6),IF((SUM(B114:E120))&gt;(K129*7),(((K129*7)-(SUM(B114:E120)-C119))*J113)+((SUM(B120:E120)-C119)*J113),SUM(B120:E120)*J113),IF(SUM(B114:E120)&gt;(K129*7),K129*J113,SUM(B120:E120)*J113)),2)</f>
        <v>0</v>
      </c>
      <c r="K120" s="76">
        <f>ROUND(IF(SUM(B114:E119)&lt;(K130*6),IF((SUM(B114:E120))&gt;(K130*7),(((K130*7)-(SUM(B114:E120)-C120))*K113)+((SUM(B120:E120)-C120)*K113),(SUM(B120:E120)-C120)*K113),IF(SUM(B114:E120)&gt;(K130*7),K130*K113,SUM(B120:E120)*K113)),2)</f>
        <v>0</v>
      </c>
      <c r="L120" s="76">
        <f>ROUND(IF(SUM(B114:E119)&lt;(K130*6),IF((SUM(B114:E120))&gt;(K130*7),(((K130*7)-(SUM(B114:E120)-C120))*L113)+((SUM(B120:E120)-C120)*L113),(SUM(B120:E120)-C120)*L113),IF(SUM(B114:E120)&gt;(K130*7),K130*L113,SUM(B120:E120)*L113)),2)</f>
        <v>0</v>
      </c>
      <c r="M120" s="76">
        <f>ROUND(IF(SUM(B114:E119)&lt;(K130*6),IF((SUM(B114:E120))&gt;(K130*7),(((K130*7)-(SUM(B114:E120)-C119))*M113)+((SUM(B120:E120)-C119)*M113),SUM(B120:E120)*M113),IF(SUM(B114:E120)&gt;(K130*7),K130*M113,SUM(B120:E120)*M113)),2)</f>
        <v>0</v>
      </c>
      <c r="N120" s="23"/>
      <c r="O120" s="27">
        <f t="shared" si="13"/>
        <v>0</v>
      </c>
    </row>
    <row r="121" spans="1:16" x14ac:dyDescent="0.2">
      <c r="A121" s="100" t="str">
        <f>$A$33</f>
        <v>Aug 2022</v>
      </c>
      <c r="B121" s="24">
        <f>ROUND(IF(P95=0,0,IFERROR(((LOOKUP(2,1/(A102:A105=A121),G102:G105))*P95*4.348),B120/P95*P95)),2)</f>
        <v>0</v>
      </c>
      <c r="C121" s="23">
        <f>ROUND(IFERROR(((LOOKUP(2,1/(B107=A121),((SUM(B120:B122)+SUM(E120:E122))/3)*C107))),0)+IFERROR(((LOOKUP(2,1/(E107=A121),(B126+E126)*F107))),0),2)</f>
        <v>0</v>
      </c>
      <c r="D121" s="23">
        <f>ROUND(IF(B121=0,0,D113/N91*P95),2)</f>
        <v>0</v>
      </c>
      <c r="E121" s="24">
        <f>ROUND(IF(P95=0,0,IFERROR(((LOOKUP(2,1/(A102:A105=A121),H102:H105))/N91*P95),E120/P95*P95)),2)</f>
        <v>0</v>
      </c>
      <c r="F121" s="27">
        <f t="shared" si="12"/>
        <v>0</v>
      </c>
      <c r="G121" s="76">
        <f>ROUND(IF(SUM(B114:E120)&lt;(K129*7),IF((SUM(B114:E121))&gt;(K129*8),(((K129*8)-(SUM(B114:E121)-C120))*G113)+((SUM(B121:E121)-C120)*G113),SUM(B121:E121)*G113),IF(SUM(B114:E121)&gt;(K129*8),K129*G113,SUM(B121:E121)*G113)),2)</f>
        <v>0</v>
      </c>
      <c r="H121" s="76">
        <f>ROUND(IF(SUM(B114:E120)&lt;(K130*7),IF((SUM(B114:E121))&gt;(K130*8),(((K130*8)-(SUM(B114:E121)-C120))*H113)+((SUM(B121:E121)-C120)*H113),SUM(B121:E121)*H113),IF(SUM(B114:E121)&gt;(K130*8),K130*H113,SUM(B121:E121)*H113)),2)</f>
        <v>0</v>
      </c>
      <c r="I121" s="76">
        <f>ROUND(IF(SUM(B114:E120)&lt;(K130*7),IF((SUM(B114:E121))&gt;(K130*8),(((K130*8)-(SUM(B114:E121)-C120))*I113)+((SUM(B121:E121)-C120)*I113),SUM(B121:E121)*I113),IF(SUM(B114:E121)&gt;(K130*8),K130*I113,SUM(B121:E121)*I113)),2)</f>
        <v>0</v>
      </c>
      <c r="J121" s="76">
        <f>ROUND(IF(SUM(B114:E120)&lt;(K129*7),IF((SUM(B114:E121))&gt;(K129*8),(((K129*8)-(SUM(B114:E121)-C120))*J113)+((SUM(B121:E121)-C120)*J113),SUM(B121:E121)*J113),IF(SUM(B114:E121)&gt;(K129*8),K129*J113,SUM(B121:E121)*J113)),2)</f>
        <v>0</v>
      </c>
      <c r="K121" s="76">
        <f>ROUND(IF(SUM(B114:E120)&lt;(K130*7),IF((SUM(B114:E121))&gt;(K130*8),(((K130*8)-(SUM(B114:E121)-C121))*K113)+((SUM(B121:E121)-C121)*K113),(SUM(B121:E121)-C121)*K113),IF(SUM(B114:E121)&gt;(K130*8),K130*K113,SUM(B121:E121)*K113)),2)</f>
        <v>0</v>
      </c>
      <c r="L121" s="76">
        <f>ROUND(IF(SUM(B114:E120)&lt;(K130*7),IF((SUM(B114:E121))&gt;(K130*8),(((K130*8)-(SUM(B114:E121)-C121))*L113)+((SUM(B121:E121)-C121)*L113),(SUM(B121:E121)-C121)*L113),IF(SUM(B114:E121)&gt;(K130*8),K130*L113,SUM(B121:E121)*L113)),2)</f>
        <v>0</v>
      </c>
      <c r="M121" s="76">
        <f>ROUND(IF(SUM(B114:E120)&lt;(K130*7),IF((SUM(B114:E121))&gt;(K130*8),(((K130*8)-(SUM(B114:E121)-C120))*M113)+((SUM(B121:E121)-C120)*M113),SUM(B121:E121)*M113),IF(SUM(B114:E121)&gt;(K130*8),K130*M113,SUM(B121:E121)*M113)),2)</f>
        <v>0</v>
      </c>
      <c r="N121" s="23"/>
      <c r="O121" s="27">
        <f t="shared" si="13"/>
        <v>0</v>
      </c>
    </row>
    <row r="122" spans="1:16" x14ac:dyDescent="0.2">
      <c r="A122" s="100" t="str">
        <f>$A$34</f>
        <v>Sep 2022</v>
      </c>
      <c r="B122" s="24">
        <f>ROUND(IF(P96=0,0,IFERROR(((LOOKUP(2,1/(A102:A105=A122),G102:G105))*P96*4.348),B121/P96*P96)),2)</f>
        <v>0</v>
      </c>
      <c r="C122" s="23">
        <f>ROUND(IFERROR(((LOOKUP(2,1/(B107=A122),((SUM(B120:B122)+SUM(E120:E122))/3)*C107))),0)+IFERROR(((LOOKUP(2,1/(E107=A122),(B126+E126)*F107))),0),2)</f>
        <v>0</v>
      </c>
      <c r="D122" s="23">
        <f>ROUND(IF(B122=0,0,D113/N91*P96),2)</f>
        <v>0</v>
      </c>
      <c r="E122" s="24">
        <f>ROUND(IF(P96=0,0,IFERROR(((LOOKUP(2,1/(A102:A105=A122),H102:H105))/N91*P96),E121/P96*P96)),2)</f>
        <v>0</v>
      </c>
      <c r="F122" s="27">
        <f t="shared" si="12"/>
        <v>0</v>
      </c>
      <c r="G122" s="76">
        <f>ROUND(IF(SUM(B114:E121)&lt;(K129*8),IF((SUM(B114:E122))&gt;(K129*9),(((K129*9)-(SUM(B114:E122)-C121))*G113)+((SUM(B122:E122)-C121)*G113),SUM(B122:E122)*G113),IF(SUM(B114:E122)&gt;(K129*9),K129*G113,SUM(B122:E122)*G113)),2)</f>
        <v>0</v>
      </c>
      <c r="H122" s="76">
        <f>ROUND(IF(SUM(B114:E121)&lt;(K130*8),IF((SUM(B114:E122))&gt;(K130*9),(((K130*9)-(SUM(B114:E122)-C121))*H113)+((SUM(B122:E122)-C121)*H113),SUM(B122:E122)*H113),IF(SUM(B114:E122)&gt;(K130*9),K130*H113,SUM(B122:E122)*H113)),2)</f>
        <v>0</v>
      </c>
      <c r="I122" s="76">
        <f>ROUND(IF(SUM(B114:E121)&lt;(K130*8),IF((SUM(B114:E122))&gt;(K130*9),(((K130*9)-(SUM(B114:E122)-C121))*I113)+((SUM(B122:E122)-C121)*I113),SUM(B122:E122)*I113),IF(SUM(B114:E122)&gt;(K130*9),K130*I113,SUM(B122:E122)*I113)),2)</f>
        <v>0</v>
      </c>
      <c r="J122" s="76">
        <f>ROUND(IF(SUM(B114:E121)&lt;(K129*8),IF((SUM(B114:E122))&gt;(K129*9),(((K129*9)-(SUM(B114:E122)-C121))*J113)+((SUM(B122:E122)-C121)*J113),SUM(B122:E122)*J113),IF(SUM(B114:E122)&gt;(K129*9),K129*J113,SUM(B122:E122)*J113)),2)</f>
        <v>0</v>
      </c>
      <c r="K122" s="76">
        <f>ROUND(IF(SUM(B114:E121)&lt;(K130*8),IF((SUM(B114:E122))&gt;(K130*9),(((K130*9)-(SUM(B114:E122)-C122))*K113)+((SUM(B122:E122)-C122)*K113),(SUM(B122:E122)-C122)*K113),IF(SUM(B114:E122)&gt;(K130*9),K130*K113,SUM(B122:E122)*K113)),2)</f>
        <v>0</v>
      </c>
      <c r="L122" s="76">
        <f>ROUND(IF(SUM(B114:E121)&lt;(K130*8),IF((SUM(B114:E122))&gt;(K130*9),(((K130*9)-(SUM(B114:E122)-C122))*L113)+((SUM(B122:E122)-C122)*L113),(SUM(B122:E122)-C122)*L113),IF(SUM(B114:E122)&gt;(K130*9),K130*L113,SUM(B122:E122)*L113)),2)</f>
        <v>0</v>
      </c>
      <c r="M122" s="76">
        <f>ROUND(IF(SUM(B114:E121)&lt;(K130*8),IF((SUM(B114:E122))&gt;(K130*9),(((K130*9)-(SUM(B114:E122)-C121))*M113)+((SUM(B122:E122)-C121)*M113),SUM(B122:E122)*M113),IF(SUM(B114:E122)&gt;(K130*9),K130*M113,SUM(B122:E122)*M113)),2)</f>
        <v>0</v>
      </c>
      <c r="N122" s="23"/>
      <c r="O122" s="27">
        <f t="shared" si="13"/>
        <v>0</v>
      </c>
    </row>
    <row r="123" spans="1:16" x14ac:dyDescent="0.2">
      <c r="A123" s="100" t="str">
        <f>$A$35</f>
        <v>Okt 2022</v>
      </c>
      <c r="B123" s="24">
        <f>ROUND(IF(P97=0,0,IFERROR(((LOOKUP(2,1/(A102:A105=A123),G102:G105))*P97*4.348),B122/P97*P97)),2)</f>
        <v>0</v>
      </c>
      <c r="C123" s="23">
        <f>ROUND(IFERROR(((LOOKUP(2,1/(B107=A123),((SUM(B120:B122)+SUM(E120:E122))/3)*C107))),0)+IFERROR(((LOOKUP(2,1/(E107=A123),(B126+E126)*F107))),0),2)</f>
        <v>0</v>
      </c>
      <c r="D123" s="23">
        <f>ROUND(IF(B123=0,0,D113/N91*P97),2)</f>
        <v>0</v>
      </c>
      <c r="E123" s="24">
        <f>ROUND(IF(P97=0,0,IFERROR(((LOOKUP(2,1/(A102:A105=A123),H102:H105))/N91*P97),E122/P97*P97)),2)</f>
        <v>0</v>
      </c>
      <c r="F123" s="27">
        <f t="shared" si="12"/>
        <v>0</v>
      </c>
      <c r="G123" s="76">
        <f>ROUND(IF(SUM(B114:E122)&lt;(K129*9),IF((SUM(B114:E123))&gt;(K129*10),(((K129*10)-(SUM(B114:E123)-C122))*G113)+((SUM(B123:E123)-C122)*G113),SUM(B123:E123)*G113),IF(SUM(B114:E123)&gt;(K129*10),K129*G113,SUM(B123:E123)*G113)),2)</f>
        <v>0</v>
      </c>
      <c r="H123" s="76">
        <f>ROUND(IF(SUM(B114:E122)&lt;(K130*9),IF((SUM(B114:E123))&gt;(K130*10),(((K130*10)-(SUM(B114:E123)-C122))*H113)+((SUM(B123:E123)-C122)*H113),SUM(B123:E123)*H113),IF(SUM(B114:E123)&gt;(K130*10),K130*H113,SUM(B123:E123)*H113)),2)</f>
        <v>0</v>
      </c>
      <c r="I123" s="76">
        <f>ROUND(IF(SUM(B114:E122)&lt;(K130*9),IF((SUM(B114:E123))&gt;(K130*10),(((K130*10)-(SUM(B114:E123)-C122))*I113)+((SUM(B123:E123)-C122)*I113),SUM(B123:E123)*I113),IF(SUM(B114:E123)&gt;(K130*10),K130*I113,SUM(B123:E123)*I113)),2)</f>
        <v>0</v>
      </c>
      <c r="J123" s="76">
        <f>ROUND(IF(SUM(B114:E122)&lt;(K129*9),IF((SUM(B114:E123))&gt;(K129*10),(((K129*10)-(SUM(B114:E123)-C122))*J113)+((SUM(B123:E123)-C122)*J113),SUM(B123:E123)*J113),IF(SUM(B114:E123)&gt;(K129*10),K129*J113,SUM(B123:E123)*J113)),2)</f>
        <v>0</v>
      </c>
      <c r="K123" s="76">
        <f>ROUND(IF(SUM(B114:E122)&lt;(K130*9),IF((SUM(B114:E123))&gt;(K130*10),(((K130*10)-(SUM(B114:E123)-C123))*K113)+((SUM(B123:E123)-C123)*K113),(SUM(B123:E123)-C123)*K113),IF(SUM(B114:E123)&gt;(K130*10),K130*K113,SUM(B123:E123)*K113)),2)</f>
        <v>0</v>
      </c>
      <c r="L123" s="76">
        <f>ROUND(IF(SUM(B114:E122)&lt;(K130*9),IF((SUM(B114:E123))&gt;(K130*10),(((K130*10)-(SUM(B114:E123)-C123))*L113)+((SUM(B123:E123)-C123)*L113),(SUM(B123:E123)-C123)*L113),IF(SUM(B114:E123)&gt;(K130*10),K130*L113,SUM(B123:E123)*L113)),2)</f>
        <v>0</v>
      </c>
      <c r="M123" s="76">
        <f>ROUND(IF(SUM(B114:E122)&lt;(K130*9),IF((SUM(B114:E123))&gt;(K130*10),(((K130*10)-(SUM(B114:E123)-C122))*M113)+((SUM(B123:E123)-C122)*M113),SUM(B123:E123)*M113),IF(SUM(B114:E123)&gt;(K130*10),K130*M113,SUM(B123:E123)*M113)),2)</f>
        <v>0</v>
      </c>
      <c r="N123" s="23"/>
      <c r="O123" s="27">
        <f t="shared" si="13"/>
        <v>0</v>
      </c>
    </row>
    <row r="124" spans="1:16" x14ac:dyDescent="0.2">
      <c r="A124" s="100" t="str">
        <f>$A$36</f>
        <v>Nov 2022</v>
      </c>
      <c r="B124" s="24">
        <f>ROUND(IF(P98=0,0,IFERROR(((LOOKUP(2,1/(A102:A105=A124),G102:G105))*P98*4.348),B123/P98*P98)),2)</f>
        <v>0</v>
      </c>
      <c r="C124" s="23">
        <f>ROUND(IFERROR(((LOOKUP(2,1/(B107=A124),((SUM(B120:B122)+SUM(E120:E122))/3)*C107))),0)+IFERROR(((LOOKUP(2,1/(E107=A124),(B126+E126)*F107))),0),2)</f>
        <v>0</v>
      </c>
      <c r="D124" s="23">
        <f>ROUND(IF(B124=0,0,D113/N91*P98),2)</f>
        <v>0</v>
      </c>
      <c r="E124" s="24">
        <f>ROUND(IF(P98=0,0,IFERROR(((LOOKUP(2,1/(A102:A105=A124),H102:H105))/N91*P98),E123/P98*P98)),2)</f>
        <v>0</v>
      </c>
      <c r="F124" s="27">
        <f t="shared" si="12"/>
        <v>0</v>
      </c>
      <c r="G124" s="76">
        <f>ROUND(IF(SUM(B114:E123)&lt;(K129*10),IF((SUM(B114:E124))&gt;(K129*11),(((K129*11)-(SUM(B114:E124)-C123))*G113)+((SUM(B124:E124)-C123)*G113),SUM(B124:E124)*G113),IF(SUM(B114:E124)&gt;(K129*11),K129*G113,SUM(B124:E124)*G113)),2)</f>
        <v>0</v>
      </c>
      <c r="H124" s="76">
        <f>ROUND(IF(SUM(B114:E123)&lt;(K130*10),IF((SUM(B114:E124))&gt;(K130*11),(((K130*11)-(SUM(B114:E124)-C123))*H113)+((SUM(B124:E124)-C123)*H113),SUM(B124:E124)*H113),IF(SUM(B114:E124)&gt;(K130*11),K130*H113,SUM(B124:E124)*H113)),2)</f>
        <v>0</v>
      </c>
      <c r="I124" s="76">
        <f>ROUND(IF(SUM(B114:E123)&lt;(K130*10),IF((SUM(B114:E124))&gt;(K130*11),(((K130*11)-(SUM(B114:E124)-C123))*I113)+((SUM(B124:E124)-C123)*I113),SUM(B124:E124)*I113),IF(SUM(B114:E124)&gt;(K130*11),K130*I113,SUM(B124:E124)*I113)),2)</f>
        <v>0</v>
      </c>
      <c r="J124" s="76">
        <f>ROUND(IF(SUM(B114:E123)&lt;(K129*10),IF((SUM(B114:E124))&gt;(K129*11),(((K129*11)-(SUM(B114:E124)-C123))*J113)+((SUM(B124:E124)-C123)*J113),SUM(B124:E124)*J113),IF(SUM(B114:E124)&gt;(K129*11),K129*J113,SUM(B124:E124)*J113)),2)</f>
        <v>0</v>
      </c>
      <c r="K124" s="76">
        <f>ROUND(IF(SUM(B114:E123)&lt;(K130*10),IF((SUM(B114:E124))&gt;(K130*11),(((K130*11)-(SUM(B114:E124)-C124))*K113)+((SUM(B124:E124)-C124)*K113),(SUM(B124:E124)-C124)*K113),IF(SUM(B114:E124)&gt;(K130*11),K130*K113,SUM(B124:E124)*K113)),2)</f>
        <v>0</v>
      </c>
      <c r="L124" s="76">
        <f>ROUND(IF(SUM(B114:E123)&lt;(K130*10),IF((SUM(B114:E124))&gt;(K130*11),(((K130*11)-(SUM(B114:E124)-C124))*L113)+((SUM(B124:E124)-C124)*L113),(SUM(B124:E124)-C124)*L113),IF(SUM(B114:E124)&gt;(K130*11),K130*L113,SUM(B124:E124)*L113)),2)</f>
        <v>0</v>
      </c>
      <c r="M124" s="76">
        <f>ROUND(IF(SUM(B114:E123)&lt;(K130*10),IF((SUM(B114:E124))&gt;(K130*11),(((K130*11)-(SUM(B114:E124)-C123))*M113)+((SUM(B124:E124)-C123)*M113),SUM(B124:E124)*M113),IF(SUM(B114:E124)&gt;(K130*11),K130*M113,SUM(B124:E124)*M113)),2)</f>
        <v>0</v>
      </c>
      <c r="N124" s="23"/>
      <c r="O124" s="27">
        <f t="shared" si="13"/>
        <v>0</v>
      </c>
    </row>
    <row r="125" spans="1:16" ht="14.25" customHeight="1" x14ac:dyDescent="0.2">
      <c r="A125" s="100" t="str">
        <f>$A$37</f>
        <v>Dez 2022</v>
      </c>
      <c r="B125" s="24">
        <f>ROUND(IF(P99=0,0,IFERROR(((LOOKUP(2,1/(A102:A105=A125),G102:G105))*P99*4.348),B124/P99*P99)),2)</f>
        <v>0</v>
      </c>
      <c r="C125" s="23">
        <f>ROUND(IFERROR(((LOOKUP(2,1/(B107=A125),((SUM(B120:B122)+SUM(E120:E122))/3)*C107))),0)+IFERROR(((LOOKUP(2,1/(E107=A125),(B126+E126)*F107))),0),2)</f>
        <v>0</v>
      </c>
      <c r="D125" s="23">
        <f>ROUND(IF(B125=0,0,D113/N91*P99),2)</f>
        <v>0</v>
      </c>
      <c r="E125" s="24">
        <f>ROUND(IF(P99=0,0,IFERROR(((LOOKUP(2,1/(A102:A105=A125),H102:H105))/N91*P99),E124/P99*P99)),2)</f>
        <v>0</v>
      </c>
      <c r="F125" s="27">
        <f t="shared" si="12"/>
        <v>0</v>
      </c>
      <c r="G125" s="76">
        <f>ROUND(IF(SUM(B114:E124)&lt;(K129*11),IF((SUM(B114:E125))&gt;(K129*12),(((K129*12)-(SUM(B114:E125)-C124))*G113)+((SUM(B125:E125)-C124)*G113),SUM(B125:E125)*G113),IF(SUM(B114:E125)&gt;(K129*12),K129*G113,SUM(B125:E125)*G113)),2)</f>
        <v>0</v>
      </c>
      <c r="H125" s="76">
        <f>ROUND(IF(SUM(B114:E124)&lt;(K130*11),IF((SUM(B114:E125))&gt;(K130*12),(((K130*12)-(SUM(B114:E125)-C124))*H113)+((SUM(B125:E125)-C124)*H113),SUM(B125:E125)*H113),IF(SUM(B114:E125)&gt;(K130*12),K130*H113,SUM(B125:E125)*H113)),2)</f>
        <v>0</v>
      </c>
      <c r="I125" s="76">
        <f>ROUND(IF(SUM(B114:E124)&lt;(K130*11),IF((SUM(B114:E125))&gt;(K130*12),(((K130*12)-(SUM(B114:E125)-C124))*I113)+((SUM(B125:E125)-C124)*I113),SUM(B125:E125)*I113),IF(SUM(B114:E125)&gt;(K130*12),K130*I113,SUM(B125:E125)*I113)),2)</f>
        <v>0</v>
      </c>
      <c r="J125" s="76">
        <f>ROUND(IF(SUM(B114:E124)&lt;(K129*11),IF((SUM(B114:E125))&gt;(K129*12),(((K129*12)-(SUM(B114:E125)-C124))*J113)+((SUM(B125:E125)-C124)*J113),SUM(B125:E125)*J113),IF(SUM(B114:E125)&gt;(K129*12),K129*J113,SUM(B125:E125)*J113)),2)</f>
        <v>0</v>
      </c>
      <c r="K125" s="76">
        <f>ROUND(IF(SUM(B114:E124)&lt;(K130*11),IF((SUM(B114:E125))&gt;(K130*12),(((K130*12)-(SUM(B114:E125)-C125))*K113)+((SUM(B125:E125)-C125)*K113),(SUM(B125:E125)-C125)*K113),IF(SUM(B114:E125)&gt;(K130*12),K130*K113,SUM(B125:E125)*K113)),2)</f>
        <v>0</v>
      </c>
      <c r="L125" s="76">
        <f>ROUND(IF(SUM(B114:E124)&lt;(K130*11),IF((SUM(B114:E125))&gt;(K130*12),(((K130*12)-(SUM(B114:E125)-C125))*L113)+((SUM(B125:E125)-C125)*L113),(SUM(B125:E125)-C125)*L113),IF(SUM(B114:E125)&gt;(K130*12),K130*L113,SUM(B125:E125)*L113)),2)</f>
        <v>0</v>
      </c>
      <c r="M125" s="76">
        <f>ROUND(IF(SUM(B114:E124)&lt;(K130*11),IF((SUM(B114:E125))&gt;(K130*12),(((K130*12)-(SUM(B114:E125)-C124))*M113)+((SUM(B125:E125)-C124)*M113),SUM(B125:E125)*M113),IF(SUM(B114:E125)&gt;(K130*12),K130*M113,SUM(B125:E125)*M113)),2)</f>
        <v>0</v>
      </c>
      <c r="N125" s="23"/>
      <c r="O125" s="27">
        <f>SUM(F125:N125)</f>
        <v>0</v>
      </c>
    </row>
    <row r="126" spans="1:16" s="14" customFormat="1" ht="15" x14ac:dyDescent="0.25">
      <c r="A126" s="4" t="s">
        <v>2</v>
      </c>
      <c r="B126" s="27">
        <f>SUM(B114:B125)</f>
        <v>0</v>
      </c>
      <c r="C126" s="27">
        <f t="shared" ref="C126:E126" si="14">SUM(C114:C125)</f>
        <v>0</v>
      </c>
      <c r="D126" s="27">
        <f t="shared" si="14"/>
        <v>0</v>
      </c>
      <c r="E126" s="27">
        <f t="shared" si="14"/>
        <v>0</v>
      </c>
      <c r="F126" s="27">
        <f>SUM(F114:F125)</f>
        <v>0</v>
      </c>
      <c r="G126" s="1133">
        <f>SUM(G114:M125)</f>
        <v>0</v>
      </c>
      <c r="H126" s="1134"/>
      <c r="I126" s="1134"/>
      <c r="J126" s="1134"/>
      <c r="K126" s="1134"/>
      <c r="L126" s="1134"/>
      <c r="M126" s="1135"/>
      <c r="N126" s="27">
        <f>SUM(N114:N125)</f>
        <v>0</v>
      </c>
      <c r="O126" s="27">
        <f>SUM(O114:O125)</f>
        <v>0</v>
      </c>
      <c r="P126" s="1"/>
    </row>
    <row r="127" spans="1:16" s="13" customFormat="1" ht="11.25" x14ac:dyDescent="0.2">
      <c r="A127" s="3" t="s">
        <v>1</v>
      </c>
      <c r="B127" s="2"/>
      <c r="C127" s="2"/>
      <c r="D127" s="2"/>
      <c r="E127" s="2"/>
      <c r="F127" s="2"/>
      <c r="G127" s="2"/>
      <c r="H127" s="2"/>
      <c r="I127" s="2"/>
      <c r="J127" s="2"/>
      <c r="K127" s="2"/>
      <c r="L127" s="2"/>
      <c r="M127" s="2"/>
      <c r="N127" s="2"/>
      <c r="O127" s="2"/>
      <c r="P127" s="2"/>
    </row>
    <row r="128" spans="1:16" ht="14.25" customHeight="1" x14ac:dyDescent="0.2">
      <c r="A128" s="1136" t="s">
        <v>133</v>
      </c>
      <c r="B128" s="1137"/>
      <c r="C128" s="1137"/>
      <c r="D128" s="1137" t="s">
        <v>134</v>
      </c>
      <c r="E128" s="1137"/>
      <c r="F128" s="94" t="str">
        <f>IF(IF(G126=0,"",'päd.Personal - Leitung'!$F$40)=0,"",IF(G126=0,"",'päd.Personal - Leitung'!$F$40))</f>
        <v/>
      </c>
      <c r="G128" s="77" t="s">
        <v>135</v>
      </c>
      <c r="H128" s="96" t="str">
        <f>IF(IF(G126=0,"",'päd.Personal - Leitung'!$H$40)=0,"",IF(G126=0,"",'päd.Personal - Leitung'!$H$40))</f>
        <v/>
      </c>
      <c r="I128" s="73"/>
      <c r="J128" s="194" t="s">
        <v>160</v>
      </c>
      <c r="K128" s="194" t="str">
        <f>$K$40</f>
        <v>2021</v>
      </c>
      <c r="L128" s="194" t="str">
        <f>$L$40</f>
        <v>anteilig 2021</v>
      </c>
      <c r="M128" s="1138" t="s">
        <v>140</v>
      </c>
      <c r="N128" s="1138"/>
      <c r="O128" s="1139"/>
      <c r="P128" s="27">
        <f>ROUND(IF(F128="",IF(E132="",0,(E132*H132/K132)/L95*L96),F126*F128*H128/1000),2)</f>
        <v>0</v>
      </c>
    </row>
    <row r="129" spans="1:16" ht="15" customHeight="1" x14ac:dyDescent="0.2">
      <c r="A129" s="1140" t="s">
        <v>145</v>
      </c>
      <c r="B129" s="1141"/>
      <c r="C129" s="1141"/>
      <c r="D129" s="18"/>
      <c r="E129" s="107" t="s">
        <v>135</v>
      </c>
      <c r="F129" s="95" t="str">
        <f>IF(IF(G126=0,"",'päd.Personal - Leitung'!$F$41)=0,"",IF(G126=0,"",'päd.Personal - Leitung'!$F$41))</f>
        <v/>
      </c>
      <c r="G129" s="48"/>
      <c r="H129" s="47"/>
      <c r="I129" s="48"/>
      <c r="J129" s="195" t="s">
        <v>158</v>
      </c>
      <c r="K129" s="198">
        <f>$K$41</f>
        <v>4837.5</v>
      </c>
      <c r="L129" s="197">
        <f>IF(L95="",K129,K129/L95*L96)</f>
        <v>4837.5</v>
      </c>
      <c r="M129" s="1138" t="s">
        <v>139</v>
      </c>
      <c r="N129" s="1138"/>
      <c r="O129" s="1139"/>
      <c r="P129" s="108">
        <f>ROUND(IF(F129="",0,F126*F129/1000),2)</f>
        <v>0</v>
      </c>
    </row>
    <row r="130" spans="1:16" ht="15.75" customHeight="1" x14ac:dyDescent="0.2">
      <c r="A130" s="1142"/>
      <c r="B130" s="1143"/>
      <c r="C130" s="1143"/>
      <c r="D130" s="1144"/>
      <c r="E130" s="1144"/>
      <c r="F130" s="1200"/>
      <c r="G130" s="1200"/>
      <c r="H130" s="72"/>
      <c r="I130" s="18"/>
      <c r="J130" s="195" t="s">
        <v>159</v>
      </c>
      <c r="K130" s="198">
        <f>$K$42</f>
        <v>6700</v>
      </c>
      <c r="L130" s="197">
        <f>IF(L95="",K130,K130/L95*L96)</f>
        <v>6700</v>
      </c>
      <c r="M130" s="1138"/>
      <c r="N130" s="1138"/>
      <c r="O130" s="1201"/>
      <c r="P130" s="110"/>
    </row>
    <row r="131" spans="1:16" ht="14.25" customHeight="1" x14ac:dyDescent="0.2">
      <c r="A131" s="18"/>
      <c r="B131" s="18"/>
      <c r="C131" s="18"/>
      <c r="D131" s="18"/>
      <c r="E131" s="18"/>
      <c r="F131" s="18"/>
      <c r="G131" s="18"/>
      <c r="H131" s="18"/>
      <c r="I131" s="18"/>
      <c r="J131" s="18"/>
      <c r="K131" s="74"/>
      <c r="L131" s="82"/>
      <c r="M131" s="1127" t="s">
        <v>146</v>
      </c>
      <c r="N131" s="1127"/>
      <c r="O131" s="1128"/>
      <c r="P131" s="23">
        <f>ROUND(IF(F126=0,0,$P$43),2)</f>
        <v>0</v>
      </c>
    </row>
    <row r="132" spans="1:16" ht="14.25" customHeight="1" x14ac:dyDescent="0.2">
      <c r="A132" s="1129" t="s">
        <v>142</v>
      </c>
      <c r="B132" s="1130"/>
      <c r="C132" s="133" t="s">
        <v>136</v>
      </c>
      <c r="D132" s="133" t="s">
        <v>137</v>
      </c>
      <c r="E132" s="1131" t="str">
        <f>IF(IF(G126=0,"",'päd.Personal - Leitung'!$E$44)=0,"",IF(G126=0,"",'päd.Personal - Leitung'!$E$44))</f>
        <v/>
      </c>
      <c r="F132" s="1131"/>
      <c r="G132" s="83" t="s">
        <v>138</v>
      </c>
      <c r="H132" s="97" t="str">
        <f>IF(IF(G126=0,"",'päd.Personal - Leitung'!$H$44)=0,"",IF(G126=0,"",'päd.Personal - Leitung'!$H$44))</f>
        <v/>
      </c>
      <c r="I132" s="1132" t="s">
        <v>144</v>
      </c>
      <c r="J132" s="1132"/>
      <c r="K132" s="98" t="str">
        <f>IF(IF(G126=0,"",'päd.Personal - Leitung'!$K$44)=0,"",IF(G126=0,"",'päd.Personal - Leitung'!$K$44))</f>
        <v/>
      </c>
      <c r="L132" s="29"/>
      <c r="M132" s="29"/>
      <c r="N132" s="29"/>
      <c r="O132" s="28" t="s">
        <v>0</v>
      </c>
      <c r="P132" s="27">
        <f>O126+SUM(P128:P131)</f>
        <v>0</v>
      </c>
    </row>
    <row r="133" spans="1:16" s="12" customFormat="1" ht="13.5" customHeight="1" x14ac:dyDescent="0.2">
      <c r="A133" s="1178" t="s">
        <v>18</v>
      </c>
      <c r="B133" s="1178"/>
      <c r="C133" s="1178"/>
      <c r="D133" s="1179" t="str">
        <f>IF($D$1="","",$D$1)</f>
        <v/>
      </c>
      <c r="E133" s="1179"/>
      <c r="F133" s="1179"/>
      <c r="G133" s="1179"/>
      <c r="H133" s="1179"/>
      <c r="I133" s="1179"/>
      <c r="J133" s="1179"/>
      <c r="K133" s="1179"/>
      <c r="L133" s="1179"/>
      <c r="M133" s="1179"/>
      <c r="N133" s="1179"/>
    </row>
    <row r="134" spans="1:16" s="12" customFormat="1" ht="15" customHeight="1" x14ac:dyDescent="0.2">
      <c r="A134" s="1178" t="s">
        <v>17</v>
      </c>
      <c r="B134" s="1178"/>
      <c r="C134" s="1178" t="s">
        <v>15</v>
      </c>
      <c r="D134" s="1179" t="str">
        <f>IF($D$2="","",$D$2)</f>
        <v/>
      </c>
      <c r="E134" s="1179"/>
      <c r="F134" s="1179"/>
      <c r="G134" s="1179"/>
      <c r="H134" s="1179"/>
      <c r="I134" s="1179"/>
      <c r="J134" s="1179"/>
      <c r="K134" s="1179"/>
      <c r="L134" s="1179"/>
      <c r="M134" s="1179"/>
      <c r="N134" s="1179"/>
    </row>
    <row r="135" spans="1:16" s="12" customFormat="1" ht="15" customHeight="1" x14ac:dyDescent="0.2">
      <c r="A135" s="1178" t="s">
        <v>16</v>
      </c>
      <c r="B135" s="1178"/>
      <c r="C135" s="1178" t="s">
        <v>15</v>
      </c>
      <c r="D135" s="1179" t="str">
        <f>IF($D$3="","",$D$3)</f>
        <v/>
      </c>
      <c r="E135" s="1179"/>
      <c r="F135" s="1179"/>
      <c r="G135" s="1179"/>
      <c r="H135" s="1179"/>
      <c r="I135" s="1179"/>
      <c r="J135" s="1179"/>
      <c r="K135" s="1178" t="s">
        <v>103</v>
      </c>
      <c r="L135" s="1178"/>
      <c r="M135" s="1178"/>
      <c r="N135" s="41" t="str">
        <f>IF($N$3="","",$N$3)</f>
        <v/>
      </c>
    </row>
    <row r="136" spans="1:16" s="13" customFormat="1" ht="11.25" x14ac:dyDescent="0.2">
      <c r="A136" s="1182"/>
      <c r="B136" s="1182"/>
      <c r="C136" s="1182"/>
      <c r="D136" s="1183"/>
      <c r="E136" s="1183"/>
      <c r="F136" s="1183"/>
      <c r="G136" s="1183"/>
      <c r="H136" s="1183"/>
      <c r="I136" s="1183"/>
      <c r="J136" s="1183"/>
      <c r="K136" s="11"/>
      <c r="L136" s="11"/>
      <c r="M136" s="11"/>
      <c r="N136" s="11"/>
      <c r="O136" s="11"/>
      <c r="P136" s="11"/>
    </row>
    <row r="137" spans="1:16" s="15" customFormat="1" ht="13.5" customHeight="1" x14ac:dyDescent="0.2">
      <c r="A137" s="1177" t="s">
        <v>188</v>
      </c>
      <c r="B137" s="1177"/>
      <c r="C137" s="1177"/>
      <c r="D137" s="1177"/>
      <c r="E137" s="1177"/>
      <c r="F137" s="1177"/>
      <c r="G137" s="1177"/>
      <c r="H137" s="1177"/>
      <c r="I137" s="1177"/>
      <c r="J137" s="1177"/>
      <c r="K137" s="1177"/>
      <c r="L137" s="9"/>
      <c r="M137" s="9"/>
      <c r="N137" s="59" t="s">
        <v>154</v>
      </c>
      <c r="O137" s="191">
        <f>$O$5</f>
        <v>2022</v>
      </c>
      <c r="P137" s="59" t="s">
        <v>154</v>
      </c>
    </row>
    <row r="138" spans="1:16" s="10" customFormat="1" ht="13.5" customHeight="1" x14ac:dyDescent="0.25">
      <c r="B138" s="32"/>
      <c r="C138" s="32"/>
      <c r="D138" s="5" t="s">
        <v>195</v>
      </c>
      <c r="E138" s="31"/>
      <c r="F138" s="31"/>
      <c r="G138" s="31"/>
      <c r="H138" s="31"/>
      <c r="I138" s="26"/>
      <c r="J138" s="1197"/>
      <c r="K138" s="1197"/>
      <c r="L138" s="111"/>
      <c r="N138" s="84">
        <f>IF(L140="","",L140)</f>
        <v>0</v>
      </c>
      <c r="O138" s="58" t="str">
        <f>$O$6</f>
        <v>Jan                Jul</v>
      </c>
      <c r="P138" s="85">
        <f>IF(N143="","",N143)</f>
        <v>0</v>
      </c>
    </row>
    <row r="139" spans="1:16" s="7" customFormat="1" ht="13.5" customHeight="1" x14ac:dyDescent="0.25">
      <c r="A139" s="1180" t="s">
        <v>71</v>
      </c>
      <c r="B139" s="1180"/>
      <c r="C139" s="1180"/>
      <c r="D139" s="1184"/>
      <c r="E139" s="1184"/>
      <c r="F139" s="1184"/>
      <c r="G139" s="1184"/>
      <c r="H139" s="1184"/>
      <c r="I139" s="1184"/>
      <c r="J139" s="1174" t="s">
        <v>104</v>
      </c>
      <c r="K139" s="1174"/>
      <c r="L139" s="145"/>
      <c r="N139" s="85">
        <f>IF(N138="","",N138)</f>
        <v>0</v>
      </c>
      <c r="O139" s="58" t="str">
        <f>$O$7</f>
        <v>Feb              Aug</v>
      </c>
      <c r="P139" s="85">
        <f>IF(P138="","",P138)</f>
        <v>0</v>
      </c>
    </row>
    <row r="140" spans="1:16" ht="13.5" customHeight="1" x14ac:dyDescent="0.2">
      <c r="A140" s="1180" t="s">
        <v>13</v>
      </c>
      <c r="B140" s="1180"/>
      <c r="C140" s="1180"/>
      <c r="D140" s="1181"/>
      <c r="E140" s="1181"/>
      <c r="F140" s="1181"/>
      <c r="G140" s="1181"/>
      <c r="H140" s="1181"/>
      <c r="I140" s="1181"/>
      <c r="J140" s="1174" t="s">
        <v>164</v>
      </c>
      <c r="K140" s="1174"/>
      <c r="L140" s="145">
        <f>IF((L141+L142)&gt;L139,0,L139-L141-L142)</f>
        <v>0</v>
      </c>
      <c r="N140" s="85">
        <f>IF(N139="","",N139)</f>
        <v>0</v>
      </c>
      <c r="O140" s="58" t="str">
        <f>$O$8</f>
        <v>Mrz              Sep</v>
      </c>
      <c r="P140" s="85">
        <f>IF(P139="","",P139)</f>
        <v>0</v>
      </c>
    </row>
    <row r="141" spans="1:16" ht="13.5" customHeight="1" x14ac:dyDescent="0.2">
      <c r="A141" s="1180" t="s">
        <v>12</v>
      </c>
      <c r="B141" s="1180"/>
      <c r="C141" s="1180"/>
      <c r="D141" s="1181"/>
      <c r="E141" s="1181"/>
      <c r="F141" s="1181"/>
      <c r="G141" s="1181"/>
      <c r="H141" s="1181"/>
      <c r="I141" s="1181"/>
      <c r="J141" s="1174" t="s">
        <v>165</v>
      </c>
      <c r="K141" s="1174"/>
      <c r="L141" s="145"/>
      <c r="N141" s="85">
        <f>IF(N140="","",N140)</f>
        <v>0</v>
      </c>
      <c r="O141" s="58" t="str">
        <f>$O$9</f>
        <v>Apr               Okt</v>
      </c>
      <c r="P141" s="85">
        <f t="shared" ref="P141:P143" si="15">IF(P140="","",P140)</f>
        <v>0</v>
      </c>
    </row>
    <row r="142" spans="1:16" ht="13.5" customHeight="1" x14ac:dyDescent="0.2">
      <c r="A142" s="1180" t="s">
        <v>19</v>
      </c>
      <c r="B142" s="1180"/>
      <c r="C142" s="1180"/>
      <c r="D142" s="1181"/>
      <c r="E142" s="1181"/>
      <c r="F142" s="1181"/>
      <c r="G142" s="1181"/>
      <c r="H142" s="1181"/>
      <c r="I142" s="1181"/>
      <c r="J142" s="1174" t="s">
        <v>252</v>
      </c>
      <c r="K142" s="1174"/>
      <c r="L142" s="145"/>
      <c r="M142" s="92"/>
      <c r="N142" s="85">
        <f>IF(N141="","",N141)</f>
        <v>0</v>
      </c>
      <c r="O142" s="58" t="str">
        <f>$O$10</f>
        <v>Mai               Nov</v>
      </c>
      <c r="P142" s="85">
        <f t="shared" si="15"/>
        <v>0</v>
      </c>
    </row>
    <row r="143" spans="1:16" ht="13.5" customHeight="1" x14ac:dyDescent="0.2">
      <c r="B143" s="8"/>
      <c r="C143" s="132" t="s">
        <v>162</v>
      </c>
      <c r="D143" s="1175"/>
      <c r="E143" s="1175"/>
      <c r="F143" s="1176" t="s">
        <v>192</v>
      </c>
      <c r="G143" s="1176"/>
      <c r="H143" s="1186"/>
      <c r="I143" s="1186"/>
      <c r="J143" s="1174" t="s">
        <v>97</v>
      </c>
      <c r="K143" s="1174"/>
      <c r="L143" s="17" t="str">
        <f>IF(IF((COUNTIF(B158:B169,"&gt;0"))=0,0,(COUNTIF(B158:B169,"&gt;0")))&gt;Grundlagen!$C$24,Grundlagen!$C$24,IF((COUNTIF(B158:B169,"&gt;0"))=0,"",(COUNTIF(B158:B169,"&gt;0"))))</f>
        <v/>
      </c>
      <c r="N143" s="85">
        <f>IF(N142="","",N142)</f>
        <v>0</v>
      </c>
      <c r="O143" s="58" t="str">
        <f>'päd.Personal - Leitung'!$O$11</f>
        <v>Jun               Dez</v>
      </c>
      <c r="P143" s="85">
        <f t="shared" si="15"/>
        <v>0</v>
      </c>
    </row>
    <row r="144" spans="1:16" ht="13.5" customHeight="1" x14ac:dyDescent="0.2">
      <c r="F144" s="1176" t="s">
        <v>193</v>
      </c>
      <c r="G144" s="1176"/>
      <c r="H144" s="1186"/>
      <c r="I144" s="1186"/>
      <c r="L144" s="147" t="str">
        <f>IF((SUM(F146:F149))=0,"",IF(P144&gt;L140,L140,IF(L140="","",IF(L143="","",P144))))</f>
        <v/>
      </c>
      <c r="O144" s="174" t="s">
        <v>251</v>
      </c>
      <c r="P144" s="175">
        <f>IF(L143="",0,((IF(SUMIF(B158,"&gt;0"),N138,0))+(IF(SUMIF(B159,"&gt;0"),N139,0))+(IF(SUMIF(B160,"&gt;0"),N140,0))+(IF(SUMIF(B161,"&gt;0"),N141,0))+(IF(SUMIF(B162,"&gt;0"),N142,0))+(IF(SUMIF(B163,"&gt;0"),N143,0))+(IF(SUMIF(B164,"&gt;0"),P138,0))+(IF(SUMIF(B165,"&gt;0"),P139,0))+(IF(SUMIF(B166,"&gt;0"),P140,0))+(IF(SUMIF(B167,"&gt;0"),P141,0))+(IF(SUMIF(B168,"&gt;0"),P142,0))+(IF(SUMIF(B169,"&gt;0"),P143,0)))/Grundlagen!$C$24)</f>
        <v>0</v>
      </c>
    </row>
    <row r="145" spans="1:16" s="52" customFormat="1" ht="13.5" customHeight="1" x14ac:dyDescent="0.2">
      <c r="A145" s="61" t="s">
        <v>148</v>
      </c>
      <c r="B145" s="1168" t="s">
        <v>149</v>
      </c>
      <c r="C145" s="1168"/>
      <c r="D145" s="62" t="s">
        <v>150</v>
      </c>
      <c r="E145" s="63" t="s">
        <v>151</v>
      </c>
      <c r="F145" s="64" t="str">
        <f>CONCATENATE("Entg. ",N135," h/Wo")</f>
        <v>Entg.  h/Wo</v>
      </c>
      <c r="G145" s="65" t="s">
        <v>152</v>
      </c>
      <c r="H145" s="65" t="s">
        <v>153</v>
      </c>
      <c r="K145" s="1169" t="str">
        <f>CONCATENATE("Zuschläge / Zulagen für ",N135,"h/Wo")</f>
        <v>Zuschläge / Zulagen für h/Wo</v>
      </c>
      <c r="L145" s="1169"/>
      <c r="M145" s="66" t="str">
        <f>IF(A146="","",A146)</f>
        <v>Jan 2022</v>
      </c>
      <c r="N145" s="66" t="str">
        <f>IF(A147="","",A147)</f>
        <v/>
      </c>
      <c r="O145" s="66" t="str">
        <f>IF(A148="","",A148)</f>
        <v/>
      </c>
      <c r="P145" s="66" t="str">
        <f>IF(A149="","",A149)</f>
        <v/>
      </c>
    </row>
    <row r="146" spans="1:16" s="52" customFormat="1" ht="13.5" customHeight="1" x14ac:dyDescent="0.25">
      <c r="A146" s="54" t="str">
        <f>A158</f>
        <v>Jan 2022</v>
      </c>
      <c r="B146" s="1198" t="str">
        <f>IF(B102="","",B102)</f>
        <v/>
      </c>
      <c r="C146" s="1199"/>
      <c r="D146" s="181"/>
      <c r="E146" s="181"/>
      <c r="F146" s="87"/>
      <c r="G146" s="56">
        <f>IF(N135="",0,F146/N135/4.348)</f>
        <v>0</v>
      </c>
      <c r="H146" s="53">
        <f>IF(G146=0,0,M151)</f>
        <v>0</v>
      </c>
      <c r="K146" s="1146"/>
      <c r="L146" s="1146"/>
      <c r="M146" s="86"/>
      <c r="N146" s="86"/>
      <c r="O146" s="86"/>
      <c r="P146" s="86"/>
    </row>
    <row r="147" spans="1:16" s="52" customFormat="1" ht="13.5" customHeight="1" x14ac:dyDescent="0.25">
      <c r="A147" s="55"/>
      <c r="B147" s="1172" t="str">
        <f>IF(A147="","",B146)</f>
        <v/>
      </c>
      <c r="C147" s="1173"/>
      <c r="D147" s="181"/>
      <c r="E147" s="181"/>
      <c r="F147" s="87"/>
      <c r="G147" s="56">
        <f>IF(N135="",0,F147/N135/4.348)</f>
        <v>0</v>
      </c>
      <c r="H147" s="53">
        <f>IF(G147=0,0,N151)</f>
        <v>0</v>
      </c>
      <c r="K147" s="1146"/>
      <c r="L147" s="1146"/>
      <c r="M147" s="86"/>
      <c r="N147" s="86"/>
      <c r="O147" s="86"/>
      <c r="P147" s="86"/>
    </row>
    <row r="148" spans="1:16" s="52" customFormat="1" ht="13.5" customHeight="1" x14ac:dyDescent="0.25">
      <c r="A148" s="55"/>
      <c r="B148" s="1172" t="str">
        <f>IF(A148="","",B147)</f>
        <v/>
      </c>
      <c r="C148" s="1173"/>
      <c r="D148" s="181"/>
      <c r="E148" s="181"/>
      <c r="F148" s="87"/>
      <c r="G148" s="56">
        <f>IF(N135="",0,F148/N135/4.348)</f>
        <v>0</v>
      </c>
      <c r="H148" s="53">
        <f>IF(G148=0,0,O151)</f>
        <v>0</v>
      </c>
      <c r="K148" s="1146"/>
      <c r="L148" s="1146"/>
      <c r="M148" s="86"/>
      <c r="N148" s="86"/>
      <c r="O148" s="86"/>
      <c r="P148" s="86"/>
    </row>
    <row r="149" spans="1:16" s="52" customFormat="1" ht="13.5" customHeight="1" x14ac:dyDescent="0.25">
      <c r="A149" s="55"/>
      <c r="B149" s="1172" t="str">
        <f>IF(A149="","",B148)</f>
        <v/>
      </c>
      <c r="C149" s="1173"/>
      <c r="D149" s="181"/>
      <c r="E149" s="181"/>
      <c r="F149" s="87"/>
      <c r="G149" s="56">
        <f>IF(N135="",0,F149/N135/4.348)</f>
        <v>0</v>
      </c>
      <c r="H149" s="53">
        <f>IF(G149=0,0,P151)</f>
        <v>0</v>
      </c>
      <c r="K149" s="1146"/>
      <c r="L149" s="1146"/>
      <c r="M149" s="86"/>
      <c r="N149" s="86"/>
      <c r="O149" s="86"/>
      <c r="P149" s="86"/>
    </row>
    <row r="150" spans="1:16" s="52" customFormat="1" ht="13.5" customHeight="1" x14ac:dyDescent="0.25">
      <c r="B150" s="1167" t="s">
        <v>157</v>
      </c>
      <c r="C150" s="1167"/>
      <c r="E150" s="1167" t="s">
        <v>156</v>
      </c>
      <c r="F150" s="1167"/>
      <c r="J150" s="69"/>
      <c r="K150" s="1146"/>
      <c r="L150" s="1146"/>
      <c r="M150" s="86"/>
      <c r="N150" s="86"/>
      <c r="O150" s="86"/>
      <c r="P150" s="86"/>
    </row>
    <row r="151" spans="1:16" s="52" customFormat="1" ht="13.5" customHeight="1" x14ac:dyDescent="0.25">
      <c r="A151" s="70" t="s">
        <v>167</v>
      </c>
      <c r="B151" s="67"/>
      <c r="C151" s="99" t="str">
        <f>IF(C107="","",C107)</f>
        <v/>
      </c>
      <c r="D151" s="70" t="s">
        <v>167</v>
      </c>
      <c r="E151" s="67"/>
      <c r="F151" s="99" t="str">
        <f>IF(F107="","",F107)</f>
        <v/>
      </c>
      <c r="J151" s="68"/>
      <c r="M151" s="57">
        <f>SUM(M146:M150)</f>
        <v>0</v>
      </c>
      <c r="N151" s="57">
        <f t="shared" ref="N151:P151" si="16">SUM(N146:N150)</f>
        <v>0</v>
      </c>
      <c r="O151" s="57">
        <f t="shared" si="16"/>
        <v>0</v>
      </c>
      <c r="P151" s="57">
        <f t="shared" si="16"/>
        <v>0</v>
      </c>
    </row>
    <row r="152" spans="1:16" s="52" customFormat="1" ht="13.5" customHeight="1" x14ac:dyDescent="0.2">
      <c r="A152" s="60" t="s">
        <v>155</v>
      </c>
    </row>
    <row r="153" spans="1:16" ht="14.25" customHeight="1" x14ac:dyDescent="0.2">
      <c r="A153" s="1147"/>
      <c r="B153" s="1149" t="s">
        <v>9</v>
      </c>
      <c r="C153" s="1150"/>
      <c r="D153" s="1150"/>
      <c r="E153" s="1150"/>
      <c r="F153" s="1151"/>
      <c r="G153" s="1152" t="s">
        <v>119</v>
      </c>
      <c r="H153" s="1153"/>
      <c r="I153" s="1153"/>
      <c r="J153" s="1153"/>
      <c r="K153" s="1153"/>
      <c r="L153" s="1153"/>
      <c r="M153" s="1153"/>
      <c r="N153" s="135"/>
      <c r="O153" s="1202" t="s">
        <v>0</v>
      </c>
    </row>
    <row r="154" spans="1:16" ht="14.25" customHeight="1" x14ac:dyDescent="0.2">
      <c r="A154" s="1148"/>
      <c r="B154" s="1157" t="s">
        <v>117</v>
      </c>
      <c r="C154" s="130" t="s">
        <v>115</v>
      </c>
      <c r="D154" s="1161" t="s">
        <v>147</v>
      </c>
      <c r="E154" s="134" t="s">
        <v>7</v>
      </c>
      <c r="F154" s="1162" t="s">
        <v>6</v>
      </c>
      <c r="G154" s="1161" t="s">
        <v>129</v>
      </c>
      <c r="H154" s="1161" t="s">
        <v>5</v>
      </c>
      <c r="I154" s="1161" t="s">
        <v>4</v>
      </c>
      <c r="J154" s="1161" t="s">
        <v>3</v>
      </c>
      <c r="K154" s="1161" t="s">
        <v>121</v>
      </c>
      <c r="L154" s="1161" t="s">
        <v>122</v>
      </c>
      <c r="M154" s="1161" t="s">
        <v>123</v>
      </c>
      <c r="N154" s="134" t="s">
        <v>7</v>
      </c>
      <c r="O154" s="1161"/>
    </row>
    <row r="155" spans="1:16" ht="14.25" customHeight="1" x14ac:dyDescent="0.2">
      <c r="A155" s="1148"/>
      <c r="B155" s="1157"/>
      <c r="C155" s="21" t="str">
        <f>IF(C151="","",C151)</f>
        <v/>
      </c>
      <c r="D155" s="1161"/>
      <c r="E155" s="1165" t="str">
        <f>IF(G146=0,"","siehe Zuschläge / Zulagen")</f>
        <v/>
      </c>
      <c r="F155" s="1162"/>
      <c r="G155" s="1164" t="s">
        <v>127</v>
      </c>
      <c r="H155" s="1164"/>
      <c r="I155" s="1164"/>
      <c r="J155" s="1164"/>
      <c r="K155" s="1164"/>
      <c r="L155" s="1164"/>
      <c r="M155" s="1164"/>
      <c r="N155" s="1165" t="str">
        <f>IF(P146=0,"","siehe Zuschläge / Zulagen")</f>
        <v/>
      </c>
      <c r="O155" s="1161"/>
    </row>
    <row r="156" spans="1:16" x14ac:dyDescent="0.2">
      <c r="A156" s="1148"/>
      <c r="B156" s="1157"/>
      <c r="C156" s="128" t="s">
        <v>70</v>
      </c>
      <c r="D156" s="1161"/>
      <c r="E156" s="1165"/>
      <c r="F156" s="1162"/>
      <c r="G156" s="43" t="s">
        <v>128</v>
      </c>
      <c r="H156" s="43" t="s">
        <v>255</v>
      </c>
      <c r="I156" s="43" t="s">
        <v>256</v>
      </c>
      <c r="J156" s="43" t="s">
        <v>257</v>
      </c>
      <c r="K156" s="43"/>
      <c r="L156" s="43"/>
      <c r="M156" s="43" t="s">
        <v>254</v>
      </c>
      <c r="N156" s="1165"/>
      <c r="O156" s="1161"/>
    </row>
    <row r="157" spans="1:16" x14ac:dyDescent="0.2">
      <c r="A157" s="1148"/>
      <c r="B157" s="1158"/>
      <c r="C157" s="21" t="str">
        <f>IF(F151="","",F151)</f>
        <v/>
      </c>
      <c r="D157" s="51"/>
      <c r="E157" s="1166"/>
      <c r="F157" s="1163"/>
      <c r="G157" s="93"/>
      <c r="H157" s="139">
        <f>$H$25</f>
        <v>0</v>
      </c>
      <c r="I157" s="139">
        <f>$I$25</f>
        <v>0</v>
      </c>
      <c r="J157" s="44">
        <f>$J$25</f>
        <v>0</v>
      </c>
      <c r="K157" s="21"/>
      <c r="L157" s="21"/>
      <c r="M157" s="139">
        <f>$M$25</f>
        <v>0</v>
      </c>
      <c r="N157" s="1166"/>
      <c r="O157" s="1203"/>
    </row>
    <row r="158" spans="1:16" x14ac:dyDescent="0.2">
      <c r="A158" s="100" t="str">
        <f>$A$26</f>
        <v>Jan 2022</v>
      </c>
      <c r="B158" s="24">
        <f>ROUND(IF(N138=0,0,(LOOKUP(2,1/(A146:A149=A158),G146:G149))*N138*4.348),2)</f>
        <v>0</v>
      </c>
      <c r="C158" s="23">
        <f>ROUND(IFERROR(((LOOKUP(2,1/(B151=A158),((SUM(B164:B166)+SUM(E164:E166))/3)*C151))),0)+IFERROR(((LOOKUP(2,1/(E151=A158),(B170+E170)*F151))),0),2)</f>
        <v>0</v>
      </c>
      <c r="D158" s="23">
        <f>ROUND(IF(B158=0,0,D157/N135*N138),2)</f>
        <v>0</v>
      </c>
      <c r="E158" s="24">
        <f>ROUND(IF(N138=0,0,(LOOKUP(2,1/(A146:A149=A158),H146:H149))/N135*N138),2)</f>
        <v>0</v>
      </c>
      <c r="F158" s="27">
        <f>SUM(B158:E158)</f>
        <v>0</v>
      </c>
      <c r="G158" s="76">
        <f>ROUND(IF((SUM(B158:E158))&gt;K173,K173*G157,SUM(B158:E158)*G157),2)</f>
        <v>0</v>
      </c>
      <c r="H158" s="76">
        <f>ROUND(IF((SUM(B158:E158))&gt;K174,K174*H157,SUM(B158:E158)*H157),2)</f>
        <v>0</v>
      </c>
      <c r="I158" s="76">
        <f>ROUND(IF((SUM(B158:E158))&gt;K174,K174*I157,SUM(B158:E158)*I157),2)</f>
        <v>0</v>
      </c>
      <c r="J158" s="76">
        <f>ROUND(IF((SUM(B158:E158))&gt;K173,K173*J157,SUM(B158:E158)*J157),2)</f>
        <v>0</v>
      </c>
      <c r="K158" s="76">
        <f>ROUND(IF((SUM(B158:E158))&gt;K174,K174*K157,(SUM(B158:E158)-C158)*K157),2)</f>
        <v>0</v>
      </c>
      <c r="L158" s="76">
        <f>ROUND(IF((SUM(B158:E158))&gt;K174,K174*L157,(SUM(B158:E158)-C158)*L157),2)</f>
        <v>0</v>
      </c>
      <c r="M158" s="76">
        <f>ROUND(IF((SUM(B158:E158))&gt;K174,K174*M157,SUM(B158:E158)*M157),2)</f>
        <v>0</v>
      </c>
      <c r="N158" s="23"/>
      <c r="O158" s="27">
        <f>SUM(F158:N158)</f>
        <v>0</v>
      </c>
    </row>
    <row r="159" spans="1:16" x14ac:dyDescent="0.2">
      <c r="A159" s="100" t="str">
        <f>$A$27</f>
        <v>Feb 2022</v>
      </c>
      <c r="B159" s="24">
        <f>ROUND(IF(N139=0,0,IFERROR(((LOOKUP(2,1/(A146:A149=A159),G146:G149))*N139*4.348),B158/N139*N139)),2)</f>
        <v>0</v>
      </c>
      <c r="C159" s="23">
        <f>ROUND(IFERROR(((LOOKUP(2,1/(B151=A159),((SUM(B164:B166)+SUM(E164:E166))/3)*C151))),0)+IFERROR(((LOOKUP(2,1/(E151=A159),(B170+E170)*F151))),0),2)</f>
        <v>0</v>
      </c>
      <c r="D159" s="23">
        <f>ROUND(IF(B159=0,0,D157/N135*N139),2)</f>
        <v>0</v>
      </c>
      <c r="E159" s="24">
        <f>ROUND(IF(N139=0,0,IFERROR(((LOOKUP(2,1/(A146:A149=A159),H146:H149))/N135*N139),E158/N139*N139)),2)</f>
        <v>0</v>
      </c>
      <c r="F159" s="27">
        <f t="shared" ref="F159:F169" si="17">SUM(B159:E159)</f>
        <v>0</v>
      </c>
      <c r="G159" s="76">
        <f>ROUND(IF(SUM(B158:E158)&lt;(K173*1),IF((SUM(B158:E159))&gt;(K173*2),(((K173*2)-(SUM(B158:E159)-C158))*G157)+((SUM(B159:E159)-C158)*G157),SUM(B159:E159)*G157),IF(SUM(B158:E159)&gt;(K173*2),K173*G157,SUM(B159:E159)*G157)),2)</f>
        <v>0</v>
      </c>
      <c r="H159" s="76">
        <f>ROUND(IF(SUM(B158:E158)&lt;(K174*1),IF((SUM(B158:E159))&gt;(K174*2),(((K174*2)-(SUM(B158:E159)-C158))*H157)+((SUM(B159:E159)-C158)*H157),SUM(B159:E159)*H157),IF(SUM(B158:E159)&gt;(K174*2),K174*H157,SUM(B159:E159)*H157)),2)</f>
        <v>0</v>
      </c>
      <c r="I159" s="76">
        <f>ROUND(IF(SUM(B158:E158)&lt;(K174*1),IF((SUM(B158:E159))&gt;(K174*2),(((K174*2)-(SUM(B158:E159)-C158))*I157)+((SUM(B159:E159)-C158)*I157),SUM(B159:E159)*I157),IF(SUM(B158:E159)&gt;(K174*2),K174*I157,SUM(B159:E159)*I157)),2)</f>
        <v>0</v>
      </c>
      <c r="J159" s="76">
        <f>ROUND(IF(SUM(B158:E158)&lt;(K173*1),IF((SUM(B158:E159))&gt;(K173*2),(((K173*2)-(SUM(B158:E159)-C158))*J157)+((SUM(B159:E159)-C158)*J157),SUM(B159:E159)*J157),IF(SUM(B158:E159)&gt;(K173*2),K173*J157,SUM(B159:E159)*J157)),2)</f>
        <v>0</v>
      </c>
      <c r="K159" s="76">
        <f>ROUND(IF(SUM(B158:E158)&lt;(K174*1),IF((SUM(B158:E159))&gt;(K174*2),(((K174*2)-(SUM(B158:E159)-C159))*K157)+((SUM(B159:E159)-C159)*K157),(SUM(B159:E159)-C159)*K157),IF(SUM(B158:E159)&gt;(K174*2),K174*K157,SUM(B159:E159)*K157)),2)</f>
        <v>0</v>
      </c>
      <c r="L159" s="76">
        <f>ROUND(IF(SUM(B158:E158)&lt;(K174*1),IF((SUM(B158:E159))&gt;(K174*2),(((K174*2)-(SUM(B158:E159)-C159))*L157)+((SUM(B159:E159)-C159)*L157),(SUM(B159:E159)-C159)*L157),IF(SUM(B158:E159)&gt;(K174*2),K174*L157,SUM(B159:E159)*L157)),2)</f>
        <v>0</v>
      </c>
      <c r="M159" s="76">
        <f>ROUND(IF(SUM(B158:E158)&lt;(K174*1),IF((SUM(B158:E159))&gt;(K174*2),(((K174*2)-(SUM(B158:E159)-C158))*M157)+((SUM(B159:E159)-C158)*M157),SUM(B159:E159)*M157),IF(SUM(B158:E159)&gt;(K174*2),K174*M157,SUM(B159:E159)*M157)),2)</f>
        <v>0</v>
      </c>
      <c r="N159" s="23"/>
      <c r="O159" s="27">
        <f t="shared" ref="O159:O168" si="18">SUM(F159:N159)</f>
        <v>0</v>
      </c>
    </row>
    <row r="160" spans="1:16" x14ac:dyDescent="0.2">
      <c r="A160" s="100" t="str">
        <f>$A$28</f>
        <v>Mrz 2022</v>
      </c>
      <c r="B160" s="24">
        <f>ROUND(IF(N140=0,0,IFERROR(((LOOKUP(2,1/(A146:A149=A160),G146:G149))*N140*4.348),B159/N140*N140)),2)</f>
        <v>0</v>
      </c>
      <c r="C160" s="23">
        <f>ROUND(IFERROR(((LOOKUP(2,1/(B151=A160),((SUM(B164:B166)+SUM(E164:E166))/3)*C151))),0)+IFERROR(((LOOKUP(2,1/(E151=A160),(B170+E170)*F151))),0),2)</f>
        <v>0</v>
      </c>
      <c r="D160" s="23">
        <f>ROUND(IF(B160=0,0,D157/N135*N140),2)</f>
        <v>0</v>
      </c>
      <c r="E160" s="24">
        <f>ROUND(IF(N140=0,0,IFERROR(((LOOKUP(2,1/(A146:A149=A160),H146:H149))/N135*N140),E159/N140*N140)),2)</f>
        <v>0</v>
      </c>
      <c r="F160" s="27">
        <f t="shared" si="17"/>
        <v>0</v>
      </c>
      <c r="G160" s="76">
        <f>ROUND(IF(SUM(B158:E159)&lt;(K173*2),IF((SUM(B158:E160))&gt;(K173*3),(((K173*3)-(SUM(B158:E160)-C159))*G157)+((SUM(B160:E160)-C159)*G157),SUM(B160:E160)*G157),IF(SUM(B158:E160)&gt;(K173*3),K173*G157,SUM(B160:E160)*G157)),2)</f>
        <v>0</v>
      </c>
      <c r="H160" s="76">
        <f>ROUND(IF(SUM(B158:E159)&lt;(K174*2),IF((SUM(B158:E160))&gt;(K174*3),(((K174*3)-(SUM(B158:E160)-C159))*H157)+((SUM(B160:E160)-C159)*H157),SUM(B160:E160)*H157),IF(SUM(B158:E160)&gt;(K174*3),K174*H157,SUM(B160:E160)*H157)),2)</f>
        <v>0</v>
      </c>
      <c r="I160" s="76">
        <f>ROUND(IF(SUM(B158:E159)&lt;(K174*2),IF((SUM(B158:E160))&gt;(K174*3),(((K174*3)-(SUM(B158:E160)-C159))*I157)+((SUM(B160:E160)-C159)*I157),SUM(B160:E160)*I157),IF(SUM(B158:E160)&gt;(K174*3),K174*I157,SUM(B160:E160)*I157)),2)</f>
        <v>0</v>
      </c>
      <c r="J160" s="76">
        <f>ROUND(IF(SUM(B158:E159)&lt;(K173*2),IF((SUM(B158:E160))&gt;(K173*3),(((K173*3)-(SUM(B158:E160)-C159))*J157)+((SUM(B160:E160)-C159)*J157),SUM(B160:E160)*J157),IF(SUM(B158:E160)&gt;(K173*3),K173*J157,SUM(B160:E160)*J157)),2)</f>
        <v>0</v>
      </c>
      <c r="K160" s="76">
        <f>ROUND(IF(SUM(B158:E159)&lt;(K174*2),IF((SUM(B158:E160))&gt;(K174*3),(((K174*3)-(SUM(B158:E160)-C160))*K157)+((SUM(B160:E160)-C160)*K157),(SUM(B160:E160)-C160)*K157),IF(SUM(B158:E160)&gt;(K174*3),K174*K157,SUM(B160:E160)*K157)),2)</f>
        <v>0</v>
      </c>
      <c r="L160" s="76">
        <f>ROUND(IF(SUM(B158:E159)&lt;(K174*2),IF((SUM(B158:E160))&gt;(K174*3),(((K174*3)-(SUM(B158:E160)-C160))*L157)+((SUM(B160:E160)-C160)*L157),(SUM(B160:E160)-C160)*L157),IF(SUM(B158:E160)&gt;(K174*3),K174*L157,SUM(B160:E160)*L157)),2)</f>
        <v>0</v>
      </c>
      <c r="M160" s="76">
        <f>ROUND(IF(SUM(B158:E159)&lt;(K174*2),IF((SUM(B158:E160))&gt;(K174*3),(((K174*3)-(SUM(B158:E160)-C159))*M157)+((SUM(B160:E160)-C159)*M157),SUM(B160:E160)*M157),IF(SUM(B158:E160)&gt;(K174*3),K174*M157,SUM(B160:E160)*M157)),2)</f>
        <v>0</v>
      </c>
      <c r="N160" s="23"/>
      <c r="O160" s="27">
        <f t="shared" si="18"/>
        <v>0</v>
      </c>
    </row>
    <row r="161" spans="1:16" x14ac:dyDescent="0.2">
      <c r="A161" s="100" t="str">
        <f>$A$29</f>
        <v>Apr 2022</v>
      </c>
      <c r="B161" s="24">
        <f>ROUND(IF(N141=0,0,IFERROR(((LOOKUP(2,1/(A146:A149=A161),G146:G149))*N141*4.348),B160/N141*N141)),2)</f>
        <v>0</v>
      </c>
      <c r="C161" s="23">
        <f>ROUND(IFERROR(((LOOKUP(2,1/(B151=A161),((SUM(B164:B166)+SUM(E164:E166))/3)*C151))),0)+IFERROR(((LOOKUP(2,1/(E151=A161),(B170+E170)*F151))),0),2)</f>
        <v>0</v>
      </c>
      <c r="D161" s="23">
        <f>ROUND(IF(B161=0,0,D157/N135*N141),2)</f>
        <v>0</v>
      </c>
      <c r="E161" s="24">
        <f>ROUND(IF(N141=0,0,IFERROR(((LOOKUP(2,1/(A146:A149=A161),H146:H149))/N135*N141),E160/N141*N141)),2)</f>
        <v>0</v>
      </c>
      <c r="F161" s="27">
        <f t="shared" si="17"/>
        <v>0</v>
      </c>
      <c r="G161" s="76">
        <f>ROUND(IF(SUM(B158:E160)&lt;(K173*3),IF((SUM(B158:E161))&gt;(K173*4),(((K173*4)-(SUM(B158:E161)-C160))*G157)+((SUM(B161:E161)-C160)*G157),SUM(B161:E161)*G157),IF(SUM(B158:E161)&gt;(K173*4),K173*G157,SUM(B161:E161)*G157)),2)</f>
        <v>0</v>
      </c>
      <c r="H161" s="76">
        <f>ROUND(IF(SUM(B158:E160)&lt;(K174*3),IF((SUM(B158:E161))&gt;(K174*4),(((K174*4)-(SUM(B158:E161)-C160))*H157)+((SUM(B161:E161)-C160)*H157),SUM(B161:E161)*H157),IF(SUM(B158:E161)&gt;(K174*4),K174*H157,SUM(B161:E161)*H157)),2)</f>
        <v>0</v>
      </c>
      <c r="I161" s="76">
        <f>ROUND(IF(SUM(B158:E160)&lt;(K174*3),IF((SUM(B158:E161))&gt;(K174*4),(((K174*4)-(SUM(B158:E161)-C160))*I157)+((SUM(B161:E161)-C160)*I157),SUM(B161:E161)*I157),IF(SUM(B158:E161)&gt;(K174*4),K174*I157,SUM(B161:E161)*I157)),2)</f>
        <v>0</v>
      </c>
      <c r="J161" s="76">
        <f>ROUND(IF(SUM(B158:E160)&lt;(K173*3),IF((SUM(B158:E161))&gt;(K173*4),(((K173*4)-(SUM(B158:E161)-C160))*J157)+((SUM(B161:E161)-C160)*J157),SUM(B161:E161)*J157),IF(SUM(B158:E161)&gt;(K173*4),K173*J157,SUM(B161:E161)*J157)),2)</f>
        <v>0</v>
      </c>
      <c r="K161" s="76">
        <f>ROUND(IF(SUM(B158:E160)&lt;(K174*3),IF((SUM(B158:E161))&gt;(K174*4),(((K174*4)-(SUM(B158:E161)-C161))*K157)+((SUM(B161:E161)-C161)*K157),(SUM(B161:E161)-C161)*K157),IF(SUM(B158:E161)&gt;(K174*4),K174*K157,SUM(B161:E161)*K157)),2)</f>
        <v>0</v>
      </c>
      <c r="L161" s="76">
        <f>ROUND(IF(SUM(B158:E160)&lt;(K174*3),IF((SUM(B158:E161))&gt;(K174*4),(((K174*4)-(SUM(B158:E161)-C161))*L157)+((SUM(B161:E161)-C161)*L157),(SUM(B161:E161)-C161)*L157),IF(SUM(B158:E161)&gt;(K174*4),K174*L157,SUM(B161:E161)*L157)),2)</f>
        <v>0</v>
      </c>
      <c r="M161" s="76">
        <f>ROUND(IF(SUM(B158:E160)&lt;(K174*3),IF((SUM(B158:E161))&gt;(K174*4),(((K174*4)-(SUM(B158:E161)-C160))*M157)+((SUM(B161:E161)-C160)*M157),SUM(B161:E161)*M157),IF(SUM(B158:E161)&gt;(K174*4),K174*M157,SUM(B161:E161)*M157)),2)</f>
        <v>0</v>
      </c>
      <c r="N161" s="23"/>
      <c r="O161" s="27">
        <f t="shared" si="18"/>
        <v>0</v>
      </c>
    </row>
    <row r="162" spans="1:16" x14ac:dyDescent="0.2">
      <c r="A162" s="100" t="str">
        <f>$A$30</f>
        <v>Mai 2022</v>
      </c>
      <c r="B162" s="24">
        <f>ROUND(IF(N142=0,0,IFERROR(((LOOKUP(2,1/(A146:A149=A162),G146:G149))*N142*4.348),B161/N142*N142)),2)</f>
        <v>0</v>
      </c>
      <c r="C162" s="23">
        <f>ROUND(IFERROR(((LOOKUP(2,1/(B151=A162),((SUM(B164:B166)+SUM(E164:E166))/3)*C151))),0)+IFERROR(((LOOKUP(2,1/(E151=A162),(B170+E170)*F151))),0),2)</f>
        <v>0</v>
      </c>
      <c r="D162" s="23">
        <f>ROUND(IF(B162=0,0,D157/N135*N142),2)</f>
        <v>0</v>
      </c>
      <c r="E162" s="24">
        <f>ROUND(IF(N142=0,0,IFERROR(((LOOKUP(2,1/(A146:A149=A162),H146:H149))/N135*N142),E161/N142*N142)),2)</f>
        <v>0</v>
      </c>
      <c r="F162" s="27">
        <f t="shared" si="17"/>
        <v>0</v>
      </c>
      <c r="G162" s="76">
        <f>ROUND(IF(SUM(B158:E161)&lt;(K173*4),IF((SUM(B158:E162))&gt;(K173*5),(((K173*5)-(SUM(B158:E162)-C161))*G157)+((SUM(B162:E162)-C161)*G157),SUM(B162:E162)*G157),IF(SUM(B158:E162)&gt;(K173*5),K173*G157,SUM(B162:E162)*G157)),2)</f>
        <v>0</v>
      </c>
      <c r="H162" s="76">
        <f>ROUND(IF(SUM(B158:E161)&lt;(K174*4),IF((SUM(B158:E162))&gt;(K174*5),(((K174*5)-(SUM(B158:E162)-C161))*H157)+((SUM(B162:E162)-C161)*H157),SUM(B162:E162)*H157),IF(SUM(B158:E162)&gt;(K174*5),K174*H157,SUM(B162:E162)*H157)),2)</f>
        <v>0</v>
      </c>
      <c r="I162" s="76">
        <f>ROUND(IF(SUM(B158:E161)&lt;(K174*4),IF((SUM(B158:E162))&gt;(K174*5),(((K174*5)-(SUM(B158:E162)-C161))*I157)+((SUM(B162:E162)-C161)*I157),SUM(B162:E162)*I157),IF(SUM(B158:E162)&gt;(K174*5),K174*I157,SUM(B162:E162)*I157)),2)</f>
        <v>0</v>
      </c>
      <c r="J162" s="76">
        <f>ROUND(IF(SUM(B158:E161)&lt;(K173*4),IF((SUM(B158:E162))&gt;(K173*5),(((K173*5)-(SUM(B158:E162)-C161))*J157)+((SUM(B162:E162)-C161)*J157),SUM(B162:E162)*J157),IF(SUM(B158:E162)&gt;(K173*5),K173*J157,SUM(B162:E162)*J157)),2)</f>
        <v>0</v>
      </c>
      <c r="K162" s="76">
        <f>ROUND(IF(SUM(B158:E161)&lt;(K174*4),IF((SUM(B158:E162))&gt;(K174*5),(((K174*5)-(SUM(B158:E162)-C162))*K157)+((SUM(B162:E162)-C162)*K157),(SUM(B162:E162)-C162)*K157),IF(SUM(B158:E162)&gt;(K174*5),K174*K157,SUM(B162:E162)*K157)),2)</f>
        <v>0</v>
      </c>
      <c r="L162" s="76">
        <f>ROUND(IF(SUM(B158:E161)&lt;(K174*4),IF((SUM(B158:E162))&gt;(K174*5),(((K174*5)-(SUM(B158:E162)-C162))*L157)+((SUM(B162:E162)-C162)*L157),(SUM(B162:E162)-C162)*L157),IF(SUM(B158:E162)&gt;(K174*5),K174*L157,SUM(B162:E162)*L157)),2)</f>
        <v>0</v>
      </c>
      <c r="M162" s="76">
        <f>ROUND(IF(SUM(B158:E161)&lt;(K174*4),IF((SUM(B158:E162))&gt;(K174*5),(((K174*5)-(SUM(B158:E162)-C161))*M157)+((SUM(B162:E162)-C161)*M157),SUM(B162:E162)*M157),IF(SUM(B158:E162)&gt;(K174*5),K174*M157,SUM(B162:E162)*M157)),2)</f>
        <v>0</v>
      </c>
      <c r="N162" s="23"/>
      <c r="O162" s="27">
        <f t="shared" si="18"/>
        <v>0</v>
      </c>
    </row>
    <row r="163" spans="1:16" x14ac:dyDescent="0.2">
      <c r="A163" s="100" t="str">
        <f>$A$31</f>
        <v>Jun 2022</v>
      </c>
      <c r="B163" s="24">
        <f>ROUND(IF(N143=0,0,IFERROR(((LOOKUP(2,1/(A146:A149=A163),G146:G149))*N143*4.348),B162/N143*N143)),2)</f>
        <v>0</v>
      </c>
      <c r="C163" s="23">
        <f>ROUND(IFERROR(((LOOKUP(2,1/(B151=A163),((SUM(B164:B166)+SUM(E164:E166))/3)*C151))),0)+IFERROR(((LOOKUP(2,1/(E151=A163),(B170+E170)*F151))),0),2)</f>
        <v>0</v>
      </c>
      <c r="D163" s="23">
        <f>ROUND(IF(B163=0,0,D157/N135*N143),2)</f>
        <v>0</v>
      </c>
      <c r="E163" s="24">
        <f>ROUND(IF(N143=0,0,IFERROR(((LOOKUP(2,1/(A146:A149=A163),H146:H149))/N135*N143),E162/N143*N143)),2)</f>
        <v>0</v>
      </c>
      <c r="F163" s="27">
        <f t="shared" si="17"/>
        <v>0</v>
      </c>
      <c r="G163" s="76">
        <f>ROUND(IF(SUM(B158:E162)&lt;(K173*5),IF((SUM(B158:E163))&gt;(K173*6),(((K173*6)-(SUM(B158:E163)-C162))*G157)+((SUM(B163:E163)-C162)*G157),SUM(B163:E163)*G157),IF(SUM(B158:E163)&gt;(K173*6),K173*G157,SUM(B163:E163)*G157)),2)</f>
        <v>0</v>
      </c>
      <c r="H163" s="76">
        <f>ROUND(IF(SUM(B158:E162)&lt;(K174*5),IF((SUM(B158:E163))&gt;(K174*6),(((K174*6)-(SUM(B158:E163)-C162))*H157)+((SUM(B163:E163)-C162)*H157),SUM(B163:E163)*H157),IF(SUM(B158:E163)&gt;(K174*6),K174*H157,SUM(B163:E163)*H157)),2)</f>
        <v>0</v>
      </c>
      <c r="I163" s="76">
        <f>ROUND(IF(SUM(B158:E162)&lt;(K174*5),IF((SUM(B158:E163))&gt;(K174*6),(((K174*6)-(SUM(B158:E163)-C162))*I157)+((SUM(B163:E163)-C162)*I157),SUM(B163:E163)*I157),IF(SUM(B158:E163)&gt;(K174*6),K174*I157,SUM(B163:E163)*I157)),2)</f>
        <v>0</v>
      </c>
      <c r="J163" s="76">
        <f>ROUND(IF(SUM(B158:E162)&lt;(K173*5),IF((SUM(B158:E163))&gt;(K173*6),(((K173*6)-(SUM(B158:E163)-C162))*J157)+((SUM(B163:E163)-C162)*J157),SUM(B163:E163)*J157),IF(SUM(B158:E163)&gt;(K173*6),K173*J157,SUM(B163:E163)*J157)),2)</f>
        <v>0</v>
      </c>
      <c r="K163" s="76">
        <f>ROUND(IF(SUM(B158:E162)&lt;(K174*5),IF((SUM(B158:E163))&gt;(K174*6),(((K174*6)-(SUM(B158:E163)-C163))*K157)+((SUM(B163:E163)-C163)*K157),(SUM(B163:E163)-C163)*K157),IF(SUM(B158:E163)&gt;(K174*6),K174*K157,SUM(B163:E163)*K157)),2)</f>
        <v>0</v>
      </c>
      <c r="L163" s="76">
        <f>ROUND(IF(SUM(B158:E162)&lt;(K174*5),IF((SUM(B158:E163))&gt;(K174*6),(((K174*6)-(SUM(B158:E163)-C163))*L157)+((SUM(B163:E163)-C163)*L157),(SUM(B163:E163)-C163)*L157),IF(SUM(B158:E163)&gt;(K174*6),K174*L157,SUM(B163:E163)*L157)),2)</f>
        <v>0</v>
      </c>
      <c r="M163" s="76">
        <f>ROUND(IF(SUM(B158:E162)&lt;(K174*5),IF((SUM(B158:E163))&gt;(K174*6),(((K174*6)-(SUM(B158:E163)-C162))*M157)+((SUM(B163:E163)-C162)*M157),SUM(B163:E163)*M157),IF(SUM(B158:E163)&gt;(K174*6),K174*M157,SUM(B163:E163)*M157)),2)</f>
        <v>0</v>
      </c>
      <c r="N163" s="23"/>
      <c r="O163" s="27">
        <f t="shared" si="18"/>
        <v>0</v>
      </c>
    </row>
    <row r="164" spans="1:16" x14ac:dyDescent="0.2">
      <c r="A164" s="100" t="str">
        <f>$A$32</f>
        <v>Jul 2022</v>
      </c>
      <c r="B164" s="24">
        <f>ROUND(IF(P138=0,0,IFERROR(((LOOKUP(2,1/(A146:A149=A164),G146:G149))*P138*4.348),B163/P138*P138)),2)</f>
        <v>0</v>
      </c>
      <c r="C164" s="23">
        <f>ROUND(IFERROR(((LOOKUP(2,1/(B151=A164),((SUM(B164:B166)+SUM(E164:E166))/3)*C151))),0)+IFERROR(((LOOKUP(2,1/(E151=A164),(B170+E170)*F151))),0),2)</f>
        <v>0</v>
      </c>
      <c r="D164" s="23">
        <f>ROUND(IF(B164=0,0,D157/N135*P138),2)</f>
        <v>0</v>
      </c>
      <c r="E164" s="24">
        <f>ROUND(IF(P138=0,0,IFERROR(((LOOKUP(2,1/(A146:A149=A164),H146:H149))/N135*P138),E163/P138*P138)),2)</f>
        <v>0</v>
      </c>
      <c r="F164" s="27">
        <f t="shared" si="17"/>
        <v>0</v>
      </c>
      <c r="G164" s="76">
        <f>ROUND(IF(SUM(B158:E163)&lt;(K173*6),IF((SUM(B158:E164))&gt;(K173*7),(((K173*7)-(SUM(B158:E164)-C163))*G157)+((SUM(B164:E164)-C163)*G157),SUM(B164:E164)*G157),IF(SUM(B158:E164)&gt;(K173*7),K173*G157,SUM(B164:E164)*G157)),2)</f>
        <v>0</v>
      </c>
      <c r="H164" s="76">
        <f>ROUND(IF(SUM(B158:E163)&lt;(K174*6),IF((SUM(B158:E164))&gt;(K174*7),(((K174*7)-(SUM(B158:E164)-C163))*H157)+((SUM(B164:E164)-C163)*H157),SUM(B164:E164)*H157),IF(SUM(B158:E164)&gt;(K174*7),K174*H157,SUM(B164:E164)*H157)),2)</f>
        <v>0</v>
      </c>
      <c r="I164" s="76">
        <f>ROUND(IF(SUM(B158:E163)&lt;(K174*6),IF((SUM(B158:E164))&gt;(K174*7),(((K174*7)-(SUM(B158:E164)-C163))*I157)+((SUM(B164:E164)-C163)*I157),SUM(B164:E164)*I157),IF(SUM(B158:E164)&gt;(K174*7),K174*I157,SUM(B164:E164)*I157)),2)</f>
        <v>0</v>
      </c>
      <c r="J164" s="76">
        <f>ROUND(IF(SUM(B158:E163)&lt;(K173*6),IF((SUM(B158:E164))&gt;(K173*7),(((K173*7)-(SUM(B158:E164)-C163))*J157)+((SUM(B164:E164)-C163)*J157),SUM(B164:E164)*J157),IF(SUM(B158:E164)&gt;(K173*7),K173*J157,SUM(B164:E164)*J157)),2)</f>
        <v>0</v>
      </c>
      <c r="K164" s="76">
        <f>ROUND(IF(SUM(B158:E163)&lt;(K174*6),IF((SUM(B158:E164))&gt;(K174*7),(((K174*7)-(SUM(B158:E164)-C164))*K157)+((SUM(B164:E164)-C164)*K157),(SUM(B164:E164)-C164)*K157),IF(SUM(B158:E164)&gt;(K174*7),K174*K157,SUM(B164:E164)*K157)),2)</f>
        <v>0</v>
      </c>
      <c r="L164" s="76">
        <f>ROUND(IF(SUM(B158:E163)&lt;(K174*6),IF((SUM(B158:E164))&gt;(K174*7),(((K174*7)-(SUM(B158:E164)-C164))*L157)+((SUM(B164:E164)-C164)*L157),(SUM(B164:E164)-C164)*L157),IF(SUM(B158:E164)&gt;(K174*7),K174*L157,SUM(B164:E164)*L157)),2)</f>
        <v>0</v>
      </c>
      <c r="M164" s="76">
        <f>ROUND(IF(SUM(B158:E163)&lt;(K174*6),IF((SUM(B158:E164))&gt;(K174*7),(((K174*7)-(SUM(B158:E164)-C163))*M157)+((SUM(B164:E164)-C163)*M157),SUM(B164:E164)*M157),IF(SUM(B158:E164)&gt;(K174*7),K174*M157,SUM(B164:E164)*M157)),2)</f>
        <v>0</v>
      </c>
      <c r="N164" s="23"/>
      <c r="O164" s="27">
        <f t="shared" si="18"/>
        <v>0</v>
      </c>
    </row>
    <row r="165" spans="1:16" x14ac:dyDescent="0.2">
      <c r="A165" s="100" t="str">
        <f>$A$33</f>
        <v>Aug 2022</v>
      </c>
      <c r="B165" s="24">
        <f>ROUND(IF(P139=0,0,IFERROR(((LOOKUP(2,1/(A146:A149=A165),G146:G149))*P139*4.348),B164/P139*P139)),2)</f>
        <v>0</v>
      </c>
      <c r="C165" s="23">
        <f>ROUND(IFERROR(((LOOKUP(2,1/(B151=A165),((SUM(B164:B166)+SUM(E164:E166))/3)*C151))),0)+IFERROR(((LOOKUP(2,1/(E151=A165),(B170+E170)*F151))),0),2)</f>
        <v>0</v>
      </c>
      <c r="D165" s="23">
        <f>ROUND(IF(B165=0,0,D157/N135*P139),2)</f>
        <v>0</v>
      </c>
      <c r="E165" s="24">
        <f>ROUND(IF(P139=0,0,IFERROR(((LOOKUP(2,1/(A146:A149=A165),H146:H149))/N135*P139),E164/P139*P139)),2)</f>
        <v>0</v>
      </c>
      <c r="F165" s="27">
        <f t="shared" si="17"/>
        <v>0</v>
      </c>
      <c r="G165" s="76">
        <f>ROUND(IF(SUM(B158:E164)&lt;(K173*7),IF((SUM(B158:E165))&gt;(K173*8),(((K173*8)-(SUM(B158:E165)-C164))*G157)+((SUM(B165:E165)-C164)*G157),SUM(B165:E165)*G157),IF(SUM(B158:E165)&gt;(K173*8),K173*G157,SUM(B165:E165)*G157)),2)</f>
        <v>0</v>
      </c>
      <c r="H165" s="76">
        <f>ROUND(IF(SUM(B158:E164)&lt;(K174*7),IF((SUM(B158:E165))&gt;(K174*8),(((K174*8)-(SUM(B158:E165)-C164))*H157)+((SUM(B165:E165)-C164)*H157),SUM(B165:E165)*H157),IF(SUM(B158:E165)&gt;(K174*8),K174*H157,SUM(B165:E165)*H157)),2)</f>
        <v>0</v>
      </c>
      <c r="I165" s="76">
        <f>ROUND(IF(SUM(B158:E164)&lt;(K174*7),IF((SUM(B158:E165))&gt;(K174*8),(((K174*8)-(SUM(B158:E165)-C164))*I157)+((SUM(B165:E165)-C164)*I157),SUM(B165:E165)*I157),IF(SUM(B158:E165)&gt;(K174*8),K174*I157,SUM(B165:E165)*I157)),2)</f>
        <v>0</v>
      </c>
      <c r="J165" s="76">
        <f>ROUND(IF(SUM(B158:E164)&lt;(K173*7),IF((SUM(B158:E165))&gt;(K173*8),(((K173*8)-(SUM(B158:E165)-C164))*J157)+((SUM(B165:E165)-C164)*J157),SUM(B165:E165)*J157),IF(SUM(B158:E165)&gt;(K173*8),K173*J157,SUM(B165:E165)*J157)),2)</f>
        <v>0</v>
      </c>
      <c r="K165" s="76">
        <f>ROUND(IF(SUM(B158:E164)&lt;(K174*7),IF((SUM(B158:E165))&gt;(K174*8),(((K174*8)-(SUM(B158:E165)-C165))*K157)+((SUM(B165:E165)-C165)*K157),(SUM(B165:E165)-C165)*K157),IF(SUM(B158:E165)&gt;(K174*8),K174*K157,SUM(B165:E165)*K157)),2)</f>
        <v>0</v>
      </c>
      <c r="L165" s="76">
        <f>ROUND(IF(SUM(B158:E164)&lt;(K174*7),IF((SUM(B158:E165))&gt;(K174*8),(((K174*8)-(SUM(B158:E165)-C165))*L157)+((SUM(B165:E165)-C165)*L157),(SUM(B165:E165)-C165)*L157),IF(SUM(B158:E165)&gt;(K174*8),K174*L157,SUM(B165:E165)*L157)),2)</f>
        <v>0</v>
      </c>
      <c r="M165" s="76">
        <f>ROUND(IF(SUM(B158:E164)&lt;(K174*7),IF((SUM(B158:E165))&gt;(K174*8),(((K174*8)-(SUM(B158:E165)-C164))*M157)+((SUM(B165:E165)-C164)*M157),SUM(B165:E165)*M157),IF(SUM(B158:E165)&gt;(K174*8),K174*M157,SUM(B165:E165)*M157)),2)</f>
        <v>0</v>
      </c>
      <c r="N165" s="23"/>
      <c r="O165" s="27">
        <f t="shared" si="18"/>
        <v>0</v>
      </c>
    </row>
    <row r="166" spans="1:16" x14ac:dyDescent="0.2">
      <c r="A166" s="100" t="str">
        <f>$A$34</f>
        <v>Sep 2022</v>
      </c>
      <c r="B166" s="24">
        <f>ROUND(IF(P140=0,0,IFERROR(((LOOKUP(2,1/(A146:A149=A166),G146:G149))*P140*4.348),B165/P140*P140)),2)</f>
        <v>0</v>
      </c>
      <c r="C166" s="23">
        <f>ROUND(IFERROR(((LOOKUP(2,1/(B151=A166),((SUM(B164:B166)+SUM(E164:E166))/3)*C151))),0)+IFERROR(((LOOKUP(2,1/(E151=A166),(B170+E170)*F151))),0),2)</f>
        <v>0</v>
      </c>
      <c r="D166" s="23">
        <f>ROUND(IF(B166=0,0,D157/N135*P140),2)</f>
        <v>0</v>
      </c>
      <c r="E166" s="24">
        <f>ROUND(IF(P140=0,0,IFERROR(((LOOKUP(2,1/(A146:A149=A166),H146:H149))/N135*P140),E165/P140*P140)),2)</f>
        <v>0</v>
      </c>
      <c r="F166" s="27">
        <f t="shared" si="17"/>
        <v>0</v>
      </c>
      <c r="G166" s="76">
        <f>ROUND(IF(SUM(B158:E165)&lt;(K173*8),IF((SUM(B158:E166))&gt;(K173*9),(((K173*9)-(SUM(B158:E166)-C165))*G157)+((SUM(B166:E166)-C165)*G157),SUM(B166:E166)*G157),IF(SUM(B158:E166)&gt;(K173*9),K173*G157,SUM(B166:E166)*G157)),2)</f>
        <v>0</v>
      </c>
      <c r="H166" s="76">
        <f>ROUND(IF(SUM(B158:E165)&lt;(K174*8),IF((SUM(B158:E166))&gt;(K174*9),(((K174*9)-(SUM(B158:E166)-C165))*H157)+((SUM(B166:E166)-C165)*H157),SUM(B166:E166)*H157),IF(SUM(B158:E166)&gt;(K174*9),K174*H157,SUM(B166:E166)*H157)),2)</f>
        <v>0</v>
      </c>
      <c r="I166" s="76">
        <f>ROUND(IF(SUM(B158:E165)&lt;(K174*8),IF((SUM(B158:E166))&gt;(K174*9),(((K174*9)-(SUM(B158:E166)-C165))*I157)+((SUM(B166:E166)-C165)*I157),SUM(B166:E166)*I157),IF(SUM(B158:E166)&gt;(K174*9),K174*I157,SUM(B166:E166)*I157)),2)</f>
        <v>0</v>
      </c>
      <c r="J166" s="76">
        <f>ROUND(IF(SUM(B158:E165)&lt;(K173*8),IF((SUM(B158:E166))&gt;(K173*9),(((K173*9)-(SUM(B158:E166)-C165))*J157)+((SUM(B166:E166)-C165)*J157),SUM(B166:E166)*J157),IF(SUM(B158:E166)&gt;(K173*9),K173*J157,SUM(B166:E166)*J157)),2)</f>
        <v>0</v>
      </c>
      <c r="K166" s="76">
        <f>ROUND(IF(SUM(B158:E165)&lt;(K174*8),IF((SUM(B158:E166))&gt;(K174*9),(((K174*9)-(SUM(B158:E166)-C166))*K157)+((SUM(B166:E166)-C166)*K157),(SUM(B166:E166)-C166)*K157),IF(SUM(B158:E166)&gt;(K174*9),K174*K157,SUM(B166:E166)*K157)),2)</f>
        <v>0</v>
      </c>
      <c r="L166" s="76">
        <f>ROUND(IF(SUM(B158:E165)&lt;(K174*8),IF((SUM(B158:E166))&gt;(K174*9),(((K174*9)-(SUM(B158:E166)-C166))*L157)+((SUM(B166:E166)-C166)*L157),(SUM(B166:E166)-C166)*L157),IF(SUM(B158:E166)&gt;(K174*9),K174*L157,SUM(B166:E166)*L157)),2)</f>
        <v>0</v>
      </c>
      <c r="M166" s="76">
        <f>ROUND(IF(SUM(B158:E165)&lt;(K174*8),IF((SUM(B158:E166))&gt;(K174*9),(((K174*9)-(SUM(B158:E166)-C165))*M157)+((SUM(B166:E166)-C165)*M157),SUM(B166:E166)*M157),IF(SUM(B158:E166)&gt;(K174*9),K174*M157,SUM(B166:E166)*M157)),2)</f>
        <v>0</v>
      </c>
      <c r="N166" s="23"/>
      <c r="O166" s="27">
        <f t="shared" si="18"/>
        <v>0</v>
      </c>
    </row>
    <row r="167" spans="1:16" x14ac:dyDescent="0.2">
      <c r="A167" s="100" t="str">
        <f>$A$35</f>
        <v>Okt 2022</v>
      </c>
      <c r="B167" s="24">
        <f>ROUND(IF(P141=0,0,IFERROR(((LOOKUP(2,1/(A146:A149=A167),G146:G149))*P141*4.348),B166/P141*P141)),2)</f>
        <v>0</v>
      </c>
      <c r="C167" s="23">
        <f>ROUND(IFERROR(((LOOKUP(2,1/(B151=A167),((SUM(B164:B166)+SUM(E164:E166))/3)*C151))),0)+IFERROR(((LOOKUP(2,1/(E151=A167),(B170+E170)*F151))),0),2)</f>
        <v>0</v>
      </c>
      <c r="D167" s="23">
        <f>ROUND(IF(B167=0,0,D157/N135*P141),2)</f>
        <v>0</v>
      </c>
      <c r="E167" s="24">
        <f>ROUND(IF(P141=0,0,IFERROR(((LOOKUP(2,1/(A146:A149=A167),H146:H149))/N135*P141),E166/P141*P141)),2)</f>
        <v>0</v>
      </c>
      <c r="F167" s="27">
        <f t="shared" si="17"/>
        <v>0</v>
      </c>
      <c r="G167" s="76">
        <f>ROUND(IF(SUM(B158:E166)&lt;(K173*9),IF((SUM(B158:E167))&gt;(K173*10),(((K173*10)-(SUM(B158:E167)-C166))*G157)+((SUM(B167:E167)-C166)*G157),SUM(B167:E167)*G157),IF(SUM(B158:E167)&gt;(K173*10),K173*G157,SUM(B167:E167)*G157)),2)</f>
        <v>0</v>
      </c>
      <c r="H167" s="76">
        <f>ROUND(IF(SUM(B158:E166)&lt;(K174*9),IF((SUM(B158:E167))&gt;(K174*10),(((K174*10)-(SUM(B158:E167)-C166))*H157)+((SUM(B167:E167)-C166)*H157),SUM(B167:E167)*H157),IF(SUM(B158:E167)&gt;(K174*10),K174*H157,SUM(B167:E167)*H157)),2)</f>
        <v>0</v>
      </c>
      <c r="I167" s="76">
        <f>ROUND(IF(SUM(B158:E166)&lt;(K174*9),IF((SUM(B158:E167))&gt;(K174*10),(((K174*10)-(SUM(B158:E167)-C166))*I157)+((SUM(B167:E167)-C166)*I157),SUM(B167:E167)*I157),IF(SUM(B158:E167)&gt;(K174*10),K174*I157,SUM(B167:E167)*I157)),2)</f>
        <v>0</v>
      </c>
      <c r="J167" s="76">
        <f>ROUND(IF(SUM(B158:E166)&lt;(K173*9),IF((SUM(B158:E167))&gt;(K173*10),(((K173*10)-(SUM(B158:E167)-C166))*J157)+((SUM(B167:E167)-C166)*J157),SUM(B167:E167)*J157),IF(SUM(B158:E167)&gt;(K173*10),K173*J157,SUM(B167:E167)*J157)),2)</f>
        <v>0</v>
      </c>
      <c r="K167" s="76">
        <f>ROUND(IF(SUM(B158:E166)&lt;(K174*9),IF((SUM(B158:E167))&gt;(K174*10),(((K174*10)-(SUM(B158:E167)-C167))*K157)+((SUM(B167:E167)-C167)*K157),(SUM(B167:E167)-C167)*K157),IF(SUM(B158:E167)&gt;(K174*10),K174*K157,SUM(B167:E167)*K157)),2)</f>
        <v>0</v>
      </c>
      <c r="L167" s="76">
        <f>ROUND(IF(SUM(B158:E166)&lt;(K174*9),IF((SUM(B158:E167))&gt;(K174*10),(((K174*10)-(SUM(B158:E167)-C167))*L157)+((SUM(B167:E167)-C167)*L157),(SUM(B167:E167)-C167)*L157),IF(SUM(B158:E167)&gt;(K174*10),K174*L157,SUM(B167:E167)*L157)),2)</f>
        <v>0</v>
      </c>
      <c r="M167" s="76">
        <f>ROUND(IF(SUM(B158:E166)&lt;(K174*9),IF((SUM(B158:E167))&gt;(K174*10),(((K174*10)-(SUM(B158:E167)-C166))*M157)+((SUM(B167:E167)-C166)*M157),SUM(B167:E167)*M157),IF(SUM(B158:E167)&gt;(K174*10),K174*M157,SUM(B167:E167)*M157)),2)</f>
        <v>0</v>
      </c>
      <c r="N167" s="23"/>
      <c r="O167" s="27">
        <f t="shared" si="18"/>
        <v>0</v>
      </c>
    </row>
    <row r="168" spans="1:16" x14ac:dyDescent="0.2">
      <c r="A168" s="100" t="str">
        <f>$A$36</f>
        <v>Nov 2022</v>
      </c>
      <c r="B168" s="24">
        <f>ROUND(IF(P142=0,0,IFERROR(((LOOKUP(2,1/(A146:A149=A168),G146:G149))*P142*4.348),B167/P142*P142)),2)</f>
        <v>0</v>
      </c>
      <c r="C168" s="23">
        <f>ROUND(IFERROR(((LOOKUP(2,1/(B151=A168),((SUM(B164:B166)+SUM(E164:E166))/3)*C151))),0)+IFERROR(((LOOKUP(2,1/(E151=A168),(B170+E170)*F151))),0),2)</f>
        <v>0</v>
      </c>
      <c r="D168" s="23">
        <f>ROUND(IF(B168=0,0,D157/N135*P142),2)</f>
        <v>0</v>
      </c>
      <c r="E168" s="24">
        <f>ROUND(IF(P142=0,0,IFERROR(((LOOKUP(2,1/(A146:A149=A168),H146:H149))/N135*P142),E167/P142*P142)),2)</f>
        <v>0</v>
      </c>
      <c r="F168" s="27">
        <f t="shared" si="17"/>
        <v>0</v>
      </c>
      <c r="G168" s="76">
        <f>ROUND(IF(SUM(B158:E167)&lt;(K173*10),IF((SUM(B158:E168))&gt;(K173*11),(((K173*11)-(SUM(B158:E168)-C167))*G157)+((SUM(B168:E168)-C167)*G157),SUM(B168:E168)*G157),IF(SUM(B158:E168)&gt;(K173*11),K173*G157,SUM(B168:E168)*G157)),2)</f>
        <v>0</v>
      </c>
      <c r="H168" s="76">
        <f>ROUND(IF(SUM(B158:E167)&lt;(K174*10),IF((SUM(B158:E168))&gt;(K174*11),(((K174*11)-(SUM(B158:E168)-C167))*H157)+((SUM(B168:E168)-C167)*H157),SUM(B168:E168)*H157),IF(SUM(B158:E168)&gt;(K174*11),K174*H157,SUM(B168:E168)*H157)),2)</f>
        <v>0</v>
      </c>
      <c r="I168" s="76">
        <f>ROUND(IF(SUM(B158:E167)&lt;(K174*10),IF((SUM(B158:E168))&gt;(K174*11),(((K174*11)-(SUM(B158:E168)-C167))*I157)+((SUM(B168:E168)-C167)*I157),SUM(B168:E168)*I157),IF(SUM(B158:E168)&gt;(K174*11),K174*I157,SUM(B168:E168)*I157)),2)</f>
        <v>0</v>
      </c>
      <c r="J168" s="76">
        <f>ROUND(IF(SUM(B158:E167)&lt;(K173*10),IF((SUM(B158:E168))&gt;(K173*11),(((K173*11)-(SUM(B158:E168)-C167))*J157)+((SUM(B168:E168)-C167)*J157),SUM(B168:E168)*J157),IF(SUM(B158:E168)&gt;(K173*11),K173*J157,SUM(B168:E168)*J157)),2)</f>
        <v>0</v>
      </c>
      <c r="K168" s="76">
        <f>ROUND(IF(SUM(B158:E167)&lt;(K174*10),IF((SUM(B158:E168))&gt;(K174*11),(((K174*11)-(SUM(B158:E168)-C168))*K157)+((SUM(B168:E168)-C168)*K157),(SUM(B168:E168)-C168)*K157),IF(SUM(B158:E168)&gt;(K174*11),K174*K157,SUM(B168:E168)*K157)),2)</f>
        <v>0</v>
      </c>
      <c r="L168" s="76">
        <f>ROUND(IF(SUM(B158:E167)&lt;(K174*10),IF((SUM(B158:E168))&gt;(K174*11),(((K174*11)-(SUM(B158:E168)-C168))*L157)+((SUM(B168:E168)-C168)*L157),(SUM(B168:E168)-C168)*L157),IF(SUM(B158:E168)&gt;(K174*11),K174*L157,SUM(B168:E168)*L157)),2)</f>
        <v>0</v>
      </c>
      <c r="M168" s="76">
        <f>ROUND(IF(SUM(B158:E167)&lt;(K174*10),IF((SUM(B158:E168))&gt;(K174*11),(((K174*11)-(SUM(B158:E168)-C167))*M157)+((SUM(B168:E168)-C167)*M157),SUM(B168:E168)*M157),IF(SUM(B158:E168)&gt;(K174*11),K174*M157,SUM(B168:E168)*M157)),2)</f>
        <v>0</v>
      </c>
      <c r="N168" s="23"/>
      <c r="O168" s="27">
        <f t="shared" si="18"/>
        <v>0</v>
      </c>
    </row>
    <row r="169" spans="1:16" ht="14.25" customHeight="1" x14ac:dyDescent="0.2">
      <c r="A169" s="100" t="str">
        <f>$A$37</f>
        <v>Dez 2022</v>
      </c>
      <c r="B169" s="24">
        <f>ROUND(IF(P143=0,0,IFERROR(((LOOKUP(2,1/(A146:A149=A169),G146:G149))*P143*4.348),B168/P143*P143)),2)</f>
        <v>0</v>
      </c>
      <c r="C169" s="23">
        <f>ROUND(IFERROR(((LOOKUP(2,1/(B151=A169),((SUM(B164:B166)+SUM(E164:E166))/3)*C151))),0)+IFERROR(((LOOKUP(2,1/(E151=A169),(B170+E170)*F151))),0),2)</f>
        <v>0</v>
      </c>
      <c r="D169" s="23">
        <f>ROUND(IF(B169=0,0,D157/N135*P143),2)</f>
        <v>0</v>
      </c>
      <c r="E169" s="24">
        <f>ROUND(IF(P143=0,0,IFERROR(((LOOKUP(2,1/(A146:A149=A169),H146:H149))/N135*P143),E168/P143*P143)),2)</f>
        <v>0</v>
      </c>
      <c r="F169" s="27">
        <f t="shared" si="17"/>
        <v>0</v>
      </c>
      <c r="G169" s="76">
        <f>ROUND(IF(SUM(B158:E168)&lt;(K173*11),IF((SUM(B158:E169))&gt;(K173*12),(((K173*12)-(SUM(B158:E169)-C168))*G157)+((SUM(B169:E169)-C168)*G157),SUM(B169:E169)*G157),IF(SUM(B158:E169)&gt;(K173*12),K173*G157,SUM(B169:E169)*G157)),2)</f>
        <v>0</v>
      </c>
      <c r="H169" s="76">
        <f>ROUND(IF(SUM(B158:E168)&lt;(K174*11),IF((SUM(B158:E169))&gt;(K174*12),(((K174*12)-(SUM(B158:E169)-C168))*H157)+((SUM(B169:E169)-C168)*H157),SUM(B169:E169)*H157),IF(SUM(B158:E169)&gt;(K174*12),K174*H157,SUM(B169:E169)*H157)),2)</f>
        <v>0</v>
      </c>
      <c r="I169" s="76">
        <f>ROUND(IF(SUM(B158:E168)&lt;(K174*11),IF((SUM(B158:E169))&gt;(K174*12),(((K174*12)-(SUM(B158:E169)-C168))*I157)+((SUM(B169:E169)-C168)*I157),SUM(B169:E169)*I157),IF(SUM(B158:E169)&gt;(K174*12),K174*I157,SUM(B169:E169)*I157)),2)</f>
        <v>0</v>
      </c>
      <c r="J169" s="76">
        <f>ROUND(IF(SUM(B158:E168)&lt;(K173*11),IF((SUM(B158:E169))&gt;(K173*12),(((K173*12)-(SUM(B158:E169)-C168))*J157)+((SUM(B169:E169)-C168)*J157),SUM(B169:E169)*J157),IF(SUM(B158:E169)&gt;(K173*12),K173*J157,SUM(B169:E169)*J157)),2)</f>
        <v>0</v>
      </c>
      <c r="K169" s="76">
        <f>ROUND(IF(SUM(B158:E168)&lt;(K174*11),IF((SUM(B158:E169))&gt;(K174*12),(((K174*12)-(SUM(B158:E169)-C169))*K157)+((SUM(B169:E169)-C169)*K157),(SUM(B169:E169)-C169)*K157),IF(SUM(B158:E169)&gt;(K174*12),K174*K157,SUM(B169:E169)*K157)),2)</f>
        <v>0</v>
      </c>
      <c r="L169" s="76">
        <f>ROUND(IF(SUM(B158:E168)&lt;(K174*11),IF((SUM(B158:E169))&gt;(K174*12),(((K174*12)-(SUM(B158:E169)-C169))*L157)+((SUM(B169:E169)-C169)*L157),(SUM(B169:E169)-C169)*L157),IF(SUM(B158:E169)&gt;(K174*12),K174*L157,SUM(B169:E169)*L157)),2)</f>
        <v>0</v>
      </c>
      <c r="M169" s="76">
        <f>ROUND(IF(SUM(B158:E168)&lt;(K174*11),IF((SUM(B158:E169))&gt;(K174*12),(((K174*12)-(SUM(B158:E169)-C168))*M157)+((SUM(B169:E169)-C168)*M157),SUM(B169:E169)*M157),IF(SUM(B158:E169)&gt;(K174*12),K174*M157,SUM(B169:E169)*M157)),2)</f>
        <v>0</v>
      </c>
      <c r="N169" s="23"/>
      <c r="O169" s="27">
        <f>SUM(F169:N169)</f>
        <v>0</v>
      </c>
    </row>
    <row r="170" spans="1:16" s="14" customFormat="1" ht="15" x14ac:dyDescent="0.25">
      <c r="A170" s="4" t="s">
        <v>2</v>
      </c>
      <c r="B170" s="27">
        <f>SUM(B158:B169)</f>
        <v>0</v>
      </c>
      <c r="C170" s="27">
        <f t="shared" ref="C170:E170" si="19">SUM(C158:C169)</f>
        <v>0</v>
      </c>
      <c r="D170" s="27">
        <f t="shared" si="19"/>
        <v>0</v>
      </c>
      <c r="E170" s="27">
        <f t="shared" si="19"/>
        <v>0</v>
      </c>
      <c r="F170" s="27">
        <f>SUM(F158:F169)</f>
        <v>0</v>
      </c>
      <c r="G170" s="1133">
        <f>SUM(G158:M169)</f>
        <v>0</v>
      </c>
      <c r="H170" s="1134"/>
      <c r="I170" s="1134"/>
      <c r="J170" s="1134"/>
      <c r="K170" s="1134"/>
      <c r="L170" s="1134"/>
      <c r="M170" s="1135"/>
      <c r="N170" s="27">
        <f>SUM(N158:N169)</f>
        <v>0</v>
      </c>
      <c r="O170" s="27">
        <f>SUM(O158:O169)</f>
        <v>0</v>
      </c>
      <c r="P170" s="1"/>
    </row>
    <row r="171" spans="1:16" s="13" customFormat="1" ht="11.25" x14ac:dyDescent="0.2">
      <c r="A171" s="3" t="s">
        <v>1</v>
      </c>
      <c r="B171" s="2"/>
      <c r="C171" s="2"/>
      <c r="D171" s="2"/>
      <c r="E171" s="2"/>
      <c r="F171" s="2"/>
      <c r="G171" s="2"/>
      <c r="H171" s="2"/>
      <c r="I171" s="2"/>
      <c r="J171" s="2"/>
      <c r="K171" s="2"/>
      <c r="L171" s="2"/>
      <c r="M171" s="2"/>
      <c r="N171" s="2"/>
      <c r="O171" s="2"/>
      <c r="P171" s="2"/>
    </row>
    <row r="172" spans="1:16" ht="14.25" customHeight="1" x14ac:dyDescent="0.2">
      <c r="A172" s="1136" t="s">
        <v>133</v>
      </c>
      <c r="B172" s="1137"/>
      <c r="C172" s="1137"/>
      <c r="D172" s="1137" t="s">
        <v>134</v>
      </c>
      <c r="E172" s="1137"/>
      <c r="F172" s="94" t="str">
        <f>IF(IF(G170=0,"",'päd.Personal - Leitung'!$F$40)=0,"",IF(G170=0,"",'päd.Personal - Leitung'!$F$40))</f>
        <v/>
      </c>
      <c r="G172" s="77" t="s">
        <v>135</v>
      </c>
      <c r="H172" s="96" t="str">
        <f>IF(IF(G170=0,"",'päd.Personal - Leitung'!$H$40)=0,"",IF(G170=0,"",'päd.Personal - Leitung'!$H$40))</f>
        <v/>
      </c>
      <c r="I172" s="73"/>
      <c r="J172" s="194" t="s">
        <v>160</v>
      </c>
      <c r="K172" s="194" t="str">
        <f>$K$40</f>
        <v>2021</v>
      </c>
      <c r="L172" s="194" t="str">
        <f>$L$40</f>
        <v>anteilig 2021</v>
      </c>
      <c r="M172" s="1138" t="s">
        <v>140</v>
      </c>
      <c r="N172" s="1138"/>
      <c r="O172" s="1139"/>
      <c r="P172" s="27">
        <f>ROUND(IF(F172="",IF(E176="",0,(E176*H176/K176)/L139*L140),F170*F172*H172/1000),2)</f>
        <v>0</v>
      </c>
    </row>
    <row r="173" spans="1:16" ht="15" customHeight="1" x14ac:dyDescent="0.2">
      <c r="A173" s="1140" t="s">
        <v>145</v>
      </c>
      <c r="B173" s="1141"/>
      <c r="C173" s="1141"/>
      <c r="D173" s="18"/>
      <c r="E173" s="107" t="s">
        <v>135</v>
      </c>
      <c r="F173" s="95" t="str">
        <f>IF(IF(G170=0,"",'päd.Personal - Leitung'!$F$41)=0,"",IF(G170=0,"",'päd.Personal - Leitung'!$F$41))</f>
        <v/>
      </c>
      <c r="G173" s="48"/>
      <c r="H173" s="47"/>
      <c r="I173" s="48"/>
      <c r="J173" s="195" t="s">
        <v>158</v>
      </c>
      <c r="K173" s="198">
        <f>$K$41</f>
        <v>4837.5</v>
      </c>
      <c r="L173" s="197">
        <f>IF(L139="",K173,K173/L139*L140)</f>
        <v>4837.5</v>
      </c>
      <c r="M173" s="1138" t="s">
        <v>139</v>
      </c>
      <c r="N173" s="1138"/>
      <c r="O173" s="1139"/>
      <c r="P173" s="108">
        <f>ROUND(IF(F173="",0,F170*F173/1000),2)</f>
        <v>0</v>
      </c>
    </row>
    <row r="174" spans="1:16" ht="15.75" customHeight="1" x14ac:dyDescent="0.2">
      <c r="A174" s="1142"/>
      <c r="B174" s="1143"/>
      <c r="C174" s="1143"/>
      <c r="D174" s="1144"/>
      <c r="E174" s="1144"/>
      <c r="F174" s="1200"/>
      <c r="G174" s="1200"/>
      <c r="H174" s="72"/>
      <c r="I174" s="18"/>
      <c r="J174" s="195" t="s">
        <v>159</v>
      </c>
      <c r="K174" s="198">
        <f>$K$42</f>
        <v>6700</v>
      </c>
      <c r="L174" s="197">
        <f>IF(L139="",K174,K174/L139*L140)</f>
        <v>6700</v>
      </c>
      <c r="M174" s="1138"/>
      <c r="N174" s="1138"/>
      <c r="O174" s="1201"/>
      <c r="P174" s="110"/>
    </row>
    <row r="175" spans="1:16" ht="14.25" customHeight="1" x14ac:dyDescent="0.2">
      <c r="A175" s="18"/>
      <c r="B175" s="18"/>
      <c r="C175" s="18"/>
      <c r="D175" s="18"/>
      <c r="E175" s="18"/>
      <c r="F175" s="18"/>
      <c r="G175" s="18"/>
      <c r="H175" s="18"/>
      <c r="I175" s="18"/>
      <c r="J175" s="18"/>
      <c r="K175" s="74"/>
      <c r="L175" s="82"/>
      <c r="M175" s="1127" t="s">
        <v>146</v>
      </c>
      <c r="N175" s="1127"/>
      <c r="O175" s="1128"/>
      <c r="P175" s="23">
        <f>ROUND(IF(F170=0,0,$P$43),2)</f>
        <v>0</v>
      </c>
    </row>
    <row r="176" spans="1:16" ht="14.25" customHeight="1" x14ac:dyDescent="0.2">
      <c r="A176" s="1129" t="s">
        <v>142</v>
      </c>
      <c r="B176" s="1130"/>
      <c r="C176" s="133" t="s">
        <v>136</v>
      </c>
      <c r="D176" s="133" t="s">
        <v>137</v>
      </c>
      <c r="E176" s="1131" t="str">
        <f>IF(IF(G170=0,"",'päd.Personal - Leitung'!$E$44)=0,"",IF(G170=0,"",'päd.Personal - Leitung'!$E$44))</f>
        <v/>
      </c>
      <c r="F176" s="1131"/>
      <c r="G176" s="83" t="s">
        <v>138</v>
      </c>
      <c r="H176" s="97" t="str">
        <f>IF(IF(G170=0,"",'päd.Personal - Leitung'!$H$44)=0,"",IF(G170=0,"",'päd.Personal - Leitung'!$H$44))</f>
        <v/>
      </c>
      <c r="I176" s="1132" t="s">
        <v>144</v>
      </c>
      <c r="J176" s="1132"/>
      <c r="K176" s="98" t="str">
        <f>IF(IF(G170=0,"",'päd.Personal - Leitung'!$K$44)=0,"",IF(G170=0,"",'päd.Personal - Leitung'!$K$44))</f>
        <v/>
      </c>
      <c r="L176" s="29"/>
      <c r="M176" s="29"/>
      <c r="N176" s="29"/>
      <c r="O176" s="28" t="s">
        <v>0</v>
      </c>
      <c r="P176" s="27">
        <f>O170+SUM(P172:P175)</f>
        <v>0</v>
      </c>
    </row>
  </sheetData>
  <sheetProtection algorithmName="SHA-512" hashValue="mxEdPuThI6zaC8gYdkjHwU2Uej6vuHKOxbxy601VSXPDEJasZ4cV8TPNyBEQpbiVn/tz+dI7L+ZGStBPuqf+JA==" saltValue="Uq8Z3ZCOLVslN6NMG3J6kA==" spinCount="100000" sheet="1" objects="1" scenarios="1"/>
  <mergeCells count="288">
    <mergeCell ref="A85:C85"/>
    <mergeCell ref="J98:K98"/>
    <mergeCell ref="D99:E99"/>
    <mergeCell ref="D90:N90"/>
    <mergeCell ref="B101:C101"/>
    <mergeCell ref="D89:N89"/>
    <mergeCell ref="A91:C91"/>
    <mergeCell ref="K101:L101"/>
    <mergeCell ref="B102:C102"/>
    <mergeCell ref="K102:L102"/>
    <mergeCell ref="A93:K93"/>
    <mergeCell ref="J94:K94"/>
    <mergeCell ref="A95:C95"/>
    <mergeCell ref="D95:I95"/>
    <mergeCell ref="E62:F62"/>
    <mergeCell ref="D96:I96"/>
    <mergeCell ref="J96:K96"/>
    <mergeCell ref="D55:E55"/>
    <mergeCell ref="F55:G55"/>
    <mergeCell ref="H144:I144"/>
    <mergeCell ref="D97:I97"/>
    <mergeCell ref="J97:K97"/>
    <mergeCell ref="D98:I98"/>
    <mergeCell ref="F99:G99"/>
    <mergeCell ref="D84:E84"/>
    <mergeCell ref="D91:J91"/>
    <mergeCell ref="K91:M91"/>
    <mergeCell ref="K103:L103"/>
    <mergeCell ref="F144:G144"/>
    <mergeCell ref="J139:K139"/>
    <mergeCell ref="D92:J92"/>
    <mergeCell ref="H99:I99"/>
    <mergeCell ref="F100:G100"/>
    <mergeCell ref="H100:I100"/>
    <mergeCell ref="G126:M126"/>
    <mergeCell ref="D128:E128"/>
    <mergeCell ref="M128:O128"/>
    <mergeCell ref="M129:O129"/>
    <mergeCell ref="D130:E130"/>
    <mergeCell ref="F130:G130"/>
    <mergeCell ref="M130:O130"/>
    <mergeCell ref="M131:O131"/>
    <mergeCell ref="D142:I142"/>
    <mergeCell ref="J142:K142"/>
    <mergeCell ref="J143:K143"/>
    <mergeCell ref="D143:E143"/>
    <mergeCell ref="F143:G143"/>
    <mergeCell ref="H143:I143"/>
    <mergeCell ref="B65:F65"/>
    <mergeCell ref="G65:M65"/>
    <mergeCell ref="F66:F69"/>
    <mergeCell ref="A139:C139"/>
    <mergeCell ref="D139:I139"/>
    <mergeCell ref="H66:H67"/>
    <mergeCell ref="I66:I67"/>
    <mergeCell ref="J66:J67"/>
    <mergeCell ref="K66:K67"/>
    <mergeCell ref="A136:C136"/>
    <mergeCell ref="A135:C135"/>
    <mergeCell ref="A134:C134"/>
    <mergeCell ref="A86:C86"/>
    <mergeCell ref="M66:M67"/>
    <mergeCell ref="L66:L67"/>
    <mergeCell ref="J95:K95"/>
    <mergeCell ref="A89:C89"/>
    <mergeCell ref="A84:C84"/>
    <mergeCell ref="A96:C96"/>
    <mergeCell ref="A97:C97"/>
    <mergeCell ref="A65:A69"/>
    <mergeCell ref="A90:C90"/>
    <mergeCell ref="J99:K99"/>
    <mergeCell ref="A98:C98"/>
    <mergeCell ref="D1:N1"/>
    <mergeCell ref="D2:N2"/>
    <mergeCell ref="K135:M135"/>
    <mergeCell ref="D86:E86"/>
    <mergeCell ref="F86:G86"/>
    <mergeCell ref="D40:E40"/>
    <mergeCell ref="G22:G23"/>
    <mergeCell ref="K22:K23"/>
    <mergeCell ref="L22:L23"/>
    <mergeCell ref="M22:M23"/>
    <mergeCell ref="M42:O42"/>
    <mergeCell ref="M43:O43"/>
    <mergeCell ref="E44:F44"/>
    <mergeCell ref="I44:J44"/>
    <mergeCell ref="D45:N45"/>
    <mergeCell ref="D47:J47"/>
    <mergeCell ref="K47:M47"/>
    <mergeCell ref="J50:K50"/>
    <mergeCell ref="K61:L61"/>
    <mergeCell ref="A49:K49"/>
    <mergeCell ref="A48:C48"/>
    <mergeCell ref="G82:M82"/>
    <mergeCell ref="G66:G67"/>
    <mergeCell ref="D52:I52"/>
    <mergeCell ref="D3:J3"/>
    <mergeCell ref="K3:M3"/>
    <mergeCell ref="A52:C52"/>
    <mergeCell ref="D10:I10"/>
    <mergeCell ref="J10:K10"/>
    <mergeCell ref="D11:E11"/>
    <mergeCell ref="F11:G11"/>
    <mergeCell ref="H11:I11"/>
    <mergeCell ref="K13:L13"/>
    <mergeCell ref="K14:L14"/>
    <mergeCell ref="K15:L15"/>
    <mergeCell ref="K16:L16"/>
    <mergeCell ref="K17:L17"/>
    <mergeCell ref="D51:I51"/>
    <mergeCell ref="B21:F21"/>
    <mergeCell ref="G21:M21"/>
    <mergeCell ref="B18:C18"/>
    <mergeCell ref="E18:F18"/>
    <mergeCell ref="K18:L18"/>
    <mergeCell ref="D4:J4"/>
    <mergeCell ref="A5:K5"/>
    <mergeCell ref="J6:K6"/>
    <mergeCell ref="D7:I7"/>
    <mergeCell ref="J11:K11"/>
    <mergeCell ref="A1:C1"/>
    <mergeCell ref="A2:C2"/>
    <mergeCell ref="A3:C3"/>
    <mergeCell ref="B22:B25"/>
    <mergeCell ref="A10:C10"/>
    <mergeCell ref="A21:A25"/>
    <mergeCell ref="A8:C8"/>
    <mergeCell ref="A9:C9"/>
    <mergeCell ref="A4:C4"/>
    <mergeCell ref="A7:C7"/>
    <mergeCell ref="B13:C13"/>
    <mergeCell ref="B14:C14"/>
    <mergeCell ref="B15:C15"/>
    <mergeCell ref="B16:C16"/>
    <mergeCell ref="B17:C17"/>
    <mergeCell ref="B61:C61"/>
    <mergeCell ref="O21:O25"/>
    <mergeCell ref="F22:F25"/>
    <mergeCell ref="G38:M38"/>
    <mergeCell ref="A54:C54"/>
    <mergeCell ref="A46:C46"/>
    <mergeCell ref="D46:N46"/>
    <mergeCell ref="A40:C40"/>
    <mergeCell ref="A41:C41"/>
    <mergeCell ref="A42:C42"/>
    <mergeCell ref="D42:E42"/>
    <mergeCell ref="F42:G42"/>
    <mergeCell ref="H22:H23"/>
    <mergeCell ref="I22:I23"/>
    <mergeCell ref="A44:B44"/>
    <mergeCell ref="A45:C45"/>
    <mergeCell ref="A51:C51"/>
    <mergeCell ref="N23:N25"/>
    <mergeCell ref="J22:J23"/>
    <mergeCell ref="M41:O41"/>
    <mergeCell ref="D22:D24"/>
    <mergeCell ref="E23:E25"/>
    <mergeCell ref="M40:O40"/>
    <mergeCell ref="A53:C53"/>
    <mergeCell ref="D48:J48"/>
    <mergeCell ref="B59:C59"/>
    <mergeCell ref="K59:L59"/>
    <mergeCell ref="B60:C60"/>
    <mergeCell ref="K60:L60"/>
    <mergeCell ref="J53:K53"/>
    <mergeCell ref="D54:I54"/>
    <mergeCell ref="J54:K54"/>
    <mergeCell ref="A47:C47"/>
    <mergeCell ref="J51:K51"/>
    <mergeCell ref="K57:L57"/>
    <mergeCell ref="B58:C58"/>
    <mergeCell ref="K58:L58"/>
    <mergeCell ref="H55:I55"/>
    <mergeCell ref="J55:K55"/>
    <mergeCell ref="J52:K52"/>
    <mergeCell ref="D53:I53"/>
    <mergeCell ref="J7:K7"/>
    <mergeCell ref="D8:I8"/>
    <mergeCell ref="J8:K8"/>
    <mergeCell ref="D9:I9"/>
    <mergeCell ref="J9:K9"/>
    <mergeCell ref="O65:O69"/>
    <mergeCell ref="B66:B69"/>
    <mergeCell ref="A92:C92"/>
    <mergeCell ref="F12:G12"/>
    <mergeCell ref="H12:I12"/>
    <mergeCell ref="F56:G56"/>
    <mergeCell ref="H56:I56"/>
    <mergeCell ref="M84:O84"/>
    <mergeCell ref="M85:O85"/>
    <mergeCell ref="M86:O86"/>
    <mergeCell ref="M87:O87"/>
    <mergeCell ref="A88:B88"/>
    <mergeCell ref="E88:F88"/>
    <mergeCell ref="I88:J88"/>
    <mergeCell ref="D66:D68"/>
    <mergeCell ref="E67:E69"/>
    <mergeCell ref="B62:C62"/>
    <mergeCell ref="K62:L62"/>
    <mergeCell ref="B57:C57"/>
    <mergeCell ref="K104:L104"/>
    <mergeCell ref="B105:C105"/>
    <mergeCell ref="K105:L105"/>
    <mergeCell ref="B106:C106"/>
    <mergeCell ref="E106:F106"/>
    <mergeCell ref="K106:L106"/>
    <mergeCell ref="B103:C103"/>
    <mergeCell ref="A109:A113"/>
    <mergeCell ref="B109:F109"/>
    <mergeCell ref="G109:M109"/>
    <mergeCell ref="B104:C104"/>
    <mergeCell ref="O109:O113"/>
    <mergeCell ref="B110:B113"/>
    <mergeCell ref="D110:D112"/>
    <mergeCell ref="F110:F113"/>
    <mergeCell ref="G110:G111"/>
    <mergeCell ref="H110:H111"/>
    <mergeCell ref="I110:I111"/>
    <mergeCell ref="J110:J111"/>
    <mergeCell ref="K110:K111"/>
    <mergeCell ref="L110:L111"/>
    <mergeCell ref="M110:M111"/>
    <mergeCell ref="E111:E113"/>
    <mergeCell ref="A132:B132"/>
    <mergeCell ref="E132:F132"/>
    <mergeCell ref="I132:J132"/>
    <mergeCell ref="A128:C128"/>
    <mergeCell ref="A129:C129"/>
    <mergeCell ref="A130:C130"/>
    <mergeCell ref="B145:C145"/>
    <mergeCell ref="K145:L145"/>
    <mergeCell ref="B146:C146"/>
    <mergeCell ref="K146:L146"/>
    <mergeCell ref="A133:C133"/>
    <mergeCell ref="D133:N133"/>
    <mergeCell ref="D134:N134"/>
    <mergeCell ref="D135:J135"/>
    <mergeCell ref="D136:J136"/>
    <mergeCell ref="A137:K137"/>
    <mergeCell ref="J138:K138"/>
    <mergeCell ref="A140:C140"/>
    <mergeCell ref="D140:I140"/>
    <mergeCell ref="J140:K140"/>
    <mergeCell ref="A141:C141"/>
    <mergeCell ref="D141:I141"/>
    <mergeCell ref="J141:K141"/>
    <mergeCell ref="A142:C142"/>
    <mergeCell ref="B147:C147"/>
    <mergeCell ref="K147:L147"/>
    <mergeCell ref="B148:C148"/>
    <mergeCell ref="K148:L148"/>
    <mergeCell ref="G153:M153"/>
    <mergeCell ref="O153:O157"/>
    <mergeCell ref="B154:B157"/>
    <mergeCell ref="D154:D156"/>
    <mergeCell ref="F154:F157"/>
    <mergeCell ref="G154:G155"/>
    <mergeCell ref="H154:H155"/>
    <mergeCell ref="I154:I155"/>
    <mergeCell ref="J154:J155"/>
    <mergeCell ref="K154:K155"/>
    <mergeCell ref="L154:L155"/>
    <mergeCell ref="M154:M155"/>
    <mergeCell ref="E155:E157"/>
    <mergeCell ref="M175:O175"/>
    <mergeCell ref="A176:B176"/>
    <mergeCell ref="E176:F176"/>
    <mergeCell ref="I176:J176"/>
    <mergeCell ref="N67:N69"/>
    <mergeCell ref="N111:N113"/>
    <mergeCell ref="N155:N157"/>
    <mergeCell ref="G170:M170"/>
    <mergeCell ref="A172:C172"/>
    <mergeCell ref="D172:E172"/>
    <mergeCell ref="M172:O172"/>
    <mergeCell ref="A173:C173"/>
    <mergeCell ref="M173:O173"/>
    <mergeCell ref="A174:C174"/>
    <mergeCell ref="D174:E174"/>
    <mergeCell ref="F174:G174"/>
    <mergeCell ref="M174:O174"/>
    <mergeCell ref="B149:C149"/>
    <mergeCell ref="K149:L149"/>
    <mergeCell ref="B150:C150"/>
    <mergeCell ref="E150:F150"/>
    <mergeCell ref="K150:L150"/>
    <mergeCell ref="A153:A157"/>
    <mergeCell ref="B153:F153"/>
  </mergeCells>
  <dataValidations count="1">
    <dataValidation type="list" allowBlank="1" showInputMessage="1" showErrorMessage="1" sqref="B19 E19 B63 E63 B107 E107 B151 E151">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Praktikanten&amp;R&amp;G</oddHeader>
    <oddFooter>&amp;L&amp;"Arial,Standard"&amp;7JSZ - Jahressonderzahlung
LOB - Leistungsorientierte Bezahlung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 A147:A149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556"/>
  <sheetViews>
    <sheetView showGridLines="0" view="pageLayout" zoomScaleNormal="100" workbookViewId="0">
      <selection activeCell="B1" sqref="B1:F1"/>
    </sheetView>
  </sheetViews>
  <sheetFormatPr baseColWidth="10" defaultRowHeight="14.25" x14ac:dyDescent="0.25"/>
  <cols>
    <col min="1" max="1" width="15.7109375" style="19" customWidth="1"/>
    <col min="2" max="2" width="33.28515625" style="19" customWidth="1"/>
    <col min="3" max="3" width="10.7109375" style="19" customWidth="1"/>
    <col min="4" max="4" width="27.7109375" style="19" customWidth="1"/>
    <col min="5" max="7" width="15.28515625" style="19" customWidth="1"/>
    <col min="8" max="16384" width="11.42578125" style="19"/>
  </cols>
  <sheetData>
    <row r="1" spans="1:7" s="12" customFormat="1" ht="13.5" customHeight="1" x14ac:dyDescent="0.2">
      <c r="A1" s="35" t="s">
        <v>18</v>
      </c>
      <c r="B1" s="1206" t="str">
        <f>IF('päd.Personal - Leitung'!D1="","",'päd.Personal - Leitung'!D1)</f>
        <v/>
      </c>
      <c r="C1" s="1206"/>
      <c r="D1" s="1206"/>
      <c r="E1" s="1206"/>
      <c r="F1" s="1206"/>
      <c r="G1" s="115"/>
    </row>
    <row r="2" spans="1:7" s="12" customFormat="1" ht="15" customHeight="1" x14ac:dyDescent="0.2">
      <c r="A2" s="35" t="s">
        <v>17</v>
      </c>
      <c r="B2" s="1206" t="str">
        <f>IF('päd.Personal - Leitung'!D2="","",'päd.Personal - Leitung'!D2)</f>
        <v/>
      </c>
      <c r="C2" s="1206"/>
      <c r="D2" s="1206"/>
      <c r="E2" s="1206"/>
      <c r="F2" s="1206"/>
      <c r="G2" s="115"/>
    </row>
    <row r="3" spans="1:7" s="12" customFormat="1" ht="15" customHeight="1" x14ac:dyDescent="0.2">
      <c r="A3" s="35" t="s">
        <v>16</v>
      </c>
      <c r="B3" s="1206" t="str">
        <f>IF('päd.Personal - Leitung'!D3="","",'päd.Personal - Leitung'!D3)</f>
        <v/>
      </c>
      <c r="C3" s="1206"/>
      <c r="D3" s="115"/>
      <c r="E3" s="35" t="s">
        <v>103</v>
      </c>
      <c r="F3" s="41" t="str">
        <f>IF('päd.Personal - Leitung'!N3="","",'päd.Personal - Leitung'!N3)</f>
        <v/>
      </c>
      <c r="G3" s="115"/>
    </row>
    <row r="4" spans="1:7" s="13" customFormat="1" ht="15" customHeight="1" x14ac:dyDescent="0.2">
      <c r="D4" s="114"/>
      <c r="E4" s="114"/>
      <c r="F4" s="114"/>
      <c r="G4" s="114"/>
    </row>
    <row r="5" spans="1:7" x14ac:dyDescent="0.25">
      <c r="A5" s="36"/>
      <c r="B5" s="176" t="s">
        <v>267</v>
      </c>
      <c r="C5" s="36"/>
      <c r="D5" s="36"/>
      <c r="E5" s="37"/>
      <c r="F5" s="37"/>
      <c r="G5" s="37"/>
    </row>
    <row r="6" spans="1:7" x14ac:dyDescent="0.25">
      <c r="A6" s="36"/>
      <c r="B6" s="36"/>
      <c r="C6" s="36"/>
      <c r="D6" s="36"/>
      <c r="E6" s="37"/>
      <c r="F6" s="37"/>
      <c r="G6" s="37"/>
    </row>
    <row r="7" spans="1:7" x14ac:dyDescent="0.25">
      <c r="A7" s="177" t="s">
        <v>11</v>
      </c>
    </row>
    <row r="8" spans="1:7" x14ac:dyDescent="0.25">
      <c r="A8" s="178" t="s">
        <v>10</v>
      </c>
    </row>
    <row r="9" spans="1:7" s="160" customFormat="1" ht="18" customHeight="1" x14ac:dyDescent="0.25">
      <c r="A9" s="1207"/>
      <c r="B9" s="1207" t="s">
        <v>268</v>
      </c>
      <c r="C9" s="1207" t="s">
        <v>244</v>
      </c>
      <c r="D9" s="1207" t="s">
        <v>269</v>
      </c>
      <c r="E9" s="1207" t="s">
        <v>266</v>
      </c>
      <c r="F9" s="1207" t="str">
        <f>CONCATENATE("Beschäftigungsdauer ",'päd.Personal - Leitung'!O5)</f>
        <v>Beschäftigungsdauer 2022</v>
      </c>
      <c r="G9" s="1207"/>
    </row>
    <row r="10" spans="1:7" s="160" customFormat="1" ht="18" customHeight="1" x14ac:dyDescent="0.25">
      <c r="A10" s="1208"/>
      <c r="B10" s="1208"/>
      <c r="C10" s="1208"/>
      <c r="D10" s="1208"/>
      <c r="E10" s="1208"/>
      <c r="F10" s="186" t="s">
        <v>249</v>
      </c>
      <c r="G10" s="186" t="s">
        <v>250</v>
      </c>
    </row>
    <row r="11" spans="1:7" s="160" customFormat="1" ht="18.75" customHeight="1" x14ac:dyDescent="0.25">
      <c r="A11" s="161" t="s">
        <v>82</v>
      </c>
      <c r="B11" s="38"/>
      <c r="C11" s="188"/>
      <c r="D11" s="38"/>
      <c r="E11" s="189"/>
      <c r="F11" s="39"/>
      <c r="G11" s="39"/>
    </row>
    <row r="12" spans="1:7" s="160" customFormat="1" ht="18.75" customHeight="1" x14ac:dyDescent="0.25">
      <c r="A12" s="161" t="s">
        <v>83</v>
      </c>
      <c r="B12" s="38"/>
      <c r="C12" s="188"/>
      <c r="D12" s="38"/>
      <c r="E12" s="189"/>
      <c r="F12" s="39"/>
      <c r="G12" s="39"/>
    </row>
    <row r="13" spans="1:7" s="160" customFormat="1" ht="18.75" customHeight="1" x14ac:dyDescent="0.25">
      <c r="A13" s="161" t="s">
        <v>84</v>
      </c>
      <c r="B13" s="38"/>
      <c r="C13" s="188"/>
      <c r="D13" s="38"/>
      <c r="E13" s="189"/>
      <c r="F13" s="39"/>
      <c r="G13" s="39"/>
    </row>
    <row r="14" spans="1:7" s="160" customFormat="1" ht="18.75" customHeight="1" x14ac:dyDescent="0.25">
      <c r="A14" s="161" t="s">
        <v>85</v>
      </c>
      <c r="B14" s="38"/>
      <c r="C14" s="188"/>
      <c r="D14" s="38"/>
      <c r="E14" s="189"/>
      <c r="F14" s="39"/>
      <c r="G14" s="39"/>
    </row>
    <row r="15" spans="1:7" s="160" customFormat="1" ht="18.75" customHeight="1" x14ac:dyDescent="0.25">
      <c r="A15" s="161" t="s">
        <v>86</v>
      </c>
      <c r="B15" s="38"/>
      <c r="C15" s="188"/>
      <c r="D15" s="38"/>
      <c r="E15" s="189"/>
      <c r="F15" s="39"/>
      <c r="G15" s="39"/>
    </row>
    <row r="16" spans="1:7" s="160" customFormat="1" ht="18.75" customHeight="1" x14ac:dyDescent="0.25">
      <c r="A16" s="161" t="s">
        <v>87</v>
      </c>
      <c r="B16" s="38"/>
      <c r="C16" s="188"/>
      <c r="D16" s="38"/>
      <c r="E16" s="189"/>
      <c r="F16" s="39"/>
      <c r="G16" s="39"/>
    </row>
    <row r="17" spans="1:7" s="160" customFormat="1" ht="18.75" customHeight="1" x14ac:dyDescent="0.25">
      <c r="A17" s="161" t="s">
        <v>88</v>
      </c>
      <c r="B17" s="38"/>
      <c r="C17" s="188"/>
      <c r="D17" s="38"/>
      <c r="E17" s="189"/>
      <c r="F17" s="39"/>
      <c r="G17" s="39"/>
    </row>
    <row r="18" spans="1:7" s="160" customFormat="1" ht="18.75" customHeight="1" x14ac:dyDescent="0.25">
      <c r="A18" s="161" t="s">
        <v>89</v>
      </c>
      <c r="B18" s="38"/>
      <c r="C18" s="188"/>
      <c r="D18" s="38"/>
      <c r="E18" s="189"/>
      <c r="F18" s="39"/>
      <c r="G18" s="39"/>
    </row>
    <row r="19" spans="1:7" s="160" customFormat="1" ht="18.75" customHeight="1" x14ac:dyDescent="0.25">
      <c r="A19" s="161" t="s">
        <v>90</v>
      </c>
      <c r="B19" s="38"/>
      <c r="C19" s="188"/>
      <c r="D19" s="38"/>
      <c r="E19" s="189"/>
      <c r="F19" s="39"/>
      <c r="G19" s="39"/>
    </row>
    <row r="20" spans="1:7" s="160" customFormat="1" ht="18.75" customHeight="1" x14ac:dyDescent="0.25">
      <c r="A20" s="161" t="s">
        <v>91</v>
      </c>
      <c r="B20" s="38"/>
      <c r="C20" s="188"/>
      <c r="D20" s="38"/>
      <c r="E20" s="189"/>
      <c r="F20" s="39"/>
      <c r="G20" s="39"/>
    </row>
    <row r="21" spans="1:7" s="160" customFormat="1" ht="18.75" customHeight="1" x14ac:dyDescent="0.25">
      <c r="A21" s="161" t="s">
        <v>92</v>
      </c>
      <c r="B21" s="38"/>
      <c r="C21" s="188"/>
      <c r="D21" s="38"/>
      <c r="E21" s="189"/>
      <c r="F21" s="39"/>
      <c r="G21" s="39"/>
    </row>
    <row r="22" spans="1:7" s="160" customFormat="1" ht="18.75" customHeight="1" x14ac:dyDescent="0.25">
      <c r="A22" s="161" t="s">
        <v>93</v>
      </c>
      <c r="B22" s="38"/>
      <c r="C22" s="188"/>
      <c r="D22" s="38"/>
      <c r="E22" s="189"/>
      <c r="F22" s="39"/>
      <c r="G22" s="39"/>
    </row>
    <row r="23" spans="1:7" s="160" customFormat="1" ht="18.75" customHeight="1" x14ac:dyDescent="0.25">
      <c r="A23" s="161" t="s">
        <v>94</v>
      </c>
      <c r="B23" s="38"/>
      <c r="C23" s="188"/>
      <c r="D23" s="38"/>
      <c r="E23" s="189"/>
      <c r="F23" s="39"/>
      <c r="G23" s="39"/>
    </row>
    <row r="24" spans="1:7" s="160" customFormat="1" ht="18.75" customHeight="1" x14ac:dyDescent="0.25">
      <c r="A24" s="161" t="s">
        <v>95</v>
      </c>
      <c r="B24" s="38"/>
      <c r="C24" s="188"/>
      <c r="D24" s="38"/>
      <c r="E24" s="189"/>
      <c r="F24" s="39"/>
      <c r="G24" s="39"/>
    </row>
    <row r="25" spans="1:7" s="160" customFormat="1" ht="18.75" customHeight="1" thickBot="1" x14ac:dyDescent="0.3">
      <c r="A25" s="161" t="s">
        <v>96</v>
      </c>
      <c r="B25" s="38"/>
      <c r="C25" s="188"/>
      <c r="D25" s="38"/>
      <c r="E25" s="189"/>
      <c r="F25" s="39"/>
      <c r="G25" s="39"/>
    </row>
    <row r="26" spans="1:7" s="160" customFormat="1" ht="18.75" customHeight="1" thickBot="1" x14ac:dyDescent="0.3">
      <c r="A26" s="162"/>
      <c r="B26" s="163">
        <f>COUNTA(B11:B25)</f>
        <v>0</v>
      </c>
      <c r="C26" s="162"/>
      <c r="D26" s="162"/>
      <c r="F26" s="163">
        <f>SUM(F11:F25)</f>
        <v>0</v>
      </c>
    </row>
    <row r="27" spans="1:7" x14ac:dyDescent="0.25">
      <c r="A27" s="1204"/>
      <c r="B27" s="1205"/>
      <c r="C27" s="1205"/>
      <c r="D27" s="1205"/>
    </row>
    <row r="28" spans="1:7" x14ac:dyDescent="0.25">
      <c r="A28" s="1204"/>
      <c r="B28" s="1205"/>
      <c r="C28" s="1205"/>
      <c r="D28" s="1205"/>
    </row>
    <row r="36" ht="14.25" customHeight="1" x14ac:dyDescent="0.25"/>
    <row r="37" ht="15" customHeight="1" x14ac:dyDescent="0.25"/>
    <row r="38" ht="15" customHeight="1" x14ac:dyDescent="0.25"/>
    <row r="42" ht="14.25" customHeight="1" x14ac:dyDescent="0.25"/>
    <row r="43" ht="14.25" customHeight="1" x14ac:dyDescent="0.25"/>
    <row r="44" ht="14.25" customHeight="1" x14ac:dyDescent="0.25"/>
    <row r="47" ht="22.5" customHeight="1" x14ac:dyDescent="0.25"/>
    <row r="48" ht="22.5" customHeight="1" x14ac:dyDescent="0.25"/>
    <row r="49" ht="22.5" customHeight="1" x14ac:dyDescent="0.25"/>
    <row r="50" ht="22.5" customHeight="1" x14ac:dyDescent="0.25"/>
    <row r="51" ht="22.5" customHeight="1" x14ac:dyDescent="0.25"/>
    <row r="52" ht="22.5" customHeight="1" x14ac:dyDescent="0.25"/>
    <row r="54" ht="14.25" customHeight="1" x14ac:dyDescent="0.25"/>
    <row r="55" ht="14.25" customHeight="1" x14ac:dyDescent="0.25"/>
    <row r="73" ht="14.25" customHeight="1" x14ac:dyDescent="0.25"/>
    <row r="74" ht="15" customHeight="1" x14ac:dyDescent="0.25"/>
    <row r="75" ht="15" customHeight="1" x14ac:dyDescent="0.25"/>
    <row r="79" ht="14.25" customHeight="1" x14ac:dyDescent="0.25"/>
    <row r="80" ht="14.25" customHeight="1" x14ac:dyDescent="0.25"/>
    <row r="81" ht="14.25" customHeight="1" x14ac:dyDescent="0.25"/>
    <row r="84" ht="22.5" customHeight="1" x14ac:dyDescent="0.25"/>
    <row r="85" ht="22.5" customHeight="1" x14ac:dyDescent="0.25"/>
    <row r="86" ht="22.5" customHeight="1" x14ac:dyDescent="0.25"/>
    <row r="87" ht="22.5" customHeight="1" x14ac:dyDescent="0.25"/>
    <row r="88" ht="22.5" customHeight="1" x14ac:dyDescent="0.25"/>
    <row r="89" ht="22.5" customHeight="1" x14ac:dyDescent="0.25"/>
    <row r="91" ht="14.25" customHeight="1" x14ac:dyDescent="0.25"/>
    <row r="92" ht="14.25" customHeight="1" x14ac:dyDescent="0.25"/>
    <row r="110" ht="14.25" customHeight="1" x14ac:dyDescent="0.25"/>
    <row r="111" ht="15" customHeight="1" x14ac:dyDescent="0.25"/>
    <row r="112" ht="15" customHeight="1" x14ac:dyDescent="0.25"/>
    <row r="116" ht="14.25" customHeight="1" x14ac:dyDescent="0.25"/>
    <row r="117" ht="14.25" customHeight="1" x14ac:dyDescent="0.25"/>
    <row r="118" ht="14.25" customHeight="1" x14ac:dyDescent="0.25"/>
    <row r="121" ht="22.5" customHeight="1" x14ac:dyDescent="0.25"/>
    <row r="122" ht="22.5" customHeight="1" x14ac:dyDescent="0.25"/>
    <row r="123" ht="22.5" customHeight="1" x14ac:dyDescent="0.25"/>
    <row r="124" ht="22.5" customHeight="1" x14ac:dyDescent="0.25"/>
    <row r="125" ht="22.5" customHeight="1" x14ac:dyDescent="0.25"/>
    <row r="126" ht="22.5" customHeight="1" x14ac:dyDescent="0.25"/>
    <row r="128" ht="14.25" customHeight="1" x14ac:dyDescent="0.25"/>
    <row r="129" ht="14.25" customHeight="1" x14ac:dyDescent="0.25"/>
    <row r="147" ht="14.25" customHeight="1" x14ac:dyDescent="0.25"/>
    <row r="148" ht="15" customHeight="1" x14ac:dyDescent="0.25"/>
    <row r="149" ht="15" customHeight="1" x14ac:dyDescent="0.25"/>
    <row r="153" ht="14.25" customHeight="1" x14ac:dyDescent="0.25"/>
    <row r="154" ht="14.25" customHeight="1" x14ac:dyDescent="0.25"/>
    <row r="155" ht="14.25" customHeight="1" x14ac:dyDescent="0.25"/>
    <row r="158" ht="22.5" customHeight="1" x14ac:dyDescent="0.25"/>
    <row r="159" ht="22.5" customHeight="1" x14ac:dyDescent="0.25"/>
    <row r="160" ht="22.5" customHeight="1" x14ac:dyDescent="0.25"/>
    <row r="161" ht="22.5" customHeight="1" x14ac:dyDescent="0.25"/>
    <row r="162" ht="22.5" customHeight="1" x14ac:dyDescent="0.25"/>
    <row r="163" ht="22.5" customHeight="1" x14ac:dyDescent="0.25"/>
    <row r="165" ht="14.25" customHeight="1" x14ac:dyDescent="0.25"/>
    <row r="166" ht="14.25" customHeight="1" x14ac:dyDescent="0.25"/>
    <row r="184" ht="14.25" customHeight="1" x14ac:dyDescent="0.25"/>
    <row r="185" ht="15" customHeight="1" x14ac:dyDescent="0.25"/>
    <row r="186" ht="15" customHeight="1" x14ac:dyDescent="0.25"/>
    <row r="190" ht="14.25" customHeight="1" x14ac:dyDescent="0.25"/>
    <row r="191" ht="14.25" customHeight="1" x14ac:dyDescent="0.25"/>
    <row r="192" ht="14.25" customHeight="1" x14ac:dyDescent="0.25"/>
    <row r="195" ht="22.5" customHeight="1" x14ac:dyDescent="0.25"/>
    <row r="196" ht="22.5" customHeight="1" x14ac:dyDescent="0.25"/>
    <row r="197" ht="22.5" customHeight="1" x14ac:dyDescent="0.25"/>
    <row r="198" ht="22.5" customHeight="1" x14ac:dyDescent="0.25"/>
    <row r="199" ht="22.5" customHeight="1" x14ac:dyDescent="0.25"/>
    <row r="200" ht="22.5" customHeight="1" x14ac:dyDescent="0.25"/>
    <row r="202" ht="14.25" customHeight="1" x14ac:dyDescent="0.25"/>
    <row r="203" ht="14.25" customHeight="1" x14ac:dyDescent="0.25"/>
    <row r="221" ht="14.25" customHeight="1" x14ac:dyDescent="0.25"/>
    <row r="222" ht="15" customHeight="1" x14ac:dyDescent="0.25"/>
    <row r="223" ht="15" customHeight="1" x14ac:dyDescent="0.25"/>
    <row r="227" ht="14.25" customHeight="1" x14ac:dyDescent="0.25"/>
    <row r="228" ht="14.25" customHeight="1" x14ac:dyDescent="0.25"/>
    <row r="229" ht="14.25" customHeight="1" x14ac:dyDescent="0.25"/>
    <row r="232" ht="22.5" customHeight="1" x14ac:dyDescent="0.25"/>
    <row r="233" ht="22.5" customHeight="1" x14ac:dyDescent="0.25"/>
    <row r="234" ht="22.5" customHeight="1" x14ac:dyDescent="0.25"/>
    <row r="235" ht="22.5" customHeight="1" x14ac:dyDescent="0.25"/>
    <row r="236" ht="22.5" customHeight="1" x14ac:dyDescent="0.25"/>
    <row r="237" ht="22.5" customHeight="1" x14ac:dyDescent="0.25"/>
    <row r="239" ht="14.25" customHeight="1" x14ac:dyDescent="0.25"/>
    <row r="240" ht="14.25" customHeight="1" x14ac:dyDescent="0.25"/>
    <row r="258" ht="14.25" customHeight="1" x14ac:dyDescent="0.25"/>
    <row r="259" ht="15" customHeight="1" x14ac:dyDescent="0.25"/>
    <row r="260" ht="15" customHeight="1" x14ac:dyDescent="0.25"/>
    <row r="264" ht="14.25" customHeight="1" x14ac:dyDescent="0.25"/>
    <row r="265" ht="14.25" customHeight="1" x14ac:dyDescent="0.25"/>
    <row r="266" ht="14.25" customHeight="1" x14ac:dyDescent="0.25"/>
    <row r="269" ht="22.5" customHeight="1" x14ac:dyDescent="0.25"/>
    <row r="270" ht="22.5" customHeight="1" x14ac:dyDescent="0.25"/>
    <row r="271" ht="22.5" customHeight="1" x14ac:dyDescent="0.25"/>
    <row r="272" ht="22.5" customHeight="1" x14ac:dyDescent="0.25"/>
    <row r="273" ht="22.5" customHeight="1" x14ac:dyDescent="0.25"/>
    <row r="274" ht="22.5" customHeight="1" x14ac:dyDescent="0.25"/>
    <row r="276" ht="14.25" customHeight="1" x14ac:dyDescent="0.25"/>
    <row r="277" ht="14.25" customHeight="1" x14ac:dyDescent="0.25"/>
    <row r="295" ht="14.25" customHeight="1" x14ac:dyDescent="0.25"/>
    <row r="296" ht="15" customHeight="1" x14ac:dyDescent="0.25"/>
    <row r="297" ht="15" customHeight="1" x14ac:dyDescent="0.25"/>
    <row r="301" ht="14.25" customHeight="1" x14ac:dyDescent="0.25"/>
    <row r="302" ht="14.25" customHeight="1" x14ac:dyDescent="0.25"/>
    <row r="303" ht="14.25" customHeight="1" x14ac:dyDescent="0.25"/>
    <row r="306" ht="22.5" customHeight="1" x14ac:dyDescent="0.25"/>
    <row r="307" ht="22.5" customHeight="1" x14ac:dyDescent="0.25"/>
    <row r="308" ht="22.5" customHeight="1" x14ac:dyDescent="0.25"/>
    <row r="309" ht="22.5" customHeight="1" x14ac:dyDescent="0.25"/>
    <row r="310" ht="22.5" customHeight="1" x14ac:dyDescent="0.25"/>
    <row r="311" ht="22.5" customHeight="1" x14ac:dyDescent="0.25"/>
    <row r="313" ht="14.25" customHeight="1" x14ac:dyDescent="0.25"/>
    <row r="314" ht="14.25" customHeight="1" x14ac:dyDescent="0.25"/>
    <row r="332" ht="14.25" customHeight="1" x14ac:dyDescent="0.25"/>
    <row r="333" ht="15" customHeight="1" x14ac:dyDescent="0.25"/>
    <row r="334" ht="15" customHeight="1" x14ac:dyDescent="0.25"/>
    <row r="338" ht="14.25" customHeight="1" x14ac:dyDescent="0.25"/>
    <row r="339" ht="14.25" customHeight="1" x14ac:dyDescent="0.25"/>
    <row r="340" ht="14.25" customHeight="1" x14ac:dyDescent="0.25"/>
    <row r="343" ht="22.5" customHeight="1" x14ac:dyDescent="0.25"/>
    <row r="344" ht="22.5" customHeight="1" x14ac:dyDescent="0.25"/>
    <row r="345" ht="22.5" customHeight="1" x14ac:dyDescent="0.25"/>
    <row r="346" ht="22.5" customHeight="1" x14ac:dyDescent="0.25"/>
    <row r="347" ht="22.5" customHeight="1" x14ac:dyDescent="0.25"/>
    <row r="348" ht="22.5" customHeight="1" x14ac:dyDescent="0.25"/>
    <row r="350" ht="14.25" customHeight="1" x14ac:dyDescent="0.25"/>
    <row r="351" ht="14.25" customHeight="1" x14ac:dyDescent="0.25"/>
    <row r="369" ht="14.25" customHeight="1" x14ac:dyDescent="0.25"/>
    <row r="370" ht="15" customHeight="1" x14ac:dyDescent="0.25"/>
    <row r="371" ht="15" customHeight="1" x14ac:dyDescent="0.25"/>
    <row r="375" ht="14.25" customHeight="1" x14ac:dyDescent="0.25"/>
    <row r="376" ht="14.25" customHeight="1" x14ac:dyDescent="0.25"/>
    <row r="377" ht="14.25" customHeight="1" x14ac:dyDescent="0.25"/>
    <row r="380" ht="22.5" customHeight="1" x14ac:dyDescent="0.25"/>
    <row r="381" ht="22.5" customHeight="1" x14ac:dyDescent="0.25"/>
    <row r="382" ht="22.5" customHeight="1" x14ac:dyDescent="0.25"/>
    <row r="383" ht="22.5" customHeight="1" x14ac:dyDescent="0.25"/>
    <row r="384" ht="22.5" customHeight="1" x14ac:dyDescent="0.25"/>
    <row r="385" ht="22.5" customHeight="1" x14ac:dyDescent="0.25"/>
    <row r="387" ht="14.25" customHeight="1" x14ac:dyDescent="0.25"/>
    <row r="388" ht="14.25" customHeight="1" x14ac:dyDescent="0.25"/>
    <row r="406" ht="14.25" customHeight="1" x14ac:dyDescent="0.25"/>
    <row r="407" ht="15" customHeight="1" x14ac:dyDescent="0.25"/>
    <row r="408" ht="15" customHeight="1" x14ac:dyDescent="0.25"/>
    <row r="412" ht="14.25" customHeight="1" x14ac:dyDescent="0.25"/>
    <row r="413" ht="14.25" customHeight="1" x14ac:dyDescent="0.25"/>
    <row r="414" ht="14.25" customHeight="1" x14ac:dyDescent="0.25"/>
    <row r="417" ht="22.5" customHeight="1" x14ac:dyDescent="0.25"/>
    <row r="418" ht="22.5" customHeight="1" x14ac:dyDescent="0.25"/>
    <row r="419" ht="22.5" customHeight="1" x14ac:dyDescent="0.25"/>
    <row r="420" ht="22.5" customHeight="1" x14ac:dyDescent="0.25"/>
    <row r="421" ht="22.5" customHeight="1" x14ac:dyDescent="0.25"/>
    <row r="422" ht="22.5" customHeight="1" x14ac:dyDescent="0.25"/>
    <row r="424" ht="14.25" customHeight="1" x14ac:dyDescent="0.25"/>
    <row r="425" ht="14.25" customHeight="1" x14ac:dyDescent="0.25"/>
    <row r="443" ht="14.25" customHeight="1" x14ac:dyDescent="0.25"/>
    <row r="444" ht="15" customHeight="1" x14ac:dyDescent="0.25"/>
    <row r="445" ht="15" customHeight="1" x14ac:dyDescent="0.25"/>
    <row r="449" ht="14.25" customHeight="1" x14ac:dyDescent="0.25"/>
    <row r="450" ht="14.25" customHeight="1" x14ac:dyDescent="0.25"/>
    <row r="451" ht="14.25" customHeight="1" x14ac:dyDescent="0.25"/>
    <row r="454" ht="22.5" customHeight="1" x14ac:dyDescent="0.25"/>
    <row r="455" ht="22.5" customHeight="1" x14ac:dyDescent="0.25"/>
    <row r="456" ht="22.5" customHeight="1" x14ac:dyDescent="0.25"/>
    <row r="457" ht="22.5" customHeight="1" x14ac:dyDescent="0.25"/>
    <row r="458" ht="22.5" customHeight="1" x14ac:dyDescent="0.25"/>
    <row r="459" ht="22.5" customHeight="1" x14ac:dyDescent="0.25"/>
    <row r="461" ht="14.25" customHeight="1" x14ac:dyDescent="0.25"/>
    <row r="462" ht="14.25" customHeight="1" x14ac:dyDescent="0.25"/>
    <row r="480" ht="14.25" customHeight="1" x14ac:dyDescent="0.25"/>
    <row r="481" ht="15" customHeight="1" x14ac:dyDescent="0.25"/>
    <row r="482" ht="15" customHeight="1" x14ac:dyDescent="0.25"/>
    <row r="486" ht="14.25" customHeight="1" x14ac:dyDescent="0.25"/>
    <row r="487" ht="14.25" customHeight="1" x14ac:dyDescent="0.25"/>
    <row r="488" ht="14.25" customHeight="1" x14ac:dyDescent="0.25"/>
    <row r="491" ht="22.5" customHeight="1" x14ac:dyDescent="0.25"/>
    <row r="492" ht="22.5" customHeight="1" x14ac:dyDescent="0.25"/>
    <row r="493" ht="22.5" customHeight="1" x14ac:dyDescent="0.25"/>
    <row r="494" ht="22.5" customHeight="1" x14ac:dyDescent="0.25"/>
    <row r="495" ht="22.5" customHeight="1" x14ac:dyDescent="0.25"/>
    <row r="496" ht="22.5" customHeight="1" x14ac:dyDescent="0.25"/>
    <row r="498" ht="14.25" customHeight="1" x14ac:dyDescent="0.25"/>
    <row r="499" ht="14.25" customHeight="1" x14ac:dyDescent="0.25"/>
    <row r="517" ht="14.25" customHeight="1" x14ac:dyDescent="0.25"/>
    <row r="518" ht="15" customHeight="1" x14ac:dyDescent="0.25"/>
    <row r="519" ht="15" customHeight="1" x14ac:dyDescent="0.25"/>
    <row r="523" ht="14.25" customHeight="1" x14ac:dyDescent="0.25"/>
    <row r="524" ht="14.25" customHeight="1" x14ac:dyDescent="0.25"/>
    <row r="525" ht="14.25" customHeight="1" x14ac:dyDescent="0.25"/>
    <row r="528" ht="22.5" customHeight="1" x14ac:dyDescent="0.25"/>
    <row r="529" ht="22.5" customHeight="1" x14ac:dyDescent="0.25"/>
    <row r="530" ht="22.5" customHeight="1" x14ac:dyDescent="0.25"/>
    <row r="531" ht="22.5" customHeight="1" x14ac:dyDescent="0.25"/>
    <row r="532" ht="22.5" customHeight="1" x14ac:dyDescent="0.25"/>
    <row r="533" ht="22.5" customHeight="1" x14ac:dyDescent="0.25"/>
    <row r="535" ht="14.25" customHeight="1" x14ac:dyDescent="0.25"/>
    <row r="536" ht="14.25" customHeight="1" x14ac:dyDescent="0.25"/>
    <row r="554" ht="14.25" customHeight="1" x14ac:dyDescent="0.25"/>
    <row r="555" ht="15" customHeight="1" x14ac:dyDescent="0.25"/>
    <row r="556" ht="15" customHeight="1" x14ac:dyDescent="0.25"/>
  </sheetData>
  <sheetProtection algorithmName="SHA-512" hashValue="fVPiIm1qxO4ucFoJpHOy3XTcqz/xjy6GvF/AmhIDA0GnAQ6PNqjhMiK4oAJmBvhcmyKS07f/y6BqC89ouP8osw==" saltValue="h+osZNVv667Yk+W3X4CqNQ==" spinCount="100000" sheet="1" objects="1" scenarios="1"/>
  <mergeCells count="11">
    <mergeCell ref="A27:D27"/>
    <mergeCell ref="A28:D28"/>
    <mergeCell ref="B1:F1"/>
    <mergeCell ref="B2:F2"/>
    <mergeCell ref="B3:C3"/>
    <mergeCell ref="A9:A10"/>
    <mergeCell ref="B9:B10"/>
    <mergeCell ref="C9:C10"/>
    <mergeCell ref="D9:D10"/>
    <mergeCell ref="E9:E10"/>
    <mergeCell ref="F9:G9"/>
  </mergeCell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-&amp;12&amp;K01+000  &amp;10&amp;KFF0000Praktikanten (unentgeltlich)&amp;R&amp;G</oddHeader>
    <oddFooter>&amp;C&amp;"Arial,Standard"&amp;8Ausfertigung vom &amp;D &amp;T&amp;R&amp;"Arial,Standard"&amp;8&amp;P von &amp;N</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17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1.140625" style="1" customWidth="1"/>
    <col min="5" max="5" width="11.42578125" style="1" customWidth="1"/>
    <col min="6" max="6" width="10.140625" style="1" customWidth="1"/>
    <col min="7" max="7" width="11.5703125" style="1" customWidth="1"/>
    <col min="8" max="11" width="11.42578125" style="1"/>
    <col min="12" max="12" width="10.28515625" style="1" customWidth="1"/>
    <col min="13" max="13" width="11.140625" style="1" customWidth="1"/>
    <col min="14" max="14" width="11.42578125" style="1" customWidth="1"/>
    <col min="15" max="15" width="11.5703125" style="1" customWidth="1"/>
    <col min="16" max="16" width="10.85546875" style="1" customWidth="1"/>
    <col min="17" max="16384" width="11.42578125" style="1"/>
  </cols>
  <sheetData>
    <row r="1" spans="1:16" s="12" customFormat="1" ht="13.5" customHeight="1" x14ac:dyDescent="0.2">
      <c r="A1" s="1178" t="s">
        <v>18</v>
      </c>
      <c r="B1" s="1178"/>
      <c r="C1" s="1178"/>
      <c r="D1" s="1179" t="str">
        <f>IF('päd.Personal - Leitung'!D1="","",'päd.Personal - Leitung'!D1)</f>
        <v/>
      </c>
      <c r="E1" s="1179"/>
      <c r="F1" s="1179"/>
      <c r="G1" s="1179"/>
      <c r="H1" s="1179"/>
      <c r="I1" s="1179"/>
      <c r="J1" s="1179"/>
      <c r="K1" s="1179"/>
      <c r="L1" s="1179"/>
      <c r="M1" s="1179"/>
      <c r="N1" s="1179"/>
    </row>
    <row r="2" spans="1:16" s="12" customFormat="1" ht="15" customHeight="1" x14ac:dyDescent="0.2">
      <c r="A2" s="1178" t="s">
        <v>17</v>
      </c>
      <c r="B2" s="1178"/>
      <c r="C2" s="1178" t="s">
        <v>15</v>
      </c>
      <c r="D2" s="1179" t="str">
        <f>IF('päd.Personal - Leitung'!D2="","",'päd.Personal - Leitung'!D2)</f>
        <v/>
      </c>
      <c r="E2" s="1179"/>
      <c r="F2" s="1179"/>
      <c r="G2" s="1179"/>
      <c r="H2" s="1179"/>
      <c r="I2" s="1179"/>
      <c r="J2" s="1179"/>
      <c r="K2" s="1179"/>
      <c r="L2" s="1179"/>
      <c r="M2" s="1179"/>
      <c r="N2" s="1179"/>
    </row>
    <row r="3" spans="1:16" s="12" customFormat="1" ht="15" customHeight="1" x14ac:dyDescent="0.2">
      <c r="A3" s="1178" t="s">
        <v>16</v>
      </c>
      <c r="B3" s="1178"/>
      <c r="C3" s="1178" t="s">
        <v>15</v>
      </c>
      <c r="D3" s="1179" t="str">
        <f>IF('päd.Personal - Leitung'!D3="","",'päd.Personal - Leitung'!D3)</f>
        <v/>
      </c>
      <c r="E3" s="1179"/>
      <c r="F3" s="1179"/>
      <c r="G3" s="1179"/>
      <c r="H3" s="1179"/>
      <c r="I3" s="1179"/>
      <c r="J3" s="1179"/>
      <c r="K3" s="1178" t="s">
        <v>103</v>
      </c>
      <c r="L3" s="1178"/>
      <c r="M3" s="1178"/>
      <c r="N3" s="41" t="str">
        <f>IF('päd.Personal - Leitung'!N3="","",'päd.Personal - Leitung'!N3)</f>
        <v/>
      </c>
    </row>
    <row r="4" spans="1:16" s="13" customFormat="1" ht="11.25" x14ac:dyDescent="0.2">
      <c r="A4" s="1182"/>
      <c r="B4" s="1182"/>
      <c r="C4" s="1182"/>
      <c r="D4" s="1183"/>
      <c r="E4" s="1183"/>
      <c r="F4" s="1183"/>
      <c r="G4" s="1183"/>
      <c r="H4" s="1183"/>
      <c r="I4" s="1183"/>
      <c r="J4" s="1183"/>
      <c r="K4" s="11"/>
      <c r="L4" s="11"/>
      <c r="M4" s="11"/>
      <c r="N4" s="11"/>
      <c r="O4" s="11"/>
      <c r="P4" s="11"/>
    </row>
    <row r="5" spans="1:16" s="15" customFormat="1" ht="13.5" customHeight="1" x14ac:dyDescent="0.2">
      <c r="A5" s="1177" t="s">
        <v>211</v>
      </c>
      <c r="B5" s="1177"/>
      <c r="C5" s="1177"/>
      <c r="D5" s="1177"/>
      <c r="E5" s="1177"/>
      <c r="F5" s="1177"/>
      <c r="G5" s="1177"/>
      <c r="H5" s="1177"/>
      <c r="I5" s="1177"/>
      <c r="J5" s="1177"/>
      <c r="K5" s="1177"/>
      <c r="L5" s="1177"/>
      <c r="M5" s="1177"/>
      <c r="N5" s="59" t="s">
        <v>154</v>
      </c>
      <c r="O5" s="191">
        <f>'päd.Personal - Leitung'!$O$5</f>
        <v>2022</v>
      </c>
      <c r="P5" s="59" t="s">
        <v>154</v>
      </c>
    </row>
    <row r="6" spans="1:16" s="10" customFormat="1" ht="13.5" customHeight="1" x14ac:dyDescent="0.25">
      <c r="B6" s="32"/>
      <c r="C6" s="32"/>
      <c r="D6" s="5" t="s">
        <v>75</v>
      </c>
      <c r="E6" s="31"/>
      <c r="F6" s="31"/>
      <c r="G6" s="31"/>
      <c r="H6" s="31"/>
      <c r="I6" s="26"/>
      <c r="J6" s="1197"/>
      <c r="K6" s="1197"/>
      <c r="L6" s="111"/>
      <c r="N6" s="84">
        <f>IF(L8="","",L8)</f>
        <v>0</v>
      </c>
      <c r="O6" s="58" t="str">
        <f>'päd.Personal - Leitung'!$O$6</f>
        <v>Jan                Jul</v>
      </c>
      <c r="P6" s="85">
        <f>IF(N11="","",N11)</f>
        <v>0</v>
      </c>
    </row>
    <row r="7" spans="1:16" s="7" customFormat="1" ht="13.5" customHeight="1" x14ac:dyDescent="0.25">
      <c r="A7" s="1180" t="s">
        <v>71</v>
      </c>
      <c r="B7" s="1180"/>
      <c r="C7" s="1180"/>
      <c r="D7" s="1184"/>
      <c r="E7" s="1184"/>
      <c r="F7" s="1184"/>
      <c r="G7" s="1184"/>
      <c r="H7" s="1184"/>
      <c r="I7" s="1184"/>
      <c r="J7" s="1174" t="s">
        <v>104</v>
      </c>
      <c r="K7" s="1174"/>
      <c r="L7" s="145"/>
      <c r="N7" s="85">
        <f>IF(N6="","",N6)</f>
        <v>0</v>
      </c>
      <c r="O7" s="58" t="str">
        <f>'päd.Personal - Leitung'!$O$7</f>
        <v>Feb              Aug</v>
      </c>
      <c r="P7" s="85">
        <f>IF(P6="","",P6)</f>
        <v>0</v>
      </c>
    </row>
    <row r="8" spans="1:16" ht="13.5" customHeight="1" x14ac:dyDescent="0.2">
      <c r="A8" s="1180" t="s">
        <v>81</v>
      </c>
      <c r="B8" s="1180"/>
      <c r="C8" s="1180"/>
      <c r="D8" s="1181"/>
      <c r="E8" s="1181"/>
      <c r="F8" s="1181"/>
      <c r="G8" s="1181"/>
      <c r="H8" s="1181"/>
      <c r="I8" s="1181"/>
      <c r="J8" s="1174" t="s">
        <v>164</v>
      </c>
      <c r="K8" s="1174"/>
      <c r="L8" s="145">
        <f>IF((L9+L10)&gt;L7,0,L7-L9-L10)</f>
        <v>0</v>
      </c>
      <c r="N8" s="85">
        <f>IF(N7="","",N7)</f>
        <v>0</v>
      </c>
      <c r="O8" s="58" t="str">
        <f>'päd.Personal - Leitung'!$O$8</f>
        <v>Mrz              Sep</v>
      </c>
      <c r="P8" s="85">
        <f>IF(P7="","",P7)</f>
        <v>0</v>
      </c>
    </row>
    <row r="9" spans="1:16" ht="13.5" customHeight="1" x14ac:dyDescent="0.2">
      <c r="A9" s="1180" t="s">
        <v>80</v>
      </c>
      <c r="B9" s="1180"/>
      <c r="C9" s="1180"/>
      <c r="D9" s="1181"/>
      <c r="E9" s="1181"/>
      <c r="F9" s="1181"/>
      <c r="G9" s="1181"/>
      <c r="H9" s="1181"/>
      <c r="I9" s="1181"/>
      <c r="J9" s="1174" t="s">
        <v>165</v>
      </c>
      <c r="K9" s="1174"/>
      <c r="L9" s="145"/>
      <c r="N9" s="85">
        <f>IF(N8="","",N8)</f>
        <v>0</v>
      </c>
      <c r="O9" s="58" t="str">
        <f>'päd.Personal - Leitung'!$O$9</f>
        <v>Apr               Okt</v>
      </c>
      <c r="P9" s="85">
        <f t="shared" ref="P9:P11" si="0">IF(P8="","",P8)</f>
        <v>0</v>
      </c>
    </row>
    <row r="10" spans="1:16" ht="13.5" customHeight="1" x14ac:dyDescent="0.2">
      <c r="A10" s="1180" t="s">
        <v>19</v>
      </c>
      <c r="B10" s="1180"/>
      <c r="C10" s="1180"/>
      <c r="D10" s="1181"/>
      <c r="E10" s="1181"/>
      <c r="F10" s="1181"/>
      <c r="G10" s="1181"/>
      <c r="H10" s="1181"/>
      <c r="I10" s="1181"/>
      <c r="J10" s="1174" t="s">
        <v>252</v>
      </c>
      <c r="K10" s="1174"/>
      <c r="L10" s="145"/>
      <c r="M10" s="92"/>
      <c r="N10" s="85">
        <f>IF(N9="","",N9)</f>
        <v>0</v>
      </c>
      <c r="O10" s="58" t="str">
        <f>'päd.Personal - Leitung'!$O$10</f>
        <v>Mai               Nov</v>
      </c>
      <c r="P10" s="85">
        <f t="shared" si="0"/>
        <v>0</v>
      </c>
    </row>
    <row r="11" spans="1:16" ht="13.5" customHeight="1" x14ac:dyDescent="0.2">
      <c r="B11" s="8"/>
      <c r="C11" s="132" t="s">
        <v>162</v>
      </c>
      <c r="D11" s="1175"/>
      <c r="E11" s="1175"/>
      <c r="J11" s="1174" t="s">
        <v>97</v>
      </c>
      <c r="K11" s="1174"/>
      <c r="L11" s="17" t="str">
        <f>IF(IF((COUNTIF(N25:O36,"&gt;0"))=0,0,(COUNTIF(N25:O36,"&gt;0")))&gt;Grundlagen!$C$24,Grundlagen!$C$24,IF((COUNTIF(N25:O36,"&gt;0"))=0,"",(COUNTIF(N25:O36,"&gt;0"))))</f>
        <v/>
      </c>
      <c r="N11" s="85">
        <f>IF(N10="","",N10)</f>
        <v>0</v>
      </c>
      <c r="O11" s="58" t="str">
        <f>'päd.Personal - Leitung'!$O$11</f>
        <v>Jun               Dez</v>
      </c>
      <c r="P11" s="85">
        <f t="shared" si="0"/>
        <v>0</v>
      </c>
    </row>
    <row r="12" spans="1:16" ht="13.5" customHeight="1" x14ac:dyDescent="0.2">
      <c r="L12" s="147" t="str">
        <f>IF((SUM(O42))=0,"",IF(P12&gt;L8,L8,IF(L8="","",IF(L11="","",P12))))</f>
        <v/>
      </c>
      <c r="O12" s="174" t="s">
        <v>251</v>
      </c>
      <c r="P12" s="175" t="e">
        <f>IF(O42="",0,((IF(SUMIF(N25,"&gt;0"),N6,0))+(IF(SUMIF(N26,"&gt;0"),N7,0))+(IF(SUMIF(N27,"&gt;0"),N8,0))+(IF(SUMIF(N28,"&gt;0"),N9,0))+(IF(SUMIF(N29,"&gt;0"),N10,0))+(IF(SUMIF(N30,"&gt;0"),N11,0))+(IF(SUMIF(N31,"&gt;0"),P6,0))+(IF(SUMIF(N32,"&gt;0"),P7,0))+(IF(SUMIF(N33,"&gt;0"),P8,0))+(IF(SUMIF(N34,"&gt;0"),P9,0))+(IF(SUMIF(N35,"&gt;0"),P10,0))+(IF(SUMIF(N36,"&gt;0"),P11,0))+(IF(SUMIF(O25,"&gt;0"),N6,0))+(IF(SUMIF(O26,"&gt;0"),N7,0))+(IF(SUMIF(O27,"&gt;0"),N8,0))+(IF(SUMIF(O28,"&gt;0"),N9,0))+(IF(SUMIF(O29,"&gt;0"),N10,0))+(IF(SUMIF(O30,"&gt;0"),N11,0))+(IF(SUMIF(O31,"&gt;0"),P6,0))+(IF(SUMIF(O32,"&gt;0"),P7,0))+(IF(SUMIF(O33,"&gt;0"),P8,0))+(IF(SUMIF(O34,"&gt;0"),P9,0))+(IF(SUMIF(O35,"&gt;0"),P10,0))+(IF(SUMIF(O36,"&gt;0"),P11,0)))/Grundlagen!$C$24)</f>
        <v>#DIV/0!</v>
      </c>
    </row>
    <row r="13" spans="1:16" s="156" customFormat="1" ht="14.25" customHeight="1" x14ac:dyDescent="0.25">
      <c r="A13" s="150" t="s">
        <v>197</v>
      </c>
      <c r="B13" s="63"/>
      <c r="C13" s="151"/>
      <c r="D13" s="63"/>
      <c r="E13" s="1229" t="s">
        <v>198</v>
      </c>
      <c r="F13" s="1229"/>
      <c r="G13" s="65" t="s">
        <v>152</v>
      </c>
      <c r="H13" s="117"/>
      <c r="I13" s="152"/>
      <c r="J13" s="152"/>
      <c r="K13" s="153"/>
      <c r="L13" s="154"/>
      <c r="M13" s="153"/>
      <c r="N13" s="155"/>
      <c r="O13" s="116"/>
    </row>
    <row r="14" spans="1:16" s="156" customFormat="1" ht="14.25" customHeight="1" x14ac:dyDescent="0.25">
      <c r="A14" s="1219" t="s">
        <v>72</v>
      </c>
      <c r="B14" s="1220"/>
      <c r="C14" s="1220"/>
      <c r="D14" s="1221"/>
      <c r="E14" s="1222"/>
      <c r="F14" s="1223"/>
      <c r="G14" s="157">
        <f>IF(L8=0,0,E14/N3/4.348)</f>
        <v>0</v>
      </c>
      <c r="I14" s="1176" t="s">
        <v>107</v>
      </c>
      <c r="J14" s="1176"/>
      <c r="K14" s="1186"/>
      <c r="L14" s="1186"/>
      <c r="M14" s="1176" t="s">
        <v>130</v>
      </c>
      <c r="N14" s="1176"/>
      <c r="O14" s="45"/>
    </row>
    <row r="15" spans="1:16" s="156" customFormat="1" ht="14.25" customHeight="1" x14ac:dyDescent="0.25">
      <c r="A15" s="1219" t="s">
        <v>199</v>
      </c>
      <c r="B15" s="1220"/>
      <c r="C15" s="1220"/>
      <c r="D15" s="1221"/>
      <c r="E15" s="1222"/>
      <c r="F15" s="1223"/>
      <c r="G15" s="157">
        <f>IF(L8=0,0,E15/N3/4.348)</f>
        <v>0</v>
      </c>
      <c r="H15" s="65"/>
      <c r="I15" s="1176" t="s">
        <v>108</v>
      </c>
      <c r="J15" s="1176"/>
      <c r="K15" s="1186"/>
      <c r="L15" s="1186"/>
      <c r="M15" s="1176" t="s">
        <v>131</v>
      </c>
      <c r="N15" s="1176"/>
      <c r="O15" s="45"/>
    </row>
    <row r="16" spans="1:16" s="156" customFormat="1" ht="14.25" customHeight="1" x14ac:dyDescent="0.25">
      <c r="A16" s="1219" t="s">
        <v>74</v>
      </c>
      <c r="B16" s="1220"/>
      <c r="C16" s="1220"/>
      <c r="D16" s="1221"/>
      <c r="E16" s="1222"/>
      <c r="F16" s="1223"/>
      <c r="G16" s="157">
        <f>IF(L8=0,0,E16/N3/4.348)</f>
        <v>0</v>
      </c>
      <c r="H16" s="116"/>
      <c r="I16" s="152"/>
      <c r="M16" s="1176" t="s">
        <v>132</v>
      </c>
      <c r="N16" s="1176"/>
      <c r="O16" s="45"/>
    </row>
    <row r="17" spans="1:15" s="156" customFormat="1" ht="14.25" customHeight="1" x14ac:dyDescent="0.25">
      <c r="A17" s="1219" t="s">
        <v>7</v>
      </c>
      <c r="B17" s="1220"/>
      <c r="C17" s="1220"/>
      <c r="D17" s="1221"/>
      <c r="E17" s="1222"/>
      <c r="F17" s="1223"/>
      <c r="G17" s="157">
        <f>IF(L8=0,0,E17/N3/4.348)</f>
        <v>0</v>
      </c>
      <c r="H17" s="117"/>
      <c r="I17" s="152"/>
      <c r="J17" s="152"/>
      <c r="K17" s="153"/>
      <c r="L17" s="154"/>
      <c r="M17" s="153"/>
      <c r="N17" s="155"/>
      <c r="O17" s="116"/>
    </row>
    <row r="18" spans="1:15" s="156" customFormat="1" ht="14.25" customHeight="1" x14ac:dyDescent="0.25">
      <c r="A18" s="1219" t="s">
        <v>200</v>
      </c>
      <c r="B18" s="1220"/>
      <c r="C18" s="1220"/>
      <c r="D18" s="1221"/>
      <c r="E18" s="1222"/>
      <c r="F18" s="1223"/>
      <c r="G18" s="157">
        <f>IF(L8=0,0,E18/N3/4.348)</f>
        <v>0</v>
      </c>
      <c r="H18" s="117"/>
      <c r="I18" s="158"/>
      <c r="J18" s="152"/>
      <c r="K18" s="153"/>
      <c r="L18" s="154"/>
      <c r="M18" s="153"/>
      <c r="N18" s="155"/>
      <c r="O18" s="116"/>
    </row>
    <row r="19" spans="1:15" s="156" customFormat="1" ht="14.25" customHeight="1" x14ac:dyDescent="0.25">
      <c r="H19" s="117"/>
      <c r="K19" s="152"/>
      <c r="L19" s="152"/>
      <c r="M19" s="152"/>
      <c r="N19" s="159"/>
      <c r="O19" s="152"/>
    </row>
    <row r="20" spans="1:15" ht="14.25" customHeight="1" x14ac:dyDescent="0.2">
      <c r="A20" s="1147"/>
      <c r="B20" s="1149" t="s">
        <v>79</v>
      </c>
      <c r="C20" s="1150"/>
      <c r="D20" s="1150"/>
      <c r="E20" s="1150"/>
      <c r="F20" s="1151"/>
      <c r="G20" s="1152" t="s">
        <v>119</v>
      </c>
      <c r="H20" s="1153"/>
      <c r="I20" s="1153"/>
      <c r="J20" s="1153"/>
      <c r="K20" s="1153"/>
      <c r="L20" s="1225"/>
      <c r="M20" s="1226" t="s">
        <v>116</v>
      </c>
      <c r="N20" s="1202" t="s">
        <v>0</v>
      </c>
      <c r="O20" s="1215" t="s">
        <v>203</v>
      </c>
    </row>
    <row r="21" spans="1:15" ht="14.25" customHeight="1" x14ac:dyDescent="0.2">
      <c r="A21" s="1148"/>
      <c r="B21" s="1161" t="s">
        <v>72</v>
      </c>
      <c r="C21" s="1161" t="s">
        <v>73</v>
      </c>
      <c r="D21" s="1160" t="s">
        <v>74</v>
      </c>
      <c r="E21" s="134" t="s">
        <v>7</v>
      </c>
      <c r="F21" s="1162" t="s">
        <v>6</v>
      </c>
      <c r="G21" s="1161" t="s">
        <v>129</v>
      </c>
      <c r="H21" s="1161" t="s">
        <v>5</v>
      </c>
      <c r="I21" s="1161" t="s">
        <v>4</v>
      </c>
      <c r="J21" s="1161" t="s">
        <v>3</v>
      </c>
      <c r="K21" s="1161" t="s">
        <v>122</v>
      </c>
      <c r="L21" s="1161" t="s">
        <v>123</v>
      </c>
      <c r="M21" s="1227"/>
      <c r="N21" s="1161"/>
      <c r="O21" s="1216"/>
    </row>
    <row r="22" spans="1:15" ht="14.25" customHeight="1" x14ac:dyDescent="0.2">
      <c r="A22" s="1148"/>
      <c r="B22" s="1161"/>
      <c r="C22" s="1161"/>
      <c r="D22" s="1160"/>
      <c r="E22" s="1218"/>
      <c r="F22" s="1162"/>
      <c r="G22" s="1164" t="s">
        <v>127</v>
      </c>
      <c r="H22" s="1164"/>
      <c r="I22" s="1164"/>
      <c r="J22" s="1164"/>
      <c r="K22" s="1164"/>
      <c r="L22" s="1164"/>
      <c r="M22" s="1227"/>
      <c r="N22" s="1161"/>
      <c r="O22" s="1218"/>
    </row>
    <row r="23" spans="1:15" x14ac:dyDescent="0.2">
      <c r="A23" s="1148"/>
      <c r="B23" s="1161"/>
      <c r="C23" s="1161"/>
      <c r="D23" s="1160"/>
      <c r="E23" s="1218"/>
      <c r="F23" s="1162"/>
      <c r="G23" s="43" t="s">
        <v>201</v>
      </c>
      <c r="H23" s="43" t="s">
        <v>258</v>
      </c>
      <c r="I23" s="43" t="s">
        <v>259</v>
      </c>
      <c r="J23" s="43" t="s">
        <v>260</v>
      </c>
      <c r="K23" s="43"/>
      <c r="L23" s="43" t="s">
        <v>254</v>
      </c>
      <c r="M23" s="1227"/>
      <c r="N23" s="1161"/>
      <c r="O23" s="1218"/>
    </row>
    <row r="24" spans="1:15" x14ac:dyDescent="0.2">
      <c r="A24" s="1224"/>
      <c r="B24" s="1203"/>
      <c r="C24" s="1203"/>
      <c r="D24" s="1217"/>
      <c r="E24" s="22"/>
      <c r="F24" s="1163"/>
      <c r="G24" s="21"/>
      <c r="H24" s="21"/>
      <c r="I24" s="21"/>
      <c r="J24" s="21"/>
      <c r="K24" s="21"/>
      <c r="L24" s="21"/>
      <c r="M24" s="1228"/>
      <c r="N24" s="1203"/>
      <c r="O24" s="51"/>
    </row>
    <row r="25" spans="1:15" x14ac:dyDescent="0.2">
      <c r="A25" s="100" t="str">
        <f>'päd.Personal - Leitung'!$A$26</f>
        <v>Jan 2022</v>
      </c>
      <c r="B25" s="24">
        <f>ROUND(IF(N6="",0,IF(O25&gt;0,0,G14*N6*4.348)),2)</f>
        <v>0</v>
      </c>
      <c r="C25" s="24">
        <f>ROUND(IF(N6="",0,IF(O25&gt;0,0,G15*N6*4.348)),2)</f>
        <v>0</v>
      </c>
      <c r="D25" s="24">
        <f>ROUND(IF(N6="",0,IF(O25&gt;0,0,G16*N6*4.348)),2)</f>
        <v>0</v>
      </c>
      <c r="E25" s="24">
        <f>ROUND(IF(N6="",0,IF(O25&gt;0,0,G17*N6*4.348)),2)</f>
        <v>0</v>
      </c>
      <c r="F25" s="27">
        <f>SUM(B25:E25)</f>
        <v>0</v>
      </c>
      <c r="G25" s="27">
        <f>F25*G24</f>
        <v>0</v>
      </c>
      <c r="H25" s="27">
        <f>F25*H24</f>
        <v>0</v>
      </c>
      <c r="I25" s="27">
        <f>F25*I24</f>
        <v>0</v>
      </c>
      <c r="J25" s="27">
        <f>F25*J24</f>
        <v>0</v>
      </c>
      <c r="K25" s="27">
        <f>F25*K24</f>
        <v>0</v>
      </c>
      <c r="L25" s="27">
        <f>F25*L24</f>
        <v>0</v>
      </c>
      <c r="M25" s="27">
        <f>ROUND(IF(N6=0,0,IF((SUM(B25,G25,H25,I25,J25)+(E18/L7*N6))&gt;0,(E18/L7*N6),(E18/L7*N6)-((E18/L7*N6)+SUM(B25,G25,H25,I25,J25)))),2)</f>
        <v>0</v>
      </c>
      <c r="N25" s="27">
        <f>SUM(F25:M25)</f>
        <v>0</v>
      </c>
      <c r="O25" s="23">
        <f>IF(N6="",0,O24)</f>
        <v>0</v>
      </c>
    </row>
    <row r="26" spans="1:15" x14ac:dyDescent="0.2">
      <c r="A26" s="100" t="str">
        <f>'päd.Personal - Leitung'!$A$27</f>
        <v>Feb 2022</v>
      </c>
      <c r="B26" s="24">
        <f>ROUND(IF(N7="",0,IF(O26&gt;0,0,G14*N7*4.348)),2)</f>
        <v>0</v>
      </c>
      <c r="C26" s="24">
        <f>ROUND(IF(N7="",0,IF(O26&gt;0,0,G15*N7*4.348)),2)</f>
        <v>0</v>
      </c>
      <c r="D26" s="24">
        <f>ROUND(IF(N7="",0,IF(O26&gt;0,0,G16*N7*4.348)),2)</f>
        <v>0</v>
      </c>
      <c r="E26" s="24">
        <f>ROUND(IF(N7="",0,IF(O26&gt;0,0,G17*N7*4.348)),2)</f>
        <v>0</v>
      </c>
      <c r="F26" s="27">
        <f t="shared" ref="F26:F36" si="1">SUM(B26:E26)</f>
        <v>0</v>
      </c>
      <c r="G26" s="27">
        <f>F26*G24</f>
        <v>0</v>
      </c>
      <c r="H26" s="27">
        <f>F26*H24</f>
        <v>0</v>
      </c>
      <c r="I26" s="27">
        <f>F26*I24</f>
        <v>0</v>
      </c>
      <c r="J26" s="27">
        <f>F26*J24</f>
        <v>0</v>
      </c>
      <c r="K26" s="27">
        <f>F26*K24</f>
        <v>0</v>
      </c>
      <c r="L26" s="27">
        <f>F26*L24</f>
        <v>0</v>
      </c>
      <c r="M26" s="27">
        <f>ROUND(IF(N7=0,0,IF((SUM(B26,G26,H26,I26,J26)+(E18/L7*N7))&gt;0,(E18/L7*N7),(E18/L7*N7)-((E18/L7*N7)+SUM(B26,G26,H26,I26,J26)))),2)</f>
        <v>0</v>
      </c>
      <c r="N26" s="27">
        <f t="shared" ref="N26:N36" si="2">SUM(F26:M26)</f>
        <v>0</v>
      </c>
      <c r="O26" s="23">
        <f>IF(N7="",0,O24)</f>
        <v>0</v>
      </c>
    </row>
    <row r="27" spans="1:15" x14ac:dyDescent="0.2">
      <c r="A27" s="100" t="str">
        <f>'päd.Personal - Leitung'!$A$28</f>
        <v>Mrz 2022</v>
      </c>
      <c r="B27" s="24">
        <f>ROUND(IF(N8="",0,IF(O27&gt;0,0,G14*N8*4.348)),2)</f>
        <v>0</v>
      </c>
      <c r="C27" s="24">
        <f>ROUND(IF(N8="",0,IF(O27&gt;0,0,G15*N8*4.348)),2)</f>
        <v>0</v>
      </c>
      <c r="D27" s="24">
        <f>ROUND(IF(N8="",0,IF(O27&gt;0,0,G16*N8*4.348)),2)</f>
        <v>0</v>
      </c>
      <c r="E27" s="24">
        <f>ROUND(IF(N8="",0,IF(O27&gt;0,0,G17*N8*4.348)),2)</f>
        <v>0</v>
      </c>
      <c r="F27" s="27">
        <f t="shared" si="1"/>
        <v>0</v>
      </c>
      <c r="G27" s="27">
        <f>F27*G24</f>
        <v>0</v>
      </c>
      <c r="H27" s="27">
        <f>F27*H24</f>
        <v>0</v>
      </c>
      <c r="I27" s="27">
        <f>F27*I24</f>
        <v>0</v>
      </c>
      <c r="J27" s="27">
        <f>F27*J24</f>
        <v>0</v>
      </c>
      <c r="K27" s="27">
        <f>F27*K24</f>
        <v>0</v>
      </c>
      <c r="L27" s="27">
        <f>F27*L24</f>
        <v>0</v>
      </c>
      <c r="M27" s="27">
        <f>ROUND(IF(N8=0,0,IF((SUM(B27,G27,H27,I27,J27)+(E18/L7*N8))&gt;0,(E18/L7*N8),(E18/L7*N8)-((E18/L7*N8)+SUM(B27,G27,H27,I27,J27)))),2)</f>
        <v>0</v>
      </c>
      <c r="N27" s="27">
        <f t="shared" si="2"/>
        <v>0</v>
      </c>
      <c r="O27" s="23">
        <f>IF(N8="",0,O24)</f>
        <v>0</v>
      </c>
    </row>
    <row r="28" spans="1:15" x14ac:dyDescent="0.2">
      <c r="A28" s="100" t="str">
        <f>'päd.Personal - Leitung'!$A$29</f>
        <v>Apr 2022</v>
      </c>
      <c r="B28" s="24">
        <f>ROUND(IF(N9="",0,IF(O28&gt;0,0,G14*N9*4.348)),2)</f>
        <v>0</v>
      </c>
      <c r="C28" s="24">
        <f>ROUND(IF(N9="",0,IF(O28&gt;0,0,G15*N9*4.348)),2)</f>
        <v>0</v>
      </c>
      <c r="D28" s="24">
        <f>ROUND(IF(N9="",0,IF(O28&gt;0,0,G16*N9*4.348)),2)</f>
        <v>0</v>
      </c>
      <c r="E28" s="24">
        <f>ROUND(IF(N9="",0,IF(O28&gt;0,0,G17*N9*4.348)),2)</f>
        <v>0</v>
      </c>
      <c r="F28" s="27">
        <f t="shared" si="1"/>
        <v>0</v>
      </c>
      <c r="G28" s="27">
        <f>F28*G24</f>
        <v>0</v>
      </c>
      <c r="H28" s="27">
        <f>F28*H24</f>
        <v>0</v>
      </c>
      <c r="I28" s="27">
        <f>F28*I24</f>
        <v>0</v>
      </c>
      <c r="J28" s="27">
        <f>F28*J24</f>
        <v>0</v>
      </c>
      <c r="K28" s="27">
        <f>F28*K24</f>
        <v>0</v>
      </c>
      <c r="L28" s="27">
        <f>F28*L24</f>
        <v>0</v>
      </c>
      <c r="M28" s="27">
        <f>ROUND(IF(N9=0,0,IF((SUM(B28,G28,H28,I28,J28)+(E18/L7*N9))&gt;0,(E18/L7*N9),(E18/L7*N9)-((E18/L7*N9)+SUM(B28,G28,H28,I28,J28)))),2)</f>
        <v>0</v>
      </c>
      <c r="N28" s="27">
        <f t="shared" si="2"/>
        <v>0</v>
      </c>
      <c r="O28" s="23">
        <f>IF(N9="",0,O24)</f>
        <v>0</v>
      </c>
    </row>
    <row r="29" spans="1:15" x14ac:dyDescent="0.2">
      <c r="A29" s="100" t="str">
        <f>'päd.Personal - Leitung'!$A$30</f>
        <v>Mai 2022</v>
      </c>
      <c r="B29" s="24">
        <f>ROUND(IF(N10="",0,IF(O29&gt;0,0,G14*N10*4.348)),2)</f>
        <v>0</v>
      </c>
      <c r="C29" s="24">
        <f>ROUND(IF(N10="",0,IF(O29&gt;0,0,G15*N10*4.348)),2)</f>
        <v>0</v>
      </c>
      <c r="D29" s="24">
        <f>ROUND(IF(N10="",0,IF(O29&gt;0,0,G16*N10*4.348)),2)</f>
        <v>0</v>
      </c>
      <c r="E29" s="24">
        <f>ROUND(IF(N10="",0,IF(O29&gt;0,0,G17*N10*4.348)),2)</f>
        <v>0</v>
      </c>
      <c r="F29" s="27">
        <f t="shared" si="1"/>
        <v>0</v>
      </c>
      <c r="G29" s="27">
        <f>F29*G24</f>
        <v>0</v>
      </c>
      <c r="H29" s="27">
        <f>F29*H24</f>
        <v>0</v>
      </c>
      <c r="I29" s="27">
        <f>F29*I24</f>
        <v>0</v>
      </c>
      <c r="J29" s="27">
        <f>F29*J24</f>
        <v>0</v>
      </c>
      <c r="K29" s="27">
        <f>F29*K24</f>
        <v>0</v>
      </c>
      <c r="L29" s="27">
        <f>F29*L24</f>
        <v>0</v>
      </c>
      <c r="M29" s="27">
        <f>ROUND(IF(N10=0,0,IF((SUM(B29,G29,H29,I29,J29)+(E18/L7*N10))&gt;0,(E18/L7*N10),(E18/L7*N10)-((E18/L7*N10)+SUM(B29,G29,H29,I29,J29)))),2)</f>
        <v>0</v>
      </c>
      <c r="N29" s="27">
        <f t="shared" si="2"/>
        <v>0</v>
      </c>
      <c r="O29" s="23">
        <f>IF(N10="",0,O24)</f>
        <v>0</v>
      </c>
    </row>
    <row r="30" spans="1:15" x14ac:dyDescent="0.2">
      <c r="A30" s="100" t="str">
        <f>'päd.Personal - Leitung'!$A$31</f>
        <v>Jun 2022</v>
      </c>
      <c r="B30" s="24">
        <f>ROUND(IF(N11="",0,IF(O30&gt;0,0,G14*N11*4.348)),2)</f>
        <v>0</v>
      </c>
      <c r="C30" s="24">
        <f>ROUND(IF(N11="",0,IF(O30&gt;0,0,G15*N11*4.348)),2)</f>
        <v>0</v>
      </c>
      <c r="D30" s="24">
        <f>ROUND(IF(N11="",0,IF(O30&gt;0,0,G16*N11*4.348)),2)</f>
        <v>0</v>
      </c>
      <c r="E30" s="24">
        <f>ROUND(IF(N11="",0,IF(O30&gt;0,0,G17*N11*4.348)),2)</f>
        <v>0</v>
      </c>
      <c r="F30" s="27">
        <f t="shared" si="1"/>
        <v>0</v>
      </c>
      <c r="G30" s="27">
        <f>F30*G24</f>
        <v>0</v>
      </c>
      <c r="H30" s="27">
        <f>F30*H24</f>
        <v>0</v>
      </c>
      <c r="I30" s="27">
        <f>F30*I24</f>
        <v>0</v>
      </c>
      <c r="J30" s="27">
        <f>F30*J24</f>
        <v>0</v>
      </c>
      <c r="K30" s="27">
        <f>F30*K24</f>
        <v>0</v>
      </c>
      <c r="L30" s="27">
        <f>F30*L24</f>
        <v>0</v>
      </c>
      <c r="M30" s="27">
        <f>ROUND(IF(N11=0,0,IF((SUM(B30,G30,H30,I30,J30)+(E18/L7*N11))&gt;0,(E18/L7*N11),(E18/L7*N11)-((E18/L7*N11)+SUM(B30,G30,H30,I30,J30)))),2)</f>
        <v>0</v>
      </c>
      <c r="N30" s="27">
        <f t="shared" si="2"/>
        <v>0</v>
      </c>
      <c r="O30" s="23">
        <f>IF(N11="",0,O24)</f>
        <v>0</v>
      </c>
    </row>
    <row r="31" spans="1:15" x14ac:dyDescent="0.2">
      <c r="A31" s="100" t="str">
        <f>'päd.Personal - Leitung'!$A$32</f>
        <v>Jul 2022</v>
      </c>
      <c r="B31" s="24">
        <f>ROUND(IF(P6="",0,IF(O31&gt;0,0,G14*P6*4.348)),2)</f>
        <v>0</v>
      </c>
      <c r="C31" s="24">
        <f>ROUND(IF(P6="",0,IF(O31&gt;0,0,G15*P6*4.348)),2)</f>
        <v>0</v>
      </c>
      <c r="D31" s="24">
        <f>ROUND(IF(P6="",0,IF(O31&gt;0,0,G16*P6*4.348)),2)</f>
        <v>0</v>
      </c>
      <c r="E31" s="24">
        <f>ROUND(IF(P6="",0,IF(O31&gt;0,0,G17*P6*4.348)),2)</f>
        <v>0</v>
      </c>
      <c r="F31" s="27">
        <f t="shared" si="1"/>
        <v>0</v>
      </c>
      <c r="G31" s="27">
        <f>F31*G24</f>
        <v>0</v>
      </c>
      <c r="H31" s="27">
        <f>F31*H24</f>
        <v>0</v>
      </c>
      <c r="I31" s="27">
        <f>F31*I24</f>
        <v>0</v>
      </c>
      <c r="J31" s="27">
        <f>F31*J24</f>
        <v>0</v>
      </c>
      <c r="K31" s="27">
        <f>F31*K24</f>
        <v>0</v>
      </c>
      <c r="L31" s="27">
        <f>F31*L24</f>
        <v>0</v>
      </c>
      <c r="M31" s="27">
        <f>ROUND(IF(P6=0,0,IF((SUM(B31,G31,H31,I31,J31)+(E18/L7*P6))&gt;0,(E18/L7*P6),(E18/L7*P6)-((E18/L7*P6)+SUM(B31,G31,H31,I31,J31)))),2)</f>
        <v>0</v>
      </c>
      <c r="N31" s="27">
        <f t="shared" si="2"/>
        <v>0</v>
      </c>
      <c r="O31" s="23">
        <f>IF(P6="",0,O24)</f>
        <v>0</v>
      </c>
    </row>
    <row r="32" spans="1:15" x14ac:dyDescent="0.2">
      <c r="A32" s="100" t="str">
        <f>'päd.Personal - Leitung'!$A$33</f>
        <v>Aug 2022</v>
      </c>
      <c r="B32" s="24">
        <f>ROUND(IF(P7="",0,IF(O32&gt;0,0,G14*P7*4.348)),2)</f>
        <v>0</v>
      </c>
      <c r="C32" s="24">
        <f>ROUND(IF(P7="",0,IF(O32&gt;0,0,G15*P7*4.348)),2)</f>
        <v>0</v>
      </c>
      <c r="D32" s="24">
        <f>ROUND(IF(P7="",0,IF(O32&gt;0,0,G16*P7*4.348)),2)</f>
        <v>0</v>
      </c>
      <c r="E32" s="24">
        <f>ROUND(IF(P7="",0,IF(O32&gt;0,0,G17*P7*4.348)),2)</f>
        <v>0</v>
      </c>
      <c r="F32" s="27">
        <f t="shared" si="1"/>
        <v>0</v>
      </c>
      <c r="G32" s="27">
        <f>F32*G24</f>
        <v>0</v>
      </c>
      <c r="H32" s="27">
        <f>F32*H24</f>
        <v>0</v>
      </c>
      <c r="I32" s="27">
        <f>F32*I24</f>
        <v>0</v>
      </c>
      <c r="J32" s="27">
        <f>F32*J24</f>
        <v>0</v>
      </c>
      <c r="K32" s="27">
        <f>F32*K24</f>
        <v>0</v>
      </c>
      <c r="L32" s="27">
        <f>F32*L24</f>
        <v>0</v>
      </c>
      <c r="M32" s="27">
        <f>ROUND(IF(P7=0,0,IF((SUM(B32,G32,H32,I32,J32)+(E18/L7*P7))&gt;0,(E18/L7*P7),(E18/L7*P7)-((E18/L7*P7)+SUM(B32,G32,H32,I32,J32)))),2)</f>
        <v>0</v>
      </c>
      <c r="N32" s="27">
        <f t="shared" si="2"/>
        <v>0</v>
      </c>
      <c r="O32" s="23">
        <f>IF(P7="",0,O24)</f>
        <v>0</v>
      </c>
    </row>
    <row r="33" spans="1:16" x14ac:dyDescent="0.2">
      <c r="A33" s="100" t="str">
        <f>'päd.Personal - Leitung'!$A$34</f>
        <v>Sep 2022</v>
      </c>
      <c r="B33" s="24">
        <f>ROUND(IF(P8="",0,IF(O33&gt;0,0,G14*P8*4.348)),2)</f>
        <v>0</v>
      </c>
      <c r="C33" s="24">
        <f>ROUND(IF(P8="",0,IF(O33&gt;0,0,G15*P8*4.348)),2)</f>
        <v>0</v>
      </c>
      <c r="D33" s="24">
        <f>ROUND(IF(P8="",0,IF(O33&gt;0,0,G16*P8*4.348)),2)</f>
        <v>0</v>
      </c>
      <c r="E33" s="24">
        <f>ROUND(IF(P8="",0,IF(O33&gt;0,0,G17*P8*4.348)),2)</f>
        <v>0</v>
      </c>
      <c r="F33" s="27">
        <f t="shared" si="1"/>
        <v>0</v>
      </c>
      <c r="G33" s="27">
        <f>F33*G24</f>
        <v>0</v>
      </c>
      <c r="H33" s="27">
        <f>F33*H24</f>
        <v>0</v>
      </c>
      <c r="I33" s="27">
        <f>F33*I24</f>
        <v>0</v>
      </c>
      <c r="J33" s="27">
        <f>F33*J24</f>
        <v>0</v>
      </c>
      <c r="K33" s="27">
        <f>F33*K24</f>
        <v>0</v>
      </c>
      <c r="L33" s="27">
        <f>F33*L24</f>
        <v>0</v>
      </c>
      <c r="M33" s="27">
        <f>ROUND(IF(P8=0,0,IF((SUM(B33,G33,H33,I33,J33)+(E18/L7*P8))&gt;0,(E18/L7*P8),(E18/L7*P8)-((E18/L7*P8)+SUM(B33,G33,H33,I33,J33)))),2)</f>
        <v>0</v>
      </c>
      <c r="N33" s="27">
        <f t="shared" si="2"/>
        <v>0</v>
      </c>
      <c r="O33" s="23">
        <f>IF(P8="",0,O24)</f>
        <v>0</v>
      </c>
    </row>
    <row r="34" spans="1:16" x14ac:dyDescent="0.2">
      <c r="A34" s="100" t="str">
        <f>'päd.Personal - Leitung'!$A$35</f>
        <v>Okt 2022</v>
      </c>
      <c r="B34" s="24">
        <f>ROUND(IF(P9="",0,IF(O34&gt;0,0,G14*P9*4.348)),2)</f>
        <v>0</v>
      </c>
      <c r="C34" s="24">
        <f>ROUND(IF(P9="",0,IF(O34&gt;0,0,G15*P9*4.348)),2)</f>
        <v>0</v>
      </c>
      <c r="D34" s="24">
        <f>ROUND(IF(P9="",0,IF(O34&gt;0,0,G16*P9*4.348)),2)</f>
        <v>0</v>
      </c>
      <c r="E34" s="24">
        <f>ROUND(IF(P9="",0,IF(O34&gt;0,0,G17*P9*4.348)),2)</f>
        <v>0</v>
      </c>
      <c r="F34" s="27">
        <f t="shared" si="1"/>
        <v>0</v>
      </c>
      <c r="G34" s="27">
        <f>F34*G24</f>
        <v>0</v>
      </c>
      <c r="H34" s="27">
        <f>F34*H24</f>
        <v>0</v>
      </c>
      <c r="I34" s="27">
        <f>F34*I24</f>
        <v>0</v>
      </c>
      <c r="J34" s="27">
        <f>F34*J24</f>
        <v>0</v>
      </c>
      <c r="K34" s="27">
        <f>F34*K24</f>
        <v>0</v>
      </c>
      <c r="L34" s="27">
        <f>F34*L24</f>
        <v>0</v>
      </c>
      <c r="M34" s="27">
        <f>ROUND(IF(P9=0,0,IF((SUM(B34,G34,H34,I34,J34)+(E18/L7*P9))&gt;0,(E18/L7*P9),(E18/L7*P9)-((E18/L7*P9)+SUM(B34,G34,H34,I34,J34)))),2)</f>
        <v>0</v>
      </c>
      <c r="N34" s="27">
        <f t="shared" si="2"/>
        <v>0</v>
      </c>
      <c r="O34" s="23">
        <f>IF(P9="",0,O24)</f>
        <v>0</v>
      </c>
    </row>
    <row r="35" spans="1:16" x14ac:dyDescent="0.2">
      <c r="A35" s="100" t="str">
        <f>'päd.Personal - Leitung'!$A$36</f>
        <v>Nov 2022</v>
      </c>
      <c r="B35" s="24">
        <f>ROUND(IF(P10="",0,IF(O35&gt;0,0,G14*P10*4.348)),2)</f>
        <v>0</v>
      </c>
      <c r="C35" s="24">
        <f>ROUND(IF(P10="",0,IF(O35&gt;0,0,G15*P10*4.348)),2)</f>
        <v>0</v>
      </c>
      <c r="D35" s="24">
        <f>ROUND(IF(P10="",0,IF(O35&gt;0,0,G16*P10*4.348)),2)</f>
        <v>0</v>
      </c>
      <c r="E35" s="24">
        <f>ROUND(IF(P10="",0,IF(O35&gt;0,0,G17*P10*4.348)),2)</f>
        <v>0</v>
      </c>
      <c r="F35" s="27">
        <f t="shared" si="1"/>
        <v>0</v>
      </c>
      <c r="G35" s="27">
        <f>F35*G24</f>
        <v>0</v>
      </c>
      <c r="H35" s="27">
        <f>F35*H24</f>
        <v>0</v>
      </c>
      <c r="I35" s="27">
        <f>F35*I24</f>
        <v>0</v>
      </c>
      <c r="J35" s="27">
        <f>F35*J24</f>
        <v>0</v>
      </c>
      <c r="K35" s="27">
        <f>F35*K24</f>
        <v>0</v>
      </c>
      <c r="L35" s="27">
        <f>F35*L24</f>
        <v>0</v>
      </c>
      <c r="M35" s="27">
        <f>ROUND(IF(P10=0,0,IF((SUM(B35,G35,H35,I35,J35)+(E18/L7*P10))&gt;0,(E18/L7*P10),(E18/L7*P10)-((E18/L7*P10)+SUM(B35,G35,H35,I35,J35)))),2)</f>
        <v>0</v>
      </c>
      <c r="N35" s="27">
        <f t="shared" si="2"/>
        <v>0</v>
      </c>
      <c r="O35" s="23">
        <f>IF(P10="",0,O24)</f>
        <v>0</v>
      </c>
    </row>
    <row r="36" spans="1:16" x14ac:dyDescent="0.2">
      <c r="A36" s="100" t="str">
        <f>'päd.Personal - Leitung'!$A$37</f>
        <v>Dez 2022</v>
      </c>
      <c r="B36" s="24">
        <f>ROUND(IF(P11="",0,IF(O36&gt;0,0,G14*P11*4.348)),2)</f>
        <v>0</v>
      </c>
      <c r="C36" s="24">
        <f>ROUND(IF(P11="",0,IF(O36&gt;0,0,G15*P11*4.348)),2)</f>
        <v>0</v>
      </c>
      <c r="D36" s="24">
        <f>ROUND(IF(P11="",0,IF(O36&gt;0,0,G16*P11*4.348)),2)</f>
        <v>0</v>
      </c>
      <c r="E36" s="24">
        <f>ROUND(IF(P11="",0,IF(O36&gt;0,0,G17*P11*4.348)),2)</f>
        <v>0</v>
      </c>
      <c r="F36" s="27">
        <f t="shared" si="1"/>
        <v>0</v>
      </c>
      <c r="G36" s="27">
        <f>F36*G24</f>
        <v>0</v>
      </c>
      <c r="H36" s="27">
        <f>F36*H24</f>
        <v>0</v>
      </c>
      <c r="I36" s="27">
        <f>F36*I24</f>
        <v>0</v>
      </c>
      <c r="J36" s="27">
        <f>F36*J24</f>
        <v>0</v>
      </c>
      <c r="K36" s="27">
        <f>F36*K24</f>
        <v>0</v>
      </c>
      <c r="L36" s="27">
        <f>F36*L24</f>
        <v>0</v>
      </c>
      <c r="M36" s="27">
        <f>ROUND(IF(P11=0,0,IF((SUM(B36,G36,H36,I36,J36)+(E18/L7*P11))&gt;0,(E18/L7*P11),(E18/L7*P11)-((E18/L7*P11)+SUM(B36,G36,H36,I36,J36)))),2)</f>
        <v>0</v>
      </c>
      <c r="N36" s="27">
        <f t="shared" si="2"/>
        <v>0</v>
      </c>
      <c r="O36" s="23">
        <f>IF(P11="",0,O24)</f>
        <v>0</v>
      </c>
    </row>
    <row r="37" spans="1:16" x14ac:dyDescent="0.2">
      <c r="A37" s="4" t="s">
        <v>2</v>
      </c>
      <c r="B37" s="27">
        <f>SUM(B25:B36)</f>
        <v>0</v>
      </c>
      <c r="C37" s="27">
        <f t="shared" ref="C37:E37" si="3">SUM(C25:C36)</f>
        <v>0</v>
      </c>
      <c r="D37" s="27">
        <f t="shared" si="3"/>
        <v>0</v>
      </c>
      <c r="E37" s="27">
        <f t="shared" si="3"/>
        <v>0</v>
      </c>
      <c r="F37" s="27">
        <f>SUM(F25:F36)</f>
        <v>0</v>
      </c>
      <c r="G37" s="1133">
        <f>SUM(G25:L36)</f>
        <v>0</v>
      </c>
      <c r="H37" s="1134"/>
      <c r="I37" s="1134"/>
      <c r="J37" s="1134"/>
      <c r="K37" s="1134"/>
      <c r="L37" s="1135"/>
      <c r="M37" s="27">
        <f>SUM(M25:M36)</f>
        <v>0</v>
      </c>
      <c r="N37" s="27">
        <f>SUM(N25:N36)</f>
        <v>0</v>
      </c>
      <c r="O37" s="27">
        <f t="shared" ref="O37" si="4">SUM(O25:O36)</f>
        <v>0</v>
      </c>
    </row>
    <row r="38" spans="1:16" x14ac:dyDescent="0.2">
      <c r="A38" s="3" t="s">
        <v>1</v>
      </c>
      <c r="B38" s="2"/>
      <c r="C38" s="2"/>
      <c r="D38" s="2"/>
      <c r="E38" s="2"/>
      <c r="F38" s="2"/>
      <c r="G38" s="2"/>
      <c r="H38" s="2"/>
      <c r="I38" s="2"/>
      <c r="J38" s="2"/>
      <c r="K38" s="2"/>
      <c r="L38" s="2"/>
      <c r="M38" s="2"/>
      <c r="N38" s="1210"/>
      <c r="O38" s="1210"/>
      <c r="P38" s="2"/>
    </row>
    <row r="39" spans="1:16" s="13" customFormat="1" ht="14.25" customHeight="1" x14ac:dyDescent="0.2">
      <c r="I39" s="2"/>
      <c r="J39" s="2"/>
      <c r="K39" s="2"/>
      <c r="P39" s="2"/>
    </row>
    <row r="40" spans="1:16" ht="14.25" customHeight="1" x14ac:dyDescent="0.2">
      <c r="A40" s="1211" t="s">
        <v>133</v>
      </c>
      <c r="B40" s="1212"/>
      <c r="C40" s="1212"/>
      <c r="D40" s="1212" t="s">
        <v>134</v>
      </c>
      <c r="E40" s="1212"/>
      <c r="F40" s="1238"/>
      <c r="G40" s="83" t="s">
        <v>135</v>
      </c>
      <c r="H40" s="1239"/>
      <c r="I40" s="73"/>
      <c r="J40" s="78"/>
      <c r="K40" s="78"/>
      <c r="L40" s="1138" t="s">
        <v>140</v>
      </c>
      <c r="M40" s="1138"/>
      <c r="N40" s="1139"/>
      <c r="O40" s="27">
        <f>ROUND(IF(F40="",IF(E42="",0,(E42*H42/K42)/L7*L8),F37*F40*H40/1000),2)</f>
        <v>0</v>
      </c>
    </row>
    <row r="41" spans="1:16" ht="15" customHeight="1" x14ac:dyDescent="0.2">
      <c r="L41" s="81"/>
      <c r="M41" s="1127" t="s">
        <v>204</v>
      </c>
      <c r="N41" s="1128"/>
      <c r="O41" s="109"/>
    </row>
    <row r="42" spans="1:16" ht="15.75" customHeight="1" x14ac:dyDescent="0.2">
      <c r="A42" s="1129" t="s">
        <v>142</v>
      </c>
      <c r="B42" s="1130"/>
      <c r="C42" s="133" t="s">
        <v>136</v>
      </c>
      <c r="D42" s="133" t="s">
        <v>137</v>
      </c>
      <c r="E42" s="1240"/>
      <c r="F42" s="1240"/>
      <c r="G42" s="83" t="s">
        <v>138</v>
      </c>
      <c r="H42" s="1241"/>
      <c r="I42" s="1132" t="s">
        <v>144</v>
      </c>
      <c r="J42" s="1132"/>
      <c r="K42" s="1242"/>
      <c r="L42" s="81"/>
      <c r="M42" s="1213" t="s">
        <v>202</v>
      </c>
      <c r="N42" s="1214"/>
      <c r="O42" s="113">
        <f>IF(N37&gt;0,N37+O37+SUM(O40:O41),N37+O37+SUM(O40:O41))</f>
        <v>0</v>
      </c>
      <c r="P42" s="112"/>
    </row>
    <row r="43" spans="1:16" ht="21.75" customHeight="1" x14ac:dyDescent="0.2">
      <c r="A43" s="18"/>
      <c r="B43" s="18"/>
      <c r="C43" s="18"/>
      <c r="D43" s="18"/>
      <c r="E43" s="18"/>
      <c r="F43" s="18"/>
      <c r="G43" s="18"/>
      <c r="H43" s="18"/>
      <c r="I43" s="18"/>
      <c r="J43" s="18"/>
      <c r="K43" s="74"/>
      <c r="L43" s="82"/>
      <c r="M43" s="1209"/>
      <c r="N43" s="1209"/>
      <c r="O43" s="1209"/>
      <c r="P43" s="112"/>
    </row>
    <row r="44" spans="1:16" s="12" customFormat="1" ht="13.5" customHeight="1" x14ac:dyDescent="0.2">
      <c r="A44" s="1178" t="s">
        <v>18</v>
      </c>
      <c r="B44" s="1178"/>
      <c r="C44" s="1178"/>
      <c r="D44" s="1179" t="str">
        <f>IF($D$1="","",$D$1)</f>
        <v/>
      </c>
      <c r="E44" s="1179"/>
      <c r="F44" s="1179"/>
      <c r="G44" s="1179"/>
      <c r="H44" s="1179"/>
      <c r="I44" s="1179"/>
      <c r="J44" s="1179"/>
      <c r="K44" s="1179"/>
      <c r="L44" s="1179"/>
      <c r="M44" s="1179"/>
      <c r="N44" s="1179"/>
    </row>
    <row r="45" spans="1:16" s="12" customFormat="1" ht="15" customHeight="1" x14ac:dyDescent="0.2">
      <c r="A45" s="1178" t="s">
        <v>17</v>
      </c>
      <c r="B45" s="1178"/>
      <c r="C45" s="1178" t="s">
        <v>15</v>
      </c>
      <c r="D45" s="1179" t="str">
        <f>IF($D$2="","",$D$2)</f>
        <v/>
      </c>
      <c r="E45" s="1179"/>
      <c r="F45" s="1179"/>
      <c r="G45" s="1179"/>
      <c r="H45" s="1179"/>
      <c r="I45" s="1179"/>
      <c r="J45" s="1179"/>
      <c r="K45" s="1179"/>
      <c r="L45" s="1179"/>
      <c r="M45" s="1179"/>
      <c r="N45" s="1179"/>
    </row>
    <row r="46" spans="1:16" s="12" customFormat="1" ht="15" customHeight="1" x14ac:dyDescent="0.2">
      <c r="A46" s="1178" t="s">
        <v>16</v>
      </c>
      <c r="B46" s="1178"/>
      <c r="C46" s="1178" t="s">
        <v>15</v>
      </c>
      <c r="D46" s="1179" t="str">
        <f>IF($D$3="","",$D$3)</f>
        <v/>
      </c>
      <c r="E46" s="1179"/>
      <c r="F46" s="1179"/>
      <c r="G46" s="1179"/>
      <c r="H46" s="1179"/>
      <c r="I46" s="1179"/>
      <c r="J46" s="1179"/>
      <c r="K46" s="1178" t="s">
        <v>103</v>
      </c>
      <c r="L46" s="1178"/>
      <c r="M46" s="1178"/>
      <c r="N46" s="41" t="str">
        <f>IF($N$3="","",$N$3)</f>
        <v/>
      </c>
    </row>
    <row r="47" spans="1:16" s="13" customFormat="1" ht="11.25" x14ac:dyDescent="0.2">
      <c r="A47" s="1182"/>
      <c r="B47" s="1182"/>
      <c r="C47" s="1182"/>
      <c r="D47" s="1183"/>
      <c r="E47" s="1183"/>
      <c r="F47" s="1183"/>
      <c r="G47" s="1183"/>
      <c r="H47" s="1183"/>
      <c r="I47" s="1183"/>
      <c r="J47" s="1183"/>
      <c r="K47" s="11"/>
      <c r="L47" s="11"/>
      <c r="M47" s="11"/>
      <c r="N47" s="11"/>
      <c r="O47" s="11"/>
      <c r="P47" s="11"/>
    </row>
    <row r="48" spans="1:16" s="15" customFormat="1" ht="13.5" customHeight="1" x14ac:dyDescent="0.2">
      <c r="A48" s="1177" t="s">
        <v>211</v>
      </c>
      <c r="B48" s="1177"/>
      <c r="C48" s="1177"/>
      <c r="D48" s="1177"/>
      <c r="E48" s="1177"/>
      <c r="F48" s="1177"/>
      <c r="G48" s="1177"/>
      <c r="H48" s="1177"/>
      <c r="I48" s="1177"/>
      <c r="J48" s="1177"/>
      <c r="K48" s="1177"/>
      <c r="L48" s="1177"/>
      <c r="M48" s="1177"/>
      <c r="N48" s="59" t="s">
        <v>154</v>
      </c>
      <c r="O48" s="191">
        <f>'päd.Personal - Leitung'!$O$5</f>
        <v>2022</v>
      </c>
      <c r="P48" s="59" t="s">
        <v>154</v>
      </c>
    </row>
    <row r="49" spans="1:16" s="10" customFormat="1" ht="13.5" customHeight="1" x14ac:dyDescent="0.25">
      <c r="B49" s="32"/>
      <c r="C49" s="32"/>
      <c r="D49" s="5" t="s">
        <v>76</v>
      </c>
      <c r="E49" s="31"/>
      <c r="F49" s="31"/>
      <c r="G49" s="31"/>
      <c r="H49" s="31"/>
      <c r="I49" s="26"/>
      <c r="J49" s="1197"/>
      <c r="K49" s="1197"/>
      <c r="L49" s="111"/>
      <c r="N49" s="84">
        <f>IF(L51="","",L51)</f>
        <v>0</v>
      </c>
      <c r="O49" s="58" t="str">
        <f>'päd.Personal - Leitung'!$O$6</f>
        <v>Jan                Jul</v>
      </c>
      <c r="P49" s="85">
        <f>IF(N54="","",N54)</f>
        <v>0</v>
      </c>
    </row>
    <row r="50" spans="1:16" s="7" customFormat="1" ht="13.5" customHeight="1" x14ac:dyDescent="0.25">
      <c r="A50" s="1180" t="s">
        <v>71</v>
      </c>
      <c r="B50" s="1180"/>
      <c r="C50" s="1180"/>
      <c r="D50" s="1184"/>
      <c r="E50" s="1184"/>
      <c r="F50" s="1184"/>
      <c r="G50" s="1184"/>
      <c r="H50" s="1184"/>
      <c r="I50" s="1184"/>
      <c r="J50" s="1174" t="s">
        <v>104</v>
      </c>
      <c r="K50" s="1174"/>
      <c r="L50" s="145"/>
      <c r="N50" s="85">
        <f>IF(N49="","",N49)</f>
        <v>0</v>
      </c>
      <c r="O50" s="58" t="str">
        <f>'päd.Personal - Leitung'!$O$7</f>
        <v>Feb              Aug</v>
      </c>
      <c r="P50" s="85">
        <f>IF(P49="","",P49)</f>
        <v>0</v>
      </c>
    </row>
    <row r="51" spans="1:16" ht="13.5" customHeight="1" x14ac:dyDescent="0.2">
      <c r="A51" s="1180" t="s">
        <v>81</v>
      </c>
      <c r="B51" s="1180"/>
      <c r="C51" s="1180"/>
      <c r="D51" s="1181"/>
      <c r="E51" s="1181"/>
      <c r="F51" s="1181"/>
      <c r="G51" s="1181"/>
      <c r="H51" s="1181"/>
      <c r="I51" s="1181"/>
      <c r="J51" s="1174" t="s">
        <v>164</v>
      </c>
      <c r="K51" s="1174"/>
      <c r="L51" s="145">
        <f>IF((L52+L53)&gt;L50,0,L50-L52-L53)</f>
        <v>0</v>
      </c>
      <c r="N51" s="85">
        <f>IF(N50="","",N50)</f>
        <v>0</v>
      </c>
      <c r="O51" s="58" t="str">
        <f>'päd.Personal - Leitung'!$O$8</f>
        <v>Mrz              Sep</v>
      </c>
      <c r="P51" s="85">
        <f>IF(P50="","",P50)</f>
        <v>0</v>
      </c>
    </row>
    <row r="52" spans="1:16" ht="13.5" customHeight="1" x14ac:dyDescent="0.2">
      <c r="A52" s="1180" t="s">
        <v>80</v>
      </c>
      <c r="B52" s="1180"/>
      <c r="C52" s="1180"/>
      <c r="D52" s="1181"/>
      <c r="E52" s="1181"/>
      <c r="F52" s="1181"/>
      <c r="G52" s="1181"/>
      <c r="H52" s="1181"/>
      <c r="I52" s="1181"/>
      <c r="J52" s="1174" t="s">
        <v>165</v>
      </c>
      <c r="K52" s="1174"/>
      <c r="L52" s="145"/>
      <c r="N52" s="85">
        <f>IF(N51="","",N51)</f>
        <v>0</v>
      </c>
      <c r="O52" s="58" t="str">
        <f>'päd.Personal - Leitung'!$O$9</f>
        <v>Apr               Okt</v>
      </c>
      <c r="P52" s="85">
        <f t="shared" ref="P52:P54" si="5">IF(P51="","",P51)</f>
        <v>0</v>
      </c>
    </row>
    <row r="53" spans="1:16" ht="13.5" customHeight="1" x14ac:dyDescent="0.2">
      <c r="A53" s="1180" t="s">
        <v>19</v>
      </c>
      <c r="B53" s="1180"/>
      <c r="C53" s="1180"/>
      <c r="D53" s="1181"/>
      <c r="E53" s="1181"/>
      <c r="F53" s="1181"/>
      <c r="G53" s="1181"/>
      <c r="H53" s="1181"/>
      <c r="I53" s="1181"/>
      <c r="J53" s="1174" t="s">
        <v>252</v>
      </c>
      <c r="K53" s="1174"/>
      <c r="L53" s="145"/>
      <c r="M53" s="92"/>
      <c r="N53" s="85">
        <f>IF(N52="","",N52)</f>
        <v>0</v>
      </c>
      <c r="O53" s="58" t="str">
        <f>'päd.Personal - Leitung'!$O$10</f>
        <v>Mai               Nov</v>
      </c>
      <c r="P53" s="85">
        <f t="shared" si="5"/>
        <v>0</v>
      </c>
    </row>
    <row r="54" spans="1:16" ht="13.5" customHeight="1" x14ac:dyDescent="0.2">
      <c r="B54" s="8"/>
      <c r="C54" s="132" t="s">
        <v>162</v>
      </c>
      <c r="D54" s="1175"/>
      <c r="E54" s="1175"/>
      <c r="J54" s="1174" t="s">
        <v>97</v>
      </c>
      <c r="K54" s="1174"/>
      <c r="L54" s="17" t="str">
        <f>IF(IF((COUNTIF(N68:O79,"&gt;0"))=0,0,(COUNTIF(N68:O79,"&gt;0")))&gt;Grundlagen!$C$24,Grundlagen!$C$24,IF((COUNTIF(N68:O79,"&gt;0"))=0,"",(COUNTIF(N68:O79,"&gt;0"))))</f>
        <v/>
      </c>
      <c r="N54" s="85">
        <f>IF(N53="","",N53)</f>
        <v>0</v>
      </c>
      <c r="O54" s="58" t="str">
        <f>'päd.Personal - Leitung'!$O$11</f>
        <v>Jun               Dez</v>
      </c>
      <c r="P54" s="85">
        <f t="shared" si="5"/>
        <v>0</v>
      </c>
    </row>
    <row r="55" spans="1:16" ht="13.5" customHeight="1" x14ac:dyDescent="0.2">
      <c r="L55" s="147" t="str">
        <f>IF((SUM(O85))=0,"",IF(P55&gt;L51,L51,IF(L51="","",IF(L54="","",P55))))</f>
        <v/>
      </c>
      <c r="O55" s="174" t="s">
        <v>251</v>
      </c>
      <c r="P55" s="175" t="e">
        <f>IF(O85="",0,((IF(SUMIF(N68,"&gt;0"),N49,0))+(IF(SUMIF(N69,"&gt;0"),N50,0))+(IF(SUMIF(N70,"&gt;0"),N51,0))+(IF(SUMIF(N71,"&gt;0"),N52,0))+(IF(SUMIF(N72,"&gt;0"),N53,0))+(IF(SUMIF(N73,"&gt;0"),N54,0))+(IF(SUMIF(N74,"&gt;0"),P49,0))+(IF(SUMIF(N75,"&gt;0"),P50,0))+(IF(SUMIF(N76,"&gt;0"),P51,0))+(IF(SUMIF(N77,"&gt;0"),P52,0))+(IF(SUMIF(N78,"&gt;0"),P53,0))+(IF(SUMIF(N79,"&gt;0"),P54,0))+(IF(SUMIF(O68,"&gt;0"),N49,0))+(IF(SUMIF(O69,"&gt;0"),N50,0))+(IF(SUMIF(O70,"&gt;0"),N51,0))+(IF(SUMIF(O71,"&gt;0"),N52,0))+(IF(SUMIF(O72,"&gt;0"),N53,0))+(IF(SUMIF(O73,"&gt;0"),N54,0))+(IF(SUMIF(O74,"&gt;0"),P49,0))+(IF(SUMIF(O75,"&gt;0"),P50,0))+(IF(SUMIF(O76,"&gt;0"),P51,0))+(IF(SUMIF(O77,"&gt;0"),P52,0))+(IF(SUMIF(O78,"&gt;0"),P53,0))+(IF(SUMIF(O79,"&gt;0"),P54,0)))/Grundlagen!$C$24)</f>
        <v>#DIV/0!</v>
      </c>
    </row>
    <row r="56" spans="1:16" s="156" customFormat="1" ht="14.25" customHeight="1" x14ac:dyDescent="0.25">
      <c r="A56" s="150" t="s">
        <v>197</v>
      </c>
      <c r="B56" s="63"/>
      <c r="C56" s="151"/>
      <c r="D56" s="63"/>
      <c r="E56" s="1229" t="s">
        <v>198</v>
      </c>
      <c r="F56" s="1229"/>
      <c r="G56" s="65" t="s">
        <v>152</v>
      </c>
      <c r="H56" s="117"/>
      <c r="I56" s="152"/>
      <c r="J56" s="152"/>
      <c r="K56" s="153"/>
      <c r="L56" s="154"/>
      <c r="M56" s="153"/>
      <c r="N56" s="155"/>
      <c r="O56" s="116"/>
    </row>
    <row r="57" spans="1:16" s="156" customFormat="1" ht="14.25" customHeight="1" x14ac:dyDescent="0.25">
      <c r="A57" s="1219" t="s">
        <v>72</v>
      </c>
      <c r="B57" s="1220"/>
      <c r="C57" s="1220"/>
      <c r="D57" s="1221"/>
      <c r="E57" s="1222"/>
      <c r="F57" s="1223"/>
      <c r="G57" s="157">
        <f>IF(L51=0,0,E57/N46/4.348)</f>
        <v>0</v>
      </c>
      <c r="I57" s="1176" t="s">
        <v>107</v>
      </c>
      <c r="J57" s="1176"/>
      <c r="K57" s="1186"/>
      <c r="L57" s="1186"/>
      <c r="M57" s="1176" t="s">
        <v>130</v>
      </c>
      <c r="N57" s="1176"/>
      <c r="O57" s="45"/>
    </row>
    <row r="58" spans="1:16" s="156" customFormat="1" ht="14.25" customHeight="1" x14ac:dyDescent="0.25">
      <c r="A58" s="1219" t="s">
        <v>199</v>
      </c>
      <c r="B58" s="1220"/>
      <c r="C58" s="1220"/>
      <c r="D58" s="1221"/>
      <c r="E58" s="1222"/>
      <c r="F58" s="1223"/>
      <c r="G58" s="157">
        <f>IF(L51=0,0,E58/N46/4.348)</f>
        <v>0</v>
      </c>
      <c r="H58" s="65"/>
      <c r="I58" s="1176" t="s">
        <v>108</v>
      </c>
      <c r="J58" s="1176"/>
      <c r="K58" s="1186"/>
      <c r="L58" s="1186"/>
      <c r="M58" s="1176" t="s">
        <v>131</v>
      </c>
      <c r="N58" s="1176"/>
      <c r="O58" s="45"/>
    </row>
    <row r="59" spans="1:16" s="156" customFormat="1" ht="14.25" customHeight="1" x14ac:dyDescent="0.25">
      <c r="A59" s="1219" t="s">
        <v>74</v>
      </c>
      <c r="B59" s="1220"/>
      <c r="C59" s="1220"/>
      <c r="D59" s="1221"/>
      <c r="E59" s="1222"/>
      <c r="F59" s="1223"/>
      <c r="G59" s="157">
        <f>IF(L51=0,0,E59/N46/4.348)</f>
        <v>0</v>
      </c>
      <c r="H59" s="116"/>
      <c r="I59" s="152"/>
      <c r="M59" s="1176" t="s">
        <v>132</v>
      </c>
      <c r="N59" s="1176"/>
      <c r="O59" s="45"/>
    </row>
    <row r="60" spans="1:16" s="156" customFormat="1" ht="14.25" customHeight="1" x14ac:dyDescent="0.25">
      <c r="A60" s="1219" t="s">
        <v>7</v>
      </c>
      <c r="B60" s="1220"/>
      <c r="C60" s="1220"/>
      <c r="D60" s="1221"/>
      <c r="E60" s="1222"/>
      <c r="F60" s="1223"/>
      <c r="G60" s="157">
        <f>IF(L51=0,0,E60/N46/4.348)</f>
        <v>0</v>
      </c>
      <c r="H60" s="117"/>
      <c r="I60" s="152"/>
      <c r="J60" s="152"/>
      <c r="K60" s="153"/>
      <c r="L60" s="154"/>
      <c r="M60" s="153"/>
      <c r="N60" s="155"/>
      <c r="O60" s="116"/>
    </row>
    <row r="61" spans="1:16" s="156" customFormat="1" ht="14.25" customHeight="1" x14ac:dyDescent="0.25">
      <c r="A61" s="1219" t="s">
        <v>200</v>
      </c>
      <c r="B61" s="1220"/>
      <c r="C61" s="1220"/>
      <c r="D61" s="1221"/>
      <c r="E61" s="1222"/>
      <c r="F61" s="1223"/>
      <c r="G61" s="157">
        <f>IF(L51=0,0,E61/N46/4.348)</f>
        <v>0</v>
      </c>
      <c r="H61" s="117"/>
      <c r="I61" s="158"/>
      <c r="J61" s="152"/>
      <c r="K61" s="153"/>
      <c r="L61" s="154"/>
      <c r="M61" s="153"/>
      <c r="N61" s="155"/>
      <c r="O61" s="116"/>
    </row>
    <row r="62" spans="1:16" s="156" customFormat="1" ht="14.25" customHeight="1" x14ac:dyDescent="0.25">
      <c r="H62" s="117"/>
      <c r="K62" s="152"/>
      <c r="L62" s="152"/>
      <c r="M62" s="152"/>
      <c r="N62" s="159"/>
      <c r="O62" s="152"/>
    </row>
    <row r="63" spans="1:16" ht="14.25" customHeight="1" x14ac:dyDescent="0.2">
      <c r="A63" s="1147"/>
      <c r="B63" s="1149" t="s">
        <v>79</v>
      </c>
      <c r="C63" s="1150"/>
      <c r="D63" s="1150"/>
      <c r="E63" s="1150"/>
      <c r="F63" s="1151"/>
      <c r="G63" s="1152" t="s">
        <v>119</v>
      </c>
      <c r="H63" s="1153"/>
      <c r="I63" s="1153"/>
      <c r="J63" s="1153"/>
      <c r="K63" s="1153"/>
      <c r="L63" s="1225"/>
      <c r="M63" s="1226" t="s">
        <v>116</v>
      </c>
      <c r="N63" s="1202" t="s">
        <v>0</v>
      </c>
      <c r="O63" s="1215" t="s">
        <v>203</v>
      </c>
    </row>
    <row r="64" spans="1:16" ht="14.25" customHeight="1" x14ac:dyDescent="0.2">
      <c r="A64" s="1148"/>
      <c r="B64" s="1161" t="s">
        <v>72</v>
      </c>
      <c r="C64" s="1161" t="s">
        <v>73</v>
      </c>
      <c r="D64" s="1160" t="s">
        <v>74</v>
      </c>
      <c r="E64" s="134" t="s">
        <v>7</v>
      </c>
      <c r="F64" s="1162" t="s">
        <v>6</v>
      </c>
      <c r="G64" s="1161" t="s">
        <v>129</v>
      </c>
      <c r="H64" s="1161" t="s">
        <v>5</v>
      </c>
      <c r="I64" s="1161" t="s">
        <v>4</v>
      </c>
      <c r="J64" s="1161" t="s">
        <v>3</v>
      </c>
      <c r="K64" s="1161" t="s">
        <v>122</v>
      </c>
      <c r="L64" s="1161" t="s">
        <v>123</v>
      </c>
      <c r="M64" s="1227"/>
      <c r="N64" s="1161"/>
      <c r="O64" s="1216"/>
    </row>
    <row r="65" spans="1:15" ht="14.25" customHeight="1" x14ac:dyDescent="0.2">
      <c r="A65" s="1148"/>
      <c r="B65" s="1161"/>
      <c r="C65" s="1161"/>
      <c r="D65" s="1160"/>
      <c r="E65" s="1218"/>
      <c r="F65" s="1162"/>
      <c r="G65" s="1164" t="s">
        <v>127</v>
      </c>
      <c r="H65" s="1164"/>
      <c r="I65" s="1164"/>
      <c r="J65" s="1164"/>
      <c r="K65" s="1164"/>
      <c r="L65" s="1164"/>
      <c r="M65" s="1227"/>
      <c r="N65" s="1161"/>
      <c r="O65" s="1218"/>
    </row>
    <row r="66" spans="1:15" x14ac:dyDescent="0.2">
      <c r="A66" s="1148"/>
      <c r="B66" s="1161"/>
      <c r="C66" s="1161"/>
      <c r="D66" s="1160"/>
      <c r="E66" s="1218"/>
      <c r="F66" s="1162"/>
      <c r="G66" s="43" t="s">
        <v>201</v>
      </c>
      <c r="H66" s="43" t="s">
        <v>258</v>
      </c>
      <c r="I66" s="43" t="s">
        <v>259</v>
      </c>
      <c r="J66" s="43" t="s">
        <v>260</v>
      </c>
      <c r="K66" s="43"/>
      <c r="L66" s="43" t="s">
        <v>254</v>
      </c>
      <c r="M66" s="1227"/>
      <c r="N66" s="1161"/>
      <c r="O66" s="1218"/>
    </row>
    <row r="67" spans="1:15" x14ac:dyDescent="0.2">
      <c r="A67" s="1224"/>
      <c r="B67" s="1203"/>
      <c r="C67" s="1203"/>
      <c r="D67" s="1217"/>
      <c r="E67" s="22"/>
      <c r="F67" s="1163"/>
      <c r="G67" s="21"/>
      <c r="H67" s="21"/>
      <c r="I67" s="21"/>
      <c r="J67" s="21"/>
      <c r="K67" s="21"/>
      <c r="L67" s="21"/>
      <c r="M67" s="1228"/>
      <c r="N67" s="1203"/>
      <c r="O67" s="51"/>
    </row>
    <row r="68" spans="1:15" x14ac:dyDescent="0.2">
      <c r="A68" s="100" t="str">
        <f>'päd.Personal - Leitung'!$A$26</f>
        <v>Jan 2022</v>
      </c>
      <c r="B68" s="24">
        <f>ROUND(IF(N49="",0,IF(O68&gt;0,0,G57*N49*4.348)),2)</f>
        <v>0</v>
      </c>
      <c r="C68" s="24">
        <f>ROUND(IF(N49="",0,IF(O68&gt;0,0,G58*N49*4.348)),2)</f>
        <v>0</v>
      </c>
      <c r="D68" s="24">
        <f>ROUND(IF(N49="",0,IF(O68&gt;0,0,G59*N49*4.348)),2)</f>
        <v>0</v>
      </c>
      <c r="E68" s="24">
        <f>ROUND(IF(N49="",0,IF(O68&gt;0,0,G60*N49*4.348)),2)</f>
        <v>0</v>
      </c>
      <c r="F68" s="27">
        <f>SUM(B68:E68)</f>
        <v>0</v>
      </c>
      <c r="G68" s="27">
        <f>F68*G67</f>
        <v>0</v>
      </c>
      <c r="H68" s="27">
        <f>F68*H67</f>
        <v>0</v>
      </c>
      <c r="I68" s="27">
        <f>F68*I67</f>
        <v>0</v>
      </c>
      <c r="J68" s="27">
        <f>F68*J67</f>
        <v>0</v>
      </c>
      <c r="K68" s="27">
        <f>F68*K67</f>
        <v>0</v>
      </c>
      <c r="L68" s="27">
        <f>F68*L67</f>
        <v>0</v>
      </c>
      <c r="M68" s="27">
        <f>ROUND(IF(N49=0,0,IF((SUM(B68,G68,H68,I68,J68)+(E61/L50*N49))&gt;0,(E61/L50*N49),(E61/L50*N49)-((E61/L50*N49)+SUM(B68,G68,H68,I68,J68)))),2)</f>
        <v>0</v>
      </c>
      <c r="N68" s="27">
        <f>SUM(F68:M68)</f>
        <v>0</v>
      </c>
      <c r="O68" s="23">
        <f>IF(N49="",0,O67)</f>
        <v>0</v>
      </c>
    </row>
    <row r="69" spans="1:15" x14ac:dyDescent="0.2">
      <c r="A69" s="100" t="str">
        <f>'päd.Personal - Leitung'!$A$27</f>
        <v>Feb 2022</v>
      </c>
      <c r="B69" s="24">
        <f>ROUND(IF(N50="",0,IF(O69&gt;0,0,G57*N50*4.348)),2)</f>
        <v>0</v>
      </c>
      <c r="C69" s="24">
        <f>ROUND(IF(N50="",0,IF(O69&gt;0,0,G58*N50*4.348)),2)</f>
        <v>0</v>
      </c>
      <c r="D69" s="24">
        <f>ROUND(IF(N50="",0,IF(O69&gt;0,0,G59*N50*4.348)),2)</f>
        <v>0</v>
      </c>
      <c r="E69" s="24">
        <f>ROUND(IF(N50="",0,IF(O69&gt;0,0,G60*N50*4.348)),2)</f>
        <v>0</v>
      </c>
      <c r="F69" s="27">
        <f t="shared" ref="F69:F79" si="6">SUM(B69:E69)</f>
        <v>0</v>
      </c>
      <c r="G69" s="27">
        <f>F69*G67</f>
        <v>0</v>
      </c>
      <c r="H69" s="27">
        <f>F69*H67</f>
        <v>0</v>
      </c>
      <c r="I69" s="27">
        <f>F69*I67</f>
        <v>0</v>
      </c>
      <c r="J69" s="27">
        <f>F69*J67</f>
        <v>0</v>
      </c>
      <c r="K69" s="27">
        <f>F69*K67</f>
        <v>0</v>
      </c>
      <c r="L69" s="27">
        <f>F69*L67</f>
        <v>0</v>
      </c>
      <c r="M69" s="27">
        <f>ROUND(IF(N50=0,0,IF((SUM(B69,G69,H69,I69,J69)+(E61/L50*N50))&gt;0,(E61/L50*N50),(E61/L50*N50)-((E61/L50*N50)+SUM(B69,G69,H69,I69,J69)))),2)</f>
        <v>0</v>
      </c>
      <c r="N69" s="27">
        <f t="shared" ref="N69:N79" si="7">SUM(F69:M69)</f>
        <v>0</v>
      </c>
      <c r="O69" s="23">
        <f>IF(N50="",0,O67)</f>
        <v>0</v>
      </c>
    </row>
    <row r="70" spans="1:15" x14ac:dyDescent="0.2">
      <c r="A70" s="100" t="str">
        <f>'päd.Personal - Leitung'!$A$28</f>
        <v>Mrz 2022</v>
      </c>
      <c r="B70" s="24">
        <f>ROUND(IF(N51="",0,IF(O70&gt;0,0,G57*N51*4.348)),2)</f>
        <v>0</v>
      </c>
      <c r="C70" s="24">
        <f>ROUND(IF(N51="",0,IF(O70&gt;0,0,G58*N51*4.348)),2)</f>
        <v>0</v>
      </c>
      <c r="D70" s="24">
        <f>ROUND(IF(N51="",0,IF(O70&gt;0,0,G59*N51*4.348)),2)</f>
        <v>0</v>
      </c>
      <c r="E70" s="24">
        <f>ROUND(IF(N51="",0,IF(O70&gt;0,0,G60*N51*4.348)),2)</f>
        <v>0</v>
      </c>
      <c r="F70" s="27">
        <f t="shared" si="6"/>
        <v>0</v>
      </c>
      <c r="G70" s="27">
        <f>F70*G67</f>
        <v>0</v>
      </c>
      <c r="H70" s="27">
        <f>F70*H67</f>
        <v>0</v>
      </c>
      <c r="I70" s="27">
        <f>F70*I67</f>
        <v>0</v>
      </c>
      <c r="J70" s="27">
        <f>F70*J67</f>
        <v>0</v>
      </c>
      <c r="K70" s="27">
        <f>F70*K67</f>
        <v>0</v>
      </c>
      <c r="L70" s="27">
        <f>F70*L67</f>
        <v>0</v>
      </c>
      <c r="M70" s="27">
        <f>ROUND(IF(N51=0,0,IF((SUM(B70,G70,H70,I70,J70)+(E61/L50*N51))&gt;0,(E61/L50*N51),(E61/L50*N51)-((E61/L50*N51)+SUM(B70,G70,H70,I70,J70)))),2)</f>
        <v>0</v>
      </c>
      <c r="N70" s="27">
        <f t="shared" si="7"/>
        <v>0</v>
      </c>
      <c r="O70" s="23">
        <f>IF(N51="",0,O67)</f>
        <v>0</v>
      </c>
    </row>
    <row r="71" spans="1:15" x14ac:dyDescent="0.2">
      <c r="A71" s="100" t="str">
        <f>'päd.Personal - Leitung'!$A$29</f>
        <v>Apr 2022</v>
      </c>
      <c r="B71" s="24">
        <f>ROUND(IF(N52="",0,IF(O71&gt;0,0,G57*N52*4.348)),2)</f>
        <v>0</v>
      </c>
      <c r="C71" s="24">
        <f>ROUND(IF(N52="",0,IF(O71&gt;0,0,G58*N52*4.348)),2)</f>
        <v>0</v>
      </c>
      <c r="D71" s="24">
        <f>ROUND(IF(N52="",0,IF(O71&gt;0,0,G59*N52*4.348)),2)</f>
        <v>0</v>
      </c>
      <c r="E71" s="24">
        <f>ROUND(IF(N52="",0,IF(O71&gt;0,0,G60*N52*4.348)),2)</f>
        <v>0</v>
      </c>
      <c r="F71" s="27">
        <f t="shared" si="6"/>
        <v>0</v>
      </c>
      <c r="G71" s="27">
        <f>F71*G67</f>
        <v>0</v>
      </c>
      <c r="H71" s="27">
        <f>F71*H67</f>
        <v>0</v>
      </c>
      <c r="I71" s="27">
        <f>F71*I67</f>
        <v>0</v>
      </c>
      <c r="J71" s="27">
        <f>F71*J67</f>
        <v>0</v>
      </c>
      <c r="K71" s="27">
        <f>F71*K67</f>
        <v>0</v>
      </c>
      <c r="L71" s="27">
        <f>F71*L67</f>
        <v>0</v>
      </c>
      <c r="M71" s="27">
        <f>ROUND(IF(N52=0,0,IF((SUM(B71,G71,H71,I71,J71)+(E61/L50*N52))&gt;0,(E61/L50*N52),(E61/L50*N52)-((E61/L50*N52)+SUM(B71,G71,H71,I71,J71)))),2)</f>
        <v>0</v>
      </c>
      <c r="N71" s="27">
        <f t="shared" si="7"/>
        <v>0</v>
      </c>
      <c r="O71" s="23">
        <f>IF(N52="",0,O67)</f>
        <v>0</v>
      </c>
    </row>
    <row r="72" spans="1:15" x14ac:dyDescent="0.2">
      <c r="A72" s="100" t="str">
        <f>'päd.Personal - Leitung'!$A$30</f>
        <v>Mai 2022</v>
      </c>
      <c r="B72" s="24">
        <f>ROUND(IF(N53="",0,IF(O72&gt;0,0,G57*N53*4.348)),2)</f>
        <v>0</v>
      </c>
      <c r="C72" s="24">
        <f>ROUND(IF(N53="",0,IF(O72&gt;0,0,G58*N53*4.348)),2)</f>
        <v>0</v>
      </c>
      <c r="D72" s="24">
        <f>ROUND(IF(N53="",0,IF(O72&gt;0,0,G59*N53*4.348)),2)</f>
        <v>0</v>
      </c>
      <c r="E72" s="24">
        <f>ROUND(IF(N53="",0,IF(O72&gt;0,0,G60*N53*4.348)),2)</f>
        <v>0</v>
      </c>
      <c r="F72" s="27">
        <f t="shared" si="6"/>
        <v>0</v>
      </c>
      <c r="G72" s="27">
        <f>F72*G67</f>
        <v>0</v>
      </c>
      <c r="H72" s="27">
        <f>F72*H67</f>
        <v>0</v>
      </c>
      <c r="I72" s="27">
        <f>F72*I67</f>
        <v>0</v>
      </c>
      <c r="J72" s="27">
        <f>F72*J67</f>
        <v>0</v>
      </c>
      <c r="K72" s="27">
        <f>F72*K67</f>
        <v>0</v>
      </c>
      <c r="L72" s="27">
        <f>F72*L67</f>
        <v>0</v>
      </c>
      <c r="M72" s="27">
        <f>ROUND(IF(N53=0,0,IF((SUM(B72,G72,H72,I72,J72)+(E61/L50*N53))&gt;0,(E61/L50*N53),(E61/L50*N53)-((E61/L50*N53)+SUM(B72,G72,H72,I72,J72)))),2)</f>
        <v>0</v>
      </c>
      <c r="N72" s="27">
        <f t="shared" si="7"/>
        <v>0</v>
      </c>
      <c r="O72" s="23">
        <f>IF(N53="",0,O67)</f>
        <v>0</v>
      </c>
    </row>
    <row r="73" spans="1:15" x14ac:dyDescent="0.2">
      <c r="A73" s="100" t="str">
        <f>'päd.Personal - Leitung'!$A$31</f>
        <v>Jun 2022</v>
      </c>
      <c r="B73" s="24">
        <f>ROUND(IF(N54="",0,IF(O73&gt;0,0,G57*N54*4.348)),2)</f>
        <v>0</v>
      </c>
      <c r="C73" s="24">
        <f>ROUND(IF(N54="",0,IF(O73&gt;0,0,G58*N54*4.348)),2)</f>
        <v>0</v>
      </c>
      <c r="D73" s="24">
        <f>ROUND(IF(N54="",0,IF(O73&gt;0,0,G59*N54*4.348)),2)</f>
        <v>0</v>
      </c>
      <c r="E73" s="24">
        <f>ROUND(IF(N54="",0,IF(O73&gt;0,0,G60*N54*4.348)),2)</f>
        <v>0</v>
      </c>
      <c r="F73" s="27">
        <f t="shared" si="6"/>
        <v>0</v>
      </c>
      <c r="G73" s="27">
        <f>F73*G67</f>
        <v>0</v>
      </c>
      <c r="H73" s="27">
        <f>F73*H67</f>
        <v>0</v>
      </c>
      <c r="I73" s="27">
        <f>F73*I67</f>
        <v>0</v>
      </c>
      <c r="J73" s="27">
        <f>F73*J67</f>
        <v>0</v>
      </c>
      <c r="K73" s="27">
        <f>F73*K67</f>
        <v>0</v>
      </c>
      <c r="L73" s="27">
        <f>F73*L67</f>
        <v>0</v>
      </c>
      <c r="M73" s="27">
        <f>ROUND(IF(N54=0,0,IF((SUM(B73,G73,H73,I73,J73)+(E61/L50*N54))&gt;0,(E61/L50*N54),(E61/L50*N54)-((E61/L50*N54)+SUM(B73,G73,H73,I73,J73)))),2)</f>
        <v>0</v>
      </c>
      <c r="N73" s="27">
        <f t="shared" si="7"/>
        <v>0</v>
      </c>
      <c r="O73" s="23">
        <f>IF(N54="",0,O67)</f>
        <v>0</v>
      </c>
    </row>
    <row r="74" spans="1:15" x14ac:dyDescent="0.2">
      <c r="A74" s="100" t="str">
        <f>'päd.Personal - Leitung'!$A$32</f>
        <v>Jul 2022</v>
      </c>
      <c r="B74" s="24">
        <f>ROUND(IF(P49="",0,IF(O74&gt;0,0,G57*P49*4.348)),2)</f>
        <v>0</v>
      </c>
      <c r="C74" s="24">
        <f>ROUND(IF(P49="",0,IF(O74&gt;0,0,G58*P49*4.348)),2)</f>
        <v>0</v>
      </c>
      <c r="D74" s="24">
        <f>ROUND(IF(P49="",0,IF(O74&gt;0,0,G59*P49*4.348)),2)</f>
        <v>0</v>
      </c>
      <c r="E74" s="24">
        <f>ROUND(IF(P49="",0,IF(O74&gt;0,0,G60*P49*4.348)),2)</f>
        <v>0</v>
      </c>
      <c r="F74" s="27">
        <f t="shared" si="6"/>
        <v>0</v>
      </c>
      <c r="G74" s="27">
        <f>F74*G67</f>
        <v>0</v>
      </c>
      <c r="H74" s="27">
        <f>F74*H67</f>
        <v>0</v>
      </c>
      <c r="I74" s="27">
        <f>F74*I67</f>
        <v>0</v>
      </c>
      <c r="J74" s="27">
        <f>F74*J67</f>
        <v>0</v>
      </c>
      <c r="K74" s="27">
        <f>F74*K67</f>
        <v>0</v>
      </c>
      <c r="L74" s="27">
        <f>F74*L67</f>
        <v>0</v>
      </c>
      <c r="M74" s="27">
        <f>ROUND(IF(P49=0,0,IF((SUM(B74,G74,H74,I74,J74)+(E61/L50*P49))&gt;0,(E61/L50*P49),(E61/L50*P49)-((E61/L50*P49)+SUM(B74,G74,H74,I74,J74)))),2)</f>
        <v>0</v>
      </c>
      <c r="N74" s="27">
        <f t="shared" si="7"/>
        <v>0</v>
      </c>
      <c r="O74" s="23">
        <f>IF(P49="",0,O67)</f>
        <v>0</v>
      </c>
    </row>
    <row r="75" spans="1:15" x14ac:dyDescent="0.2">
      <c r="A75" s="100" t="str">
        <f>'päd.Personal - Leitung'!$A$33</f>
        <v>Aug 2022</v>
      </c>
      <c r="B75" s="24">
        <f>ROUND(IF(P50="",0,IF(O75&gt;0,0,G57*P50*4.348)),2)</f>
        <v>0</v>
      </c>
      <c r="C75" s="24">
        <f>ROUND(IF(P50="",0,IF(O75&gt;0,0,G58*P50*4.348)),2)</f>
        <v>0</v>
      </c>
      <c r="D75" s="24">
        <f>ROUND(IF(P50="",0,IF(O75&gt;0,0,G59*P50*4.348)),2)</f>
        <v>0</v>
      </c>
      <c r="E75" s="24">
        <f>ROUND(IF(P50="",0,IF(O75&gt;0,0,G60*P50*4.348)),2)</f>
        <v>0</v>
      </c>
      <c r="F75" s="27">
        <f t="shared" si="6"/>
        <v>0</v>
      </c>
      <c r="G75" s="27">
        <f>F75*G67</f>
        <v>0</v>
      </c>
      <c r="H75" s="27">
        <f>F75*H67</f>
        <v>0</v>
      </c>
      <c r="I75" s="27">
        <f>F75*I67</f>
        <v>0</v>
      </c>
      <c r="J75" s="27">
        <f>F75*J67</f>
        <v>0</v>
      </c>
      <c r="K75" s="27">
        <f>F75*K67</f>
        <v>0</v>
      </c>
      <c r="L75" s="27">
        <f>F75*L67</f>
        <v>0</v>
      </c>
      <c r="M75" s="27">
        <f>ROUND(IF(P50=0,0,IF((SUM(B75,G75,H75,I75,J75)+(E61/L50*P50))&gt;0,(E61/L50*P50),(E61/L50*P50)-((E61/L50*P50)+SUM(B75,G75,H75,I75,J75)))),2)</f>
        <v>0</v>
      </c>
      <c r="N75" s="27">
        <f t="shared" si="7"/>
        <v>0</v>
      </c>
      <c r="O75" s="23">
        <f>IF(P50="",0,O67)</f>
        <v>0</v>
      </c>
    </row>
    <row r="76" spans="1:15" x14ac:dyDescent="0.2">
      <c r="A76" s="100" t="str">
        <f>'päd.Personal - Leitung'!$A$34</f>
        <v>Sep 2022</v>
      </c>
      <c r="B76" s="24">
        <f>ROUND(IF(P51="",0,IF(O76&gt;0,0,G57*P51*4.348)),2)</f>
        <v>0</v>
      </c>
      <c r="C76" s="24">
        <f>ROUND(IF(P51="",0,IF(O76&gt;0,0,G58*P51*4.348)),2)</f>
        <v>0</v>
      </c>
      <c r="D76" s="24">
        <f>ROUND(IF(P51="",0,IF(O76&gt;0,0,G59*P51*4.348)),2)</f>
        <v>0</v>
      </c>
      <c r="E76" s="24">
        <f>ROUND(IF(P51="",0,IF(O76&gt;0,0,G60*P51*4.348)),2)</f>
        <v>0</v>
      </c>
      <c r="F76" s="27">
        <f t="shared" si="6"/>
        <v>0</v>
      </c>
      <c r="G76" s="27">
        <f>F76*G67</f>
        <v>0</v>
      </c>
      <c r="H76" s="27">
        <f>F76*H67</f>
        <v>0</v>
      </c>
      <c r="I76" s="27">
        <f>F76*I67</f>
        <v>0</v>
      </c>
      <c r="J76" s="27">
        <f>F76*J67</f>
        <v>0</v>
      </c>
      <c r="K76" s="27">
        <f>F76*K67</f>
        <v>0</v>
      </c>
      <c r="L76" s="27">
        <f>F76*L67</f>
        <v>0</v>
      </c>
      <c r="M76" s="27">
        <f>ROUND(IF(P51=0,0,IF((SUM(B76,G76,H76,I76,J76)+(E61/L50*P51))&gt;0,(E61/L50*P51),(E61/L50*P51)-((E61/L50*P51)+SUM(B76,G76,H76,I76,J76)))),2)</f>
        <v>0</v>
      </c>
      <c r="N76" s="27">
        <f t="shared" si="7"/>
        <v>0</v>
      </c>
      <c r="O76" s="23">
        <f>IF(P51="",0,O67)</f>
        <v>0</v>
      </c>
    </row>
    <row r="77" spans="1:15" x14ac:dyDescent="0.2">
      <c r="A77" s="100" t="str">
        <f>'päd.Personal - Leitung'!$A$35</f>
        <v>Okt 2022</v>
      </c>
      <c r="B77" s="24">
        <f>ROUND(IF(P52="",0,IF(O77&gt;0,0,G57*P52*4.348)),2)</f>
        <v>0</v>
      </c>
      <c r="C77" s="24">
        <f>ROUND(IF(P52="",0,IF(O77&gt;0,0,G58*P52*4.348)),2)</f>
        <v>0</v>
      </c>
      <c r="D77" s="24">
        <f>ROUND(IF(P52="",0,IF(O77&gt;0,0,G59*P52*4.348)),2)</f>
        <v>0</v>
      </c>
      <c r="E77" s="24">
        <f>ROUND(IF(P52="",0,IF(O77&gt;0,0,G60*P52*4.348)),2)</f>
        <v>0</v>
      </c>
      <c r="F77" s="27">
        <f t="shared" si="6"/>
        <v>0</v>
      </c>
      <c r="G77" s="27">
        <f>F77*G67</f>
        <v>0</v>
      </c>
      <c r="H77" s="27">
        <f>F77*H67</f>
        <v>0</v>
      </c>
      <c r="I77" s="27">
        <f>F77*I67</f>
        <v>0</v>
      </c>
      <c r="J77" s="27">
        <f>F77*J67</f>
        <v>0</v>
      </c>
      <c r="K77" s="27">
        <f>F77*K67</f>
        <v>0</v>
      </c>
      <c r="L77" s="27">
        <f>F77*L67</f>
        <v>0</v>
      </c>
      <c r="M77" s="27">
        <f>ROUND(IF(P52=0,0,IF((SUM(B77,G77,H77,I77,J77)+(E61/L50*P52))&gt;0,(E61/L50*P52),(E61/L50*P52)-((E61/L50*P52)+SUM(B77,G77,H77,I77,J77)))),2)</f>
        <v>0</v>
      </c>
      <c r="N77" s="27">
        <f t="shared" si="7"/>
        <v>0</v>
      </c>
      <c r="O77" s="23">
        <f>IF(P52="",0,O67)</f>
        <v>0</v>
      </c>
    </row>
    <row r="78" spans="1:15" x14ac:dyDescent="0.2">
      <c r="A78" s="100" t="str">
        <f>'päd.Personal - Leitung'!$A$36</f>
        <v>Nov 2022</v>
      </c>
      <c r="B78" s="24">
        <f>ROUND(IF(P53="",0,IF(O78&gt;0,0,G57*P53*4.348)),2)</f>
        <v>0</v>
      </c>
      <c r="C78" s="24">
        <f>ROUND(IF(P53="",0,IF(O78&gt;0,0,G58*P53*4.348)),2)</f>
        <v>0</v>
      </c>
      <c r="D78" s="24">
        <f>ROUND(IF(P53="",0,IF(O78&gt;0,0,G59*P53*4.348)),2)</f>
        <v>0</v>
      </c>
      <c r="E78" s="24">
        <f>ROUND(IF(P53="",0,IF(O78&gt;0,0,G60*P53*4.348)),2)</f>
        <v>0</v>
      </c>
      <c r="F78" s="27">
        <f t="shared" si="6"/>
        <v>0</v>
      </c>
      <c r="G78" s="27">
        <f>F78*G67</f>
        <v>0</v>
      </c>
      <c r="H78" s="27">
        <f>F78*H67</f>
        <v>0</v>
      </c>
      <c r="I78" s="27">
        <f>F78*I67</f>
        <v>0</v>
      </c>
      <c r="J78" s="27">
        <f>F78*J67</f>
        <v>0</v>
      </c>
      <c r="K78" s="27">
        <f>F78*K67</f>
        <v>0</v>
      </c>
      <c r="L78" s="27">
        <f>F78*L67</f>
        <v>0</v>
      </c>
      <c r="M78" s="27">
        <f>ROUND(IF(P53=0,0,IF((SUM(B78,G78,H78,I78,J78)+(E61/L50*P53))&gt;0,(E61/L50*P53),(E61/L50*P53)-((E61/L50*P53)+SUM(B78,G78,H78,I78,J78)))),2)</f>
        <v>0</v>
      </c>
      <c r="N78" s="27">
        <f t="shared" si="7"/>
        <v>0</v>
      </c>
      <c r="O78" s="23">
        <f>IF(P53="",0,O67)</f>
        <v>0</v>
      </c>
    </row>
    <row r="79" spans="1:15" x14ac:dyDescent="0.2">
      <c r="A79" s="100" t="str">
        <f>'päd.Personal - Leitung'!$A$37</f>
        <v>Dez 2022</v>
      </c>
      <c r="B79" s="24">
        <f>ROUND(IF(P54="",0,IF(O79&gt;0,0,G57*P54*4.348)),2)</f>
        <v>0</v>
      </c>
      <c r="C79" s="24">
        <f>ROUND(IF(P54="",0,IF(O79&gt;0,0,G58*P54*4.348)),2)</f>
        <v>0</v>
      </c>
      <c r="D79" s="24">
        <f>ROUND(IF(P54="",0,IF(O79&gt;0,0,G59*P54*4.348)),2)</f>
        <v>0</v>
      </c>
      <c r="E79" s="24">
        <f>ROUND(IF(P54="",0,IF(O79&gt;0,0,G60*P54*4.348)),2)</f>
        <v>0</v>
      </c>
      <c r="F79" s="27">
        <f t="shared" si="6"/>
        <v>0</v>
      </c>
      <c r="G79" s="27">
        <f>F79*G67</f>
        <v>0</v>
      </c>
      <c r="H79" s="27">
        <f>F79*H67</f>
        <v>0</v>
      </c>
      <c r="I79" s="27">
        <f>F79*I67</f>
        <v>0</v>
      </c>
      <c r="J79" s="27">
        <f>F79*J67</f>
        <v>0</v>
      </c>
      <c r="K79" s="27">
        <f>F79*K67</f>
        <v>0</v>
      </c>
      <c r="L79" s="27">
        <f>F79*L67</f>
        <v>0</v>
      </c>
      <c r="M79" s="27">
        <f>ROUND(IF(P54=0,0,IF((SUM(B79,G79,H79,I79,J79)+(E61/L50*P54))&gt;0,(E61/L50*P54),(E61/L50*P54)-((E61/L50*P54)+SUM(B79,G79,H79,I79,J79)))),2)</f>
        <v>0</v>
      </c>
      <c r="N79" s="27">
        <f t="shared" si="7"/>
        <v>0</v>
      </c>
      <c r="O79" s="23">
        <f>IF(P54="",0,O67)</f>
        <v>0</v>
      </c>
    </row>
    <row r="80" spans="1:15" x14ac:dyDescent="0.2">
      <c r="A80" s="4" t="s">
        <v>2</v>
      </c>
      <c r="B80" s="27">
        <f>SUM(B68:B79)</f>
        <v>0</v>
      </c>
      <c r="C80" s="27">
        <f t="shared" ref="C80:E80" si="8">SUM(C68:C79)</f>
        <v>0</v>
      </c>
      <c r="D80" s="27">
        <f t="shared" si="8"/>
        <v>0</v>
      </c>
      <c r="E80" s="27">
        <f t="shared" si="8"/>
        <v>0</v>
      </c>
      <c r="F80" s="27">
        <f>SUM(F68:F79)</f>
        <v>0</v>
      </c>
      <c r="G80" s="1133">
        <f>SUM(G68:L79)</f>
        <v>0</v>
      </c>
      <c r="H80" s="1134"/>
      <c r="I80" s="1134"/>
      <c r="J80" s="1134"/>
      <c r="K80" s="1134"/>
      <c r="L80" s="1135"/>
      <c r="M80" s="27">
        <f>SUM(M68:M79)</f>
        <v>0</v>
      </c>
      <c r="N80" s="27">
        <f>SUM(N68:N79)</f>
        <v>0</v>
      </c>
      <c r="O80" s="27">
        <f t="shared" ref="O80" si="9">SUM(O68:O79)</f>
        <v>0</v>
      </c>
    </row>
    <row r="81" spans="1:16" x14ac:dyDescent="0.2">
      <c r="A81" s="3" t="s">
        <v>1</v>
      </c>
      <c r="B81" s="2"/>
      <c r="C81" s="2"/>
      <c r="D81" s="2"/>
      <c r="E81" s="2"/>
      <c r="F81" s="2"/>
      <c r="G81" s="2"/>
      <c r="H81" s="2"/>
      <c r="I81" s="2"/>
      <c r="J81" s="2"/>
      <c r="K81" s="2"/>
      <c r="L81" s="2"/>
      <c r="M81" s="2"/>
      <c r="N81" s="1210"/>
      <c r="O81" s="1210"/>
      <c r="P81" s="2"/>
    </row>
    <row r="82" spans="1:16" s="13" customFormat="1" ht="14.25" customHeight="1" x14ac:dyDescent="0.2">
      <c r="I82" s="2"/>
      <c r="J82" s="2"/>
      <c r="K82" s="2"/>
      <c r="P82" s="2"/>
    </row>
    <row r="83" spans="1:16" ht="14.25" customHeight="1" x14ac:dyDescent="0.2">
      <c r="A83" s="1211" t="s">
        <v>133</v>
      </c>
      <c r="B83" s="1212"/>
      <c r="C83" s="1212"/>
      <c r="D83" s="1212" t="s">
        <v>134</v>
      </c>
      <c r="E83" s="1212"/>
      <c r="F83" s="1238"/>
      <c r="G83" s="83" t="s">
        <v>135</v>
      </c>
      <c r="H83" s="1239"/>
      <c r="I83" s="73"/>
      <c r="J83" s="78"/>
      <c r="K83" s="78"/>
      <c r="L83" s="1138" t="s">
        <v>140</v>
      </c>
      <c r="M83" s="1138"/>
      <c r="N83" s="1139"/>
      <c r="O83" s="27">
        <f>ROUND(IF(F83="",IF(E85="",0,(E85*H85/K85)/L50*L51),F80*F83*H83/1000),2)</f>
        <v>0</v>
      </c>
    </row>
    <row r="84" spans="1:16" ht="15" customHeight="1" x14ac:dyDescent="0.2">
      <c r="L84" s="81"/>
      <c r="M84" s="1127" t="s">
        <v>204</v>
      </c>
      <c r="N84" s="1128"/>
      <c r="O84" s="109">
        <f>ROUND(IF(F80=0,0,O41),2)</f>
        <v>0</v>
      </c>
    </row>
    <row r="85" spans="1:16" ht="15.75" customHeight="1" x14ac:dyDescent="0.2">
      <c r="A85" s="1129" t="s">
        <v>142</v>
      </c>
      <c r="B85" s="1130"/>
      <c r="C85" s="133" t="s">
        <v>136</v>
      </c>
      <c r="D85" s="908" t="s">
        <v>137</v>
      </c>
      <c r="E85" s="1240"/>
      <c r="F85" s="1240"/>
      <c r="G85" s="83" t="s">
        <v>138</v>
      </c>
      <c r="H85" s="1241"/>
      <c r="I85" s="1132" t="s">
        <v>144</v>
      </c>
      <c r="J85" s="1132"/>
      <c r="K85" s="1242"/>
      <c r="L85" s="81"/>
      <c r="M85" s="1213" t="s">
        <v>202</v>
      </c>
      <c r="N85" s="1214"/>
      <c r="O85" s="113">
        <f>IF(N80&gt;0,N80+O80+SUM(O83:O84),N80+O80+SUM(O83:O84))</f>
        <v>0</v>
      </c>
      <c r="P85" s="112"/>
    </row>
    <row r="86" spans="1:16" ht="21.75" customHeight="1" x14ac:dyDescent="0.2">
      <c r="A86" s="18"/>
      <c r="B86" s="18"/>
      <c r="C86" s="18"/>
      <c r="D86" s="18"/>
      <c r="E86" s="18"/>
      <c r="F86" s="18"/>
      <c r="G86" s="18"/>
      <c r="H86" s="18"/>
      <c r="I86" s="18"/>
      <c r="J86" s="18"/>
      <c r="K86" s="74"/>
      <c r="L86" s="82"/>
      <c r="M86" s="1209"/>
      <c r="N86" s="1209"/>
      <c r="O86" s="1209"/>
      <c r="P86" s="112"/>
    </row>
    <row r="87" spans="1:16" s="12" customFormat="1" ht="13.5" customHeight="1" x14ac:dyDescent="0.2">
      <c r="A87" s="1178" t="s">
        <v>18</v>
      </c>
      <c r="B87" s="1178"/>
      <c r="C87" s="1178"/>
      <c r="D87" s="1179" t="str">
        <f>IF($D$1="","",$D$1)</f>
        <v/>
      </c>
      <c r="E87" s="1179"/>
      <c r="F87" s="1179"/>
      <c r="G87" s="1179"/>
      <c r="H87" s="1179"/>
      <c r="I87" s="1179"/>
      <c r="J87" s="1179"/>
      <c r="K87" s="1179"/>
      <c r="L87" s="1179"/>
      <c r="M87" s="1179"/>
      <c r="N87" s="1179"/>
    </row>
    <row r="88" spans="1:16" s="12" customFormat="1" ht="15" customHeight="1" x14ac:dyDescent="0.2">
      <c r="A88" s="1178" t="s">
        <v>17</v>
      </c>
      <c r="B88" s="1178"/>
      <c r="C88" s="1178" t="s">
        <v>15</v>
      </c>
      <c r="D88" s="1179" t="str">
        <f>IF($D$2="","",$D$2)</f>
        <v/>
      </c>
      <c r="E88" s="1179"/>
      <c r="F88" s="1179"/>
      <c r="G88" s="1179"/>
      <c r="H88" s="1179"/>
      <c r="I88" s="1179"/>
      <c r="J88" s="1179"/>
      <c r="K88" s="1179"/>
      <c r="L88" s="1179"/>
      <c r="M88" s="1179"/>
      <c r="N88" s="1179"/>
    </row>
    <row r="89" spans="1:16" s="12" customFormat="1" ht="15" customHeight="1" x14ac:dyDescent="0.2">
      <c r="A89" s="1178" t="s">
        <v>16</v>
      </c>
      <c r="B89" s="1178"/>
      <c r="C89" s="1178" t="s">
        <v>15</v>
      </c>
      <c r="D89" s="1179" t="str">
        <f>IF($D$3="","",$D$3)</f>
        <v/>
      </c>
      <c r="E89" s="1179"/>
      <c r="F89" s="1179"/>
      <c r="G89" s="1179"/>
      <c r="H89" s="1179"/>
      <c r="I89" s="1179"/>
      <c r="J89" s="1179"/>
      <c r="K89" s="1178" t="s">
        <v>103</v>
      </c>
      <c r="L89" s="1178"/>
      <c r="M89" s="1178"/>
      <c r="N89" s="41" t="str">
        <f>IF($N$3="","",$N$3)</f>
        <v/>
      </c>
    </row>
    <row r="90" spans="1:16" s="13" customFormat="1" ht="11.25" x14ac:dyDescent="0.2">
      <c r="A90" s="1182"/>
      <c r="B90" s="1182"/>
      <c r="C90" s="1182"/>
      <c r="D90" s="1183"/>
      <c r="E90" s="1183"/>
      <c r="F90" s="1183"/>
      <c r="G90" s="1183"/>
      <c r="H90" s="1183"/>
      <c r="I90" s="1183"/>
      <c r="J90" s="1183"/>
      <c r="K90" s="11"/>
      <c r="L90" s="11"/>
      <c r="M90" s="11"/>
      <c r="N90" s="11"/>
      <c r="O90" s="11"/>
      <c r="P90" s="11"/>
    </row>
    <row r="91" spans="1:16" s="15" customFormat="1" ht="13.5" customHeight="1" x14ac:dyDescent="0.2">
      <c r="A91" s="1177" t="s">
        <v>211</v>
      </c>
      <c r="B91" s="1177"/>
      <c r="C91" s="1177"/>
      <c r="D91" s="1177"/>
      <c r="E91" s="1177"/>
      <c r="F91" s="1177"/>
      <c r="G91" s="1177"/>
      <c r="H91" s="1177"/>
      <c r="I91" s="1177"/>
      <c r="J91" s="1177"/>
      <c r="K91" s="1177"/>
      <c r="L91" s="1177"/>
      <c r="M91" s="1177"/>
      <c r="N91" s="59" t="s">
        <v>154</v>
      </c>
      <c r="O91" s="191">
        <f>'päd.Personal - Leitung'!$O$5</f>
        <v>2022</v>
      </c>
      <c r="P91" s="59" t="s">
        <v>154</v>
      </c>
    </row>
    <row r="92" spans="1:16" s="10" customFormat="1" ht="13.5" customHeight="1" x14ac:dyDescent="0.25">
      <c r="B92" s="32"/>
      <c r="C92" s="32"/>
      <c r="D92" s="5" t="s">
        <v>77</v>
      </c>
      <c r="E92" s="31"/>
      <c r="F92" s="31"/>
      <c r="G92" s="31"/>
      <c r="H92" s="31"/>
      <c r="I92" s="26"/>
      <c r="J92" s="1197"/>
      <c r="K92" s="1197"/>
      <c r="L92" s="111"/>
      <c r="N92" s="84">
        <f>IF(L94="","",L94)</f>
        <v>0</v>
      </c>
      <c r="O92" s="58" t="str">
        <f>'päd.Personal - Leitung'!$O$6</f>
        <v>Jan                Jul</v>
      </c>
      <c r="P92" s="85">
        <f>IF(N97="","",N97)</f>
        <v>0</v>
      </c>
    </row>
    <row r="93" spans="1:16" s="7" customFormat="1" ht="13.5" customHeight="1" x14ac:dyDescent="0.25">
      <c r="A93" s="1180" t="s">
        <v>71</v>
      </c>
      <c r="B93" s="1180"/>
      <c r="C93" s="1180"/>
      <c r="D93" s="1184"/>
      <c r="E93" s="1184"/>
      <c r="F93" s="1184"/>
      <c r="G93" s="1184"/>
      <c r="H93" s="1184"/>
      <c r="I93" s="1184"/>
      <c r="J93" s="1174" t="s">
        <v>104</v>
      </c>
      <c r="K93" s="1174"/>
      <c r="L93" s="145"/>
      <c r="N93" s="85">
        <f>IF(N92="","",N92)</f>
        <v>0</v>
      </c>
      <c r="O93" s="58" t="str">
        <f>'päd.Personal - Leitung'!$O$7</f>
        <v>Feb              Aug</v>
      </c>
      <c r="P93" s="85">
        <f>IF(P92="","",P92)</f>
        <v>0</v>
      </c>
    </row>
    <row r="94" spans="1:16" ht="13.5" customHeight="1" x14ac:dyDescent="0.2">
      <c r="A94" s="1180" t="s">
        <v>81</v>
      </c>
      <c r="B94" s="1180"/>
      <c r="C94" s="1180"/>
      <c r="D94" s="1181"/>
      <c r="E94" s="1181"/>
      <c r="F94" s="1181"/>
      <c r="G94" s="1181"/>
      <c r="H94" s="1181"/>
      <c r="I94" s="1181"/>
      <c r="J94" s="1174" t="s">
        <v>164</v>
      </c>
      <c r="K94" s="1174"/>
      <c r="L94" s="145">
        <f>IF((L95+L96)&gt;L93,0,L93-L95-L96)</f>
        <v>0</v>
      </c>
      <c r="N94" s="85">
        <f>IF(N93="","",N93)</f>
        <v>0</v>
      </c>
      <c r="O94" s="58" t="str">
        <f>'päd.Personal - Leitung'!$O$8</f>
        <v>Mrz              Sep</v>
      </c>
      <c r="P94" s="85">
        <f>IF(P93="","",P93)</f>
        <v>0</v>
      </c>
    </row>
    <row r="95" spans="1:16" ht="13.5" customHeight="1" x14ac:dyDescent="0.2">
      <c r="A95" s="1180" t="s">
        <v>80</v>
      </c>
      <c r="B95" s="1180"/>
      <c r="C95" s="1180"/>
      <c r="D95" s="1181"/>
      <c r="E95" s="1181"/>
      <c r="F95" s="1181"/>
      <c r="G95" s="1181"/>
      <c r="H95" s="1181"/>
      <c r="I95" s="1181"/>
      <c r="J95" s="1174" t="s">
        <v>165</v>
      </c>
      <c r="K95" s="1174"/>
      <c r="L95" s="145"/>
      <c r="N95" s="85">
        <f>IF(N94="","",N94)</f>
        <v>0</v>
      </c>
      <c r="O95" s="58" t="str">
        <f>'päd.Personal - Leitung'!$O$9</f>
        <v>Apr               Okt</v>
      </c>
      <c r="P95" s="85">
        <f t="shared" ref="P95:P97" si="10">IF(P94="","",P94)</f>
        <v>0</v>
      </c>
    </row>
    <row r="96" spans="1:16" ht="13.5" customHeight="1" x14ac:dyDescent="0.2">
      <c r="A96" s="1180" t="s">
        <v>19</v>
      </c>
      <c r="B96" s="1180"/>
      <c r="C96" s="1180"/>
      <c r="D96" s="1181"/>
      <c r="E96" s="1181"/>
      <c r="F96" s="1181"/>
      <c r="G96" s="1181"/>
      <c r="H96" s="1181"/>
      <c r="I96" s="1181"/>
      <c r="J96" s="1174" t="s">
        <v>252</v>
      </c>
      <c r="K96" s="1174"/>
      <c r="L96" s="145"/>
      <c r="M96" s="92"/>
      <c r="N96" s="85">
        <f>IF(N95="","",N95)</f>
        <v>0</v>
      </c>
      <c r="O96" s="58" t="str">
        <f>'päd.Personal - Leitung'!$O$10</f>
        <v>Mai               Nov</v>
      </c>
      <c r="P96" s="85">
        <f t="shared" si="10"/>
        <v>0</v>
      </c>
    </row>
    <row r="97" spans="1:16" ht="13.5" customHeight="1" x14ac:dyDescent="0.2">
      <c r="B97" s="8"/>
      <c r="C97" s="132" t="s">
        <v>162</v>
      </c>
      <c r="D97" s="1175"/>
      <c r="E97" s="1175"/>
      <c r="J97" s="1174" t="s">
        <v>97</v>
      </c>
      <c r="K97" s="1174"/>
      <c r="L97" s="17" t="str">
        <f>IF(IF((COUNTIF(N111:O122,"&gt;0"))=0,0,(COUNTIF(N111:O122,"&gt;0")))&gt;Grundlagen!$C$24,Grundlagen!$C$24,IF((COUNTIF(N111:O122,"&gt;0"))=0,"",(COUNTIF(N111:O122,"&gt;0"))))</f>
        <v/>
      </c>
      <c r="N97" s="85">
        <f>IF(N96="","",N96)</f>
        <v>0</v>
      </c>
      <c r="O97" s="58" t="str">
        <f>'päd.Personal - Leitung'!$O$11</f>
        <v>Jun               Dez</v>
      </c>
      <c r="P97" s="85">
        <f t="shared" si="10"/>
        <v>0</v>
      </c>
    </row>
    <row r="98" spans="1:16" ht="13.5" customHeight="1" x14ac:dyDescent="0.2">
      <c r="L98" s="147" t="str">
        <f>IF((SUM(O128))=0,"",IF(P98&gt;L94,L94,IF(L94="","",IF(L97="","",P98))))</f>
        <v/>
      </c>
      <c r="O98" s="174" t="s">
        <v>251</v>
      </c>
      <c r="P98" s="175" t="e">
        <f>IF(O128="",0,((IF(SUMIF(N111,"&gt;0"),N92,0))+(IF(SUMIF(N112,"&gt;0"),N93,0))+(IF(SUMIF(N113,"&gt;0"),N94,0))+(IF(SUMIF(N114,"&gt;0"),N95,0))+(IF(SUMIF(N115,"&gt;0"),N96,0))+(IF(SUMIF(N116,"&gt;0"),N97,0))+(IF(SUMIF(N117,"&gt;0"),P92,0))+(IF(SUMIF(N118,"&gt;0"),P93,0))+(IF(SUMIF(N119,"&gt;0"),P94,0))+(IF(SUMIF(N120,"&gt;0"),P95,0))+(IF(SUMIF(N121,"&gt;0"),P96,0))+(IF(SUMIF(N122,"&gt;0"),P97,0))+(IF(SUMIF(O111,"&gt;0"),N92,0))+(IF(SUMIF(O112,"&gt;0"),N93,0))+(IF(SUMIF(O113,"&gt;0"),N94,0))+(IF(SUMIF(O114,"&gt;0"),N95,0))+(IF(SUMIF(O115,"&gt;0"),N96,0))+(IF(SUMIF(O116,"&gt;0"),N97,0))+(IF(SUMIF(O117,"&gt;0"),P92,0))+(IF(SUMIF(O118,"&gt;0"),P93,0))+(IF(SUMIF(O119,"&gt;0"),P94,0))+(IF(SUMIF(O120,"&gt;0"),P95,0))+(IF(SUMIF(O121,"&gt;0"),P96,0))+(IF(SUMIF(O122,"&gt;0"),P97,0)))/Grundlagen!$C$24)</f>
        <v>#DIV/0!</v>
      </c>
    </row>
    <row r="99" spans="1:16" s="156" customFormat="1" ht="14.25" customHeight="1" x14ac:dyDescent="0.25">
      <c r="A99" s="150" t="s">
        <v>197</v>
      </c>
      <c r="B99" s="63"/>
      <c r="C99" s="151"/>
      <c r="D99" s="63"/>
      <c r="E99" s="1229" t="s">
        <v>198</v>
      </c>
      <c r="F99" s="1229"/>
      <c r="G99" s="65" t="s">
        <v>152</v>
      </c>
      <c r="H99" s="117"/>
      <c r="I99" s="152"/>
      <c r="J99" s="152"/>
      <c r="K99" s="153"/>
      <c r="L99" s="154"/>
      <c r="M99" s="153"/>
      <c r="N99" s="155"/>
      <c r="O99" s="116"/>
    </row>
    <row r="100" spans="1:16" s="156" customFormat="1" ht="14.25" customHeight="1" x14ac:dyDescent="0.25">
      <c r="A100" s="1219" t="s">
        <v>72</v>
      </c>
      <c r="B100" s="1220"/>
      <c r="C100" s="1220"/>
      <c r="D100" s="1221"/>
      <c r="E100" s="1222"/>
      <c r="F100" s="1223"/>
      <c r="G100" s="157">
        <f>IF(L94=0,0,E100/N89/4.348)</f>
        <v>0</v>
      </c>
      <c r="I100" s="1176" t="s">
        <v>107</v>
      </c>
      <c r="J100" s="1176"/>
      <c r="K100" s="1186"/>
      <c r="L100" s="1186"/>
      <c r="M100" s="1176" t="s">
        <v>130</v>
      </c>
      <c r="N100" s="1176"/>
      <c r="O100" s="45"/>
    </row>
    <row r="101" spans="1:16" s="156" customFormat="1" ht="14.25" customHeight="1" x14ac:dyDescent="0.25">
      <c r="A101" s="1219" t="s">
        <v>199</v>
      </c>
      <c r="B101" s="1220"/>
      <c r="C101" s="1220"/>
      <c r="D101" s="1221"/>
      <c r="E101" s="1222"/>
      <c r="F101" s="1223"/>
      <c r="G101" s="157">
        <f>IF(L94=0,0,E101/N89/4.348)</f>
        <v>0</v>
      </c>
      <c r="H101" s="65"/>
      <c r="I101" s="1176" t="s">
        <v>108</v>
      </c>
      <c r="J101" s="1176"/>
      <c r="K101" s="1186"/>
      <c r="L101" s="1186"/>
      <c r="M101" s="1176" t="s">
        <v>131</v>
      </c>
      <c r="N101" s="1176"/>
      <c r="O101" s="45"/>
    </row>
    <row r="102" spans="1:16" s="156" customFormat="1" ht="14.25" customHeight="1" x14ac:dyDescent="0.25">
      <c r="A102" s="1219" t="s">
        <v>74</v>
      </c>
      <c r="B102" s="1220"/>
      <c r="C102" s="1220"/>
      <c r="D102" s="1221"/>
      <c r="E102" s="1222"/>
      <c r="F102" s="1223"/>
      <c r="G102" s="157">
        <f>IF(L94=0,0,E102/N89/4.348)</f>
        <v>0</v>
      </c>
      <c r="H102" s="116"/>
      <c r="I102" s="152"/>
      <c r="M102" s="1176" t="s">
        <v>132</v>
      </c>
      <c r="N102" s="1176"/>
      <c r="O102" s="45"/>
    </row>
    <row r="103" spans="1:16" s="156" customFormat="1" ht="14.25" customHeight="1" x14ac:dyDescent="0.25">
      <c r="A103" s="1219" t="s">
        <v>7</v>
      </c>
      <c r="B103" s="1220"/>
      <c r="C103" s="1220"/>
      <c r="D103" s="1221"/>
      <c r="E103" s="1222"/>
      <c r="F103" s="1223"/>
      <c r="G103" s="157">
        <f>IF(L94=0,0,E103/N89/4.348)</f>
        <v>0</v>
      </c>
      <c r="H103" s="117"/>
      <c r="I103" s="152"/>
      <c r="J103" s="152"/>
      <c r="K103" s="153"/>
      <c r="L103" s="154"/>
      <c r="M103" s="153"/>
      <c r="N103" s="155"/>
      <c r="O103" s="116"/>
    </row>
    <row r="104" spans="1:16" s="156" customFormat="1" ht="14.25" customHeight="1" x14ac:dyDescent="0.25">
      <c r="A104" s="1219" t="s">
        <v>200</v>
      </c>
      <c r="B104" s="1220"/>
      <c r="C104" s="1220"/>
      <c r="D104" s="1221"/>
      <c r="E104" s="1222"/>
      <c r="F104" s="1223"/>
      <c r="G104" s="157">
        <f>IF(L94=0,0,E104/N89/4.348)</f>
        <v>0</v>
      </c>
      <c r="H104" s="117"/>
      <c r="I104" s="158"/>
      <c r="J104" s="152"/>
      <c r="K104" s="153"/>
      <c r="L104" s="154"/>
      <c r="M104" s="153"/>
      <c r="N104" s="155"/>
      <c r="O104" s="116"/>
    </row>
    <row r="105" spans="1:16" s="156" customFormat="1" ht="14.25" customHeight="1" x14ac:dyDescent="0.25">
      <c r="H105" s="117"/>
      <c r="K105" s="152"/>
      <c r="L105" s="152"/>
      <c r="M105" s="152"/>
      <c r="N105" s="159"/>
      <c r="O105" s="152"/>
    </row>
    <row r="106" spans="1:16" ht="14.25" customHeight="1" x14ac:dyDescent="0.2">
      <c r="A106" s="1147"/>
      <c r="B106" s="1149" t="s">
        <v>79</v>
      </c>
      <c r="C106" s="1150"/>
      <c r="D106" s="1150"/>
      <c r="E106" s="1150"/>
      <c r="F106" s="1151"/>
      <c r="G106" s="1152" t="s">
        <v>119</v>
      </c>
      <c r="H106" s="1153"/>
      <c r="I106" s="1153"/>
      <c r="J106" s="1153"/>
      <c r="K106" s="1153"/>
      <c r="L106" s="1225"/>
      <c r="M106" s="1226" t="s">
        <v>116</v>
      </c>
      <c r="N106" s="1202" t="s">
        <v>0</v>
      </c>
      <c r="O106" s="1215" t="s">
        <v>203</v>
      </c>
    </row>
    <row r="107" spans="1:16" ht="14.25" customHeight="1" x14ac:dyDescent="0.2">
      <c r="A107" s="1148"/>
      <c r="B107" s="1161" t="s">
        <v>72</v>
      </c>
      <c r="C107" s="1161" t="s">
        <v>73</v>
      </c>
      <c r="D107" s="1160" t="s">
        <v>74</v>
      </c>
      <c r="E107" s="134" t="s">
        <v>7</v>
      </c>
      <c r="F107" s="1162" t="s">
        <v>6</v>
      </c>
      <c r="G107" s="1161" t="s">
        <v>129</v>
      </c>
      <c r="H107" s="1161" t="s">
        <v>5</v>
      </c>
      <c r="I107" s="1161" t="s">
        <v>4</v>
      </c>
      <c r="J107" s="1161" t="s">
        <v>3</v>
      </c>
      <c r="K107" s="1161" t="s">
        <v>122</v>
      </c>
      <c r="L107" s="1161" t="s">
        <v>123</v>
      </c>
      <c r="M107" s="1227"/>
      <c r="N107" s="1161"/>
      <c r="O107" s="1216"/>
    </row>
    <row r="108" spans="1:16" ht="14.25" customHeight="1" x14ac:dyDescent="0.2">
      <c r="A108" s="1148"/>
      <c r="B108" s="1161"/>
      <c r="C108" s="1161"/>
      <c r="D108" s="1160"/>
      <c r="E108" s="1218"/>
      <c r="F108" s="1162"/>
      <c r="G108" s="1164" t="s">
        <v>127</v>
      </c>
      <c r="H108" s="1164"/>
      <c r="I108" s="1164"/>
      <c r="J108" s="1164"/>
      <c r="K108" s="1164"/>
      <c r="L108" s="1164"/>
      <c r="M108" s="1227"/>
      <c r="N108" s="1161"/>
      <c r="O108" s="1218"/>
    </row>
    <row r="109" spans="1:16" x14ac:dyDescent="0.2">
      <c r="A109" s="1148"/>
      <c r="B109" s="1161"/>
      <c r="C109" s="1161"/>
      <c r="D109" s="1160"/>
      <c r="E109" s="1218"/>
      <c r="F109" s="1162"/>
      <c r="G109" s="43" t="s">
        <v>201</v>
      </c>
      <c r="H109" s="43" t="s">
        <v>258</v>
      </c>
      <c r="I109" s="43" t="s">
        <v>259</v>
      </c>
      <c r="J109" s="43" t="s">
        <v>260</v>
      </c>
      <c r="K109" s="43"/>
      <c r="L109" s="43" t="s">
        <v>254</v>
      </c>
      <c r="M109" s="1227"/>
      <c r="N109" s="1161"/>
      <c r="O109" s="1218"/>
    </row>
    <row r="110" spans="1:16" x14ac:dyDescent="0.2">
      <c r="A110" s="1224"/>
      <c r="B110" s="1203"/>
      <c r="C110" s="1203"/>
      <c r="D110" s="1217"/>
      <c r="E110" s="22"/>
      <c r="F110" s="1163"/>
      <c r="G110" s="21"/>
      <c r="H110" s="21"/>
      <c r="I110" s="21"/>
      <c r="J110" s="21"/>
      <c r="K110" s="21"/>
      <c r="L110" s="21"/>
      <c r="M110" s="1228"/>
      <c r="N110" s="1203"/>
      <c r="O110" s="51"/>
    </row>
    <row r="111" spans="1:16" x14ac:dyDescent="0.2">
      <c r="A111" s="100" t="str">
        <f>'päd.Personal - Leitung'!$A$26</f>
        <v>Jan 2022</v>
      </c>
      <c r="B111" s="24">
        <f>ROUND(IF(N92="",0,IF(O111&gt;0,0,G100*N92*4.348)),2)</f>
        <v>0</v>
      </c>
      <c r="C111" s="24">
        <f>ROUND(IF(N92="",0,IF(O111&gt;0,0,G101*N92*4.348)),2)</f>
        <v>0</v>
      </c>
      <c r="D111" s="24">
        <f>ROUND(IF(N92="",0,IF(O111&gt;0,0,G102*N92*4.348)),2)</f>
        <v>0</v>
      </c>
      <c r="E111" s="24">
        <f>ROUND(IF(N92="",0,IF(O111&gt;0,0,G103*N92*4.348)),2)</f>
        <v>0</v>
      </c>
      <c r="F111" s="27">
        <f>SUM(B111:E111)</f>
        <v>0</v>
      </c>
      <c r="G111" s="27">
        <f>F111*G110</f>
        <v>0</v>
      </c>
      <c r="H111" s="27">
        <f>F111*H110</f>
        <v>0</v>
      </c>
      <c r="I111" s="27">
        <f>F111*I110</f>
        <v>0</v>
      </c>
      <c r="J111" s="27">
        <f>F111*J110</f>
        <v>0</v>
      </c>
      <c r="K111" s="27">
        <f>F111*K110</f>
        <v>0</v>
      </c>
      <c r="L111" s="27">
        <f>F111*L110</f>
        <v>0</v>
      </c>
      <c r="M111" s="27">
        <f>ROUND(IF(N92=0,0,IF((SUM(B111,G111,H111,I111,J111)+(E104/L93*N92))&gt;0,(E104/L93*N92),(E104/L93*N92)-((E104/L93*N92)+SUM(B111,G111,H111,I111,J111)))),2)</f>
        <v>0</v>
      </c>
      <c r="N111" s="27">
        <f>SUM(F111:M111)</f>
        <v>0</v>
      </c>
      <c r="O111" s="23">
        <f>IF(N92="",0,O110)</f>
        <v>0</v>
      </c>
    </row>
    <row r="112" spans="1:16" x14ac:dyDescent="0.2">
      <c r="A112" s="100" t="str">
        <f>'päd.Personal - Leitung'!$A$27</f>
        <v>Feb 2022</v>
      </c>
      <c r="B112" s="24">
        <f>ROUND(IF(N93="",0,IF(O112&gt;0,0,G100*N93*4.348)),2)</f>
        <v>0</v>
      </c>
      <c r="C112" s="24">
        <f>ROUND(IF(N93="",0,IF(O112&gt;0,0,G101*N93*4.348)),2)</f>
        <v>0</v>
      </c>
      <c r="D112" s="24">
        <f>ROUND(IF(N93="",0,IF(O112&gt;0,0,G102*N93*4.348)),2)</f>
        <v>0</v>
      </c>
      <c r="E112" s="24">
        <f>ROUND(IF(N93="",0,IF(O112&gt;0,0,G103*N93*4.348)),2)</f>
        <v>0</v>
      </c>
      <c r="F112" s="27">
        <f t="shared" ref="F112:F122" si="11">SUM(B112:E112)</f>
        <v>0</v>
      </c>
      <c r="G112" s="27">
        <f>F112*G110</f>
        <v>0</v>
      </c>
      <c r="H112" s="27">
        <f>F112*H110</f>
        <v>0</v>
      </c>
      <c r="I112" s="27">
        <f>F112*I110</f>
        <v>0</v>
      </c>
      <c r="J112" s="27">
        <f>F112*J110</f>
        <v>0</v>
      </c>
      <c r="K112" s="27">
        <f>F112*K110</f>
        <v>0</v>
      </c>
      <c r="L112" s="27">
        <f>F112*L110</f>
        <v>0</v>
      </c>
      <c r="M112" s="27">
        <f>ROUND(IF(N93=0,0,IF((SUM(B112,G112,H112,I112,J112)+(E104/L93*N93))&gt;0,(E104/L93*N93),(E104/L93*N93)-((E104/L93*N93)+SUM(B112,G112,H112,I112,J112)))),2)</f>
        <v>0</v>
      </c>
      <c r="N112" s="27">
        <f t="shared" ref="N112:N122" si="12">SUM(F112:M112)</f>
        <v>0</v>
      </c>
      <c r="O112" s="23">
        <f>IF(N93="",0,O110)</f>
        <v>0</v>
      </c>
    </row>
    <row r="113" spans="1:16" x14ac:dyDescent="0.2">
      <c r="A113" s="100" t="str">
        <f>'päd.Personal - Leitung'!$A$28</f>
        <v>Mrz 2022</v>
      </c>
      <c r="B113" s="24">
        <f>ROUND(IF(N94="",0,IF(O113&gt;0,0,G100*N94*4.348)),2)</f>
        <v>0</v>
      </c>
      <c r="C113" s="24">
        <f>ROUND(IF(N94="",0,IF(O113&gt;0,0,G101*N94*4.348)),2)</f>
        <v>0</v>
      </c>
      <c r="D113" s="24">
        <f>ROUND(IF(N94="",0,IF(O113&gt;0,0,G102*N94*4.348)),2)</f>
        <v>0</v>
      </c>
      <c r="E113" s="24">
        <f>ROUND(IF(N94="",0,IF(O113&gt;0,0,G103*N94*4.348)),2)</f>
        <v>0</v>
      </c>
      <c r="F113" s="27">
        <f t="shared" si="11"/>
        <v>0</v>
      </c>
      <c r="G113" s="27">
        <f>F113*G110</f>
        <v>0</v>
      </c>
      <c r="H113" s="27">
        <f>F113*H110</f>
        <v>0</v>
      </c>
      <c r="I113" s="27">
        <f>F113*I110</f>
        <v>0</v>
      </c>
      <c r="J113" s="27">
        <f>F113*J110</f>
        <v>0</v>
      </c>
      <c r="K113" s="27">
        <f>F113*K110</f>
        <v>0</v>
      </c>
      <c r="L113" s="27">
        <f>F113*L110</f>
        <v>0</v>
      </c>
      <c r="M113" s="27">
        <f>ROUND(IF(N94=0,0,IF((SUM(B113,G113,H113,I113,J113)+(E104/L93*N94))&gt;0,(E104/L93*N94),(E104/L93*N94)-((E104/L93*N94)+SUM(B113,G113,H113,I113,J113)))),2)</f>
        <v>0</v>
      </c>
      <c r="N113" s="27">
        <f t="shared" si="12"/>
        <v>0</v>
      </c>
      <c r="O113" s="23">
        <f>IF(N94="",0,O110)</f>
        <v>0</v>
      </c>
    </row>
    <row r="114" spans="1:16" x14ac:dyDescent="0.2">
      <c r="A114" s="100" t="str">
        <f>'päd.Personal - Leitung'!$A$29</f>
        <v>Apr 2022</v>
      </c>
      <c r="B114" s="24">
        <f>ROUND(IF(N95="",0,IF(O114&gt;0,0,G100*N95*4.348)),2)</f>
        <v>0</v>
      </c>
      <c r="C114" s="24">
        <f>ROUND(IF(N95="",0,IF(O114&gt;0,0,G101*N95*4.348)),2)</f>
        <v>0</v>
      </c>
      <c r="D114" s="24">
        <f>ROUND(IF(N95="",0,IF(O114&gt;0,0,G102*N95*4.348)),2)</f>
        <v>0</v>
      </c>
      <c r="E114" s="24">
        <f>ROUND(IF(N95="",0,IF(O114&gt;0,0,G103*N95*4.348)),2)</f>
        <v>0</v>
      </c>
      <c r="F114" s="27">
        <f t="shared" si="11"/>
        <v>0</v>
      </c>
      <c r="G114" s="27">
        <f>F114*G110</f>
        <v>0</v>
      </c>
      <c r="H114" s="27">
        <f>F114*H110</f>
        <v>0</v>
      </c>
      <c r="I114" s="27">
        <f>F114*I110</f>
        <v>0</v>
      </c>
      <c r="J114" s="27">
        <f>F114*J110</f>
        <v>0</v>
      </c>
      <c r="K114" s="27">
        <f>F114*K110</f>
        <v>0</v>
      </c>
      <c r="L114" s="27">
        <f>F114*L110</f>
        <v>0</v>
      </c>
      <c r="M114" s="27">
        <f>ROUND(IF(N95=0,0,IF((SUM(B114,G114,H114,I114,J114)+(E104/L93*N95))&gt;0,(E104/L93*N95),(E104/L93*N95)-((E104/L93*N95)+SUM(B114,G114,H114,I114,J114)))),2)</f>
        <v>0</v>
      </c>
      <c r="N114" s="27">
        <f t="shared" si="12"/>
        <v>0</v>
      </c>
      <c r="O114" s="23">
        <f>IF(N95="",0,O110)</f>
        <v>0</v>
      </c>
    </row>
    <row r="115" spans="1:16" x14ac:dyDescent="0.2">
      <c r="A115" s="100" t="str">
        <f>'päd.Personal - Leitung'!$A$30</f>
        <v>Mai 2022</v>
      </c>
      <c r="B115" s="24">
        <f>ROUND(IF(N96="",0,IF(O115&gt;0,0,G100*N96*4.348)),2)</f>
        <v>0</v>
      </c>
      <c r="C115" s="24">
        <f>ROUND(IF(N96="",0,IF(O115&gt;0,0,G101*N96*4.348)),2)</f>
        <v>0</v>
      </c>
      <c r="D115" s="24">
        <f>ROUND(IF(N96="",0,IF(O115&gt;0,0,G102*N96*4.348)),2)</f>
        <v>0</v>
      </c>
      <c r="E115" s="24">
        <f>ROUND(IF(N96="",0,IF(O115&gt;0,0,G103*N96*4.348)),2)</f>
        <v>0</v>
      </c>
      <c r="F115" s="27">
        <f t="shared" si="11"/>
        <v>0</v>
      </c>
      <c r="G115" s="27">
        <f>F115*G110</f>
        <v>0</v>
      </c>
      <c r="H115" s="27">
        <f>F115*H110</f>
        <v>0</v>
      </c>
      <c r="I115" s="27">
        <f>F115*I110</f>
        <v>0</v>
      </c>
      <c r="J115" s="27">
        <f>F115*J110</f>
        <v>0</v>
      </c>
      <c r="K115" s="27">
        <f>F115*K110</f>
        <v>0</v>
      </c>
      <c r="L115" s="27">
        <f>F115*L110</f>
        <v>0</v>
      </c>
      <c r="M115" s="27">
        <f>ROUND(IF(N96=0,0,IF((SUM(B115,G115,H115,I115,J115)+(E104/L93*N96))&gt;0,(E104/L93*N96),(E104/L93*N96)-((E104/L93*N96)+SUM(B115,G115,H115,I115,J115)))),2)</f>
        <v>0</v>
      </c>
      <c r="N115" s="27">
        <f t="shared" si="12"/>
        <v>0</v>
      </c>
      <c r="O115" s="23">
        <f>IF(N96="",0,O110)</f>
        <v>0</v>
      </c>
    </row>
    <row r="116" spans="1:16" x14ac:dyDescent="0.2">
      <c r="A116" s="100" t="str">
        <f>'päd.Personal - Leitung'!$A$31</f>
        <v>Jun 2022</v>
      </c>
      <c r="B116" s="24">
        <f>ROUND(IF(N97="",0,IF(O116&gt;0,0,G100*N97*4.348)),2)</f>
        <v>0</v>
      </c>
      <c r="C116" s="24">
        <f>ROUND(IF(N97="",0,IF(O116&gt;0,0,G101*N97*4.348)),2)</f>
        <v>0</v>
      </c>
      <c r="D116" s="24">
        <f>ROUND(IF(N97="",0,IF(O116&gt;0,0,G102*N97*4.348)),2)</f>
        <v>0</v>
      </c>
      <c r="E116" s="24">
        <f>ROUND(IF(N97="",0,IF(O116&gt;0,0,G103*N97*4.348)),2)</f>
        <v>0</v>
      </c>
      <c r="F116" s="27">
        <f t="shared" si="11"/>
        <v>0</v>
      </c>
      <c r="G116" s="27">
        <f>F116*G110</f>
        <v>0</v>
      </c>
      <c r="H116" s="27">
        <f>F116*H110</f>
        <v>0</v>
      </c>
      <c r="I116" s="27">
        <f>F116*I110</f>
        <v>0</v>
      </c>
      <c r="J116" s="27">
        <f>F116*J110</f>
        <v>0</v>
      </c>
      <c r="K116" s="27">
        <f>F116*K110</f>
        <v>0</v>
      </c>
      <c r="L116" s="27">
        <f>F116*L110</f>
        <v>0</v>
      </c>
      <c r="M116" s="27">
        <f>ROUND(IF(N97=0,0,IF((SUM(B116,G116,H116,I116,J116)+(E104/L93*N97))&gt;0,(E104/L93*N97),(E104/L93*N97)-((E104/L93*N97)+SUM(B116,G116,H116,I116,J116)))),2)</f>
        <v>0</v>
      </c>
      <c r="N116" s="27">
        <f t="shared" si="12"/>
        <v>0</v>
      </c>
      <c r="O116" s="23">
        <f>IF(N97="",0,O110)</f>
        <v>0</v>
      </c>
    </row>
    <row r="117" spans="1:16" x14ac:dyDescent="0.2">
      <c r="A117" s="100" t="str">
        <f>'päd.Personal - Leitung'!$A$32</f>
        <v>Jul 2022</v>
      </c>
      <c r="B117" s="24">
        <f>ROUND(IF(P92="",0,IF(O117&gt;0,0,G100*P92*4.348)),2)</f>
        <v>0</v>
      </c>
      <c r="C117" s="24">
        <f>ROUND(IF(P92="",0,IF(O117&gt;0,0,G101*P92*4.348)),2)</f>
        <v>0</v>
      </c>
      <c r="D117" s="24">
        <f>ROUND(IF(P92="",0,IF(O117&gt;0,0,G102*P92*4.348)),2)</f>
        <v>0</v>
      </c>
      <c r="E117" s="24">
        <f>ROUND(IF(P92="",0,IF(O117&gt;0,0,G103*P92*4.348)),2)</f>
        <v>0</v>
      </c>
      <c r="F117" s="27">
        <f t="shared" si="11"/>
        <v>0</v>
      </c>
      <c r="G117" s="27">
        <f>F117*G110</f>
        <v>0</v>
      </c>
      <c r="H117" s="27">
        <f>F117*H110</f>
        <v>0</v>
      </c>
      <c r="I117" s="27">
        <f>F117*I110</f>
        <v>0</v>
      </c>
      <c r="J117" s="27">
        <f>F117*J110</f>
        <v>0</v>
      </c>
      <c r="K117" s="27">
        <f>F117*K110</f>
        <v>0</v>
      </c>
      <c r="L117" s="27">
        <f>F117*L110</f>
        <v>0</v>
      </c>
      <c r="M117" s="27">
        <f>ROUND(IF(P92=0,0,IF((SUM(B117,G117,H117,I117,J117)+(E104/L93*P92))&gt;0,(E104/L93*P92),(E104/L93*P92)-((E104/L93*P92)+SUM(B117,G117,H117,I117,J117)))),2)</f>
        <v>0</v>
      </c>
      <c r="N117" s="27">
        <f t="shared" si="12"/>
        <v>0</v>
      </c>
      <c r="O117" s="23">
        <f>IF(P92="",0,O110)</f>
        <v>0</v>
      </c>
    </row>
    <row r="118" spans="1:16" x14ac:dyDescent="0.2">
      <c r="A118" s="100" t="str">
        <f>'päd.Personal - Leitung'!$A$33</f>
        <v>Aug 2022</v>
      </c>
      <c r="B118" s="24">
        <f>ROUND(IF(P93="",0,IF(O118&gt;0,0,G100*P93*4.348)),2)</f>
        <v>0</v>
      </c>
      <c r="C118" s="24">
        <f>ROUND(IF(P93="",0,IF(O118&gt;0,0,G101*P93*4.348)),2)</f>
        <v>0</v>
      </c>
      <c r="D118" s="24">
        <f>ROUND(IF(P93="",0,IF(O118&gt;0,0,G102*P93*4.348)),2)</f>
        <v>0</v>
      </c>
      <c r="E118" s="24">
        <f>ROUND(IF(P93="",0,IF(O118&gt;0,0,G103*P93*4.348)),2)</f>
        <v>0</v>
      </c>
      <c r="F118" s="27">
        <f t="shared" si="11"/>
        <v>0</v>
      </c>
      <c r="G118" s="27">
        <f>F118*G110</f>
        <v>0</v>
      </c>
      <c r="H118" s="27">
        <f>F118*H110</f>
        <v>0</v>
      </c>
      <c r="I118" s="27">
        <f>F118*I110</f>
        <v>0</v>
      </c>
      <c r="J118" s="27">
        <f>F118*J110</f>
        <v>0</v>
      </c>
      <c r="K118" s="27">
        <f>F118*K110</f>
        <v>0</v>
      </c>
      <c r="L118" s="27">
        <f>F118*L110</f>
        <v>0</v>
      </c>
      <c r="M118" s="27">
        <f>ROUND(IF(P93=0,0,IF((SUM(B118,G118,H118,I118,J118)+(E104/L93*P93))&gt;0,(E104/L93*P93),(E104/L93*P93)-((E104/L93*P93)+SUM(B118,G118,H118,I118,J118)))),2)</f>
        <v>0</v>
      </c>
      <c r="N118" s="27">
        <f t="shared" si="12"/>
        <v>0</v>
      </c>
      <c r="O118" s="23">
        <f>IF(P93="",0,O110)</f>
        <v>0</v>
      </c>
    </row>
    <row r="119" spans="1:16" x14ac:dyDescent="0.2">
      <c r="A119" s="100" t="str">
        <f>'päd.Personal - Leitung'!$A$34</f>
        <v>Sep 2022</v>
      </c>
      <c r="B119" s="24">
        <f>ROUND(IF(P94="",0,IF(O119&gt;0,0,G100*P94*4.348)),2)</f>
        <v>0</v>
      </c>
      <c r="C119" s="24">
        <f>ROUND(IF(P94="",0,IF(O119&gt;0,0,G101*P94*4.348)),2)</f>
        <v>0</v>
      </c>
      <c r="D119" s="24">
        <f>ROUND(IF(P94="",0,IF(O119&gt;0,0,G102*P94*4.348)),2)</f>
        <v>0</v>
      </c>
      <c r="E119" s="24">
        <f>ROUND(IF(P94="",0,IF(O119&gt;0,0,G103*P94*4.348)),2)</f>
        <v>0</v>
      </c>
      <c r="F119" s="27">
        <f t="shared" si="11"/>
        <v>0</v>
      </c>
      <c r="G119" s="27">
        <f>F119*G110</f>
        <v>0</v>
      </c>
      <c r="H119" s="27">
        <f>F119*H110</f>
        <v>0</v>
      </c>
      <c r="I119" s="27">
        <f>F119*I110</f>
        <v>0</v>
      </c>
      <c r="J119" s="27">
        <f>F119*J110</f>
        <v>0</v>
      </c>
      <c r="K119" s="27">
        <f>F119*K110</f>
        <v>0</v>
      </c>
      <c r="L119" s="27">
        <f>F119*L110</f>
        <v>0</v>
      </c>
      <c r="M119" s="27">
        <f>ROUND(IF(P94=0,0,IF((SUM(B119,G119,H119,I119,J119)+(E104/L93*P94))&gt;0,(E104/L93*P94),(E104/L93*P94)-((E104/L93*P94)+SUM(B119,G119,H119,I119,J119)))),2)</f>
        <v>0</v>
      </c>
      <c r="N119" s="27">
        <f t="shared" si="12"/>
        <v>0</v>
      </c>
      <c r="O119" s="23">
        <f>IF(P94="",0,O110)</f>
        <v>0</v>
      </c>
    </row>
    <row r="120" spans="1:16" x14ac:dyDescent="0.2">
      <c r="A120" s="100" t="str">
        <f>'päd.Personal - Leitung'!$A$35</f>
        <v>Okt 2022</v>
      </c>
      <c r="B120" s="24">
        <f>ROUND(IF(P95="",0,IF(O120&gt;0,0,G100*P95*4.348)),2)</f>
        <v>0</v>
      </c>
      <c r="C120" s="24">
        <f>ROUND(IF(P95="",0,IF(O120&gt;0,0,G101*P95*4.348)),2)</f>
        <v>0</v>
      </c>
      <c r="D120" s="24">
        <f>ROUND(IF(P95="",0,IF(O120&gt;0,0,G102*P95*4.348)),2)</f>
        <v>0</v>
      </c>
      <c r="E120" s="24">
        <f>ROUND(IF(P95="",0,IF(O120&gt;0,0,G103*P95*4.348)),2)</f>
        <v>0</v>
      </c>
      <c r="F120" s="27">
        <f t="shared" si="11"/>
        <v>0</v>
      </c>
      <c r="G120" s="27">
        <f>F120*G110</f>
        <v>0</v>
      </c>
      <c r="H120" s="27">
        <f>F120*H110</f>
        <v>0</v>
      </c>
      <c r="I120" s="27">
        <f>F120*I110</f>
        <v>0</v>
      </c>
      <c r="J120" s="27">
        <f>F120*J110</f>
        <v>0</v>
      </c>
      <c r="K120" s="27">
        <f>F120*K110</f>
        <v>0</v>
      </c>
      <c r="L120" s="27">
        <f>F120*L110</f>
        <v>0</v>
      </c>
      <c r="M120" s="27">
        <f>ROUND(IF(P95=0,0,IF((SUM(B120,G120,H120,I120,J120)+(E104/L93*P95))&gt;0,(E104/L93*P95),(E104/L93*P95)-((E104/L93*P95)+SUM(B120,G120,H120,I120,J120)))),2)</f>
        <v>0</v>
      </c>
      <c r="N120" s="27">
        <f t="shared" si="12"/>
        <v>0</v>
      </c>
      <c r="O120" s="23">
        <f>IF(P95="",0,O110)</f>
        <v>0</v>
      </c>
    </row>
    <row r="121" spans="1:16" x14ac:dyDescent="0.2">
      <c r="A121" s="100" t="str">
        <f>'päd.Personal - Leitung'!$A$36</f>
        <v>Nov 2022</v>
      </c>
      <c r="B121" s="24">
        <f>ROUND(IF(P96="",0,IF(O121&gt;0,0,G100*P96*4.348)),2)</f>
        <v>0</v>
      </c>
      <c r="C121" s="24">
        <f>ROUND(IF(P96="",0,IF(O121&gt;0,0,G101*P96*4.348)),2)</f>
        <v>0</v>
      </c>
      <c r="D121" s="24">
        <f>ROUND(IF(P96="",0,IF(O121&gt;0,0,G102*P96*4.348)),2)</f>
        <v>0</v>
      </c>
      <c r="E121" s="24">
        <f>ROUND(IF(P96="",0,IF(O121&gt;0,0,G103*P96*4.348)),2)</f>
        <v>0</v>
      </c>
      <c r="F121" s="27">
        <f t="shared" si="11"/>
        <v>0</v>
      </c>
      <c r="G121" s="27">
        <f>F121*G110</f>
        <v>0</v>
      </c>
      <c r="H121" s="27">
        <f>F121*H110</f>
        <v>0</v>
      </c>
      <c r="I121" s="27">
        <f>F121*I110</f>
        <v>0</v>
      </c>
      <c r="J121" s="27">
        <f>F121*J110</f>
        <v>0</v>
      </c>
      <c r="K121" s="27">
        <f>F121*K110</f>
        <v>0</v>
      </c>
      <c r="L121" s="27">
        <f>F121*L110</f>
        <v>0</v>
      </c>
      <c r="M121" s="27">
        <f>ROUND(IF(P96=0,0,IF((SUM(B121,G121,H121,I121,J121)+(E104/L93*P96))&gt;0,(E104/L93*P96),(E104/L93*P96)-((E104/L93*P96)+SUM(B121,G121,H121,I121,J121)))),2)</f>
        <v>0</v>
      </c>
      <c r="N121" s="27">
        <f t="shared" si="12"/>
        <v>0</v>
      </c>
      <c r="O121" s="23">
        <f>IF(P96="",0,O110)</f>
        <v>0</v>
      </c>
    </row>
    <row r="122" spans="1:16" x14ac:dyDescent="0.2">
      <c r="A122" s="100" t="str">
        <f>'päd.Personal - Leitung'!$A$37</f>
        <v>Dez 2022</v>
      </c>
      <c r="B122" s="24">
        <f>ROUND(IF(P97="",0,IF(O122&gt;0,0,G100*P97*4.348)),2)</f>
        <v>0</v>
      </c>
      <c r="C122" s="24">
        <f>ROUND(IF(P97="",0,IF(O122&gt;0,0,G101*P97*4.348)),2)</f>
        <v>0</v>
      </c>
      <c r="D122" s="24">
        <f>ROUND(IF(P97="",0,IF(O122&gt;0,0,G102*P97*4.348)),2)</f>
        <v>0</v>
      </c>
      <c r="E122" s="24">
        <f>ROUND(IF(P97="",0,IF(O122&gt;0,0,G103*P97*4.348)),2)</f>
        <v>0</v>
      </c>
      <c r="F122" s="27">
        <f t="shared" si="11"/>
        <v>0</v>
      </c>
      <c r="G122" s="27">
        <f>F122*G110</f>
        <v>0</v>
      </c>
      <c r="H122" s="27">
        <f>F122*H110</f>
        <v>0</v>
      </c>
      <c r="I122" s="27">
        <f>F122*I110</f>
        <v>0</v>
      </c>
      <c r="J122" s="27">
        <f>F122*J110</f>
        <v>0</v>
      </c>
      <c r="K122" s="27">
        <f>F122*K110</f>
        <v>0</v>
      </c>
      <c r="L122" s="27">
        <f>F122*L110</f>
        <v>0</v>
      </c>
      <c r="M122" s="27">
        <f>ROUND(IF(P97=0,0,IF((SUM(B122,G122,H122,I122,J122)+(E104/L93*P97))&gt;0,(E104/L93*P97),(E104/L93*P97)-((E104/L93*P97)+SUM(B122,G122,H122,I122,J122)))),2)</f>
        <v>0</v>
      </c>
      <c r="N122" s="27">
        <f t="shared" si="12"/>
        <v>0</v>
      </c>
      <c r="O122" s="23">
        <f>IF(P97="",0,O110)</f>
        <v>0</v>
      </c>
    </row>
    <row r="123" spans="1:16" x14ac:dyDescent="0.2">
      <c r="A123" s="4" t="s">
        <v>2</v>
      </c>
      <c r="B123" s="27">
        <f>SUM(B111:B122)</f>
        <v>0</v>
      </c>
      <c r="C123" s="27">
        <f t="shared" ref="C123:E123" si="13">SUM(C111:C122)</f>
        <v>0</v>
      </c>
      <c r="D123" s="27">
        <f t="shared" si="13"/>
        <v>0</v>
      </c>
      <c r="E123" s="27">
        <f t="shared" si="13"/>
        <v>0</v>
      </c>
      <c r="F123" s="27">
        <f>SUM(F111:F122)</f>
        <v>0</v>
      </c>
      <c r="G123" s="1133">
        <f>SUM(G111:L122)</f>
        <v>0</v>
      </c>
      <c r="H123" s="1134"/>
      <c r="I123" s="1134"/>
      <c r="J123" s="1134"/>
      <c r="K123" s="1134"/>
      <c r="L123" s="1135"/>
      <c r="M123" s="27">
        <f>SUM(M111:M122)</f>
        <v>0</v>
      </c>
      <c r="N123" s="27">
        <f>SUM(N111:N122)</f>
        <v>0</v>
      </c>
      <c r="O123" s="27">
        <f t="shared" ref="O123" si="14">SUM(O111:O122)</f>
        <v>0</v>
      </c>
    </row>
    <row r="124" spans="1:16" x14ac:dyDescent="0.2">
      <c r="A124" s="3" t="s">
        <v>1</v>
      </c>
      <c r="B124" s="2"/>
      <c r="C124" s="2"/>
      <c r="D124" s="2"/>
      <c r="E124" s="2"/>
      <c r="F124" s="2"/>
      <c r="G124" s="2"/>
      <c r="H124" s="2"/>
      <c r="I124" s="2"/>
      <c r="J124" s="2"/>
      <c r="K124" s="2"/>
      <c r="L124" s="2"/>
      <c r="M124" s="2"/>
      <c r="N124" s="1210"/>
      <c r="O124" s="1210"/>
      <c r="P124" s="2"/>
    </row>
    <row r="125" spans="1:16" s="13" customFormat="1" ht="14.25" customHeight="1" x14ac:dyDescent="0.2">
      <c r="I125" s="2"/>
      <c r="J125" s="2"/>
      <c r="K125" s="2"/>
      <c r="P125" s="2"/>
    </row>
    <row r="126" spans="1:16" ht="14.25" customHeight="1" x14ac:dyDescent="0.2">
      <c r="A126" s="1211" t="s">
        <v>133</v>
      </c>
      <c r="B126" s="1212"/>
      <c r="C126" s="1212"/>
      <c r="D126" s="1212" t="s">
        <v>134</v>
      </c>
      <c r="E126" s="1212"/>
      <c r="F126" s="1238"/>
      <c r="G126" s="83" t="s">
        <v>135</v>
      </c>
      <c r="H126" s="1239"/>
      <c r="I126" s="73"/>
      <c r="J126" s="78"/>
      <c r="K126" s="78"/>
      <c r="L126" s="1138" t="s">
        <v>140</v>
      </c>
      <c r="M126" s="1138"/>
      <c r="N126" s="1139"/>
      <c r="O126" s="27">
        <f>ROUND(IF(F126="",IF(E128="",0,(E128*H128/K128)/L93*L94),F123*F126*H126/1000),2)</f>
        <v>0</v>
      </c>
    </row>
    <row r="127" spans="1:16" ht="15" customHeight="1" x14ac:dyDescent="0.2">
      <c r="L127" s="81"/>
      <c r="M127" s="1127" t="s">
        <v>204</v>
      </c>
      <c r="N127" s="1128"/>
      <c r="O127" s="109">
        <f>ROUND(IF(F123=0,0,O84),2)</f>
        <v>0</v>
      </c>
    </row>
    <row r="128" spans="1:16" ht="15.75" customHeight="1" x14ac:dyDescent="0.2">
      <c r="A128" s="1129" t="s">
        <v>142</v>
      </c>
      <c r="B128" s="1130"/>
      <c r="C128" s="133" t="s">
        <v>136</v>
      </c>
      <c r="D128" s="908" t="s">
        <v>137</v>
      </c>
      <c r="E128" s="1240"/>
      <c r="F128" s="1240"/>
      <c r="G128" s="83" t="s">
        <v>138</v>
      </c>
      <c r="H128" s="1241"/>
      <c r="I128" s="1132" t="s">
        <v>144</v>
      </c>
      <c r="J128" s="1132"/>
      <c r="K128" s="1242"/>
      <c r="L128" s="81"/>
      <c r="M128" s="1213" t="s">
        <v>202</v>
      </c>
      <c r="N128" s="1214"/>
      <c r="O128" s="113">
        <f>IF(N123&gt;0,N123+O123+SUM(O126:O127),N123+O123+SUM(O126:O127))</f>
        <v>0</v>
      </c>
      <c r="P128" s="112"/>
    </row>
    <row r="129" spans="1:16" ht="21.75" customHeight="1" x14ac:dyDescent="0.2">
      <c r="A129" s="18"/>
      <c r="B129" s="18"/>
      <c r="C129" s="18"/>
      <c r="D129" s="18"/>
      <c r="E129" s="18"/>
      <c r="F129" s="18"/>
      <c r="G129" s="18"/>
      <c r="H129" s="18"/>
      <c r="I129" s="18"/>
      <c r="J129" s="18"/>
      <c r="K129" s="74"/>
      <c r="L129" s="82"/>
      <c r="M129" s="1209"/>
      <c r="N129" s="1209"/>
      <c r="O129" s="1209"/>
      <c r="P129" s="112"/>
    </row>
    <row r="130" spans="1:16" s="12" customFormat="1" ht="13.5" customHeight="1" x14ac:dyDescent="0.2">
      <c r="A130" s="1178" t="s">
        <v>18</v>
      </c>
      <c r="B130" s="1178"/>
      <c r="C130" s="1178"/>
      <c r="D130" s="1179" t="str">
        <f>IF($D$1="","",$D$1)</f>
        <v/>
      </c>
      <c r="E130" s="1179"/>
      <c r="F130" s="1179"/>
      <c r="G130" s="1179"/>
      <c r="H130" s="1179"/>
      <c r="I130" s="1179"/>
      <c r="J130" s="1179"/>
      <c r="K130" s="1179"/>
      <c r="L130" s="1179"/>
      <c r="M130" s="1179"/>
      <c r="N130" s="1179"/>
    </row>
    <row r="131" spans="1:16" s="12" customFormat="1" ht="15" customHeight="1" x14ac:dyDescent="0.2">
      <c r="A131" s="1178" t="s">
        <v>17</v>
      </c>
      <c r="B131" s="1178"/>
      <c r="C131" s="1178" t="s">
        <v>15</v>
      </c>
      <c r="D131" s="1179" t="str">
        <f>IF($D$2="","",$D$2)</f>
        <v/>
      </c>
      <c r="E131" s="1179"/>
      <c r="F131" s="1179"/>
      <c r="G131" s="1179"/>
      <c r="H131" s="1179"/>
      <c r="I131" s="1179"/>
      <c r="J131" s="1179"/>
      <c r="K131" s="1179"/>
      <c r="L131" s="1179"/>
      <c r="M131" s="1179"/>
      <c r="N131" s="1179"/>
    </row>
    <row r="132" spans="1:16" s="12" customFormat="1" ht="15" customHeight="1" x14ac:dyDescent="0.2">
      <c r="A132" s="1178" t="s">
        <v>16</v>
      </c>
      <c r="B132" s="1178"/>
      <c r="C132" s="1178" t="s">
        <v>15</v>
      </c>
      <c r="D132" s="1179" t="str">
        <f>IF($D$3="","",$D$3)</f>
        <v/>
      </c>
      <c r="E132" s="1179"/>
      <c r="F132" s="1179"/>
      <c r="G132" s="1179"/>
      <c r="H132" s="1179"/>
      <c r="I132" s="1179"/>
      <c r="J132" s="1179"/>
      <c r="K132" s="1178" t="s">
        <v>103</v>
      </c>
      <c r="L132" s="1178"/>
      <c r="M132" s="1178"/>
      <c r="N132" s="41" t="str">
        <f>IF($N$3="","",$N$3)</f>
        <v/>
      </c>
    </row>
    <row r="133" spans="1:16" s="13" customFormat="1" ht="11.25" x14ac:dyDescent="0.2">
      <c r="A133" s="1182"/>
      <c r="B133" s="1182"/>
      <c r="C133" s="1182"/>
      <c r="D133" s="1183"/>
      <c r="E133" s="1183"/>
      <c r="F133" s="1183"/>
      <c r="G133" s="1183"/>
      <c r="H133" s="1183"/>
      <c r="I133" s="1183"/>
      <c r="J133" s="1183"/>
      <c r="K133" s="11"/>
      <c r="L133" s="11"/>
      <c r="M133" s="11"/>
      <c r="N133" s="11"/>
      <c r="O133" s="11"/>
      <c r="P133" s="11"/>
    </row>
    <row r="134" spans="1:16" s="15" customFormat="1" ht="13.5" customHeight="1" x14ac:dyDescent="0.2">
      <c r="A134" s="1177" t="s">
        <v>196</v>
      </c>
      <c r="B134" s="1177"/>
      <c r="C134" s="1177"/>
      <c r="D134" s="1177"/>
      <c r="E134" s="1177"/>
      <c r="F134" s="1177"/>
      <c r="G134" s="1177"/>
      <c r="H134" s="1177"/>
      <c r="I134" s="1177"/>
      <c r="J134" s="1177"/>
      <c r="K134" s="1177"/>
      <c r="L134" s="1177"/>
      <c r="M134" s="1177"/>
      <c r="N134" s="59" t="s">
        <v>154</v>
      </c>
      <c r="O134" s="191">
        <f>'päd.Personal - Leitung'!$O$5</f>
        <v>2022</v>
      </c>
      <c r="P134" s="59" t="s">
        <v>154</v>
      </c>
    </row>
    <row r="135" spans="1:16" s="10" customFormat="1" ht="13.5" customHeight="1" x14ac:dyDescent="0.25">
      <c r="B135" s="32"/>
      <c r="C135" s="32"/>
      <c r="D135" s="5" t="s">
        <v>78</v>
      </c>
      <c r="E135" s="31"/>
      <c r="F135" s="31"/>
      <c r="G135" s="31"/>
      <c r="H135" s="31"/>
      <c r="I135" s="26"/>
      <c r="J135" s="1197"/>
      <c r="K135" s="1197"/>
      <c r="L135" s="111"/>
      <c r="N135" s="84">
        <f>IF(L137="","",L137)</f>
        <v>0</v>
      </c>
      <c r="O135" s="58" t="str">
        <f>'päd.Personal - Leitung'!$O$6</f>
        <v>Jan                Jul</v>
      </c>
      <c r="P135" s="85">
        <f>IF(N140="","",N140)</f>
        <v>0</v>
      </c>
    </row>
    <row r="136" spans="1:16" s="7" customFormat="1" ht="13.5" customHeight="1" x14ac:dyDescent="0.25">
      <c r="A136" s="1180" t="s">
        <v>71</v>
      </c>
      <c r="B136" s="1180"/>
      <c r="C136" s="1180"/>
      <c r="D136" s="1184"/>
      <c r="E136" s="1184"/>
      <c r="F136" s="1184"/>
      <c r="G136" s="1184"/>
      <c r="H136" s="1184"/>
      <c r="I136" s="1184"/>
      <c r="J136" s="1174" t="s">
        <v>104</v>
      </c>
      <c r="K136" s="1174"/>
      <c r="L136" s="145"/>
      <c r="N136" s="85">
        <f>IF(N135="","",N135)</f>
        <v>0</v>
      </c>
      <c r="O136" s="58" t="str">
        <f>'päd.Personal - Leitung'!$O$7</f>
        <v>Feb              Aug</v>
      </c>
      <c r="P136" s="85">
        <f>IF(P135="","",P135)</f>
        <v>0</v>
      </c>
    </row>
    <row r="137" spans="1:16" ht="13.5" customHeight="1" x14ac:dyDescent="0.2">
      <c r="A137" s="1180" t="s">
        <v>81</v>
      </c>
      <c r="B137" s="1180"/>
      <c r="C137" s="1180"/>
      <c r="D137" s="1181"/>
      <c r="E137" s="1181"/>
      <c r="F137" s="1181"/>
      <c r="G137" s="1181"/>
      <c r="H137" s="1181"/>
      <c r="I137" s="1181"/>
      <c r="J137" s="1174" t="s">
        <v>164</v>
      </c>
      <c r="K137" s="1174"/>
      <c r="L137" s="145">
        <f>IF((L138+L139)&gt;L136,0,L136-L138-L139)</f>
        <v>0</v>
      </c>
      <c r="N137" s="85">
        <f>IF(N136="","",N136)</f>
        <v>0</v>
      </c>
      <c r="O137" s="58" t="str">
        <f>'päd.Personal - Leitung'!$O$8</f>
        <v>Mrz              Sep</v>
      </c>
      <c r="P137" s="85">
        <f>IF(P136="","",P136)</f>
        <v>0</v>
      </c>
    </row>
    <row r="138" spans="1:16" ht="13.5" customHeight="1" x14ac:dyDescent="0.2">
      <c r="A138" s="1180" t="s">
        <v>80</v>
      </c>
      <c r="B138" s="1180"/>
      <c r="C138" s="1180"/>
      <c r="D138" s="1181"/>
      <c r="E138" s="1181"/>
      <c r="F138" s="1181"/>
      <c r="G138" s="1181"/>
      <c r="H138" s="1181"/>
      <c r="I138" s="1181"/>
      <c r="J138" s="1174" t="s">
        <v>165</v>
      </c>
      <c r="K138" s="1174"/>
      <c r="L138" s="145"/>
      <c r="N138" s="85">
        <f>IF(N137="","",N137)</f>
        <v>0</v>
      </c>
      <c r="O138" s="58" t="str">
        <f>'päd.Personal - Leitung'!$O$9</f>
        <v>Apr               Okt</v>
      </c>
      <c r="P138" s="85">
        <f t="shared" ref="P138:P140" si="15">IF(P137="","",P137)</f>
        <v>0</v>
      </c>
    </row>
    <row r="139" spans="1:16" ht="13.5" customHeight="1" x14ac:dyDescent="0.2">
      <c r="A139" s="1180" t="s">
        <v>19</v>
      </c>
      <c r="B139" s="1180"/>
      <c r="C139" s="1180"/>
      <c r="D139" s="1181"/>
      <c r="E139" s="1181"/>
      <c r="F139" s="1181"/>
      <c r="G139" s="1181"/>
      <c r="H139" s="1181"/>
      <c r="I139" s="1181"/>
      <c r="J139" s="1174" t="s">
        <v>252</v>
      </c>
      <c r="K139" s="1174"/>
      <c r="L139" s="145"/>
      <c r="M139" s="92"/>
      <c r="N139" s="85">
        <f>IF(N138="","",N138)</f>
        <v>0</v>
      </c>
      <c r="O139" s="58" t="str">
        <f>'päd.Personal - Leitung'!$O$10</f>
        <v>Mai               Nov</v>
      </c>
      <c r="P139" s="85">
        <f t="shared" si="15"/>
        <v>0</v>
      </c>
    </row>
    <row r="140" spans="1:16" ht="13.5" customHeight="1" x14ac:dyDescent="0.2">
      <c r="B140" s="8"/>
      <c r="C140" s="132" t="s">
        <v>162</v>
      </c>
      <c r="D140" s="1175"/>
      <c r="E140" s="1175"/>
      <c r="J140" s="1174" t="s">
        <v>97</v>
      </c>
      <c r="K140" s="1174"/>
      <c r="L140" s="17" t="str">
        <f>IF(IF((COUNTIF(N154:O165,"&gt;0"))=0,0,(COUNTIF(N154:O165,"&gt;0")))&gt;Grundlagen!$C$24,Grundlagen!$C$24,IF((COUNTIF(N154:O165,"&gt;0"))=0,"",(COUNTIF(N154:O165,"&gt;0"))))</f>
        <v/>
      </c>
      <c r="N140" s="85">
        <f>IF(N139="","",N139)</f>
        <v>0</v>
      </c>
      <c r="O140" s="58" t="str">
        <f>'päd.Personal - Leitung'!$O$11</f>
        <v>Jun               Dez</v>
      </c>
      <c r="P140" s="85">
        <f t="shared" si="15"/>
        <v>0</v>
      </c>
    </row>
    <row r="141" spans="1:16" ht="13.5" customHeight="1" x14ac:dyDescent="0.2">
      <c r="L141" s="147" t="str">
        <f>IF((SUM(O171))=0,"",IF(P141&gt;L137,L137,IF(L137="","",IF(L140="","",P141))))</f>
        <v/>
      </c>
      <c r="O141" s="174" t="s">
        <v>251</v>
      </c>
      <c r="P141" s="175" t="e">
        <f>IF(O171="",0,((IF(SUMIF(N154,"&gt;0"),N135,0))+(IF(SUMIF(N155,"&gt;0"),N136,0))+(IF(SUMIF(N156,"&gt;0"),N137,0))+(IF(SUMIF(N157,"&gt;0"),N138,0))+(IF(SUMIF(N158,"&gt;0"),N139,0))+(IF(SUMIF(N159,"&gt;0"),N140,0))+(IF(SUMIF(N160,"&gt;0"),P135,0))+(IF(SUMIF(N161,"&gt;0"),P136,0))+(IF(SUMIF(N162,"&gt;0"),P137,0))+(IF(SUMIF(N163,"&gt;0"),P138,0))+(IF(SUMIF(N164,"&gt;0"),P139,0))+(IF(SUMIF(N165,"&gt;0"),P140,0))+(IF(SUMIF(O154,"&gt;0"),N135,0))+(IF(SUMIF(O155,"&gt;0"),N136,0))+(IF(SUMIF(O156,"&gt;0"),N137,0))+(IF(SUMIF(O157,"&gt;0"),N138,0))+(IF(SUMIF(O158,"&gt;0"),N139,0))+(IF(SUMIF(O159,"&gt;0"),N140,0))+(IF(SUMIF(O160,"&gt;0"),P135,0))+(IF(SUMIF(O161,"&gt;0"),P136,0))+(IF(SUMIF(O162,"&gt;0"),P137,0))+(IF(SUMIF(O163,"&gt;0"),P138,0))+(IF(SUMIF(O164,"&gt;0"),P139,0))+(IF(SUMIF(O165,"&gt;0"),P140,0)))/Grundlagen!$C$24)</f>
        <v>#DIV/0!</v>
      </c>
    </row>
    <row r="142" spans="1:16" s="156" customFormat="1" ht="14.25" customHeight="1" x14ac:dyDescent="0.25">
      <c r="A142" s="150" t="s">
        <v>197</v>
      </c>
      <c r="B142" s="63"/>
      <c r="C142" s="151"/>
      <c r="D142" s="63"/>
      <c r="E142" s="1229" t="s">
        <v>198</v>
      </c>
      <c r="F142" s="1229"/>
      <c r="G142" s="65" t="s">
        <v>152</v>
      </c>
      <c r="H142" s="117"/>
      <c r="I142" s="152"/>
      <c r="J142" s="152"/>
      <c r="K142" s="153"/>
      <c r="L142" s="154"/>
      <c r="M142" s="153"/>
      <c r="N142" s="155"/>
      <c r="O142" s="116"/>
    </row>
    <row r="143" spans="1:16" s="156" customFormat="1" ht="14.25" customHeight="1" x14ac:dyDescent="0.25">
      <c r="A143" s="1219" t="s">
        <v>72</v>
      </c>
      <c r="B143" s="1220"/>
      <c r="C143" s="1220"/>
      <c r="D143" s="1221"/>
      <c r="E143" s="1222"/>
      <c r="F143" s="1223"/>
      <c r="G143" s="157">
        <f>IF(L137=0,0,E143/N132/4.348)</f>
        <v>0</v>
      </c>
      <c r="I143" s="1176" t="s">
        <v>107</v>
      </c>
      <c r="J143" s="1176"/>
      <c r="K143" s="1186"/>
      <c r="L143" s="1186"/>
      <c r="M143" s="1176" t="s">
        <v>130</v>
      </c>
      <c r="N143" s="1176"/>
      <c r="O143" s="45"/>
    </row>
    <row r="144" spans="1:16" s="156" customFormat="1" ht="14.25" customHeight="1" x14ac:dyDescent="0.25">
      <c r="A144" s="1219" t="s">
        <v>199</v>
      </c>
      <c r="B144" s="1220"/>
      <c r="C144" s="1220"/>
      <c r="D144" s="1221"/>
      <c r="E144" s="1222"/>
      <c r="F144" s="1223"/>
      <c r="G144" s="157">
        <f>IF(L137=0,0,E144/N132/4.348)</f>
        <v>0</v>
      </c>
      <c r="H144" s="65"/>
      <c r="I144" s="1176" t="s">
        <v>108</v>
      </c>
      <c r="J144" s="1176"/>
      <c r="K144" s="1186"/>
      <c r="L144" s="1186"/>
      <c r="M144" s="1176" t="s">
        <v>131</v>
      </c>
      <c r="N144" s="1176"/>
      <c r="O144" s="45"/>
    </row>
    <row r="145" spans="1:15" s="156" customFormat="1" ht="14.25" customHeight="1" x14ac:dyDescent="0.25">
      <c r="A145" s="1219" t="s">
        <v>74</v>
      </c>
      <c r="B145" s="1220"/>
      <c r="C145" s="1220"/>
      <c r="D145" s="1221"/>
      <c r="E145" s="1222"/>
      <c r="F145" s="1223"/>
      <c r="G145" s="157">
        <f>IF(L137=0,0,E145/N132/4.348)</f>
        <v>0</v>
      </c>
      <c r="H145" s="116"/>
      <c r="I145" s="152"/>
      <c r="M145" s="1176" t="s">
        <v>132</v>
      </c>
      <c r="N145" s="1176"/>
      <c r="O145" s="45"/>
    </row>
    <row r="146" spans="1:15" s="156" customFormat="1" ht="14.25" customHeight="1" x14ac:dyDescent="0.25">
      <c r="A146" s="1219" t="s">
        <v>7</v>
      </c>
      <c r="B146" s="1220"/>
      <c r="C146" s="1220"/>
      <c r="D146" s="1221"/>
      <c r="E146" s="1222"/>
      <c r="F146" s="1223"/>
      <c r="G146" s="157">
        <f>IF(L137=0,0,E146/N132/4.348)</f>
        <v>0</v>
      </c>
      <c r="H146" s="117"/>
      <c r="I146" s="152"/>
      <c r="J146" s="152"/>
      <c r="K146" s="153"/>
      <c r="L146" s="154"/>
      <c r="M146" s="153"/>
      <c r="N146" s="155"/>
      <c r="O146" s="116"/>
    </row>
    <row r="147" spans="1:15" s="156" customFormat="1" ht="14.25" customHeight="1" x14ac:dyDescent="0.25">
      <c r="A147" s="1219" t="s">
        <v>200</v>
      </c>
      <c r="B147" s="1220"/>
      <c r="C147" s="1220"/>
      <c r="D147" s="1221"/>
      <c r="E147" s="1222"/>
      <c r="F147" s="1223"/>
      <c r="G147" s="157">
        <f>IF(L137=0,0,E147/N132/4.348)</f>
        <v>0</v>
      </c>
      <c r="H147" s="117"/>
      <c r="I147" s="158"/>
      <c r="J147" s="152"/>
      <c r="K147" s="153"/>
      <c r="L147" s="154"/>
      <c r="M147" s="153"/>
      <c r="N147" s="155"/>
      <c r="O147" s="116"/>
    </row>
    <row r="148" spans="1:15" s="156" customFormat="1" ht="14.25" customHeight="1" x14ac:dyDescent="0.25">
      <c r="H148" s="117"/>
      <c r="K148" s="152"/>
      <c r="L148" s="152"/>
      <c r="M148" s="152"/>
      <c r="N148" s="159"/>
      <c r="O148" s="152"/>
    </row>
    <row r="149" spans="1:15" ht="14.25" customHeight="1" x14ac:dyDescent="0.2">
      <c r="A149" s="1147"/>
      <c r="B149" s="1149" t="s">
        <v>79</v>
      </c>
      <c r="C149" s="1150"/>
      <c r="D149" s="1150"/>
      <c r="E149" s="1150"/>
      <c r="F149" s="1151"/>
      <c r="G149" s="1152" t="s">
        <v>119</v>
      </c>
      <c r="H149" s="1153"/>
      <c r="I149" s="1153"/>
      <c r="J149" s="1153"/>
      <c r="K149" s="1153"/>
      <c r="L149" s="1225"/>
      <c r="M149" s="1226" t="s">
        <v>116</v>
      </c>
      <c r="N149" s="1202" t="s">
        <v>0</v>
      </c>
      <c r="O149" s="1215" t="s">
        <v>203</v>
      </c>
    </row>
    <row r="150" spans="1:15" ht="14.25" customHeight="1" x14ac:dyDescent="0.2">
      <c r="A150" s="1148"/>
      <c r="B150" s="1161" t="s">
        <v>72</v>
      </c>
      <c r="C150" s="1161" t="s">
        <v>73</v>
      </c>
      <c r="D150" s="1160" t="s">
        <v>74</v>
      </c>
      <c r="E150" s="134" t="s">
        <v>7</v>
      </c>
      <c r="F150" s="1162" t="s">
        <v>6</v>
      </c>
      <c r="G150" s="1161" t="s">
        <v>129</v>
      </c>
      <c r="H150" s="1161" t="s">
        <v>5</v>
      </c>
      <c r="I150" s="1161" t="s">
        <v>4</v>
      </c>
      <c r="J150" s="1161" t="s">
        <v>3</v>
      </c>
      <c r="K150" s="1161" t="s">
        <v>122</v>
      </c>
      <c r="L150" s="1161" t="s">
        <v>123</v>
      </c>
      <c r="M150" s="1227"/>
      <c r="N150" s="1161"/>
      <c r="O150" s="1216"/>
    </row>
    <row r="151" spans="1:15" ht="14.25" customHeight="1" x14ac:dyDescent="0.2">
      <c r="A151" s="1148"/>
      <c r="B151" s="1161"/>
      <c r="C151" s="1161"/>
      <c r="D151" s="1160"/>
      <c r="E151" s="1218"/>
      <c r="F151" s="1162"/>
      <c r="G151" s="1164" t="s">
        <v>127</v>
      </c>
      <c r="H151" s="1164"/>
      <c r="I151" s="1164"/>
      <c r="J151" s="1164"/>
      <c r="K151" s="1164"/>
      <c r="L151" s="1164"/>
      <c r="M151" s="1227"/>
      <c r="N151" s="1161"/>
      <c r="O151" s="1218"/>
    </row>
    <row r="152" spans="1:15" x14ac:dyDescent="0.2">
      <c r="A152" s="1148"/>
      <c r="B152" s="1161"/>
      <c r="C152" s="1161"/>
      <c r="D152" s="1160"/>
      <c r="E152" s="1218"/>
      <c r="F152" s="1162"/>
      <c r="G152" s="43" t="s">
        <v>201</v>
      </c>
      <c r="H152" s="43" t="s">
        <v>258</v>
      </c>
      <c r="I152" s="43" t="s">
        <v>259</v>
      </c>
      <c r="J152" s="43" t="s">
        <v>260</v>
      </c>
      <c r="K152" s="43"/>
      <c r="L152" s="43" t="s">
        <v>254</v>
      </c>
      <c r="M152" s="1227"/>
      <c r="N152" s="1161"/>
      <c r="O152" s="1218"/>
    </row>
    <row r="153" spans="1:15" x14ac:dyDescent="0.2">
      <c r="A153" s="1224"/>
      <c r="B153" s="1203"/>
      <c r="C153" s="1203"/>
      <c r="D153" s="1217"/>
      <c r="E153" s="22"/>
      <c r="F153" s="1163"/>
      <c r="G153" s="21"/>
      <c r="H153" s="21"/>
      <c r="I153" s="21"/>
      <c r="J153" s="21"/>
      <c r="K153" s="21"/>
      <c r="L153" s="21"/>
      <c r="M153" s="1228"/>
      <c r="N153" s="1203"/>
      <c r="O153" s="51"/>
    </row>
    <row r="154" spans="1:15" x14ac:dyDescent="0.2">
      <c r="A154" s="100" t="str">
        <f>'päd.Personal - Leitung'!$A$26</f>
        <v>Jan 2022</v>
      </c>
      <c r="B154" s="24">
        <f>ROUND(IF(N135="",0,IF(O154&gt;0,0,G143*N135*4.348)),2)</f>
        <v>0</v>
      </c>
      <c r="C154" s="24">
        <f>ROUND(IF(N135="",0,IF(O154&gt;0,0,G144*N135*4.348)),2)</f>
        <v>0</v>
      </c>
      <c r="D154" s="24">
        <f>ROUND(IF(N135="",0,IF(O154&gt;0,0,G145*N135*4.348)),2)</f>
        <v>0</v>
      </c>
      <c r="E154" s="24">
        <f>ROUND(IF(N135="",0,IF(O154&gt;0,0,G146*N135*4.348)),2)</f>
        <v>0</v>
      </c>
      <c r="F154" s="27">
        <f>SUM(B154:E154)</f>
        <v>0</v>
      </c>
      <c r="G154" s="27">
        <f>F154*G153</f>
        <v>0</v>
      </c>
      <c r="H154" s="27">
        <f>F154*H153</f>
        <v>0</v>
      </c>
      <c r="I154" s="27">
        <f>F154*I153</f>
        <v>0</v>
      </c>
      <c r="J154" s="27">
        <f>F154*J153</f>
        <v>0</v>
      </c>
      <c r="K154" s="27">
        <f>F154*K153</f>
        <v>0</v>
      </c>
      <c r="L154" s="27">
        <f>F154*L153</f>
        <v>0</v>
      </c>
      <c r="M154" s="27">
        <f>ROUND(IF(N135=0,0,IF((SUM(B154,G154,H154,I154,J154)+(E147/L136*N135))&gt;0,(E147/L136*N135),(E147/L136*N135)-((E147/L136*N135)+SUM(B154,G154,H154,I154,J154)))),2)</f>
        <v>0</v>
      </c>
      <c r="N154" s="27">
        <f>SUM(F154:M154)</f>
        <v>0</v>
      </c>
      <c r="O154" s="23">
        <f>IF(N135="",0,O153)</f>
        <v>0</v>
      </c>
    </row>
    <row r="155" spans="1:15" x14ac:dyDescent="0.2">
      <c r="A155" s="100" t="str">
        <f>'päd.Personal - Leitung'!$A$27</f>
        <v>Feb 2022</v>
      </c>
      <c r="B155" s="24">
        <f>ROUND(IF(N136="",0,IF(O155&gt;0,0,G143*N136*4.348)),2)</f>
        <v>0</v>
      </c>
      <c r="C155" s="24">
        <f>ROUND(IF(N136="",0,IF(O155&gt;0,0,G144*N136*4.348)),2)</f>
        <v>0</v>
      </c>
      <c r="D155" s="24">
        <f>ROUND(IF(N136="",0,IF(O155&gt;0,0,G145*N136*4.348)),2)</f>
        <v>0</v>
      </c>
      <c r="E155" s="24">
        <f>ROUND(IF(N136="",0,IF(O155&gt;0,0,G146*N136*4.348)),2)</f>
        <v>0</v>
      </c>
      <c r="F155" s="27">
        <f t="shared" ref="F155:F165" si="16">SUM(B155:E155)</f>
        <v>0</v>
      </c>
      <c r="G155" s="27">
        <f>F155*G153</f>
        <v>0</v>
      </c>
      <c r="H155" s="27">
        <f>F155*H153</f>
        <v>0</v>
      </c>
      <c r="I155" s="27">
        <f>F155*I153</f>
        <v>0</v>
      </c>
      <c r="J155" s="27">
        <f>F155*J153</f>
        <v>0</v>
      </c>
      <c r="K155" s="27">
        <f>F155*K153</f>
        <v>0</v>
      </c>
      <c r="L155" s="27">
        <f>F155*L153</f>
        <v>0</v>
      </c>
      <c r="M155" s="27">
        <f>ROUND(IF(N136=0,0,IF((SUM(B155,G155,H155,I155,J155)+(E147/L136*N136))&gt;0,(E147/L136*N136),(E147/L136*N136)-((E147/L136*N136)+SUM(B155,G155,H155,I155,J155)))),2)</f>
        <v>0</v>
      </c>
      <c r="N155" s="27">
        <f t="shared" ref="N155:N165" si="17">SUM(F155:M155)</f>
        <v>0</v>
      </c>
      <c r="O155" s="23">
        <f>IF(N136="",0,O153)</f>
        <v>0</v>
      </c>
    </row>
    <row r="156" spans="1:15" x14ac:dyDescent="0.2">
      <c r="A156" s="100" t="str">
        <f>'päd.Personal - Leitung'!$A$28</f>
        <v>Mrz 2022</v>
      </c>
      <c r="B156" s="24">
        <f>ROUND(IF(N137="",0,IF(O156&gt;0,0,G143*N137*4.348)),2)</f>
        <v>0</v>
      </c>
      <c r="C156" s="24">
        <f>ROUND(IF(N137="",0,IF(O156&gt;0,0,G144*N137*4.348)),2)</f>
        <v>0</v>
      </c>
      <c r="D156" s="24">
        <f>ROUND(IF(N137="",0,IF(O156&gt;0,0,G145*N137*4.348)),2)</f>
        <v>0</v>
      </c>
      <c r="E156" s="24">
        <f>ROUND(IF(N137="",0,IF(O156&gt;0,0,G146*N137*4.348)),2)</f>
        <v>0</v>
      </c>
      <c r="F156" s="27">
        <f t="shared" si="16"/>
        <v>0</v>
      </c>
      <c r="G156" s="27">
        <f>F156*G153</f>
        <v>0</v>
      </c>
      <c r="H156" s="27">
        <f>F156*H153</f>
        <v>0</v>
      </c>
      <c r="I156" s="27">
        <f>F156*I153</f>
        <v>0</v>
      </c>
      <c r="J156" s="27">
        <f>F156*J153</f>
        <v>0</v>
      </c>
      <c r="K156" s="27">
        <f>F156*K153</f>
        <v>0</v>
      </c>
      <c r="L156" s="27">
        <f>F156*L153</f>
        <v>0</v>
      </c>
      <c r="M156" s="27">
        <f>ROUND(IF(N137=0,0,IF((SUM(B156,G156,H156,I156,J156)+(E147/L136*N137))&gt;0,(E147/L136*N137),(E147/L136*N137)-((E147/L136*N137)+SUM(B156,G156,H156,I156,J156)))),2)</f>
        <v>0</v>
      </c>
      <c r="N156" s="27">
        <f t="shared" si="17"/>
        <v>0</v>
      </c>
      <c r="O156" s="23">
        <f>IF(N137="",0,O153)</f>
        <v>0</v>
      </c>
    </row>
    <row r="157" spans="1:15" x14ac:dyDescent="0.2">
      <c r="A157" s="100" t="str">
        <f>'päd.Personal - Leitung'!$A$29</f>
        <v>Apr 2022</v>
      </c>
      <c r="B157" s="24">
        <f>ROUND(IF(N138="",0,IF(O157&gt;0,0,G143*N138*4.348)),2)</f>
        <v>0</v>
      </c>
      <c r="C157" s="24">
        <f>ROUND(IF(N138="",0,IF(O157&gt;0,0,G144*N138*4.348)),2)</f>
        <v>0</v>
      </c>
      <c r="D157" s="24">
        <f>ROUND(IF(N138="",0,IF(O157&gt;0,0,G145*N138*4.348)),2)</f>
        <v>0</v>
      </c>
      <c r="E157" s="24">
        <f>ROUND(IF(N138="",0,IF(O157&gt;0,0,G146*N138*4.348)),2)</f>
        <v>0</v>
      </c>
      <c r="F157" s="27">
        <f t="shared" si="16"/>
        <v>0</v>
      </c>
      <c r="G157" s="27">
        <f>F157*G153</f>
        <v>0</v>
      </c>
      <c r="H157" s="27">
        <f>F157*H153</f>
        <v>0</v>
      </c>
      <c r="I157" s="27">
        <f>F157*I153</f>
        <v>0</v>
      </c>
      <c r="J157" s="27">
        <f>F157*J153</f>
        <v>0</v>
      </c>
      <c r="K157" s="27">
        <f>F157*K153</f>
        <v>0</v>
      </c>
      <c r="L157" s="27">
        <f>F157*L153</f>
        <v>0</v>
      </c>
      <c r="M157" s="27">
        <f>ROUND(IF(N138=0,0,IF((SUM(B157,G157,H157,I157,J157)+(E147/L136*N138))&gt;0,(E147/L136*N138),(E147/L136*N138)-((E147/L136*N138)+SUM(B157,G157,H157,I157,J157)))),2)</f>
        <v>0</v>
      </c>
      <c r="N157" s="27">
        <f t="shared" si="17"/>
        <v>0</v>
      </c>
      <c r="O157" s="23">
        <f>IF(N138="",0,O153)</f>
        <v>0</v>
      </c>
    </row>
    <row r="158" spans="1:15" x14ac:dyDescent="0.2">
      <c r="A158" s="100" t="str">
        <f>'päd.Personal - Leitung'!$A$30</f>
        <v>Mai 2022</v>
      </c>
      <c r="B158" s="24">
        <f>ROUND(IF(N139="",0,IF(O158&gt;0,0,G143*N139*4.348)),2)</f>
        <v>0</v>
      </c>
      <c r="C158" s="24">
        <f>ROUND(IF(N139="",0,IF(O158&gt;0,0,G144*N139*4.348)),2)</f>
        <v>0</v>
      </c>
      <c r="D158" s="24">
        <f>ROUND(IF(N139="",0,IF(O158&gt;0,0,G145*N139*4.348)),2)</f>
        <v>0</v>
      </c>
      <c r="E158" s="24">
        <f>ROUND(IF(N139="",0,IF(O158&gt;0,0,G146*N139*4.348)),2)</f>
        <v>0</v>
      </c>
      <c r="F158" s="27">
        <f t="shared" si="16"/>
        <v>0</v>
      </c>
      <c r="G158" s="27">
        <f>F158*G153</f>
        <v>0</v>
      </c>
      <c r="H158" s="27">
        <f>F158*H153</f>
        <v>0</v>
      </c>
      <c r="I158" s="27">
        <f>F158*I153</f>
        <v>0</v>
      </c>
      <c r="J158" s="27">
        <f>F158*J153</f>
        <v>0</v>
      </c>
      <c r="K158" s="27">
        <f>F158*K153</f>
        <v>0</v>
      </c>
      <c r="L158" s="27">
        <f>F158*L153</f>
        <v>0</v>
      </c>
      <c r="M158" s="27">
        <f>ROUND(IF(N139=0,0,IF((SUM(B158,G158,H158,I158,J158)+(E147/L136*N139))&gt;0,(E147/L136*N139),(E147/L136*N139)-((E147/L136*N139)+SUM(B158,G158,H158,I158,J158)))),2)</f>
        <v>0</v>
      </c>
      <c r="N158" s="27">
        <f t="shared" si="17"/>
        <v>0</v>
      </c>
      <c r="O158" s="23">
        <f>IF(N139="",0,O153)</f>
        <v>0</v>
      </c>
    </row>
    <row r="159" spans="1:15" x14ac:dyDescent="0.2">
      <c r="A159" s="100" t="str">
        <f>'päd.Personal - Leitung'!$A$31</f>
        <v>Jun 2022</v>
      </c>
      <c r="B159" s="24">
        <f>ROUND(IF(N140="",0,IF(O159&gt;0,0,G143*N140*4.348)),2)</f>
        <v>0</v>
      </c>
      <c r="C159" s="24">
        <f>ROUND(IF(N140="",0,IF(O159&gt;0,0,G144*N140*4.348)),2)</f>
        <v>0</v>
      </c>
      <c r="D159" s="24">
        <f>ROUND(IF(N140="",0,IF(O159&gt;0,0,G145*N140*4.348)),2)</f>
        <v>0</v>
      </c>
      <c r="E159" s="24">
        <f>ROUND(IF(N140="",0,IF(O159&gt;0,0,G146*N140*4.348)),2)</f>
        <v>0</v>
      </c>
      <c r="F159" s="27">
        <f t="shared" si="16"/>
        <v>0</v>
      </c>
      <c r="G159" s="27">
        <f>F159*G153</f>
        <v>0</v>
      </c>
      <c r="H159" s="27">
        <f>F159*H153</f>
        <v>0</v>
      </c>
      <c r="I159" s="27">
        <f>F159*I153</f>
        <v>0</v>
      </c>
      <c r="J159" s="27">
        <f>F159*J153</f>
        <v>0</v>
      </c>
      <c r="K159" s="27">
        <f>F159*K153</f>
        <v>0</v>
      </c>
      <c r="L159" s="27">
        <f>F159*L153</f>
        <v>0</v>
      </c>
      <c r="M159" s="27">
        <f>ROUND(IF(N140=0,0,IF((SUM(B159,G159,H159,I159,J159)+(E147/L136*N140))&gt;0,(E147/L136*N140),(E147/L136*N140)-((E147/L136*N140)+SUM(B159,G159,H159,I159,J159)))),2)</f>
        <v>0</v>
      </c>
      <c r="N159" s="27">
        <f t="shared" si="17"/>
        <v>0</v>
      </c>
      <c r="O159" s="23">
        <f>IF(N140="",0,O153)</f>
        <v>0</v>
      </c>
    </row>
    <row r="160" spans="1:15" x14ac:dyDescent="0.2">
      <c r="A160" s="100" t="str">
        <f>'päd.Personal - Leitung'!$A$32</f>
        <v>Jul 2022</v>
      </c>
      <c r="B160" s="24">
        <f>ROUND(IF(P135="",0,IF(O160&gt;0,0,G143*P135*4.348)),2)</f>
        <v>0</v>
      </c>
      <c r="C160" s="24">
        <f>ROUND(IF(P135="",0,IF(O160&gt;0,0,G144*P135*4.348)),2)</f>
        <v>0</v>
      </c>
      <c r="D160" s="24">
        <f>ROUND(IF(P135="",0,IF(O160&gt;0,0,G145*P135*4.348)),2)</f>
        <v>0</v>
      </c>
      <c r="E160" s="24">
        <f>ROUND(IF(P135="",0,IF(O160&gt;0,0,G146*P135*4.348)),2)</f>
        <v>0</v>
      </c>
      <c r="F160" s="27">
        <f t="shared" si="16"/>
        <v>0</v>
      </c>
      <c r="G160" s="27">
        <f>F160*G153</f>
        <v>0</v>
      </c>
      <c r="H160" s="27">
        <f>F160*H153</f>
        <v>0</v>
      </c>
      <c r="I160" s="27">
        <f>F160*I153</f>
        <v>0</v>
      </c>
      <c r="J160" s="27">
        <f>F160*J153</f>
        <v>0</v>
      </c>
      <c r="K160" s="27">
        <f>F160*K153</f>
        <v>0</v>
      </c>
      <c r="L160" s="27">
        <f>F160*L153</f>
        <v>0</v>
      </c>
      <c r="M160" s="27">
        <f>ROUND(IF(P135=0,0,IF((SUM(B160,G160,H160,I160,J160)+(E147/L136*P135))&gt;0,(E147/L136*P135),(E147/L136*P135)-((E147/L136*P135)+SUM(B160,G160,H160,I160,J160)))),2)</f>
        <v>0</v>
      </c>
      <c r="N160" s="27">
        <f t="shared" si="17"/>
        <v>0</v>
      </c>
      <c r="O160" s="23">
        <f>IF(P135="",0,O153)</f>
        <v>0</v>
      </c>
    </row>
    <row r="161" spans="1:16" x14ac:dyDescent="0.2">
      <c r="A161" s="100" t="str">
        <f>'päd.Personal - Leitung'!$A$33</f>
        <v>Aug 2022</v>
      </c>
      <c r="B161" s="24">
        <f>ROUND(IF(P136="",0,IF(O161&gt;0,0,G143*P136*4.348)),2)</f>
        <v>0</v>
      </c>
      <c r="C161" s="24">
        <f>ROUND(IF(P136="",0,IF(O161&gt;0,0,G144*P136*4.348)),2)</f>
        <v>0</v>
      </c>
      <c r="D161" s="24">
        <f>ROUND(IF(P136="",0,IF(O161&gt;0,0,G145*P136*4.348)),2)</f>
        <v>0</v>
      </c>
      <c r="E161" s="24">
        <f>ROUND(IF(P136="",0,IF(O161&gt;0,0,G146*P136*4.348)),2)</f>
        <v>0</v>
      </c>
      <c r="F161" s="27">
        <f t="shared" si="16"/>
        <v>0</v>
      </c>
      <c r="G161" s="27">
        <f>F161*G153</f>
        <v>0</v>
      </c>
      <c r="H161" s="27">
        <f>F161*H153</f>
        <v>0</v>
      </c>
      <c r="I161" s="27">
        <f>F161*I153</f>
        <v>0</v>
      </c>
      <c r="J161" s="27">
        <f>F161*J153</f>
        <v>0</v>
      </c>
      <c r="K161" s="27">
        <f>F161*K153</f>
        <v>0</v>
      </c>
      <c r="L161" s="27">
        <f>F161*L153</f>
        <v>0</v>
      </c>
      <c r="M161" s="27">
        <f>ROUND(IF(P136=0,0,IF((SUM(B161,G161,H161,I161,J161)+(E147/L136*P136))&gt;0,(E147/L136*P136),(E147/L136*P136)-((E147/L136*P136)+SUM(B161,G161,H161,I161,J161)))),2)</f>
        <v>0</v>
      </c>
      <c r="N161" s="27">
        <f t="shared" si="17"/>
        <v>0</v>
      </c>
      <c r="O161" s="23">
        <f>IF(P136="",0,O153)</f>
        <v>0</v>
      </c>
    </row>
    <row r="162" spans="1:16" x14ac:dyDescent="0.2">
      <c r="A162" s="100" t="str">
        <f>'päd.Personal - Leitung'!$A$34</f>
        <v>Sep 2022</v>
      </c>
      <c r="B162" s="24">
        <f>ROUND(IF(P137="",0,IF(O162&gt;0,0,G143*P137*4.348)),2)</f>
        <v>0</v>
      </c>
      <c r="C162" s="24">
        <f>ROUND(IF(P137="",0,IF(O162&gt;0,0,G144*P137*4.348)),2)</f>
        <v>0</v>
      </c>
      <c r="D162" s="24">
        <f>ROUND(IF(P137="",0,IF(O162&gt;0,0,G145*P137*4.348)),2)</f>
        <v>0</v>
      </c>
      <c r="E162" s="24">
        <f>ROUND(IF(P137="",0,IF(O162&gt;0,0,G146*P137*4.348)),2)</f>
        <v>0</v>
      </c>
      <c r="F162" s="27">
        <f t="shared" si="16"/>
        <v>0</v>
      </c>
      <c r="G162" s="27">
        <f>F162*G153</f>
        <v>0</v>
      </c>
      <c r="H162" s="27">
        <f>F162*H153</f>
        <v>0</v>
      </c>
      <c r="I162" s="27">
        <f>F162*I153</f>
        <v>0</v>
      </c>
      <c r="J162" s="27">
        <f>F162*J153</f>
        <v>0</v>
      </c>
      <c r="K162" s="27">
        <f>F162*K153</f>
        <v>0</v>
      </c>
      <c r="L162" s="27">
        <f>F162*L153</f>
        <v>0</v>
      </c>
      <c r="M162" s="27">
        <f>ROUND(IF(P137=0,0,IF((SUM(B162,G162,H162,I162,J162)+(E147/L136*P137))&gt;0,(E147/L136*P137),(E147/L136*P137)-((E147/L136*P137)+SUM(B162,G162,H162,I162,J162)))),2)</f>
        <v>0</v>
      </c>
      <c r="N162" s="27">
        <f t="shared" si="17"/>
        <v>0</v>
      </c>
      <c r="O162" s="23">
        <f>IF(P137="",0,O153)</f>
        <v>0</v>
      </c>
    </row>
    <row r="163" spans="1:16" x14ac:dyDescent="0.2">
      <c r="A163" s="100" t="str">
        <f>'päd.Personal - Leitung'!$A$35</f>
        <v>Okt 2022</v>
      </c>
      <c r="B163" s="24">
        <f>ROUND(IF(P138="",0,IF(O163&gt;0,0,G143*P138*4.348)),2)</f>
        <v>0</v>
      </c>
      <c r="C163" s="24">
        <f>ROUND(IF(P138="",0,IF(O163&gt;0,0,G144*P138*4.348)),2)</f>
        <v>0</v>
      </c>
      <c r="D163" s="24">
        <f>ROUND(IF(P138="",0,IF(O163&gt;0,0,G145*P138*4.348)),2)</f>
        <v>0</v>
      </c>
      <c r="E163" s="24">
        <f>ROUND(IF(P138="",0,IF(O163&gt;0,0,G146*P138*4.348)),2)</f>
        <v>0</v>
      </c>
      <c r="F163" s="27">
        <f t="shared" si="16"/>
        <v>0</v>
      </c>
      <c r="G163" s="27">
        <f>F163*G153</f>
        <v>0</v>
      </c>
      <c r="H163" s="27">
        <f>F163*H153</f>
        <v>0</v>
      </c>
      <c r="I163" s="27">
        <f>F163*I153</f>
        <v>0</v>
      </c>
      <c r="J163" s="27">
        <f>F163*J153</f>
        <v>0</v>
      </c>
      <c r="K163" s="27">
        <f>F163*K153</f>
        <v>0</v>
      </c>
      <c r="L163" s="27">
        <f>F163*L153</f>
        <v>0</v>
      </c>
      <c r="M163" s="27">
        <f>ROUND(IF(P138=0,0,IF((SUM(B163,G163,H163,I163,J163)+(E147/L136*P138))&gt;0,(E147/L136*P138),(E147/L136*P138)-((E147/L136*P138)+SUM(B163,G163,H163,I163,J163)))),2)</f>
        <v>0</v>
      </c>
      <c r="N163" s="27">
        <f t="shared" si="17"/>
        <v>0</v>
      </c>
      <c r="O163" s="23">
        <f>IF(P138="",0,O153)</f>
        <v>0</v>
      </c>
    </row>
    <row r="164" spans="1:16" x14ac:dyDescent="0.2">
      <c r="A164" s="100" t="str">
        <f>'päd.Personal - Leitung'!$A$36</f>
        <v>Nov 2022</v>
      </c>
      <c r="B164" s="24">
        <f>ROUND(IF(P139="",0,IF(O164&gt;0,0,G143*P139*4.348)),2)</f>
        <v>0</v>
      </c>
      <c r="C164" s="24">
        <f>ROUND(IF(P139="",0,IF(O164&gt;0,0,G144*P139*4.348)),2)</f>
        <v>0</v>
      </c>
      <c r="D164" s="24">
        <f>ROUND(IF(P139="",0,IF(O164&gt;0,0,G145*P139*4.348)),2)</f>
        <v>0</v>
      </c>
      <c r="E164" s="24">
        <f>ROUND(IF(P139="",0,IF(O164&gt;0,0,G146*P139*4.348)),2)</f>
        <v>0</v>
      </c>
      <c r="F164" s="27">
        <f t="shared" si="16"/>
        <v>0</v>
      </c>
      <c r="G164" s="27">
        <f>F164*G153</f>
        <v>0</v>
      </c>
      <c r="H164" s="27">
        <f>F164*H153</f>
        <v>0</v>
      </c>
      <c r="I164" s="27">
        <f>F164*I153</f>
        <v>0</v>
      </c>
      <c r="J164" s="27">
        <f>F164*J153</f>
        <v>0</v>
      </c>
      <c r="K164" s="27">
        <f>F164*K153</f>
        <v>0</v>
      </c>
      <c r="L164" s="27">
        <f>F164*L153</f>
        <v>0</v>
      </c>
      <c r="M164" s="27">
        <f>ROUND(IF(P139=0,0,IF((SUM(B164,G164,H164,I164,J164)+(E147/L136*P139))&gt;0,(E147/L136*P139),(E147/L136*P139)-((E147/L136*P139)+SUM(B164,G164,H164,I164,J164)))),2)</f>
        <v>0</v>
      </c>
      <c r="N164" s="27">
        <f t="shared" si="17"/>
        <v>0</v>
      </c>
      <c r="O164" s="23">
        <f>IF(P139="",0,O153)</f>
        <v>0</v>
      </c>
    </row>
    <row r="165" spans="1:16" x14ac:dyDescent="0.2">
      <c r="A165" s="100" t="str">
        <f>'päd.Personal - Leitung'!$A$37</f>
        <v>Dez 2022</v>
      </c>
      <c r="B165" s="24">
        <f>ROUND(IF(P140="",0,IF(O165&gt;0,0,G143*P140*4.348)),2)</f>
        <v>0</v>
      </c>
      <c r="C165" s="24">
        <f>ROUND(IF(P140="",0,IF(O165&gt;0,0,G144*P140*4.348)),2)</f>
        <v>0</v>
      </c>
      <c r="D165" s="24">
        <f>ROUND(IF(P140="",0,IF(O165&gt;0,0,G145*P140*4.348)),2)</f>
        <v>0</v>
      </c>
      <c r="E165" s="24">
        <f>ROUND(IF(P140="",0,IF(O165&gt;0,0,G146*P140*4.348)),2)</f>
        <v>0</v>
      </c>
      <c r="F165" s="27">
        <f t="shared" si="16"/>
        <v>0</v>
      </c>
      <c r="G165" s="27">
        <f>F165*G153</f>
        <v>0</v>
      </c>
      <c r="H165" s="27">
        <f>F165*H153</f>
        <v>0</v>
      </c>
      <c r="I165" s="27">
        <f>F165*I153</f>
        <v>0</v>
      </c>
      <c r="J165" s="27">
        <f>F165*J153</f>
        <v>0</v>
      </c>
      <c r="K165" s="27">
        <f>F165*K153</f>
        <v>0</v>
      </c>
      <c r="L165" s="27">
        <f>F165*L153</f>
        <v>0</v>
      </c>
      <c r="M165" s="27">
        <f>ROUND(IF(P140=0,0,IF((SUM(B165,G165,H165,I165,J165)+(E147/L136*P140))&gt;0,(E147/L136*P140),(E147/L136*P140)-((E147/L136*P140)+SUM(B165,G165,H165,I165,J165)))),2)</f>
        <v>0</v>
      </c>
      <c r="N165" s="27">
        <f t="shared" si="17"/>
        <v>0</v>
      </c>
      <c r="O165" s="23">
        <f>IF(P140="",0,O153)</f>
        <v>0</v>
      </c>
    </row>
    <row r="166" spans="1:16" x14ac:dyDescent="0.2">
      <c r="A166" s="4" t="s">
        <v>2</v>
      </c>
      <c r="B166" s="27">
        <f>SUM(B154:B165)</f>
        <v>0</v>
      </c>
      <c r="C166" s="27">
        <f t="shared" ref="C166:E166" si="18">SUM(C154:C165)</f>
        <v>0</v>
      </c>
      <c r="D166" s="27">
        <f t="shared" si="18"/>
        <v>0</v>
      </c>
      <c r="E166" s="27">
        <f t="shared" si="18"/>
        <v>0</v>
      </c>
      <c r="F166" s="27">
        <f>SUM(F154:F165)</f>
        <v>0</v>
      </c>
      <c r="G166" s="1133">
        <f>SUM(G154:L165)</f>
        <v>0</v>
      </c>
      <c r="H166" s="1134"/>
      <c r="I166" s="1134"/>
      <c r="J166" s="1134"/>
      <c r="K166" s="1134"/>
      <c r="L166" s="1135"/>
      <c r="M166" s="27">
        <f>SUM(M154:M165)</f>
        <v>0</v>
      </c>
      <c r="N166" s="27">
        <f>SUM(N154:N165)</f>
        <v>0</v>
      </c>
      <c r="O166" s="27">
        <f t="shared" ref="O166" si="19">SUM(O154:O165)</f>
        <v>0</v>
      </c>
    </row>
    <row r="167" spans="1:16" x14ac:dyDescent="0.2">
      <c r="A167" s="3" t="s">
        <v>1</v>
      </c>
      <c r="B167" s="2"/>
      <c r="C167" s="2"/>
      <c r="D167" s="2"/>
      <c r="E167" s="2"/>
      <c r="F167" s="2"/>
      <c r="G167" s="2"/>
      <c r="H167" s="2"/>
      <c r="I167" s="2"/>
      <c r="J167" s="2"/>
      <c r="K167" s="2"/>
      <c r="L167" s="2"/>
      <c r="M167" s="2"/>
      <c r="N167" s="1210"/>
      <c r="O167" s="1210"/>
      <c r="P167" s="2"/>
    </row>
    <row r="168" spans="1:16" s="13" customFormat="1" ht="14.25" customHeight="1" x14ac:dyDescent="0.2">
      <c r="I168" s="2"/>
      <c r="J168" s="2"/>
      <c r="K168" s="2"/>
      <c r="P168" s="2"/>
    </row>
    <row r="169" spans="1:16" ht="14.25" customHeight="1" x14ac:dyDescent="0.2">
      <c r="A169" s="1211" t="s">
        <v>133</v>
      </c>
      <c r="B169" s="1212"/>
      <c r="C169" s="1212"/>
      <c r="D169" s="1212" t="s">
        <v>134</v>
      </c>
      <c r="E169" s="1212"/>
      <c r="F169" s="1238"/>
      <c r="G169" s="83" t="s">
        <v>135</v>
      </c>
      <c r="H169" s="1239"/>
      <c r="I169" s="73"/>
      <c r="J169" s="78"/>
      <c r="K169" s="78"/>
      <c r="L169" s="1138" t="s">
        <v>140</v>
      </c>
      <c r="M169" s="1138"/>
      <c r="N169" s="1139"/>
      <c r="O169" s="27">
        <f>ROUND(IF(F169="",IF(E171="",0,(E171*H171/K171)/L136*L137),F166*F169*H169/1000),2)</f>
        <v>0</v>
      </c>
    </row>
    <row r="170" spans="1:16" ht="15" customHeight="1" x14ac:dyDescent="0.2">
      <c r="L170" s="81"/>
      <c r="M170" s="1127" t="s">
        <v>204</v>
      </c>
      <c r="N170" s="1128"/>
      <c r="O170" s="109">
        <f>ROUND(IF(F166=0,0,O127),2)</f>
        <v>0</v>
      </c>
    </row>
    <row r="171" spans="1:16" ht="15.75" customHeight="1" x14ac:dyDescent="0.2">
      <c r="A171" s="1129" t="s">
        <v>142</v>
      </c>
      <c r="B171" s="1130"/>
      <c r="C171" s="133" t="s">
        <v>136</v>
      </c>
      <c r="D171" s="908" t="s">
        <v>137</v>
      </c>
      <c r="E171" s="1240"/>
      <c r="F171" s="1240"/>
      <c r="G171" s="83" t="s">
        <v>138</v>
      </c>
      <c r="H171" s="1241"/>
      <c r="I171" s="1132" t="s">
        <v>144</v>
      </c>
      <c r="J171" s="1132"/>
      <c r="K171" s="1242"/>
      <c r="L171" s="81"/>
      <c r="M171" s="1213" t="s">
        <v>202</v>
      </c>
      <c r="N171" s="1214"/>
      <c r="O171" s="113">
        <f>IF(N166&gt;0,N166+O166+SUM(O169:O170),N166+O166+SUM(O169:O170))</f>
        <v>0</v>
      </c>
      <c r="P171" s="112"/>
    </row>
    <row r="172" spans="1:16" ht="21.75" customHeight="1" x14ac:dyDescent="0.2">
      <c r="A172" s="18"/>
      <c r="B172" s="18"/>
      <c r="C172" s="18"/>
      <c r="D172" s="18"/>
      <c r="E172" s="18"/>
      <c r="F172" s="18"/>
      <c r="G172" s="18"/>
      <c r="H172" s="18"/>
      <c r="I172" s="18"/>
      <c r="J172" s="18"/>
      <c r="K172" s="74"/>
      <c r="L172" s="82"/>
      <c r="M172" s="1209"/>
      <c r="N172" s="1209"/>
      <c r="O172" s="1209"/>
      <c r="P172" s="112"/>
    </row>
  </sheetData>
  <sheetProtection algorithmName="SHA-512" hashValue="i6IyUTJPXucq5EUQhDRDg6lDr2eGOzJxNJNfe6Bl3e/2amSXX9AjE4N0mOxUhYCcFraGD/X4e8C0A2V5sKUZNw==" saltValue="PA3Z28EJt1s57u2K9G8QNA==" spinCount="100000" sheet="1" objects="1" scenarios="1"/>
  <mergeCells count="288">
    <mergeCell ref="J11:K11"/>
    <mergeCell ref="J54:K54"/>
    <mergeCell ref="J97:K97"/>
    <mergeCell ref="J140:K140"/>
    <mergeCell ref="A133:C133"/>
    <mergeCell ref="D133:J133"/>
    <mergeCell ref="A134:M134"/>
    <mergeCell ref="J135:K135"/>
    <mergeCell ref="K89:M89"/>
    <mergeCell ref="A88:C88"/>
    <mergeCell ref="A53:C53"/>
    <mergeCell ref="D54:E54"/>
    <mergeCell ref="E56:F56"/>
    <mergeCell ref="A89:C89"/>
    <mergeCell ref="A90:C90"/>
    <mergeCell ref="G123:L123"/>
    <mergeCell ref="A59:D59"/>
    <mergeCell ref="E59:F59"/>
    <mergeCell ref="M59:N59"/>
    <mergeCell ref="A60:D60"/>
    <mergeCell ref="E60:F60"/>
    <mergeCell ref="A61:D61"/>
    <mergeCell ref="E61:F61"/>
    <mergeCell ref="A63:A67"/>
    <mergeCell ref="N124:O124"/>
    <mergeCell ref="A126:C126"/>
    <mergeCell ref="I128:J128"/>
    <mergeCell ref="D126:E126"/>
    <mergeCell ref="L126:N126"/>
    <mergeCell ref="G80:L80"/>
    <mergeCell ref="N81:O81"/>
    <mergeCell ref="D83:E83"/>
    <mergeCell ref="L83:N83"/>
    <mergeCell ref="M84:N84"/>
    <mergeCell ref="A85:B85"/>
    <mergeCell ref="E85:F85"/>
    <mergeCell ref="I85:J85"/>
    <mergeCell ref="M85:N85"/>
    <mergeCell ref="M86:O86"/>
    <mergeCell ref="A87:C87"/>
    <mergeCell ref="D87:N87"/>
    <mergeCell ref="D88:N88"/>
    <mergeCell ref="D89:J89"/>
    <mergeCell ref="D90:J90"/>
    <mergeCell ref="A91:M91"/>
    <mergeCell ref="J92:K92"/>
    <mergeCell ref="A93:C93"/>
    <mergeCell ref="D93:I93"/>
    <mergeCell ref="A132:C132"/>
    <mergeCell ref="D132:J132"/>
    <mergeCell ref="K132:M132"/>
    <mergeCell ref="D47:J47"/>
    <mergeCell ref="A57:D57"/>
    <mergeCell ref="E57:F57"/>
    <mergeCell ref="I57:J57"/>
    <mergeCell ref="K57:L57"/>
    <mergeCell ref="A94:C94"/>
    <mergeCell ref="D94:I94"/>
    <mergeCell ref="J94:K94"/>
    <mergeCell ref="A95:C95"/>
    <mergeCell ref="A51:C51"/>
    <mergeCell ref="A52:C52"/>
    <mergeCell ref="J49:K49"/>
    <mergeCell ref="A50:C50"/>
    <mergeCell ref="D50:I50"/>
    <mergeCell ref="J50:K50"/>
    <mergeCell ref="D51:I51"/>
    <mergeCell ref="J51:K51"/>
    <mergeCell ref="D52:I52"/>
    <mergeCell ref="J52:K52"/>
    <mergeCell ref="D53:I53"/>
    <mergeCell ref="J53:K53"/>
    <mergeCell ref="D4:J4"/>
    <mergeCell ref="D7:I7"/>
    <mergeCell ref="D8:I8"/>
    <mergeCell ref="D9:I9"/>
    <mergeCell ref="A45:C45"/>
    <mergeCell ref="D45:N45"/>
    <mergeCell ref="O22:O23"/>
    <mergeCell ref="G37:L37"/>
    <mergeCell ref="N20:N24"/>
    <mergeCell ref="B21:B24"/>
    <mergeCell ref="C21:C24"/>
    <mergeCell ref="D21:D24"/>
    <mergeCell ref="F21:F24"/>
    <mergeCell ref="J6:K6"/>
    <mergeCell ref="J7:K7"/>
    <mergeCell ref="J8:K8"/>
    <mergeCell ref="J9:K9"/>
    <mergeCell ref="D10:I10"/>
    <mergeCell ref="J10:K10"/>
    <mergeCell ref="D11:E11"/>
    <mergeCell ref="I14:J14"/>
    <mergeCell ref="K14:L14"/>
    <mergeCell ref="K21:K22"/>
    <mergeCell ref="L21:L22"/>
    <mergeCell ref="A1:C1"/>
    <mergeCell ref="D1:N1"/>
    <mergeCell ref="D2:N2"/>
    <mergeCell ref="A83:C83"/>
    <mergeCell ref="A46:C46"/>
    <mergeCell ref="A47:C47"/>
    <mergeCell ref="A2:C2"/>
    <mergeCell ref="A3:C3"/>
    <mergeCell ref="D3:J3"/>
    <mergeCell ref="K3:M3"/>
    <mergeCell ref="A8:C8"/>
    <mergeCell ref="A9:C9"/>
    <mergeCell ref="A4:C4"/>
    <mergeCell ref="A7:C7"/>
    <mergeCell ref="A10:C10"/>
    <mergeCell ref="A20:A24"/>
    <mergeCell ref="B20:F20"/>
    <mergeCell ref="G20:L20"/>
    <mergeCell ref="M20:M24"/>
    <mergeCell ref="E22:E23"/>
    <mergeCell ref="H21:H22"/>
    <mergeCell ref="I21:I22"/>
    <mergeCell ref="J21:J22"/>
    <mergeCell ref="G21:G22"/>
    <mergeCell ref="I15:J15"/>
    <mergeCell ref="K15:L15"/>
    <mergeCell ref="E13:F13"/>
    <mergeCell ref="A14:D14"/>
    <mergeCell ref="E14:F14"/>
    <mergeCell ref="A15:D15"/>
    <mergeCell ref="E15:F15"/>
    <mergeCell ref="A16:D16"/>
    <mergeCell ref="E16:F16"/>
    <mergeCell ref="O20:O21"/>
    <mergeCell ref="N38:O38"/>
    <mergeCell ref="M41:N41"/>
    <mergeCell ref="A5:M5"/>
    <mergeCell ref="A44:C44"/>
    <mergeCell ref="D44:N44"/>
    <mergeCell ref="D46:J46"/>
    <mergeCell ref="K46:M46"/>
    <mergeCell ref="A48:M48"/>
    <mergeCell ref="M43:O43"/>
    <mergeCell ref="A42:B42"/>
    <mergeCell ref="E42:F42"/>
    <mergeCell ref="I42:J42"/>
    <mergeCell ref="M42:N42"/>
    <mergeCell ref="A17:D17"/>
    <mergeCell ref="E17:F17"/>
    <mergeCell ref="A18:D18"/>
    <mergeCell ref="E18:F18"/>
    <mergeCell ref="M14:N14"/>
    <mergeCell ref="M15:N15"/>
    <mergeCell ref="M16:N16"/>
    <mergeCell ref="A40:C40"/>
    <mergeCell ref="D40:E40"/>
    <mergeCell ref="L40:N40"/>
    <mergeCell ref="M57:N57"/>
    <mergeCell ref="A58:D58"/>
    <mergeCell ref="E58:F58"/>
    <mergeCell ref="I58:J58"/>
    <mergeCell ref="K58:L58"/>
    <mergeCell ref="M58:N58"/>
    <mergeCell ref="O63:O64"/>
    <mergeCell ref="B64:B67"/>
    <mergeCell ref="C64:C67"/>
    <mergeCell ref="D64:D67"/>
    <mergeCell ref="F64:F67"/>
    <mergeCell ref="G64:G65"/>
    <mergeCell ref="H64:H65"/>
    <mergeCell ref="I64:I65"/>
    <mergeCell ref="J64:J65"/>
    <mergeCell ref="K64:K65"/>
    <mergeCell ref="L64:L65"/>
    <mergeCell ref="E65:E66"/>
    <mergeCell ref="O65:O66"/>
    <mergeCell ref="B63:F63"/>
    <mergeCell ref="G63:L63"/>
    <mergeCell ref="M63:M67"/>
    <mergeCell ref="N63:N67"/>
    <mergeCell ref="J93:K93"/>
    <mergeCell ref="D95:I95"/>
    <mergeCell ref="J95:K95"/>
    <mergeCell ref="A96:C96"/>
    <mergeCell ref="D96:I96"/>
    <mergeCell ref="J96:K96"/>
    <mergeCell ref="D97:E97"/>
    <mergeCell ref="E99:F99"/>
    <mergeCell ref="A100:D100"/>
    <mergeCell ref="E100:F100"/>
    <mergeCell ref="I100:J100"/>
    <mergeCell ref="K100:L100"/>
    <mergeCell ref="M100:N100"/>
    <mergeCell ref="A101:D101"/>
    <mergeCell ref="E101:F101"/>
    <mergeCell ref="I101:J101"/>
    <mergeCell ref="K101:L101"/>
    <mergeCell ref="M101:N101"/>
    <mergeCell ref="A102:D102"/>
    <mergeCell ref="E102:F102"/>
    <mergeCell ref="M102:N102"/>
    <mergeCell ref="A103:D103"/>
    <mergeCell ref="E103:F103"/>
    <mergeCell ref="A104:D104"/>
    <mergeCell ref="E104:F104"/>
    <mergeCell ref="A106:A110"/>
    <mergeCell ref="B106:F106"/>
    <mergeCell ref="G106:L106"/>
    <mergeCell ref="M106:M110"/>
    <mergeCell ref="N106:N110"/>
    <mergeCell ref="O106:O107"/>
    <mergeCell ref="B107:B110"/>
    <mergeCell ref="C107:C110"/>
    <mergeCell ref="D107:D110"/>
    <mergeCell ref="F107:F110"/>
    <mergeCell ref="G107:G108"/>
    <mergeCell ref="H107:H108"/>
    <mergeCell ref="I107:I108"/>
    <mergeCell ref="J107:J108"/>
    <mergeCell ref="K107:K108"/>
    <mergeCell ref="L107:L108"/>
    <mergeCell ref="E108:E109"/>
    <mergeCell ref="O108:O109"/>
    <mergeCell ref="M127:N127"/>
    <mergeCell ref="A128:B128"/>
    <mergeCell ref="E128:F128"/>
    <mergeCell ref="M128:N128"/>
    <mergeCell ref="M129:O129"/>
    <mergeCell ref="A130:C130"/>
    <mergeCell ref="D130:N130"/>
    <mergeCell ref="A131:C131"/>
    <mergeCell ref="D131:N131"/>
    <mergeCell ref="A136:C136"/>
    <mergeCell ref="D136:I136"/>
    <mergeCell ref="J136:K136"/>
    <mergeCell ref="A137:C137"/>
    <mergeCell ref="D137:I137"/>
    <mergeCell ref="J137:K137"/>
    <mergeCell ref="A138:C138"/>
    <mergeCell ref="D138:I138"/>
    <mergeCell ref="J138:K138"/>
    <mergeCell ref="A139:C139"/>
    <mergeCell ref="D139:I139"/>
    <mergeCell ref="J139:K139"/>
    <mergeCell ref="D140:E140"/>
    <mergeCell ref="E142:F142"/>
    <mergeCell ref="A143:D143"/>
    <mergeCell ref="E143:F143"/>
    <mergeCell ref="I143:J143"/>
    <mergeCell ref="K143:L143"/>
    <mergeCell ref="M143:N143"/>
    <mergeCell ref="A144:D144"/>
    <mergeCell ref="E144:F144"/>
    <mergeCell ref="I144:J144"/>
    <mergeCell ref="K144:L144"/>
    <mergeCell ref="M144:N144"/>
    <mergeCell ref="A145:D145"/>
    <mergeCell ref="E145:F145"/>
    <mergeCell ref="M145:N145"/>
    <mergeCell ref="A146:D146"/>
    <mergeCell ref="E146:F146"/>
    <mergeCell ref="A147:D147"/>
    <mergeCell ref="E147:F147"/>
    <mergeCell ref="A149:A153"/>
    <mergeCell ref="B149:F149"/>
    <mergeCell ref="G149:L149"/>
    <mergeCell ref="M149:M153"/>
    <mergeCell ref="N149:N153"/>
    <mergeCell ref="O149:O150"/>
    <mergeCell ref="B150:B153"/>
    <mergeCell ref="C150:C153"/>
    <mergeCell ref="D150:D153"/>
    <mergeCell ref="F150:F153"/>
    <mergeCell ref="G150:G151"/>
    <mergeCell ref="H150:H151"/>
    <mergeCell ref="I150:I151"/>
    <mergeCell ref="J150:J151"/>
    <mergeCell ref="K150:K151"/>
    <mergeCell ref="L150:L151"/>
    <mergeCell ref="E151:E152"/>
    <mergeCell ref="O151:O152"/>
    <mergeCell ref="M172:O172"/>
    <mergeCell ref="G166:L166"/>
    <mergeCell ref="N167:O167"/>
    <mergeCell ref="A169:C169"/>
    <mergeCell ref="D169:E169"/>
    <mergeCell ref="L169:N169"/>
    <mergeCell ref="M170:N170"/>
    <mergeCell ref="A171:B171"/>
    <mergeCell ref="E171:F171"/>
    <mergeCell ref="I171:J171"/>
    <mergeCell ref="M171:N171"/>
  </mergeCell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-&amp;12&amp;K01+000  &amp;10&amp;KFF0000BFD, FSJ&amp;R&amp;G</oddHeader>
    <oddFoot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Grundlagen!$G$52:$G$54</xm:f>
          </x14:formula1>
          <xm:sqref>O14:O16 O57:O59 O100:O102 O143:O145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556"/>
  <sheetViews>
    <sheetView showGridLines="0" view="pageLayout" zoomScaleNormal="100" workbookViewId="0">
      <selection activeCell="B1" sqref="B1:I1"/>
    </sheetView>
  </sheetViews>
  <sheetFormatPr baseColWidth="10" defaultRowHeight="14.25" x14ac:dyDescent="0.25"/>
  <cols>
    <col min="1" max="1" width="15.7109375" style="19" customWidth="1"/>
    <col min="2" max="2" width="33.28515625" style="19" customWidth="1"/>
    <col min="3" max="3" width="10.7109375" style="19" customWidth="1"/>
    <col min="4" max="5" width="27.7109375" style="19" customWidth="1"/>
    <col min="6" max="8" width="11.140625" style="19" customWidth="1"/>
    <col min="9" max="10" width="15.140625" style="19" customWidth="1"/>
    <col min="11" max="16384" width="11.42578125" style="19"/>
  </cols>
  <sheetData>
    <row r="1" spans="1:10" s="12" customFormat="1" ht="13.5" customHeight="1" x14ac:dyDescent="0.2">
      <c r="A1" s="35" t="s">
        <v>18</v>
      </c>
      <c r="B1" s="1206" t="str">
        <f>IF('päd.Personal - Leitung'!D1="","",'päd.Personal - Leitung'!D1)</f>
        <v/>
      </c>
      <c r="C1" s="1206"/>
      <c r="D1" s="1206"/>
      <c r="E1" s="1206"/>
      <c r="F1" s="1206"/>
      <c r="G1" s="1206"/>
      <c r="H1" s="1206"/>
      <c r="I1" s="1206"/>
      <c r="J1" s="115"/>
    </row>
    <row r="2" spans="1:10" s="12" customFormat="1" ht="15" customHeight="1" x14ac:dyDescent="0.2">
      <c r="A2" s="35" t="s">
        <v>17</v>
      </c>
      <c r="B2" s="1206" t="str">
        <f>IF('päd.Personal - Leitung'!D2="","",'päd.Personal - Leitung'!D2)</f>
        <v/>
      </c>
      <c r="C2" s="1206"/>
      <c r="D2" s="1206"/>
      <c r="E2" s="1206"/>
      <c r="F2" s="1206"/>
      <c r="G2" s="1206"/>
      <c r="H2" s="1206"/>
      <c r="I2" s="1206"/>
      <c r="J2" s="115"/>
    </row>
    <row r="3" spans="1:10" s="12" customFormat="1" ht="15" customHeight="1" x14ac:dyDescent="0.2">
      <c r="A3" s="35" t="s">
        <v>16</v>
      </c>
      <c r="B3" s="1206" t="str">
        <f>IF('päd.Personal - Leitung'!D3="","",'päd.Personal - Leitung'!D3)</f>
        <v/>
      </c>
      <c r="C3" s="1206"/>
      <c r="D3" s="115"/>
      <c r="G3" s="165"/>
      <c r="H3" s="35" t="s">
        <v>103</v>
      </c>
      <c r="I3" s="41" t="str">
        <f>IF('päd.Personal - Leitung'!N3="","",'päd.Personal - Leitung'!N3)</f>
        <v/>
      </c>
      <c r="J3" s="115"/>
    </row>
    <row r="4" spans="1:10" s="13" customFormat="1" ht="15" customHeight="1" x14ac:dyDescent="0.2">
      <c r="D4" s="114"/>
      <c r="E4" s="114"/>
      <c r="F4" s="114"/>
      <c r="G4" s="114"/>
      <c r="H4" s="114"/>
      <c r="I4" s="114"/>
      <c r="J4" s="114"/>
    </row>
    <row r="5" spans="1:10" x14ac:dyDescent="0.25">
      <c r="A5" s="36"/>
      <c r="B5" s="176" t="s">
        <v>253</v>
      </c>
      <c r="C5" s="36"/>
      <c r="D5" s="36"/>
      <c r="E5" s="36"/>
      <c r="F5" s="37"/>
      <c r="G5" s="37"/>
      <c r="H5" s="37"/>
      <c r="I5" s="37"/>
      <c r="J5" s="37"/>
    </row>
    <row r="6" spans="1:10" x14ac:dyDescent="0.25">
      <c r="A6" s="36"/>
      <c r="B6" s="36"/>
      <c r="C6" s="36"/>
      <c r="D6" s="36"/>
      <c r="E6" s="36"/>
      <c r="F6" s="37"/>
      <c r="G6" s="37"/>
      <c r="H6" s="37"/>
      <c r="I6" s="37"/>
      <c r="J6" s="37"/>
    </row>
    <row r="7" spans="1:10" x14ac:dyDescent="0.25">
      <c r="A7" s="177" t="s">
        <v>11</v>
      </c>
    </row>
    <row r="8" spans="1:10" x14ac:dyDescent="0.25">
      <c r="A8" s="178" t="s">
        <v>10</v>
      </c>
    </row>
    <row r="9" spans="1:10" s="160" customFormat="1" ht="18" customHeight="1" x14ac:dyDescent="0.25">
      <c r="A9" s="1207" t="s">
        <v>242</v>
      </c>
      <c r="B9" s="1207" t="s">
        <v>243</v>
      </c>
      <c r="C9" s="1207" t="s">
        <v>244</v>
      </c>
      <c r="D9" s="1207" t="s">
        <v>13</v>
      </c>
      <c r="E9" s="1207" t="s">
        <v>80</v>
      </c>
      <c r="F9" s="1230" t="s">
        <v>245</v>
      </c>
      <c r="G9" s="1231"/>
      <c r="H9" s="1232"/>
      <c r="I9" s="1207" t="str">
        <f>CONCATENATE("Beschäftigungsdauer ",'päd.Personal - Leitung'!O5)</f>
        <v>Beschäftigungsdauer 2022</v>
      </c>
      <c r="J9" s="1207"/>
    </row>
    <row r="10" spans="1:10" s="160" customFormat="1" ht="18" customHeight="1" x14ac:dyDescent="0.25">
      <c r="A10" s="1208"/>
      <c r="B10" s="1208"/>
      <c r="C10" s="1208"/>
      <c r="D10" s="1208"/>
      <c r="E10" s="1208"/>
      <c r="F10" s="167" t="s">
        <v>246</v>
      </c>
      <c r="G10" s="167" t="s">
        <v>247</v>
      </c>
      <c r="H10" s="167" t="s">
        <v>248</v>
      </c>
      <c r="I10" s="167" t="s">
        <v>249</v>
      </c>
      <c r="J10" s="167" t="s">
        <v>250</v>
      </c>
    </row>
    <row r="11" spans="1:10" s="160" customFormat="1" ht="18.75" customHeight="1" x14ac:dyDescent="0.25">
      <c r="A11" s="161" t="s">
        <v>82</v>
      </c>
      <c r="B11" s="38"/>
      <c r="C11" s="188"/>
      <c r="D11" s="38"/>
      <c r="E11" s="38"/>
      <c r="F11" s="166"/>
      <c r="G11" s="166"/>
      <c r="H11" s="168" t="str">
        <f>IF(B11="","",F11+G11)</f>
        <v/>
      </c>
      <c r="I11" s="39"/>
      <c r="J11" s="39"/>
    </row>
    <row r="12" spans="1:10" s="160" customFormat="1" ht="18.75" customHeight="1" x14ac:dyDescent="0.25">
      <c r="A12" s="161" t="s">
        <v>83</v>
      </c>
      <c r="B12" s="38"/>
      <c r="C12" s="188"/>
      <c r="D12" s="38"/>
      <c r="E12" s="38"/>
      <c r="F12" s="166"/>
      <c r="G12" s="166"/>
      <c r="H12" s="168" t="str">
        <f t="shared" ref="H12:H25" si="0">IF(B12="","",F12+G12)</f>
        <v/>
      </c>
      <c r="I12" s="39"/>
      <c r="J12" s="39"/>
    </row>
    <row r="13" spans="1:10" s="160" customFormat="1" ht="18.75" customHeight="1" x14ac:dyDescent="0.25">
      <c r="A13" s="161" t="s">
        <v>84</v>
      </c>
      <c r="B13" s="38"/>
      <c r="C13" s="188"/>
      <c r="D13" s="38"/>
      <c r="E13" s="38"/>
      <c r="F13" s="166"/>
      <c r="G13" s="166"/>
      <c r="H13" s="168" t="str">
        <f t="shared" si="0"/>
        <v/>
      </c>
      <c r="I13" s="39"/>
      <c r="J13" s="39"/>
    </row>
    <row r="14" spans="1:10" s="160" customFormat="1" ht="18.75" customHeight="1" x14ac:dyDescent="0.25">
      <c r="A14" s="161" t="s">
        <v>85</v>
      </c>
      <c r="B14" s="38"/>
      <c r="C14" s="188"/>
      <c r="D14" s="38"/>
      <c r="E14" s="38"/>
      <c r="F14" s="166"/>
      <c r="G14" s="166"/>
      <c r="H14" s="168" t="str">
        <f t="shared" si="0"/>
        <v/>
      </c>
      <c r="I14" s="39"/>
      <c r="J14" s="39"/>
    </row>
    <row r="15" spans="1:10" s="160" customFormat="1" ht="18.75" customHeight="1" x14ac:dyDescent="0.25">
      <c r="A15" s="161" t="s">
        <v>86</v>
      </c>
      <c r="B15" s="38"/>
      <c r="C15" s="188"/>
      <c r="D15" s="38"/>
      <c r="E15" s="38"/>
      <c r="F15" s="166"/>
      <c r="G15" s="166"/>
      <c r="H15" s="168" t="str">
        <f t="shared" si="0"/>
        <v/>
      </c>
      <c r="I15" s="39"/>
      <c r="J15" s="39"/>
    </row>
    <row r="16" spans="1:10" s="160" customFormat="1" ht="18.75" customHeight="1" x14ac:dyDescent="0.25">
      <c r="A16" s="161" t="s">
        <v>87</v>
      </c>
      <c r="B16" s="38"/>
      <c r="C16" s="188"/>
      <c r="D16" s="38"/>
      <c r="E16" s="38"/>
      <c r="F16" s="166"/>
      <c r="G16" s="166"/>
      <c r="H16" s="168" t="str">
        <f t="shared" si="0"/>
        <v/>
      </c>
      <c r="I16" s="39"/>
      <c r="J16" s="39"/>
    </row>
    <row r="17" spans="1:10" s="160" customFormat="1" ht="18.75" customHeight="1" x14ac:dyDescent="0.25">
      <c r="A17" s="161" t="s">
        <v>88</v>
      </c>
      <c r="B17" s="38"/>
      <c r="C17" s="188"/>
      <c r="D17" s="38"/>
      <c r="E17" s="38"/>
      <c r="F17" s="166"/>
      <c r="G17" s="166"/>
      <c r="H17" s="168" t="str">
        <f t="shared" si="0"/>
        <v/>
      </c>
      <c r="I17" s="39"/>
      <c r="J17" s="39"/>
    </row>
    <row r="18" spans="1:10" s="160" customFormat="1" ht="18.75" customHeight="1" x14ac:dyDescent="0.25">
      <c r="A18" s="161" t="s">
        <v>89</v>
      </c>
      <c r="B18" s="38"/>
      <c r="C18" s="188"/>
      <c r="D18" s="38"/>
      <c r="E18" s="38"/>
      <c r="F18" s="166"/>
      <c r="G18" s="166"/>
      <c r="H18" s="168" t="str">
        <f t="shared" si="0"/>
        <v/>
      </c>
      <c r="I18" s="39"/>
      <c r="J18" s="39"/>
    </row>
    <row r="19" spans="1:10" s="160" customFormat="1" ht="18.75" customHeight="1" x14ac:dyDescent="0.25">
      <c r="A19" s="161" t="s">
        <v>90</v>
      </c>
      <c r="B19" s="38"/>
      <c r="C19" s="188"/>
      <c r="D19" s="38"/>
      <c r="E19" s="38"/>
      <c r="F19" s="166"/>
      <c r="G19" s="166"/>
      <c r="H19" s="168" t="str">
        <f t="shared" si="0"/>
        <v/>
      </c>
      <c r="I19" s="39"/>
      <c r="J19" s="39"/>
    </row>
    <row r="20" spans="1:10" s="160" customFormat="1" ht="18.75" customHeight="1" x14ac:dyDescent="0.25">
      <c r="A20" s="161" t="s">
        <v>91</v>
      </c>
      <c r="B20" s="38"/>
      <c r="C20" s="188"/>
      <c r="D20" s="38"/>
      <c r="E20" s="38"/>
      <c r="F20" s="166"/>
      <c r="G20" s="166"/>
      <c r="H20" s="168" t="str">
        <f t="shared" si="0"/>
        <v/>
      </c>
      <c r="I20" s="39"/>
      <c r="J20" s="39"/>
    </row>
    <row r="21" spans="1:10" s="160" customFormat="1" ht="18.75" customHeight="1" x14ac:dyDescent="0.25">
      <c r="A21" s="161" t="s">
        <v>92</v>
      </c>
      <c r="B21" s="38"/>
      <c r="C21" s="188"/>
      <c r="D21" s="38"/>
      <c r="E21" s="38"/>
      <c r="F21" s="166"/>
      <c r="G21" s="166"/>
      <c r="H21" s="168" t="str">
        <f t="shared" si="0"/>
        <v/>
      </c>
      <c r="I21" s="39"/>
      <c r="J21" s="39"/>
    </row>
    <row r="22" spans="1:10" s="160" customFormat="1" ht="18.75" customHeight="1" x14ac:dyDescent="0.25">
      <c r="A22" s="161" t="s">
        <v>93</v>
      </c>
      <c r="B22" s="38"/>
      <c r="C22" s="188"/>
      <c r="D22" s="38"/>
      <c r="E22" s="38"/>
      <c r="F22" s="166"/>
      <c r="G22" s="166"/>
      <c r="H22" s="168" t="str">
        <f t="shared" si="0"/>
        <v/>
      </c>
      <c r="I22" s="39"/>
      <c r="J22" s="39"/>
    </row>
    <row r="23" spans="1:10" s="160" customFormat="1" ht="18.75" customHeight="1" x14ac:dyDescent="0.25">
      <c r="A23" s="161" t="s">
        <v>94</v>
      </c>
      <c r="B23" s="38"/>
      <c r="C23" s="188"/>
      <c r="D23" s="38"/>
      <c r="E23" s="38"/>
      <c r="F23" s="166"/>
      <c r="G23" s="166"/>
      <c r="H23" s="168" t="str">
        <f t="shared" si="0"/>
        <v/>
      </c>
      <c r="I23" s="39"/>
      <c r="J23" s="39"/>
    </row>
    <row r="24" spans="1:10" s="160" customFormat="1" ht="18.75" customHeight="1" x14ac:dyDescent="0.25">
      <c r="A24" s="161" t="s">
        <v>95</v>
      </c>
      <c r="B24" s="38"/>
      <c r="C24" s="188"/>
      <c r="D24" s="38"/>
      <c r="E24" s="38"/>
      <c r="F24" s="166"/>
      <c r="G24" s="166"/>
      <c r="H24" s="168" t="str">
        <f t="shared" si="0"/>
        <v/>
      </c>
      <c r="I24" s="39"/>
      <c r="J24" s="39"/>
    </row>
    <row r="25" spans="1:10" s="160" customFormat="1" ht="18.75" customHeight="1" thickBot="1" x14ac:dyDescent="0.3">
      <c r="A25" s="161" t="s">
        <v>96</v>
      </c>
      <c r="B25" s="38"/>
      <c r="C25" s="188"/>
      <c r="D25" s="38"/>
      <c r="E25" s="38"/>
      <c r="F25" s="166"/>
      <c r="G25" s="166"/>
      <c r="H25" s="168" t="str">
        <f t="shared" si="0"/>
        <v/>
      </c>
      <c r="I25" s="39"/>
      <c r="J25" s="40"/>
    </row>
    <row r="26" spans="1:10" s="160" customFormat="1" ht="18.75" customHeight="1" thickBot="1" x14ac:dyDescent="0.3">
      <c r="A26" s="162"/>
      <c r="B26" s="163">
        <f>COUNTA(B11:B25)</f>
        <v>0</v>
      </c>
      <c r="C26" s="162"/>
      <c r="D26" s="162"/>
      <c r="E26" s="164"/>
      <c r="I26" s="163">
        <f>SUM(I11:I25)</f>
        <v>0</v>
      </c>
    </row>
    <row r="27" spans="1:10" x14ac:dyDescent="0.25">
      <c r="A27" s="1204"/>
      <c r="B27" s="1205"/>
      <c r="C27" s="1205"/>
      <c r="D27" s="1205"/>
      <c r="E27" s="136"/>
    </row>
    <row r="28" spans="1:10" x14ac:dyDescent="0.25">
      <c r="A28" s="1204"/>
      <c r="B28" s="1205"/>
      <c r="C28" s="1205"/>
      <c r="D28" s="1205"/>
      <c r="E28" s="136"/>
    </row>
    <row r="36" ht="14.25" customHeight="1" x14ac:dyDescent="0.25"/>
    <row r="37" ht="15" customHeight="1" x14ac:dyDescent="0.25"/>
    <row r="38" ht="15" customHeight="1" x14ac:dyDescent="0.25"/>
    <row r="42" ht="14.25" customHeight="1" x14ac:dyDescent="0.25"/>
    <row r="43" ht="14.25" customHeight="1" x14ac:dyDescent="0.25"/>
    <row r="44" ht="14.25" customHeight="1" x14ac:dyDescent="0.25"/>
    <row r="47" ht="22.5" customHeight="1" x14ac:dyDescent="0.25"/>
    <row r="48" ht="22.5" customHeight="1" x14ac:dyDescent="0.25"/>
    <row r="49" ht="22.5" customHeight="1" x14ac:dyDescent="0.25"/>
    <row r="50" ht="22.5" customHeight="1" x14ac:dyDescent="0.25"/>
    <row r="51" ht="22.5" customHeight="1" x14ac:dyDescent="0.25"/>
    <row r="52" ht="22.5" customHeight="1" x14ac:dyDescent="0.25"/>
    <row r="54" ht="14.25" customHeight="1" x14ac:dyDescent="0.25"/>
    <row r="55" ht="14.25" customHeight="1" x14ac:dyDescent="0.25"/>
    <row r="73" ht="14.25" customHeight="1" x14ac:dyDescent="0.25"/>
    <row r="74" ht="15" customHeight="1" x14ac:dyDescent="0.25"/>
    <row r="75" ht="15" customHeight="1" x14ac:dyDescent="0.25"/>
    <row r="79" ht="14.25" customHeight="1" x14ac:dyDescent="0.25"/>
    <row r="80" ht="14.25" customHeight="1" x14ac:dyDescent="0.25"/>
    <row r="81" ht="14.25" customHeight="1" x14ac:dyDescent="0.25"/>
    <row r="84" ht="22.5" customHeight="1" x14ac:dyDescent="0.25"/>
    <row r="85" ht="22.5" customHeight="1" x14ac:dyDescent="0.25"/>
    <row r="86" ht="22.5" customHeight="1" x14ac:dyDescent="0.25"/>
    <row r="87" ht="22.5" customHeight="1" x14ac:dyDescent="0.25"/>
    <row r="88" ht="22.5" customHeight="1" x14ac:dyDescent="0.25"/>
    <row r="89" ht="22.5" customHeight="1" x14ac:dyDescent="0.25"/>
    <row r="91" ht="14.25" customHeight="1" x14ac:dyDescent="0.25"/>
    <row r="92" ht="14.25" customHeight="1" x14ac:dyDescent="0.25"/>
    <row r="110" ht="14.25" customHeight="1" x14ac:dyDescent="0.25"/>
    <row r="111" ht="15" customHeight="1" x14ac:dyDescent="0.25"/>
    <row r="112" ht="15" customHeight="1" x14ac:dyDescent="0.25"/>
    <row r="116" ht="14.25" customHeight="1" x14ac:dyDescent="0.25"/>
    <row r="117" ht="14.25" customHeight="1" x14ac:dyDescent="0.25"/>
    <row r="118" ht="14.25" customHeight="1" x14ac:dyDescent="0.25"/>
    <row r="121" ht="22.5" customHeight="1" x14ac:dyDescent="0.25"/>
    <row r="122" ht="22.5" customHeight="1" x14ac:dyDescent="0.25"/>
    <row r="123" ht="22.5" customHeight="1" x14ac:dyDescent="0.25"/>
    <row r="124" ht="22.5" customHeight="1" x14ac:dyDescent="0.25"/>
    <row r="125" ht="22.5" customHeight="1" x14ac:dyDescent="0.25"/>
    <row r="126" ht="22.5" customHeight="1" x14ac:dyDescent="0.25"/>
    <row r="128" ht="14.25" customHeight="1" x14ac:dyDescent="0.25"/>
    <row r="129" ht="14.25" customHeight="1" x14ac:dyDescent="0.25"/>
    <row r="147" ht="14.25" customHeight="1" x14ac:dyDescent="0.25"/>
    <row r="148" ht="15" customHeight="1" x14ac:dyDescent="0.25"/>
    <row r="149" ht="15" customHeight="1" x14ac:dyDescent="0.25"/>
    <row r="153" ht="14.25" customHeight="1" x14ac:dyDescent="0.25"/>
    <row r="154" ht="14.25" customHeight="1" x14ac:dyDescent="0.25"/>
    <row r="155" ht="14.25" customHeight="1" x14ac:dyDescent="0.25"/>
    <row r="158" ht="22.5" customHeight="1" x14ac:dyDescent="0.25"/>
    <row r="159" ht="22.5" customHeight="1" x14ac:dyDescent="0.25"/>
    <row r="160" ht="22.5" customHeight="1" x14ac:dyDescent="0.25"/>
    <row r="161" ht="22.5" customHeight="1" x14ac:dyDescent="0.25"/>
    <row r="162" ht="22.5" customHeight="1" x14ac:dyDescent="0.25"/>
    <row r="163" ht="22.5" customHeight="1" x14ac:dyDescent="0.25"/>
    <row r="165" ht="14.25" customHeight="1" x14ac:dyDescent="0.25"/>
    <row r="166" ht="14.25" customHeight="1" x14ac:dyDescent="0.25"/>
    <row r="184" ht="14.25" customHeight="1" x14ac:dyDescent="0.25"/>
    <row r="185" ht="15" customHeight="1" x14ac:dyDescent="0.25"/>
    <row r="186" ht="15" customHeight="1" x14ac:dyDescent="0.25"/>
    <row r="190" ht="14.25" customHeight="1" x14ac:dyDescent="0.25"/>
    <row r="191" ht="14.25" customHeight="1" x14ac:dyDescent="0.25"/>
    <row r="192" ht="14.25" customHeight="1" x14ac:dyDescent="0.25"/>
    <row r="195" ht="22.5" customHeight="1" x14ac:dyDescent="0.25"/>
    <row r="196" ht="22.5" customHeight="1" x14ac:dyDescent="0.25"/>
    <row r="197" ht="22.5" customHeight="1" x14ac:dyDescent="0.25"/>
    <row r="198" ht="22.5" customHeight="1" x14ac:dyDescent="0.25"/>
    <row r="199" ht="22.5" customHeight="1" x14ac:dyDescent="0.25"/>
    <row r="200" ht="22.5" customHeight="1" x14ac:dyDescent="0.25"/>
    <row r="202" ht="14.25" customHeight="1" x14ac:dyDescent="0.25"/>
    <row r="203" ht="14.25" customHeight="1" x14ac:dyDescent="0.25"/>
    <row r="221" ht="14.25" customHeight="1" x14ac:dyDescent="0.25"/>
    <row r="222" ht="15" customHeight="1" x14ac:dyDescent="0.25"/>
    <row r="223" ht="15" customHeight="1" x14ac:dyDescent="0.25"/>
    <row r="227" ht="14.25" customHeight="1" x14ac:dyDescent="0.25"/>
    <row r="228" ht="14.25" customHeight="1" x14ac:dyDescent="0.25"/>
    <row r="229" ht="14.25" customHeight="1" x14ac:dyDescent="0.25"/>
    <row r="232" ht="22.5" customHeight="1" x14ac:dyDescent="0.25"/>
    <row r="233" ht="22.5" customHeight="1" x14ac:dyDescent="0.25"/>
    <row r="234" ht="22.5" customHeight="1" x14ac:dyDescent="0.25"/>
    <row r="235" ht="22.5" customHeight="1" x14ac:dyDescent="0.25"/>
    <row r="236" ht="22.5" customHeight="1" x14ac:dyDescent="0.25"/>
    <row r="237" ht="22.5" customHeight="1" x14ac:dyDescent="0.25"/>
    <row r="239" ht="14.25" customHeight="1" x14ac:dyDescent="0.25"/>
    <row r="240" ht="14.25" customHeight="1" x14ac:dyDescent="0.25"/>
    <row r="258" ht="14.25" customHeight="1" x14ac:dyDescent="0.25"/>
    <row r="259" ht="15" customHeight="1" x14ac:dyDescent="0.25"/>
    <row r="260" ht="15" customHeight="1" x14ac:dyDescent="0.25"/>
    <row r="264" ht="14.25" customHeight="1" x14ac:dyDescent="0.25"/>
    <row r="265" ht="14.25" customHeight="1" x14ac:dyDescent="0.25"/>
    <row r="266" ht="14.25" customHeight="1" x14ac:dyDescent="0.25"/>
    <row r="269" ht="22.5" customHeight="1" x14ac:dyDescent="0.25"/>
    <row r="270" ht="22.5" customHeight="1" x14ac:dyDescent="0.25"/>
    <row r="271" ht="22.5" customHeight="1" x14ac:dyDescent="0.25"/>
    <row r="272" ht="22.5" customHeight="1" x14ac:dyDescent="0.25"/>
    <row r="273" ht="22.5" customHeight="1" x14ac:dyDescent="0.25"/>
    <row r="274" ht="22.5" customHeight="1" x14ac:dyDescent="0.25"/>
    <row r="276" ht="14.25" customHeight="1" x14ac:dyDescent="0.25"/>
    <row r="277" ht="14.25" customHeight="1" x14ac:dyDescent="0.25"/>
    <row r="295" ht="14.25" customHeight="1" x14ac:dyDescent="0.25"/>
    <row r="296" ht="15" customHeight="1" x14ac:dyDescent="0.25"/>
    <row r="297" ht="15" customHeight="1" x14ac:dyDescent="0.25"/>
    <row r="301" ht="14.25" customHeight="1" x14ac:dyDescent="0.25"/>
    <row r="302" ht="14.25" customHeight="1" x14ac:dyDescent="0.25"/>
    <row r="303" ht="14.25" customHeight="1" x14ac:dyDescent="0.25"/>
    <row r="306" ht="22.5" customHeight="1" x14ac:dyDescent="0.25"/>
    <row r="307" ht="22.5" customHeight="1" x14ac:dyDescent="0.25"/>
    <row r="308" ht="22.5" customHeight="1" x14ac:dyDescent="0.25"/>
    <row r="309" ht="22.5" customHeight="1" x14ac:dyDescent="0.25"/>
    <row r="310" ht="22.5" customHeight="1" x14ac:dyDescent="0.25"/>
    <row r="311" ht="22.5" customHeight="1" x14ac:dyDescent="0.25"/>
    <row r="313" ht="14.25" customHeight="1" x14ac:dyDescent="0.25"/>
    <row r="314" ht="14.25" customHeight="1" x14ac:dyDescent="0.25"/>
    <row r="332" ht="14.25" customHeight="1" x14ac:dyDescent="0.25"/>
    <row r="333" ht="15" customHeight="1" x14ac:dyDescent="0.25"/>
    <row r="334" ht="15" customHeight="1" x14ac:dyDescent="0.25"/>
    <row r="338" ht="14.25" customHeight="1" x14ac:dyDescent="0.25"/>
    <row r="339" ht="14.25" customHeight="1" x14ac:dyDescent="0.25"/>
    <row r="340" ht="14.25" customHeight="1" x14ac:dyDescent="0.25"/>
    <row r="343" ht="22.5" customHeight="1" x14ac:dyDescent="0.25"/>
    <row r="344" ht="22.5" customHeight="1" x14ac:dyDescent="0.25"/>
    <row r="345" ht="22.5" customHeight="1" x14ac:dyDescent="0.25"/>
    <row r="346" ht="22.5" customHeight="1" x14ac:dyDescent="0.25"/>
    <row r="347" ht="22.5" customHeight="1" x14ac:dyDescent="0.25"/>
    <row r="348" ht="22.5" customHeight="1" x14ac:dyDescent="0.25"/>
    <row r="350" ht="14.25" customHeight="1" x14ac:dyDescent="0.25"/>
    <row r="351" ht="14.25" customHeight="1" x14ac:dyDescent="0.25"/>
    <row r="369" ht="14.25" customHeight="1" x14ac:dyDescent="0.25"/>
    <row r="370" ht="15" customHeight="1" x14ac:dyDescent="0.25"/>
    <row r="371" ht="15" customHeight="1" x14ac:dyDescent="0.25"/>
    <row r="375" ht="14.25" customHeight="1" x14ac:dyDescent="0.25"/>
    <row r="376" ht="14.25" customHeight="1" x14ac:dyDescent="0.25"/>
    <row r="377" ht="14.25" customHeight="1" x14ac:dyDescent="0.25"/>
    <row r="380" ht="22.5" customHeight="1" x14ac:dyDescent="0.25"/>
    <row r="381" ht="22.5" customHeight="1" x14ac:dyDescent="0.25"/>
    <row r="382" ht="22.5" customHeight="1" x14ac:dyDescent="0.25"/>
    <row r="383" ht="22.5" customHeight="1" x14ac:dyDescent="0.25"/>
    <row r="384" ht="22.5" customHeight="1" x14ac:dyDescent="0.25"/>
    <row r="385" ht="22.5" customHeight="1" x14ac:dyDescent="0.25"/>
    <row r="387" ht="14.25" customHeight="1" x14ac:dyDescent="0.25"/>
    <row r="388" ht="14.25" customHeight="1" x14ac:dyDescent="0.25"/>
    <row r="406" ht="14.25" customHeight="1" x14ac:dyDescent="0.25"/>
    <row r="407" ht="15" customHeight="1" x14ac:dyDescent="0.25"/>
    <row r="408" ht="15" customHeight="1" x14ac:dyDescent="0.25"/>
    <row r="412" ht="14.25" customHeight="1" x14ac:dyDescent="0.25"/>
    <row r="413" ht="14.25" customHeight="1" x14ac:dyDescent="0.25"/>
    <row r="414" ht="14.25" customHeight="1" x14ac:dyDescent="0.25"/>
    <row r="417" ht="22.5" customHeight="1" x14ac:dyDescent="0.25"/>
    <row r="418" ht="22.5" customHeight="1" x14ac:dyDescent="0.25"/>
    <row r="419" ht="22.5" customHeight="1" x14ac:dyDescent="0.25"/>
    <row r="420" ht="22.5" customHeight="1" x14ac:dyDescent="0.25"/>
    <row r="421" ht="22.5" customHeight="1" x14ac:dyDescent="0.25"/>
    <row r="422" ht="22.5" customHeight="1" x14ac:dyDescent="0.25"/>
    <row r="424" ht="14.25" customHeight="1" x14ac:dyDescent="0.25"/>
    <row r="425" ht="14.25" customHeight="1" x14ac:dyDescent="0.25"/>
    <row r="443" ht="14.25" customHeight="1" x14ac:dyDescent="0.25"/>
    <row r="444" ht="15" customHeight="1" x14ac:dyDescent="0.25"/>
    <row r="445" ht="15" customHeight="1" x14ac:dyDescent="0.25"/>
    <row r="449" ht="14.25" customHeight="1" x14ac:dyDescent="0.25"/>
    <row r="450" ht="14.25" customHeight="1" x14ac:dyDescent="0.25"/>
    <row r="451" ht="14.25" customHeight="1" x14ac:dyDescent="0.25"/>
    <row r="454" ht="22.5" customHeight="1" x14ac:dyDescent="0.25"/>
    <row r="455" ht="22.5" customHeight="1" x14ac:dyDescent="0.25"/>
    <row r="456" ht="22.5" customHeight="1" x14ac:dyDescent="0.25"/>
    <row r="457" ht="22.5" customHeight="1" x14ac:dyDescent="0.25"/>
    <row r="458" ht="22.5" customHeight="1" x14ac:dyDescent="0.25"/>
    <row r="459" ht="22.5" customHeight="1" x14ac:dyDescent="0.25"/>
    <row r="461" ht="14.25" customHeight="1" x14ac:dyDescent="0.25"/>
    <row r="462" ht="14.25" customHeight="1" x14ac:dyDescent="0.25"/>
    <row r="480" ht="14.25" customHeight="1" x14ac:dyDescent="0.25"/>
    <row r="481" ht="15" customHeight="1" x14ac:dyDescent="0.25"/>
    <row r="482" ht="15" customHeight="1" x14ac:dyDescent="0.25"/>
    <row r="486" ht="14.25" customHeight="1" x14ac:dyDescent="0.25"/>
    <row r="487" ht="14.25" customHeight="1" x14ac:dyDescent="0.25"/>
    <row r="488" ht="14.25" customHeight="1" x14ac:dyDescent="0.25"/>
    <row r="491" ht="22.5" customHeight="1" x14ac:dyDescent="0.25"/>
    <row r="492" ht="22.5" customHeight="1" x14ac:dyDescent="0.25"/>
    <row r="493" ht="22.5" customHeight="1" x14ac:dyDescent="0.25"/>
    <row r="494" ht="22.5" customHeight="1" x14ac:dyDescent="0.25"/>
    <row r="495" ht="22.5" customHeight="1" x14ac:dyDescent="0.25"/>
    <row r="496" ht="22.5" customHeight="1" x14ac:dyDescent="0.25"/>
    <row r="498" ht="14.25" customHeight="1" x14ac:dyDescent="0.25"/>
    <row r="499" ht="14.25" customHeight="1" x14ac:dyDescent="0.25"/>
    <row r="517" ht="14.25" customHeight="1" x14ac:dyDescent="0.25"/>
    <row r="518" ht="15" customHeight="1" x14ac:dyDescent="0.25"/>
    <row r="519" ht="15" customHeight="1" x14ac:dyDescent="0.25"/>
    <row r="523" ht="14.25" customHeight="1" x14ac:dyDescent="0.25"/>
    <row r="524" ht="14.25" customHeight="1" x14ac:dyDescent="0.25"/>
    <row r="525" ht="14.25" customHeight="1" x14ac:dyDescent="0.25"/>
    <row r="528" ht="22.5" customHeight="1" x14ac:dyDescent="0.25"/>
    <row r="529" ht="22.5" customHeight="1" x14ac:dyDescent="0.25"/>
    <row r="530" ht="22.5" customHeight="1" x14ac:dyDescent="0.25"/>
    <row r="531" ht="22.5" customHeight="1" x14ac:dyDescent="0.25"/>
    <row r="532" ht="22.5" customHeight="1" x14ac:dyDescent="0.25"/>
    <row r="533" ht="22.5" customHeight="1" x14ac:dyDescent="0.25"/>
    <row r="535" ht="14.25" customHeight="1" x14ac:dyDescent="0.25"/>
    <row r="536" ht="14.25" customHeight="1" x14ac:dyDescent="0.25"/>
    <row r="554" ht="14.25" customHeight="1" x14ac:dyDescent="0.25"/>
    <row r="555" ht="15" customHeight="1" x14ac:dyDescent="0.25"/>
    <row r="556" ht="15" customHeight="1" x14ac:dyDescent="0.25"/>
  </sheetData>
  <sheetProtection algorithmName="SHA-512" hashValue="bcpuR28nycV4W8tAyYtItl7YoO7aj3mteoiIA+gZT6wV1smNtMRK1SX/78rXsYCN4lQnP44hwvvohIhGL4vviw==" saltValue="yH1QJcsqQz/RajA+yh1VHQ==" spinCount="100000" sheet="1" objects="1" scenarios="1"/>
  <mergeCells count="12">
    <mergeCell ref="A28:D28"/>
    <mergeCell ref="A27:D27"/>
    <mergeCell ref="A9:A10"/>
    <mergeCell ref="B9:B10"/>
    <mergeCell ref="C9:C10"/>
    <mergeCell ref="D9:D10"/>
    <mergeCell ref="F9:H9"/>
    <mergeCell ref="I9:J9"/>
    <mergeCell ref="B1:I1"/>
    <mergeCell ref="B2:I2"/>
    <mergeCell ref="B3:C3"/>
    <mergeCell ref="E9:E10"/>
  </mergeCell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-&amp;12&amp;K01+000  &amp;10&amp;KFF0000heilpädagogische Fachkräfte&amp;R&amp;G</oddHeader>
    <oddFooter>&amp;C&amp;"Arial,Standard"&amp;8Ausfertigung vom &amp;D &amp;T&amp;R&amp;"Arial,Standard"&amp;8&amp;P von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01"/>
  <sheetViews>
    <sheetView showGridLines="0" view="pageLayout" zoomScale="90" zoomScaleNormal="100" zoomScalePageLayoutView="90" workbookViewId="0">
      <selection activeCell="B1" sqref="B1:M1"/>
    </sheetView>
  </sheetViews>
  <sheetFormatPr baseColWidth="10" defaultRowHeight="15" x14ac:dyDescent="0.25"/>
  <cols>
    <col min="1" max="1" width="36.7109375" style="202" customWidth="1"/>
    <col min="2" max="2" width="12.7109375" style="202" customWidth="1"/>
    <col min="3" max="3" width="12.5703125" style="202" customWidth="1"/>
    <col min="4" max="14" width="12.7109375" style="202" customWidth="1"/>
    <col min="15" max="15" width="5.140625" style="202" customWidth="1"/>
    <col min="16" max="16384" width="11.42578125" style="202"/>
  </cols>
  <sheetData>
    <row r="1" spans="1:14" x14ac:dyDescent="0.25">
      <c r="B1" s="928" t="str">
        <f>IF(Grundlagen!$C$9="","",Grundlagen!$C$9)</f>
        <v/>
      </c>
      <c r="C1" s="928"/>
      <c r="D1" s="928"/>
      <c r="E1" s="928"/>
      <c r="F1" s="928"/>
      <c r="G1" s="928"/>
      <c r="H1" s="928"/>
      <c r="I1" s="928"/>
      <c r="J1" s="928"/>
      <c r="K1" s="928"/>
      <c r="L1" s="928"/>
      <c r="M1" s="928"/>
      <c r="N1" s="765"/>
    </row>
    <row r="2" spans="1:14" x14ac:dyDescent="0.25">
      <c r="A2" s="766"/>
      <c r="B2" s="767" t="s">
        <v>719</v>
      </c>
      <c r="C2" s="767" t="s">
        <v>719</v>
      </c>
      <c r="D2" s="767" t="s">
        <v>719</v>
      </c>
      <c r="E2" s="767" t="s">
        <v>719</v>
      </c>
      <c r="F2" s="767" t="s">
        <v>719</v>
      </c>
      <c r="G2" s="767" t="s">
        <v>719</v>
      </c>
      <c r="H2" s="767" t="s">
        <v>719</v>
      </c>
      <c r="I2" s="767" t="s">
        <v>719</v>
      </c>
      <c r="J2" s="767" t="s">
        <v>719</v>
      </c>
      <c r="K2" s="767" t="s">
        <v>719</v>
      </c>
      <c r="L2" s="767" t="s">
        <v>719</v>
      </c>
      <c r="M2" s="767" t="s">
        <v>719</v>
      </c>
    </row>
    <row r="3" spans="1:14" x14ac:dyDescent="0.25">
      <c r="A3" s="768"/>
      <c r="B3" s="769" t="s">
        <v>720</v>
      </c>
      <c r="C3" s="769" t="s">
        <v>721</v>
      </c>
      <c r="D3" s="769" t="s">
        <v>722</v>
      </c>
      <c r="E3" s="769" t="s">
        <v>723</v>
      </c>
      <c r="F3" s="769" t="s">
        <v>724</v>
      </c>
      <c r="G3" s="769" t="s">
        <v>725</v>
      </c>
      <c r="H3" s="769" t="s">
        <v>726</v>
      </c>
      <c r="I3" s="769" t="s">
        <v>727</v>
      </c>
      <c r="J3" s="769" t="s">
        <v>728</v>
      </c>
      <c r="K3" s="769" t="s">
        <v>729</v>
      </c>
      <c r="L3" s="769" t="s">
        <v>730</v>
      </c>
      <c r="M3" s="769" t="s">
        <v>731</v>
      </c>
      <c r="N3" s="770"/>
    </row>
    <row r="4" spans="1:14" x14ac:dyDescent="0.25">
      <c r="A4" s="771" t="s">
        <v>732</v>
      </c>
      <c r="B4" s="772"/>
      <c r="C4" s="772"/>
      <c r="D4" s="772"/>
      <c r="E4" s="772"/>
      <c r="F4" s="772"/>
      <c r="G4" s="772"/>
      <c r="H4" s="772"/>
      <c r="I4" s="772"/>
      <c r="J4" s="772"/>
      <c r="K4" s="772"/>
      <c r="L4" s="772"/>
      <c r="M4" s="772"/>
      <c r="N4" s="773"/>
    </row>
    <row r="5" spans="1:14" x14ac:dyDescent="0.25">
      <c r="A5" s="774" t="s">
        <v>733</v>
      </c>
      <c r="B5" s="775"/>
      <c r="C5" s="775"/>
      <c r="D5" s="775"/>
      <c r="E5" s="775"/>
      <c r="F5" s="775"/>
      <c r="G5" s="775"/>
      <c r="H5" s="775"/>
      <c r="I5" s="775"/>
      <c r="J5" s="775"/>
      <c r="K5" s="775"/>
      <c r="L5" s="775"/>
      <c r="M5" s="775"/>
      <c r="N5" s="776"/>
    </row>
    <row r="6" spans="1:14" x14ac:dyDescent="0.25">
      <c r="A6" s="777" t="s">
        <v>734</v>
      </c>
      <c r="B6" s="778"/>
      <c r="C6" s="778"/>
      <c r="D6" s="778"/>
      <c r="E6" s="778"/>
      <c r="F6" s="778"/>
      <c r="G6" s="778"/>
      <c r="H6" s="778"/>
      <c r="I6" s="778"/>
      <c r="J6" s="778"/>
      <c r="K6" s="778"/>
      <c r="L6" s="778"/>
      <c r="M6" s="778"/>
      <c r="N6" s="776"/>
    </row>
    <row r="7" spans="1:14" x14ac:dyDescent="0.25">
      <c r="A7" s="779" t="s">
        <v>735</v>
      </c>
      <c r="B7" s="778"/>
      <c r="C7" s="778"/>
      <c r="D7" s="778"/>
      <c r="E7" s="778"/>
      <c r="F7" s="778"/>
      <c r="G7" s="778"/>
      <c r="H7" s="778"/>
      <c r="I7" s="778"/>
      <c r="J7" s="778"/>
      <c r="K7" s="778"/>
      <c r="L7" s="778"/>
      <c r="M7" s="778"/>
      <c r="N7" s="776"/>
    </row>
    <row r="8" spans="1:14" x14ac:dyDescent="0.25">
      <c r="A8" s="779" t="s">
        <v>736</v>
      </c>
      <c r="B8" s="778"/>
      <c r="C8" s="778"/>
      <c r="D8" s="778"/>
      <c r="E8" s="778"/>
      <c r="F8" s="778"/>
      <c r="G8" s="778"/>
      <c r="H8" s="778"/>
      <c r="I8" s="778"/>
      <c r="J8" s="778"/>
      <c r="K8" s="778"/>
      <c r="L8" s="778"/>
      <c r="M8" s="778"/>
      <c r="N8" s="776"/>
    </row>
    <row r="9" spans="1:14" x14ac:dyDescent="0.25">
      <c r="A9" s="779" t="s">
        <v>737</v>
      </c>
      <c r="B9" s="778"/>
      <c r="C9" s="778"/>
      <c r="D9" s="778"/>
      <c r="E9" s="778"/>
      <c r="F9" s="778"/>
      <c r="G9" s="778"/>
      <c r="H9" s="778"/>
      <c r="I9" s="778"/>
      <c r="J9" s="778"/>
      <c r="K9" s="778"/>
      <c r="L9" s="778"/>
      <c r="M9" s="778"/>
      <c r="N9" s="776"/>
    </row>
    <row r="10" spans="1:14" x14ac:dyDescent="0.25">
      <c r="A10" s="779" t="s">
        <v>738</v>
      </c>
      <c r="B10" s="778"/>
      <c r="C10" s="778"/>
      <c r="D10" s="778"/>
      <c r="E10" s="778"/>
      <c r="F10" s="778"/>
      <c r="G10" s="778"/>
      <c r="H10" s="778"/>
      <c r="I10" s="778"/>
      <c r="J10" s="778"/>
      <c r="K10" s="778"/>
      <c r="L10" s="778"/>
      <c r="M10" s="778"/>
      <c r="N10" s="776"/>
    </row>
    <row r="11" spans="1:14" x14ac:dyDescent="0.25">
      <c r="A11" s="779" t="s">
        <v>739</v>
      </c>
      <c r="B11" s="778"/>
      <c r="C11" s="778"/>
      <c r="D11" s="778"/>
      <c r="E11" s="778"/>
      <c r="F11" s="778"/>
      <c r="G11" s="778"/>
      <c r="H11" s="778"/>
      <c r="I11" s="778"/>
      <c r="J11" s="778"/>
      <c r="K11" s="778"/>
      <c r="L11" s="778"/>
      <c r="M11" s="778"/>
      <c r="N11" s="776"/>
    </row>
    <row r="12" spans="1:14" ht="15.75" thickBot="1" x14ac:dyDescent="0.3">
      <c r="A12" s="780" t="s">
        <v>740</v>
      </c>
      <c r="B12" s="778"/>
      <c r="C12" s="778"/>
      <c r="D12" s="778"/>
      <c r="E12" s="778"/>
      <c r="F12" s="778"/>
      <c r="G12" s="778"/>
      <c r="H12" s="778"/>
      <c r="I12" s="778"/>
      <c r="J12" s="778"/>
      <c r="K12" s="778"/>
      <c r="L12" s="778"/>
      <c r="M12" s="778"/>
      <c r="N12" s="781"/>
    </row>
    <row r="13" spans="1:14" ht="15.75" thickBot="1" x14ac:dyDescent="0.3">
      <c r="A13" s="782"/>
      <c r="B13" s="783">
        <f t="shared" ref="B13:M13" si="0">SUM(B5:B12)</f>
        <v>0</v>
      </c>
      <c r="C13" s="784">
        <f t="shared" si="0"/>
        <v>0</v>
      </c>
      <c r="D13" s="784">
        <f t="shared" si="0"/>
        <v>0</v>
      </c>
      <c r="E13" s="784">
        <f t="shared" si="0"/>
        <v>0</v>
      </c>
      <c r="F13" s="784">
        <f t="shared" si="0"/>
        <v>0</v>
      </c>
      <c r="G13" s="784">
        <f t="shared" si="0"/>
        <v>0</v>
      </c>
      <c r="H13" s="784">
        <f t="shared" si="0"/>
        <v>0</v>
      </c>
      <c r="I13" s="784">
        <f t="shared" si="0"/>
        <v>0</v>
      </c>
      <c r="J13" s="784">
        <f t="shared" si="0"/>
        <v>0</v>
      </c>
      <c r="K13" s="784">
        <f t="shared" si="0"/>
        <v>0</v>
      </c>
      <c r="L13" s="784">
        <f t="shared" si="0"/>
        <v>0</v>
      </c>
      <c r="M13" s="785">
        <f t="shared" si="0"/>
        <v>0</v>
      </c>
      <c r="N13" s="786">
        <f>IF(Grundlagen!C24="",0,SUM(B13:M13)/Grundlagen!C24)</f>
        <v>0</v>
      </c>
    </row>
    <row r="14" spans="1:14" x14ac:dyDescent="0.25">
      <c r="A14" s="771" t="s">
        <v>741</v>
      </c>
      <c r="B14" s="787"/>
      <c r="C14" s="787"/>
      <c r="D14" s="787"/>
      <c r="E14" s="787"/>
      <c r="F14" s="787"/>
      <c r="G14" s="787"/>
      <c r="H14" s="787"/>
      <c r="I14" s="787"/>
      <c r="J14" s="787"/>
      <c r="K14" s="787"/>
      <c r="L14" s="787"/>
      <c r="M14" s="787"/>
      <c r="N14" s="773"/>
    </row>
    <row r="15" spans="1:14" x14ac:dyDescent="0.25">
      <c r="A15" s="788" t="s">
        <v>733</v>
      </c>
      <c r="B15" s="789"/>
      <c r="C15" s="789"/>
      <c r="D15" s="789"/>
      <c r="E15" s="789"/>
      <c r="F15" s="789"/>
      <c r="G15" s="789"/>
      <c r="H15" s="789"/>
      <c r="I15" s="789"/>
      <c r="J15" s="789"/>
      <c r="K15" s="789"/>
      <c r="L15" s="789"/>
      <c r="M15" s="789"/>
      <c r="N15" s="776"/>
    </row>
    <row r="16" spans="1:14" x14ac:dyDescent="0.25">
      <c r="A16" s="790" t="s">
        <v>734</v>
      </c>
      <c r="B16" s="789"/>
      <c r="C16" s="789"/>
      <c r="D16" s="789"/>
      <c r="E16" s="789"/>
      <c r="F16" s="789"/>
      <c r="G16" s="789"/>
      <c r="H16" s="789"/>
      <c r="I16" s="789"/>
      <c r="J16" s="789"/>
      <c r="K16" s="789"/>
      <c r="L16" s="789"/>
      <c r="M16" s="789"/>
      <c r="N16" s="776"/>
    </row>
    <row r="17" spans="1:14" x14ac:dyDescent="0.25">
      <c r="A17" s="790" t="s">
        <v>735</v>
      </c>
      <c r="B17" s="789"/>
      <c r="C17" s="789"/>
      <c r="D17" s="789"/>
      <c r="E17" s="789"/>
      <c r="F17" s="789"/>
      <c r="G17" s="789"/>
      <c r="H17" s="789"/>
      <c r="I17" s="789"/>
      <c r="J17" s="789"/>
      <c r="K17" s="789"/>
      <c r="L17" s="789"/>
      <c r="M17" s="789"/>
      <c r="N17" s="776"/>
    </row>
    <row r="18" spans="1:14" x14ac:dyDescent="0.25">
      <c r="A18" s="790" t="s">
        <v>736</v>
      </c>
      <c r="B18" s="789"/>
      <c r="C18" s="789"/>
      <c r="D18" s="789"/>
      <c r="E18" s="789"/>
      <c r="F18" s="789"/>
      <c r="G18" s="789"/>
      <c r="H18" s="789"/>
      <c r="I18" s="789"/>
      <c r="J18" s="789"/>
      <c r="K18" s="789"/>
      <c r="L18" s="789"/>
      <c r="M18" s="789"/>
      <c r="N18" s="776"/>
    </row>
    <row r="19" spans="1:14" x14ac:dyDescent="0.25">
      <c r="A19" s="790" t="s">
        <v>737</v>
      </c>
      <c r="B19" s="789"/>
      <c r="C19" s="789"/>
      <c r="D19" s="789"/>
      <c r="E19" s="789"/>
      <c r="F19" s="789"/>
      <c r="G19" s="789"/>
      <c r="H19" s="789"/>
      <c r="I19" s="789"/>
      <c r="J19" s="789"/>
      <c r="K19" s="789"/>
      <c r="L19" s="789"/>
      <c r="M19" s="789"/>
      <c r="N19" s="776"/>
    </row>
    <row r="20" spans="1:14" x14ac:dyDescent="0.25">
      <c r="A20" s="790" t="s">
        <v>738</v>
      </c>
      <c r="B20" s="789"/>
      <c r="C20" s="789"/>
      <c r="D20" s="789"/>
      <c r="E20" s="789"/>
      <c r="F20" s="789"/>
      <c r="G20" s="789"/>
      <c r="H20" s="789"/>
      <c r="I20" s="789"/>
      <c r="J20" s="789"/>
      <c r="K20" s="789"/>
      <c r="L20" s="789"/>
      <c r="M20" s="789"/>
      <c r="N20" s="776"/>
    </row>
    <row r="21" spans="1:14" x14ac:dyDescent="0.25">
      <c r="A21" s="790" t="s">
        <v>739</v>
      </c>
      <c r="B21" s="789"/>
      <c r="C21" s="789"/>
      <c r="D21" s="789"/>
      <c r="E21" s="789"/>
      <c r="F21" s="789"/>
      <c r="G21" s="789"/>
      <c r="H21" s="789"/>
      <c r="I21" s="789"/>
      <c r="J21" s="789"/>
      <c r="K21" s="789"/>
      <c r="L21" s="789"/>
      <c r="M21" s="789"/>
      <c r="N21" s="776"/>
    </row>
    <row r="22" spans="1:14" ht="15.75" thickBot="1" x14ac:dyDescent="0.3">
      <c r="A22" s="791" t="s">
        <v>740</v>
      </c>
      <c r="B22" s="789"/>
      <c r="C22" s="789"/>
      <c r="D22" s="789"/>
      <c r="E22" s="789"/>
      <c r="F22" s="789"/>
      <c r="G22" s="789"/>
      <c r="H22" s="789"/>
      <c r="I22" s="789"/>
      <c r="J22" s="789"/>
      <c r="K22" s="789"/>
      <c r="L22" s="789"/>
      <c r="M22" s="789"/>
      <c r="N22" s="781"/>
    </row>
    <row r="23" spans="1:14" ht="15.75" thickBot="1" x14ac:dyDescent="0.3">
      <c r="A23" s="782"/>
      <c r="B23" s="792">
        <f t="shared" ref="B23:M23" si="1">SUM(B15:B22)</f>
        <v>0</v>
      </c>
      <c r="C23" s="793">
        <f t="shared" si="1"/>
        <v>0</v>
      </c>
      <c r="D23" s="793">
        <f t="shared" si="1"/>
        <v>0</v>
      </c>
      <c r="E23" s="793">
        <f t="shared" si="1"/>
        <v>0</v>
      </c>
      <c r="F23" s="793">
        <f t="shared" si="1"/>
        <v>0</v>
      </c>
      <c r="G23" s="793">
        <f t="shared" si="1"/>
        <v>0</v>
      </c>
      <c r="H23" s="793">
        <f t="shared" si="1"/>
        <v>0</v>
      </c>
      <c r="I23" s="793">
        <f>SUM(I15:I22)</f>
        <v>0</v>
      </c>
      <c r="J23" s="793">
        <f t="shared" si="1"/>
        <v>0</v>
      </c>
      <c r="K23" s="793">
        <f t="shared" si="1"/>
        <v>0</v>
      </c>
      <c r="L23" s="793">
        <f t="shared" si="1"/>
        <v>0</v>
      </c>
      <c r="M23" s="794">
        <f t="shared" si="1"/>
        <v>0</v>
      </c>
      <c r="N23" s="795">
        <f>IF(Grundlagen!C24="",0,SUM(B23:M23)/Grundlagen!C24)</f>
        <v>0</v>
      </c>
    </row>
    <row r="24" spans="1:14" x14ac:dyDescent="0.25">
      <c r="A24" s="796"/>
      <c r="B24" s="797"/>
      <c r="C24" s="797"/>
      <c r="D24" s="797"/>
      <c r="E24" s="797"/>
      <c r="F24" s="797"/>
      <c r="G24" s="797"/>
      <c r="H24" s="797"/>
      <c r="I24" s="797"/>
      <c r="J24" s="797"/>
      <c r="K24" s="797"/>
      <c r="L24" s="797"/>
      <c r="M24" s="797"/>
      <c r="N24" s="798"/>
    </row>
    <row r="25" spans="1:14" x14ac:dyDescent="0.25">
      <c r="A25" s="799" t="s">
        <v>742</v>
      </c>
      <c r="B25" s="800"/>
      <c r="C25" s="800"/>
      <c r="D25" s="800"/>
      <c r="E25" s="800"/>
      <c r="F25" s="800"/>
      <c r="G25" s="800"/>
      <c r="H25" s="800"/>
      <c r="I25" s="800"/>
      <c r="J25" s="800"/>
      <c r="K25" s="800"/>
      <c r="L25" s="800"/>
      <c r="M25" s="800"/>
      <c r="N25" s="801"/>
    </row>
    <row r="26" spans="1:14" ht="30" customHeight="1" x14ac:dyDescent="0.2">
      <c r="A26" s="802" t="s">
        <v>743</v>
      </c>
      <c r="B26" s="929" t="s">
        <v>744</v>
      </c>
      <c r="C26" s="929"/>
      <c r="D26" s="929"/>
      <c r="E26" s="929"/>
      <c r="F26" s="929"/>
      <c r="G26" s="929"/>
      <c r="H26" s="929"/>
      <c r="I26" s="929"/>
      <c r="J26" s="929"/>
      <c r="K26" s="929"/>
      <c r="L26" s="929"/>
      <c r="M26" s="929"/>
      <c r="N26" s="773"/>
    </row>
    <row r="27" spans="1:14" x14ac:dyDescent="0.25">
      <c r="A27" s="774" t="s">
        <v>745</v>
      </c>
      <c r="B27" s="803"/>
      <c r="C27" s="803"/>
      <c r="D27" s="803"/>
      <c r="E27" s="803"/>
      <c r="F27" s="803"/>
      <c r="G27" s="803"/>
      <c r="H27" s="803"/>
      <c r="I27" s="803"/>
      <c r="J27" s="803"/>
      <c r="K27" s="803"/>
      <c r="L27" s="803"/>
      <c r="M27" s="803"/>
      <c r="N27" s="776"/>
    </row>
    <row r="28" spans="1:14" x14ac:dyDescent="0.25">
      <c r="A28" s="779" t="s">
        <v>746</v>
      </c>
      <c r="B28" s="804"/>
      <c r="C28" s="804"/>
      <c r="D28" s="804"/>
      <c r="E28" s="804"/>
      <c r="F28" s="804"/>
      <c r="G28" s="804"/>
      <c r="H28" s="804"/>
      <c r="I28" s="804"/>
      <c r="J28" s="804"/>
      <c r="K28" s="804"/>
      <c r="L28" s="804"/>
      <c r="M28" s="804"/>
      <c r="N28" s="776"/>
    </row>
    <row r="29" spans="1:14" x14ac:dyDescent="0.25">
      <c r="A29" s="779" t="s">
        <v>747</v>
      </c>
      <c r="B29" s="804"/>
      <c r="C29" s="804"/>
      <c r="D29" s="804"/>
      <c r="E29" s="804"/>
      <c r="F29" s="804"/>
      <c r="G29" s="804"/>
      <c r="H29" s="804"/>
      <c r="I29" s="804"/>
      <c r="J29" s="804"/>
      <c r="K29" s="804"/>
      <c r="L29" s="804"/>
      <c r="M29" s="804"/>
      <c r="N29" s="776"/>
    </row>
    <row r="30" spans="1:14" x14ac:dyDescent="0.25">
      <c r="A30" s="779" t="s">
        <v>733</v>
      </c>
      <c r="B30" s="804"/>
      <c r="C30" s="804"/>
      <c r="D30" s="804"/>
      <c r="E30" s="804"/>
      <c r="F30" s="804"/>
      <c r="G30" s="804"/>
      <c r="H30" s="804"/>
      <c r="I30" s="804"/>
      <c r="J30" s="804"/>
      <c r="K30" s="804"/>
      <c r="L30" s="804"/>
      <c r="M30" s="804"/>
      <c r="N30" s="776"/>
    </row>
    <row r="31" spans="1:14" x14ac:dyDescent="0.25">
      <c r="A31" s="779" t="s">
        <v>734</v>
      </c>
      <c r="B31" s="804"/>
      <c r="C31" s="804"/>
      <c r="D31" s="804"/>
      <c r="E31" s="804"/>
      <c r="F31" s="804"/>
      <c r="G31" s="804"/>
      <c r="H31" s="804"/>
      <c r="I31" s="804"/>
      <c r="J31" s="804"/>
      <c r="K31" s="804"/>
      <c r="L31" s="804"/>
      <c r="M31" s="804"/>
      <c r="N31" s="776"/>
    </row>
    <row r="32" spans="1:14" ht="15.75" thickBot="1" x14ac:dyDescent="0.3">
      <c r="A32" s="779" t="s">
        <v>735</v>
      </c>
      <c r="B32" s="804"/>
      <c r="C32" s="804"/>
      <c r="D32" s="804"/>
      <c r="E32" s="804"/>
      <c r="F32" s="804"/>
      <c r="G32" s="804"/>
      <c r="H32" s="804"/>
      <c r="I32" s="804"/>
      <c r="J32" s="804"/>
      <c r="K32" s="804"/>
      <c r="L32" s="804"/>
      <c r="M32" s="804"/>
      <c r="N32" s="776"/>
    </row>
    <row r="33" spans="1:15" ht="15.75" thickBot="1" x14ac:dyDescent="0.3">
      <c r="A33" s="782"/>
      <c r="B33" s="783">
        <f t="shared" ref="B33:M33" si="2">SUM(B27:B32)</f>
        <v>0</v>
      </c>
      <c r="C33" s="784">
        <f t="shared" si="2"/>
        <v>0</v>
      </c>
      <c r="D33" s="784">
        <f t="shared" si="2"/>
        <v>0</v>
      </c>
      <c r="E33" s="784">
        <f t="shared" si="2"/>
        <v>0</v>
      </c>
      <c r="F33" s="784">
        <f t="shared" si="2"/>
        <v>0</v>
      </c>
      <c r="G33" s="784">
        <f t="shared" si="2"/>
        <v>0</v>
      </c>
      <c r="H33" s="784">
        <f t="shared" si="2"/>
        <v>0</v>
      </c>
      <c r="I33" s="784">
        <f t="shared" si="2"/>
        <v>0</v>
      </c>
      <c r="J33" s="784">
        <f t="shared" si="2"/>
        <v>0</v>
      </c>
      <c r="K33" s="784">
        <f t="shared" si="2"/>
        <v>0</v>
      </c>
      <c r="L33" s="784">
        <f t="shared" si="2"/>
        <v>0</v>
      </c>
      <c r="M33" s="785">
        <f t="shared" si="2"/>
        <v>0</v>
      </c>
      <c r="N33" s="786">
        <f>IF(Grundlagen!C24="",0,SUM(B33:M33)/Grundlagen!C24)</f>
        <v>0</v>
      </c>
    </row>
    <row r="34" spans="1:15" x14ac:dyDescent="0.25">
      <c r="A34" s="771" t="s">
        <v>748</v>
      </c>
      <c r="B34" s="930" t="s">
        <v>749</v>
      </c>
      <c r="C34" s="930"/>
      <c r="D34" s="930"/>
      <c r="E34" s="930"/>
      <c r="F34" s="930"/>
      <c r="G34" s="930"/>
      <c r="H34" s="930"/>
      <c r="I34" s="930"/>
      <c r="J34" s="930"/>
      <c r="K34" s="930"/>
      <c r="L34" s="930"/>
      <c r="M34" s="930"/>
      <c r="N34" s="773"/>
    </row>
    <row r="35" spans="1:15" x14ac:dyDescent="0.25">
      <c r="A35" s="774" t="s">
        <v>745</v>
      </c>
      <c r="B35" s="803"/>
      <c r="C35" s="803"/>
      <c r="D35" s="803"/>
      <c r="E35" s="803"/>
      <c r="F35" s="803"/>
      <c r="G35" s="803"/>
      <c r="H35" s="803"/>
      <c r="I35" s="803"/>
      <c r="J35" s="803"/>
      <c r="K35" s="803"/>
      <c r="L35" s="803"/>
      <c r="M35" s="803"/>
      <c r="N35" s="776"/>
    </row>
    <row r="36" spans="1:15" x14ac:dyDescent="0.25">
      <c r="A36" s="779" t="s">
        <v>746</v>
      </c>
      <c r="B36" s="804"/>
      <c r="C36" s="804"/>
      <c r="D36" s="804"/>
      <c r="E36" s="804"/>
      <c r="F36" s="804"/>
      <c r="G36" s="804"/>
      <c r="H36" s="804"/>
      <c r="I36" s="804"/>
      <c r="J36" s="804"/>
      <c r="K36" s="804"/>
      <c r="L36" s="804"/>
      <c r="M36" s="804"/>
      <c r="N36" s="776"/>
    </row>
    <row r="37" spans="1:15" x14ac:dyDescent="0.25">
      <c r="A37" s="779" t="s">
        <v>747</v>
      </c>
      <c r="B37" s="804"/>
      <c r="C37" s="804"/>
      <c r="D37" s="804"/>
      <c r="E37" s="804"/>
      <c r="F37" s="804"/>
      <c r="G37" s="804"/>
      <c r="H37" s="804"/>
      <c r="I37" s="804"/>
      <c r="J37" s="804"/>
      <c r="K37" s="804"/>
      <c r="L37" s="804"/>
      <c r="M37" s="804"/>
      <c r="N37" s="776"/>
    </row>
    <row r="38" spans="1:15" x14ac:dyDescent="0.25">
      <c r="A38" s="779" t="s">
        <v>733</v>
      </c>
      <c r="B38" s="804"/>
      <c r="C38" s="804"/>
      <c r="D38" s="804"/>
      <c r="E38" s="804"/>
      <c r="F38" s="804"/>
      <c r="G38" s="804"/>
      <c r="H38" s="804"/>
      <c r="I38" s="804"/>
      <c r="J38" s="804"/>
      <c r="K38" s="804"/>
      <c r="L38" s="804"/>
      <c r="M38" s="804"/>
      <c r="N38" s="776"/>
    </row>
    <row r="39" spans="1:15" x14ac:dyDescent="0.25">
      <c r="A39" s="779" t="s">
        <v>734</v>
      </c>
      <c r="B39" s="804"/>
      <c r="C39" s="804"/>
      <c r="D39" s="804"/>
      <c r="E39" s="804"/>
      <c r="F39" s="804"/>
      <c r="G39" s="804"/>
      <c r="H39" s="804"/>
      <c r="I39" s="804"/>
      <c r="J39" s="804"/>
      <c r="K39" s="804"/>
      <c r="L39" s="804"/>
      <c r="M39" s="804"/>
      <c r="N39" s="776"/>
    </row>
    <row r="40" spans="1:15" x14ac:dyDescent="0.25">
      <c r="A40" s="779" t="s">
        <v>735</v>
      </c>
      <c r="B40" s="804"/>
      <c r="C40" s="804"/>
      <c r="D40" s="804"/>
      <c r="E40" s="804"/>
      <c r="F40" s="804"/>
      <c r="G40" s="804"/>
      <c r="H40" s="804"/>
      <c r="I40" s="804"/>
      <c r="J40" s="804"/>
      <c r="K40" s="804"/>
      <c r="L40" s="804"/>
      <c r="M40" s="804"/>
      <c r="N40" s="776"/>
    </row>
    <row r="41" spans="1:15" x14ac:dyDescent="0.25">
      <c r="A41" s="779" t="s">
        <v>736</v>
      </c>
      <c r="B41" s="804"/>
      <c r="C41" s="804"/>
      <c r="D41" s="804"/>
      <c r="E41" s="804"/>
      <c r="F41" s="804"/>
      <c r="G41" s="804"/>
      <c r="H41" s="804"/>
      <c r="I41" s="804"/>
      <c r="J41" s="804"/>
      <c r="K41" s="804"/>
      <c r="L41" s="804"/>
      <c r="M41" s="804"/>
      <c r="N41" s="776"/>
    </row>
    <row r="42" spans="1:15" x14ac:dyDescent="0.25">
      <c r="A42" s="779" t="s">
        <v>737</v>
      </c>
      <c r="B42" s="804"/>
      <c r="C42" s="804"/>
      <c r="D42" s="804"/>
      <c r="E42" s="804"/>
      <c r="F42" s="804"/>
      <c r="G42" s="804"/>
      <c r="H42" s="804"/>
      <c r="I42" s="804"/>
      <c r="J42" s="804"/>
      <c r="K42" s="804"/>
      <c r="L42" s="804"/>
      <c r="M42" s="804"/>
      <c r="N42" s="776"/>
    </row>
    <row r="43" spans="1:15" x14ac:dyDescent="0.25">
      <c r="A43" s="779" t="s">
        <v>738</v>
      </c>
      <c r="B43" s="804"/>
      <c r="C43" s="804"/>
      <c r="D43" s="804"/>
      <c r="E43" s="804"/>
      <c r="F43" s="804"/>
      <c r="G43" s="804"/>
      <c r="H43" s="804"/>
      <c r="I43" s="804"/>
      <c r="J43" s="804"/>
      <c r="K43" s="804"/>
      <c r="L43" s="804"/>
      <c r="M43" s="804"/>
      <c r="N43" s="805"/>
    </row>
    <row r="44" spans="1:15" ht="15.75" thickBot="1" x14ac:dyDescent="0.3">
      <c r="A44" s="806" t="s">
        <v>750</v>
      </c>
      <c r="B44" s="807"/>
      <c r="C44" s="807"/>
      <c r="D44" s="807"/>
      <c r="E44" s="807"/>
      <c r="F44" s="807"/>
      <c r="G44" s="807"/>
      <c r="H44" s="807"/>
      <c r="I44" s="807"/>
      <c r="J44" s="807"/>
      <c r="K44" s="807"/>
      <c r="L44" s="807"/>
      <c r="M44" s="807"/>
      <c r="N44" s="805"/>
    </row>
    <row r="45" spans="1:15" ht="15.75" thickBot="1" x14ac:dyDescent="0.3">
      <c r="A45" s="796"/>
      <c r="B45" s="783">
        <f>SUM(B35:B44)</f>
        <v>0</v>
      </c>
      <c r="C45" s="784">
        <f>SUM(C35:C44)</f>
        <v>0</v>
      </c>
      <c r="D45" s="784">
        <f t="shared" ref="D45:M45" si="3">SUM(D35:D44)</f>
        <v>0</v>
      </c>
      <c r="E45" s="784">
        <f t="shared" si="3"/>
        <v>0</v>
      </c>
      <c r="F45" s="784">
        <f t="shared" si="3"/>
        <v>0</v>
      </c>
      <c r="G45" s="784">
        <f>SUM(G35:G44)</f>
        <v>0</v>
      </c>
      <c r="H45" s="784">
        <f t="shared" si="3"/>
        <v>0</v>
      </c>
      <c r="I45" s="784">
        <f t="shared" si="3"/>
        <v>0</v>
      </c>
      <c r="J45" s="784">
        <f t="shared" si="3"/>
        <v>0</v>
      </c>
      <c r="K45" s="784">
        <f t="shared" si="3"/>
        <v>0</v>
      </c>
      <c r="L45" s="784">
        <f t="shared" si="3"/>
        <v>0</v>
      </c>
      <c r="M45" s="785">
        <f t="shared" si="3"/>
        <v>0</v>
      </c>
      <c r="N45" s="808"/>
    </row>
    <row r="46" spans="1:15" hidden="1" x14ac:dyDescent="0.25">
      <c r="A46" s="796"/>
      <c r="B46" s="797"/>
      <c r="C46" s="797"/>
      <c r="D46" s="797"/>
      <c r="E46" s="797"/>
      <c r="F46" s="797"/>
      <c r="G46" s="797"/>
      <c r="H46" s="797"/>
      <c r="I46" s="797"/>
      <c r="J46" s="797"/>
      <c r="K46" s="797"/>
      <c r="L46" s="797"/>
      <c r="M46" s="797"/>
      <c r="N46" s="801"/>
    </row>
    <row r="47" spans="1:15" hidden="1" x14ac:dyDescent="0.25">
      <c r="B47" s="809"/>
      <c r="C47" s="809"/>
      <c r="D47" s="809"/>
      <c r="E47" s="809"/>
      <c r="F47" s="809"/>
      <c r="G47" s="809"/>
      <c r="H47" s="809"/>
      <c r="I47" s="809"/>
      <c r="J47" s="809"/>
      <c r="K47" s="809"/>
      <c r="L47" s="809"/>
      <c r="M47" s="809"/>
      <c r="N47" s="810"/>
      <c r="O47" s="773"/>
    </row>
    <row r="48" spans="1:15" hidden="1" x14ac:dyDescent="0.25">
      <c r="A48" s="811" t="s">
        <v>751</v>
      </c>
      <c r="B48" s="812">
        <v>0.75</v>
      </c>
      <c r="C48" s="812">
        <v>0.75</v>
      </c>
      <c r="D48" s="812">
        <v>0.75</v>
      </c>
      <c r="E48" s="812">
        <v>0.75</v>
      </c>
      <c r="F48" s="812">
        <v>0.75</v>
      </c>
      <c r="G48" s="812">
        <v>0.75</v>
      </c>
      <c r="H48" s="812">
        <v>0.75</v>
      </c>
      <c r="I48" s="812">
        <v>0.75</v>
      </c>
      <c r="J48" s="812">
        <v>0.75</v>
      </c>
      <c r="K48" s="812">
        <v>0.75</v>
      </c>
      <c r="L48" s="812">
        <v>0.75</v>
      </c>
      <c r="M48" s="812">
        <v>0.75</v>
      </c>
      <c r="N48" s="813"/>
      <c r="O48" s="773"/>
    </row>
    <row r="49" spans="1:15" hidden="1" x14ac:dyDescent="0.25">
      <c r="A49" s="811" t="s">
        <v>752</v>
      </c>
      <c r="B49" s="812">
        <v>0.25</v>
      </c>
      <c r="C49" s="812">
        <v>0.25</v>
      </c>
      <c r="D49" s="812">
        <v>0.25</v>
      </c>
      <c r="E49" s="812">
        <v>0.25</v>
      </c>
      <c r="F49" s="812">
        <v>0.25</v>
      </c>
      <c r="G49" s="812">
        <v>0.25</v>
      </c>
      <c r="H49" s="812">
        <v>0.25</v>
      </c>
      <c r="I49" s="812">
        <v>0.25</v>
      </c>
      <c r="J49" s="812">
        <v>0.25</v>
      </c>
      <c r="K49" s="812">
        <v>0.25</v>
      </c>
      <c r="L49" s="812">
        <v>0.25</v>
      </c>
      <c r="M49" s="812">
        <v>0.25</v>
      </c>
      <c r="N49" s="813"/>
      <c r="O49" s="773"/>
    </row>
    <row r="50" spans="1:15" x14ac:dyDescent="0.25">
      <c r="A50" s="814" t="s">
        <v>753</v>
      </c>
      <c r="B50" s="815"/>
      <c r="C50" s="815"/>
      <c r="D50" s="815"/>
      <c r="E50" s="815"/>
      <c r="F50" s="815"/>
      <c r="G50" s="815"/>
      <c r="H50" s="815"/>
      <c r="I50" s="815"/>
      <c r="J50" s="815"/>
      <c r="K50" s="815"/>
      <c r="L50" s="815"/>
      <c r="M50" s="815"/>
      <c r="N50" s="816"/>
    </row>
    <row r="51" spans="1:15" x14ac:dyDescent="0.25">
      <c r="A51" s="774" t="s">
        <v>745</v>
      </c>
      <c r="B51" s="817">
        <f>IF(B49=0,(B27*B48)/B48,((B27*B48)+(B35*B49))/(B48+B49))</f>
        <v>0</v>
      </c>
      <c r="C51" s="817">
        <f t="shared" ref="C51:F51" si="4">IF(C49=0,(C27*C48)/C48,((C27*C48)+(C35*C49))/(C48+C49))</f>
        <v>0</v>
      </c>
      <c r="D51" s="817">
        <f t="shared" si="4"/>
        <v>0</v>
      </c>
      <c r="E51" s="817">
        <f t="shared" si="4"/>
        <v>0</v>
      </c>
      <c r="F51" s="817">
        <f t="shared" si="4"/>
        <v>0</v>
      </c>
      <c r="G51" s="817">
        <f>IF(G49=0,(G27*G48)/G48,((G27*G48)+(G35*G49))/(G48+G49))</f>
        <v>0</v>
      </c>
      <c r="H51" s="817">
        <f>IF(H49=0,(H27*H48)/H48,((H27*H48)+(H35*H49))/(H48+H49))</f>
        <v>0</v>
      </c>
      <c r="I51" s="817">
        <f t="shared" ref="I51:M51" si="5">IF(I49=0,(I27*I48)/I48,((I27*I48)+(I35*I49))/(I48+I49))</f>
        <v>0</v>
      </c>
      <c r="J51" s="817">
        <f t="shared" si="5"/>
        <v>0</v>
      </c>
      <c r="K51" s="817">
        <f t="shared" si="5"/>
        <v>0</v>
      </c>
      <c r="L51" s="817">
        <f t="shared" si="5"/>
        <v>0</v>
      </c>
      <c r="M51" s="817">
        <f t="shared" si="5"/>
        <v>0</v>
      </c>
      <c r="N51" s="776"/>
    </row>
    <row r="52" spans="1:15" x14ac:dyDescent="0.25">
      <c r="A52" s="779" t="s">
        <v>746</v>
      </c>
      <c r="B52" s="817">
        <f t="shared" ref="B52:F52" si="6">IF(B49=0,(B28*B48)/B48,((B28*B48)+(B36*B49))/(B48+B49))</f>
        <v>0</v>
      </c>
      <c r="C52" s="817">
        <f t="shared" si="6"/>
        <v>0</v>
      </c>
      <c r="D52" s="817">
        <f t="shared" si="6"/>
        <v>0</v>
      </c>
      <c r="E52" s="817">
        <f t="shared" si="6"/>
        <v>0</v>
      </c>
      <c r="F52" s="817">
        <f t="shared" si="6"/>
        <v>0</v>
      </c>
      <c r="G52" s="817">
        <f>IF(G49=0,(G28*G48)/G48,((G28*G48)+(G36*G49))/(G48+G49))</f>
        <v>0</v>
      </c>
      <c r="H52" s="817">
        <f>IF(H49=0,(H28*H48)/H48,((H28*H48)+(H36*H49))/(H48+H49))</f>
        <v>0</v>
      </c>
      <c r="I52" s="817">
        <f t="shared" ref="I52:M52" si="7">IF(I49=0,(I28*I48)/I48,((I28*I48)+(I36*I49))/(I48+I49))</f>
        <v>0</v>
      </c>
      <c r="J52" s="817">
        <f t="shared" si="7"/>
        <v>0</v>
      </c>
      <c r="K52" s="817">
        <f t="shared" si="7"/>
        <v>0</v>
      </c>
      <c r="L52" s="817">
        <f t="shared" si="7"/>
        <v>0</v>
      </c>
      <c r="M52" s="817">
        <f t="shared" si="7"/>
        <v>0</v>
      </c>
      <c r="N52" s="776"/>
    </row>
    <row r="53" spans="1:15" x14ac:dyDescent="0.25">
      <c r="A53" s="779" t="s">
        <v>747</v>
      </c>
      <c r="B53" s="817">
        <f t="shared" ref="B53:F53" si="8">IF(B49=0,(B29*B48)/B48,((B29*B48)+(B37*B49))/(B48+B49))</f>
        <v>0</v>
      </c>
      <c r="C53" s="817">
        <f t="shared" si="8"/>
        <v>0</v>
      </c>
      <c r="D53" s="817">
        <f t="shared" si="8"/>
        <v>0</v>
      </c>
      <c r="E53" s="817">
        <f t="shared" si="8"/>
        <v>0</v>
      </c>
      <c r="F53" s="817">
        <f t="shared" si="8"/>
        <v>0</v>
      </c>
      <c r="G53" s="817">
        <f>IF(G49=0,(G29*G48)/G48,((G29*G48)+(G37*G49))/(G48+G49))</f>
        <v>0</v>
      </c>
      <c r="H53" s="817">
        <f>IF(H49=0,(H29*H48)/H48,((H29*H48)+(H37*H49))/(H48+H49))</f>
        <v>0</v>
      </c>
      <c r="I53" s="817">
        <f t="shared" ref="I53:M53" si="9">IF(I49=0,(I29*I48)/I48,((I29*I48)+(I37*I49))/(I48+I49))</f>
        <v>0</v>
      </c>
      <c r="J53" s="817">
        <f t="shared" si="9"/>
        <v>0</v>
      </c>
      <c r="K53" s="817">
        <f t="shared" si="9"/>
        <v>0</v>
      </c>
      <c r="L53" s="817">
        <f t="shared" si="9"/>
        <v>0</v>
      </c>
      <c r="M53" s="817">
        <f t="shared" si="9"/>
        <v>0</v>
      </c>
      <c r="N53" s="776"/>
    </row>
    <row r="54" spans="1:15" x14ac:dyDescent="0.25">
      <c r="A54" s="779" t="s">
        <v>733</v>
      </c>
      <c r="B54" s="817">
        <f t="shared" ref="B54:F54" si="10">IF(B49=0,(B30*B48)/B48,((B30*B48)+(B38*B49))/(B48+B49))</f>
        <v>0</v>
      </c>
      <c r="C54" s="817">
        <f t="shared" si="10"/>
        <v>0</v>
      </c>
      <c r="D54" s="817">
        <f t="shared" si="10"/>
        <v>0</v>
      </c>
      <c r="E54" s="817">
        <f t="shared" si="10"/>
        <v>0</v>
      </c>
      <c r="F54" s="817">
        <f t="shared" si="10"/>
        <v>0</v>
      </c>
      <c r="G54" s="817">
        <f>IF(G49=0,(G30*G48)/G48,((G30*G48)+(G38*G49))/(G48+G49))</f>
        <v>0</v>
      </c>
      <c r="H54" s="817">
        <f>IF(H49=0,(H30*H48)/H48,((H30*H48)+(H38*H49))/(H48+H49))</f>
        <v>0</v>
      </c>
      <c r="I54" s="817">
        <f t="shared" ref="I54:M54" si="11">IF(I49=0,(I30*I48)/I48,((I30*I48)+(I38*I49))/(I48+I49))</f>
        <v>0</v>
      </c>
      <c r="J54" s="817">
        <f t="shared" si="11"/>
        <v>0</v>
      </c>
      <c r="K54" s="817">
        <f>IF(K49=0,(K30*K48)/K48,((K30*K48)+(K38*K49))/(K48+K49))</f>
        <v>0</v>
      </c>
      <c r="L54" s="817">
        <f t="shared" si="11"/>
        <v>0</v>
      </c>
      <c r="M54" s="817">
        <f t="shared" si="11"/>
        <v>0</v>
      </c>
      <c r="N54" s="776"/>
    </row>
    <row r="55" spans="1:15" x14ac:dyDescent="0.25">
      <c r="A55" s="779" t="s">
        <v>734</v>
      </c>
      <c r="B55" s="817">
        <f t="shared" ref="B55:F55" si="12">IF(B49=0,(B31*B48)/B48,((B31*B48)+(B39*B49))/(B48+B49))</f>
        <v>0</v>
      </c>
      <c r="C55" s="817">
        <f t="shared" si="12"/>
        <v>0</v>
      </c>
      <c r="D55" s="817">
        <f t="shared" si="12"/>
        <v>0</v>
      </c>
      <c r="E55" s="817">
        <f t="shared" si="12"/>
        <v>0</v>
      </c>
      <c r="F55" s="817">
        <f t="shared" si="12"/>
        <v>0</v>
      </c>
      <c r="G55" s="817">
        <f>IF(G49=0,(G31*G48)/G48,((G31*G48)+(G39*G49))/(G48+G49))</f>
        <v>0</v>
      </c>
      <c r="H55" s="817">
        <f>IF(H49=0,(H31*H48)/H48,((H31*H48)+(H39*H49))/(H48+H49))</f>
        <v>0</v>
      </c>
      <c r="I55" s="817">
        <f t="shared" ref="I55:M55" si="13">IF(I49=0,(I31*I48)/I48,((I31*I48)+(I39*I49))/(I48+I49))</f>
        <v>0</v>
      </c>
      <c r="J55" s="817">
        <f>IF(J49=0,(J31*J48)/J48,((J31*J48)+(J39*J49))/(J48+J49))</f>
        <v>0</v>
      </c>
      <c r="K55" s="817">
        <f t="shared" si="13"/>
        <v>0</v>
      </c>
      <c r="L55" s="817">
        <f t="shared" si="13"/>
        <v>0</v>
      </c>
      <c r="M55" s="817">
        <f t="shared" si="13"/>
        <v>0</v>
      </c>
      <c r="N55" s="776"/>
    </row>
    <row r="56" spans="1:15" x14ac:dyDescent="0.25">
      <c r="A56" s="779" t="s">
        <v>735</v>
      </c>
      <c r="B56" s="817">
        <f t="shared" ref="B56:E56" si="14">IF(B49=0,(B32*B48)/B48,((B32*B48)+(B40*B49))/(B48+B49))</f>
        <v>0</v>
      </c>
      <c r="C56" s="817">
        <f t="shared" si="14"/>
        <v>0</v>
      </c>
      <c r="D56" s="817">
        <f t="shared" si="14"/>
        <v>0</v>
      </c>
      <c r="E56" s="817">
        <f t="shared" si="14"/>
        <v>0</v>
      </c>
      <c r="F56" s="817">
        <f>IF(F49=0,(F32*F48)/F48,((F32*F48)+(F40*F49))/(F48+F49))</f>
        <v>0</v>
      </c>
      <c r="G56" s="817">
        <f>IF(G49=0,(G32*G48)/G48,((G32*G48)+(G40*G49))/(G48+G49))</f>
        <v>0</v>
      </c>
      <c r="H56" s="817">
        <f>IF(H49=0,(H32*H48)/H48,((H32*H48)+(H40*H49))/(H48+H49))</f>
        <v>0</v>
      </c>
      <c r="I56" s="817">
        <f t="shared" ref="I56:M56" si="15">IF(I49=0,(I32*I48)/I48,((I32*I48)+(I40*I49))/(I48+I49))</f>
        <v>0</v>
      </c>
      <c r="J56" s="817">
        <f t="shared" si="15"/>
        <v>0</v>
      </c>
      <c r="K56" s="817">
        <f t="shared" si="15"/>
        <v>0</v>
      </c>
      <c r="L56" s="817">
        <f t="shared" si="15"/>
        <v>0</v>
      </c>
      <c r="M56" s="817">
        <f t="shared" si="15"/>
        <v>0</v>
      </c>
      <c r="N56" s="776"/>
    </row>
    <row r="57" spans="1:15" x14ac:dyDescent="0.25">
      <c r="A57" s="779" t="s">
        <v>736</v>
      </c>
      <c r="B57" s="817">
        <f t="shared" ref="B57:E57" si="16">IF(B49=0,0,((B41*B49))/(B48+B49))</f>
        <v>0</v>
      </c>
      <c r="C57" s="817">
        <f t="shared" si="16"/>
        <v>0</v>
      </c>
      <c r="D57" s="817">
        <f t="shared" si="16"/>
        <v>0</v>
      </c>
      <c r="E57" s="817">
        <f t="shared" si="16"/>
        <v>0</v>
      </c>
      <c r="F57" s="817">
        <f>IF(F49=0,0,((F41*F49))/(F48+F49))</f>
        <v>0</v>
      </c>
      <c r="G57" s="817">
        <f>IF(G49=0,0,((G41*G49))/(G48+G49))</f>
        <v>0</v>
      </c>
      <c r="H57" s="817">
        <f>IF(H49=0,0,((H41*H49))/(H48+H49))</f>
        <v>0</v>
      </c>
      <c r="I57" s="817">
        <f t="shared" ref="I57:M57" si="17">IF(I49=0,0,((I41*I49))/(I48+I49))</f>
        <v>0</v>
      </c>
      <c r="J57" s="817">
        <f t="shared" si="17"/>
        <v>0</v>
      </c>
      <c r="K57" s="817">
        <f t="shared" si="17"/>
        <v>0</v>
      </c>
      <c r="L57" s="817">
        <f t="shared" si="17"/>
        <v>0</v>
      </c>
      <c r="M57" s="817">
        <f t="shared" si="17"/>
        <v>0</v>
      </c>
      <c r="N57" s="776"/>
    </row>
    <row r="58" spans="1:15" x14ac:dyDescent="0.25">
      <c r="A58" s="779" t="s">
        <v>737</v>
      </c>
      <c r="B58" s="817">
        <f t="shared" ref="B58:E58" si="18">IF(B49=0,0,((B42*B49))/(B48+B49))</f>
        <v>0</v>
      </c>
      <c r="C58" s="817">
        <f t="shared" si="18"/>
        <v>0</v>
      </c>
      <c r="D58" s="817">
        <f t="shared" si="18"/>
        <v>0</v>
      </c>
      <c r="E58" s="817">
        <f t="shared" si="18"/>
        <v>0</v>
      </c>
      <c r="F58" s="817">
        <f>IF(F49=0,0,((F42*F49))/(F48+F49))</f>
        <v>0</v>
      </c>
      <c r="G58" s="817">
        <f>IF(G49=0,0,((G42*G49))/(G48+G49))</f>
        <v>0</v>
      </c>
      <c r="H58" s="817">
        <f>IF(H49=0,0,((H42*H49))/(H48+H49))</f>
        <v>0</v>
      </c>
      <c r="I58" s="817">
        <f t="shared" ref="I58:M58" si="19">IF(I49=0,0,((I42*I49))/(I48+I49))</f>
        <v>0</v>
      </c>
      <c r="J58" s="817">
        <f t="shared" si="19"/>
        <v>0</v>
      </c>
      <c r="K58" s="817">
        <f t="shared" si="19"/>
        <v>0</v>
      </c>
      <c r="L58" s="817">
        <f t="shared" si="19"/>
        <v>0</v>
      </c>
      <c r="M58" s="817">
        <f t="shared" si="19"/>
        <v>0</v>
      </c>
      <c r="N58" s="776"/>
    </row>
    <row r="59" spans="1:15" x14ac:dyDescent="0.25">
      <c r="A59" s="779" t="s">
        <v>738</v>
      </c>
      <c r="B59" s="817">
        <f t="shared" ref="B59:E59" si="20">IF(B49=0,0,((B43*B49))/(B48+B49))</f>
        <v>0</v>
      </c>
      <c r="C59" s="817">
        <f t="shared" si="20"/>
        <v>0</v>
      </c>
      <c r="D59" s="817">
        <f t="shared" si="20"/>
        <v>0</v>
      </c>
      <c r="E59" s="817">
        <f t="shared" si="20"/>
        <v>0</v>
      </c>
      <c r="F59" s="817">
        <f>IF(F49=0,0,((F43*F49))/(F48+F49))</f>
        <v>0</v>
      </c>
      <c r="G59" s="817">
        <f>IF(G49=0,0,((G43*G49))/(G48+G49))</f>
        <v>0</v>
      </c>
      <c r="H59" s="817">
        <f>IF(H49=0,0,((H43*H49))/(H48+H49))</f>
        <v>0</v>
      </c>
      <c r="I59" s="817">
        <f t="shared" ref="I59:M59" si="21">IF(I49=0,0,((I43*I49))/(I48+I49))</f>
        <v>0</v>
      </c>
      <c r="J59" s="817">
        <f t="shared" si="21"/>
        <v>0</v>
      </c>
      <c r="K59" s="817">
        <f t="shared" si="21"/>
        <v>0</v>
      </c>
      <c r="L59" s="817">
        <f t="shared" si="21"/>
        <v>0</v>
      </c>
      <c r="M59" s="817">
        <f t="shared" si="21"/>
        <v>0</v>
      </c>
      <c r="N59" s="805"/>
    </row>
    <row r="60" spans="1:15" ht="15.75" thickBot="1" x14ac:dyDescent="0.3">
      <c r="A60" s="779" t="s">
        <v>750</v>
      </c>
      <c r="B60" s="817">
        <f t="shared" ref="B60:E60" si="22">IF(B49=0,0,((B44*B49))/(B48+B49))</f>
        <v>0</v>
      </c>
      <c r="C60" s="817">
        <f t="shared" si="22"/>
        <v>0</v>
      </c>
      <c r="D60" s="817">
        <f t="shared" si="22"/>
        <v>0</v>
      </c>
      <c r="E60" s="817">
        <f t="shared" si="22"/>
        <v>0</v>
      </c>
      <c r="F60" s="817">
        <f>IF(F49=0,0,((F44*F49))/(F48+F49))</f>
        <v>0</v>
      </c>
      <c r="G60" s="817">
        <f>IF(G49=0,0,((G44*G49))/(G48+G49))</f>
        <v>0</v>
      </c>
      <c r="H60" s="817">
        <f>IF(H49=0,0,((H44*H49))/(H48+H49))</f>
        <v>0</v>
      </c>
      <c r="I60" s="817">
        <f t="shared" ref="I60:M60" si="23">IF(I49=0,0,((I44*I49))/(I48+I49))</f>
        <v>0</v>
      </c>
      <c r="J60" s="817">
        <f t="shared" si="23"/>
        <v>0</v>
      </c>
      <c r="K60" s="817">
        <f t="shared" si="23"/>
        <v>0</v>
      </c>
      <c r="L60" s="817">
        <f t="shared" si="23"/>
        <v>0</v>
      </c>
      <c r="M60" s="817">
        <f t="shared" si="23"/>
        <v>0</v>
      </c>
      <c r="N60" s="805"/>
    </row>
    <row r="61" spans="1:15" ht="15.75" thickBot="1" x14ac:dyDescent="0.3">
      <c r="A61" s="782"/>
      <c r="B61" s="818">
        <f>SUM(B51:B60)</f>
        <v>0</v>
      </c>
      <c r="C61" s="819">
        <f t="shared" ref="C61:M61" si="24">SUM(C51:C60)</f>
        <v>0</v>
      </c>
      <c r="D61" s="819">
        <f t="shared" si="24"/>
        <v>0</v>
      </c>
      <c r="E61" s="819">
        <f t="shared" si="24"/>
        <v>0</v>
      </c>
      <c r="F61" s="819">
        <f t="shared" si="24"/>
        <v>0</v>
      </c>
      <c r="G61" s="819">
        <f t="shared" si="24"/>
        <v>0</v>
      </c>
      <c r="H61" s="819">
        <f t="shared" si="24"/>
        <v>0</v>
      </c>
      <c r="I61" s="819">
        <f t="shared" si="24"/>
        <v>0</v>
      </c>
      <c r="J61" s="819">
        <f t="shared" si="24"/>
        <v>0</v>
      </c>
      <c r="K61" s="819">
        <f t="shared" si="24"/>
        <v>0</v>
      </c>
      <c r="L61" s="819">
        <f t="shared" si="24"/>
        <v>0</v>
      </c>
      <c r="M61" s="820">
        <f t="shared" si="24"/>
        <v>0</v>
      </c>
      <c r="N61" s="786">
        <f>IF(Grundlagen!C24="",0,SUM(B61:M61)/Grundlagen!C24)</f>
        <v>0</v>
      </c>
    </row>
    <row r="62" spans="1:15" x14ac:dyDescent="0.25">
      <c r="A62" s="821" t="s">
        <v>306</v>
      </c>
      <c r="B62" s="797"/>
      <c r="C62" s="797"/>
      <c r="D62" s="797"/>
      <c r="E62" s="797"/>
      <c r="F62" s="797"/>
      <c r="G62" s="797"/>
      <c r="H62" s="797"/>
      <c r="I62" s="797"/>
      <c r="J62" s="797"/>
      <c r="K62" s="797"/>
      <c r="L62" s="797"/>
      <c r="M62" s="797"/>
      <c r="N62" s="822"/>
    </row>
    <row r="63" spans="1:15" ht="15.75" thickBot="1" x14ac:dyDescent="0.3">
      <c r="A63" s="796"/>
      <c r="B63" s="773"/>
      <c r="C63" s="773"/>
      <c r="D63" s="773"/>
      <c r="E63" s="823"/>
      <c r="F63" s="823"/>
      <c r="G63" s="823"/>
      <c r="H63" s="823"/>
      <c r="I63" s="823"/>
      <c r="J63" s="823"/>
      <c r="K63" s="823"/>
      <c r="L63" s="823"/>
      <c r="M63" s="823"/>
      <c r="N63" s="823"/>
    </row>
    <row r="64" spans="1:15" ht="15.75" thickBot="1" x14ac:dyDescent="0.3">
      <c r="A64" s="771" t="s">
        <v>732</v>
      </c>
      <c r="B64" s="824">
        <v>0.187</v>
      </c>
      <c r="C64" s="926" t="s">
        <v>754</v>
      </c>
      <c r="D64" s="926"/>
      <c r="E64" s="926"/>
      <c r="F64" s="926"/>
      <c r="G64" s="926"/>
      <c r="H64" s="926"/>
      <c r="I64" s="926"/>
      <c r="J64" s="926"/>
      <c r="K64" s="926"/>
      <c r="L64" s="926"/>
      <c r="M64" s="927"/>
      <c r="N64" s="823"/>
    </row>
    <row r="65" spans="1:14" x14ac:dyDescent="0.25">
      <c r="A65" s="774" t="s">
        <v>733</v>
      </c>
      <c r="B65" s="817">
        <f t="shared" ref="B65:M65" si="25">B5*20*$B$64</f>
        <v>0</v>
      </c>
      <c r="C65" s="817">
        <f t="shared" si="25"/>
        <v>0</v>
      </c>
      <c r="D65" s="817">
        <f t="shared" si="25"/>
        <v>0</v>
      </c>
      <c r="E65" s="817">
        <f t="shared" si="25"/>
        <v>0</v>
      </c>
      <c r="F65" s="817">
        <f t="shared" si="25"/>
        <v>0</v>
      </c>
      <c r="G65" s="817">
        <f t="shared" si="25"/>
        <v>0</v>
      </c>
      <c r="H65" s="817">
        <f t="shared" si="25"/>
        <v>0</v>
      </c>
      <c r="I65" s="817">
        <f t="shared" si="25"/>
        <v>0</v>
      </c>
      <c r="J65" s="817">
        <f t="shared" si="25"/>
        <v>0</v>
      </c>
      <c r="K65" s="817">
        <f t="shared" si="25"/>
        <v>0</v>
      </c>
      <c r="L65" s="817">
        <f t="shared" si="25"/>
        <v>0</v>
      </c>
      <c r="M65" s="817">
        <f t="shared" si="25"/>
        <v>0</v>
      </c>
      <c r="N65" s="825"/>
    </row>
    <row r="66" spans="1:14" x14ac:dyDescent="0.25">
      <c r="A66" s="777" t="s">
        <v>734</v>
      </c>
      <c r="B66" s="817">
        <f t="shared" ref="B66:M66" si="26">B6*25*$B$64</f>
        <v>0</v>
      </c>
      <c r="C66" s="817">
        <f t="shared" si="26"/>
        <v>0</v>
      </c>
      <c r="D66" s="817">
        <f t="shared" si="26"/>
        <v>0</v>
      </c>
      <c r="E66" s="817">
        <f t="shared" si="26"/>
        <v>0</v>
      </c>
      <c r="F66" s="817">
        <f t="shared" si="26"/>
        <v>0</v>
      </c>
      <c r="G66" s="817">
        <f t="shared" si="26"/>
        <v>0</v>
      </c>
      <c r="H66" s="817">
        <f t="shared" si="26"/>
        <v>0</v>
      </c>
      <c r="I66" s="817">
        <f t="shared" si="26"/>
        <v>0</v>
      </c>
      <c r="J66" s="817">
        <f t="shared" si="26"/>
        <v>0</v>
      </c>
      <c r="K66" s="817">
        <f t="shared" si="26"/>
        <v>0</v>
      </c>
      <c r="L66" s="817">
        <f t="shared" si="26"/>
        <v>0</v>
      </c>
      <c r="M66" s="817">
        <f t="shared" si="26"/>
        <v>0</v>
      </c>
      <c r="N66" s="825"/>
    </row>
    <row r="67" spans="1:14" x14ac:dyDescent="0.25">
      <c r="A67" s="779" t="s">
        <v>735</v>
      </c>
      <c r="B67" s="817">
        <f t="shared" ref="B67:M67" si="27">B7*30*$B$64</f>
        <v>0</v>
      </c>
      <c r="C67" s="817">
        <f t="shared" si="27"/>
        <v>0</v>
      </c>
      <c r="D67" s="817">
        <f t="shared" si="27"/>
        <v>0</v>
      </c>
      <c r="E67" s="817">
        <f t="shared" si="27"/>
        <v>0</v>
      </c>
      <c r="F67" s="817">
        <f t="shared" si="27"/>
        <v>0</v>
      </c>
      <c r="G67" s="817">
        <f t="shared" si="27"/>
        <v>0</v>
      </c>
      <c r="H67" s="817">
        <f t="shared" si="27"/>
        <v>0</v>
      </c>
      <c r="I67" s="817">
        <f t="shared" si="27"/>
        <v>0</v>
      </c>
      <c r="J67" s="817">
        <f t="shared" si="27"/>
        <v>0</v>
      </c>
      <c r="K67" s="817">
        <f t="shared" si="27"/>
        <v>0</v>
      </c>
      <c r="L67" s="817">
        <f t="shared" si="27"/>
        <v>0</v>
      </c>
      <c r="M67" s="817">
        <f t="shared" si="27"/>
        <v>0</v>
      </c>
      <c r="N67" s="825"/>
    </row>
    <row r="68" spans="1:14" x14ac:dyDescent="0.25">
      <c r="A68" s="779" t="s">
        <v>736</v>
      </c>
      <c r="B68" s="817">
        <f t="shared" ref="B68:M68" si="28">B8*35*$B$64</f>
        <v>0</v>
      </c>
      <c r="C68" s="817">
        <f t="shared" si="28"/>
        <v>0</v>
      </c>
      <c r="D68" s="817">
        <f t="shared" si="28"/>
        <v>0</v>
      </c>
      <c r="E68" s="817">
        <f t="shared" si="28"/>
        <v>0</v>
      </c>
      <c r="F68" s="817">
        <f t="shared" si="28"/>
        <v>0</v>
      </c>
      <c r="G68" s="817">
        <f t="shared" si="28"/>
        <v>0</v>
      </c>
      <c r="H68" s="817">
        <f t="shared" si="28"/>
        <v>0</v>
      </c>
      <c r="I68" s="817">
        <f t="shared" si="28"/>
        <v>0</v>
      </c>
      <c r="J68" s="817">
        <f t="shared" si="28"/>
        <v>0</v>
      </c>
      <c r="K68" s="817">
        <f t="shared" si="28"/>
        <v>0</v>
      </c>
      <c r="L68" s="817">
        <f t="shared" si="28"/>
        <v>0</v>
      </c>
      <c r="M68" s="817">
        <f t="shared" si="28"/>
        <v>0</v>
      </c>
      <c r="N68" s="825"/>
    </row>
    <row r="69" spans="1:14" x14ac:dyDescent="0.25">
      <c r="A69" s="779" t="s">
        <v>737</v>
      </c>
      <c r="B69" s="817">
        <f t="shared" ref="B69:M69" si="29">B9*40*$B$64</f>
        <v>0</v>
      </c>
      <c r="C69" s="817">
        <f t="shared" si="29"/>
        <v>0</v>
      </c>
      <c r="D69" s="817">
        <f t="shared" si="29"/>
        <v>0</v>
      </c>
      <c r="E69" s="817">
        <f t="shared" si="29"/>
        <v>0</v>
      </c>
      <c r="F69" s="817">
        <f t="shared" si="29"/>
        <v>0</v>
      </c>
      <c r="G69" s="817">
        <f t="shared" si="29"/>
        <v>0</v>
      </c>
      <c r="H69" s="817">
        <f t="shared" si="29"/>
        <v>0</v>
      </c>
      <c r="I69" s="817">
        <f t="shared" si="29"/>
        <v>0</v>
      </c>
      <c r="J69" s="817">
        <f t="shared" si="29"/>
        <v>0</v>
      </c>
      <c r="K69" s="817">
        <f t="shared" si="29"/>
        <v>0</v>
      </c>
      <c r="L69" s="817">
        <f t="shared" si="29"/>
        <v>0</v>
      </c>
      <c r="M69" s="817">
        <f t="shared" si="29"/>
        <v>0</v>
      </c>
      <c r="N69" s="825"/>
    </row>
    <row r="70" spans="1:14" x14ac:dyDescent="0.25">
      <c r="A70" s="779" t="s">
        <v>738</v>
      </c>
      <c r="B70" s="817">
        <f t="shared" ref="B70:M70" si="30">B10*45*$B$64</f>
        <v>0</v>
      </c>
      <c r="C70" s="817">
        <f t="shared" si="30"/>
        <v>0</v>
      </c>
      <c r="D70" s="817">
        <f t="shared" si="30"/>
        <v>0</v>
      </c>
      <c r="E70" s="817">
        <f t="shared" si="30"/>
        <v>0</v>
      </c>
      <c r="F70" s="817">
        <f t="shared" si="30"/>
        <v>0</v>
      </c>
      <c r="G70" s="817">
        <f t="shared" si="30"/>
        <v>0</v>
      </c>
      <c r="H70" s="817">
        <f t="shared" si="30"/>
        <v>0</v>
      </c>
      <c r="I70" s="817">
        <f t="shared" si="30"/>
        <v>0</v>
      </c>
      <c r="J70" s="817">
        <f t="shared" si="30"/>
        <v>0</v>
      </c>
      <c r="K70" s="817">
        <f t="shared" si="30"/>
        <v>0</v>
      </c>
      <c r="L70" s="817">
        <f t="shared" si="30"/>
        <v>0</v>
      </c>
      <c r="M70" s="817">
        <f t="shared" si="30"/>
        <v>0</v>
      </c>
      <c r="N70" s="825"/>
    </row>
    <row r="71" spans="1:14" x14ac:dyDescent="0.25">
      <c r="A71" s="779" t="s">
        <v>739</v>
      </c>
      <c r="B71" s="817">
        <f t="shared" ref="B71:M71" si="31">B11*50*$B$64</f>
        <v>0</v>
      </c>
      <c r="C71" s="817">
        <f t="shared" si="31"/>
        <v>0</v>
      </c>
      <c r="D71" s="817">
        <f t="shared" si="31"/>
        <v>0</v>
      </c>
      <c r="E71" s="817">
        <f t="shared" si="31"/>
        <v>0</v>
      </c>
      <c r="F71" s="817">
        <f t="shared" si="31"/>
        <v>0</v>
      </c>
      <c r="G71" s="817">
        <f t="shared" si="31"/>
        <v>0</v>
      </c>
      <c r="H71" s="817">
        <f t="shared" si="31"/>
        <v>0</v>
      </c>
      <c r="I71" s="817">
        <f t="shared" si="31"/>
        <v>0</v>
      </c>
      <c r="J71" s="817">
        <f t="shared" si="31"/>
        <v>0</v>
      </c>
      <c r="K71" s="817">
        <f t="shared" si="31"/>
        <v>0</v>
      </c>
      <c r="L71" s="817">
        <f t="shared" si="31"/>
        <v>0</v>
      </c>
      <c r="M71" s="817">
        <f t="shared" si="31"/>
        <v>0</v>
      </c>
      <c r="N71" s="825"/>
    </row>
    <row r="72" spans="1:14" ht="15" customHeight="1" thickBot="1" x14ac:dyDescent="0.3">
      <c r="A72" s="780" t="s">
        <v>740</v>
      </c>
      <c r="B72" s="817">
        <f t="shared" ref="B72:M72" si="32">B12*55*$B$64</f>
        <v>0</v>
      </c>
      <c r="C72" s="817">
        <f t="shared" si="32"/>
        <v>0</v>
      </c>
      <c r="D72" s="817">
        <f t="shared" si="32"/>
        <v>0</v>
      </c>
      <c r="E72" s="817">
        <f t="shared" si="32"/>
        <v>0</v>
      </c>
      <c r="F72" s="817">
        <f t="shared" si="32"/>
        <v>0</v>
      </c>
      <c r="G72" s="817">
        <f t="shared" si="32"/>
        <v>0</v>
      </c>
      <c r="H72" s="817">
        <f t="shared" si="32"/>
        <v>0</v>
      </c>
      <c r="I72" s="817">
        <f t="shared" si="32"/>
        <v>0</v>
      </c>
      <c r="J72" s="817">
        <f t="shared" si="32"/>
        <v>0</v>
      </c>
      <c r="K72" s="817">
        <f t="shared" si="32"/>
        <v>0</v>
      </c>
      <c r="L72" s="817">
        <f t="shared" si="32"/>
        <v>0</v>
      </c>
      <c r="M72" s="817">
        <f t="shared" si="32"/>
        <v>0</v>
      </c>
      <c r="N72" s="826"/>
    </row>
    <row r="73" spans="1:14" ht="15.75" thickBot="1" x14ac:dyDescent="0.3">
      <c r="A73" s="827"/>
      <c r="B73" s="818">
        <f t="shared" ref="B73:M73" si="33">SUM(B65:B72)</f>
        <v>0</v>
      </c>
      <c r="C73" s="819">
        <f t="shared" si="33"/>
        <v>0</v>
      </c>
      <c r="D73" s="819">
        <f t="shared" si="33"/>
        <v>0</v>
      </c>
      <c r="E73" s="819">
        <f t="shared" si="33"/>
        <v>0</v>
      </c>
      <c r="F73" s="819">
        <f t="shared" si="33"/>
        <v>0</v>
      </c>
      <c r="G73" s="819">
        <f t="shared" si="33"/>
        <v>0</v>
      </c>
      <c r="H73" s="819">
        <f t="shared" si="33"/>
        <v>0</v>
      </c>
      <c r="I73" s="819">
        <f t="shared" si="33"/>
        <v>0</v>
      </c>
      <c r="J73" s="819">
        <f t="shared" si="33"/>
        <v>0</v>
      </c>
      <c r="K73" s="819">
        <f t="shared" si="33"/>
        <v>0</v>
      </c>
      <c r="L73" s="819">
        <f t="shared" si="33"/>
        <v>0</v>
      </c>
      <c r="M73" s="820">
        <f t="shared" si="33"/>
        <v>0</v>
      </c>
      <c r="N73" s="786">
        <f>IF(Grundlagen!C24="",0,SUM(B73:M73)/Grundlagen!C24)</f>
        <v>0</v>
      </c>
    </row>
    <row r="74" spans="1:14" s="773" customFormat="1" ht="15.75" thickBot="1" x14ac:dyDescent="0.3">
      <c r="A74" s="828"/>
      <c r="B74" s="829"/>
      <c r="C74" s="829"/>
      <c r="D74" s="829"/>
      <c r="E74" s="829"/>
      <c r="F74" s="829"/>
      <c r="G74" s="829"/>
      <c r="H74" s="829"/>
      <c r="I74" s="829"/>
      <c r="J74" s="829"/>
      <c r="K74" s="829"/>
      <c r="L74" s="829"/>
      <c r="M74" s="830" t="s">
        <v>307</v>
      </c>
      <c r="N74" s="786">
        <f>IF(N73=0,0,SUM(B73:M73)/Grundlagen!C24*(52/12*Grundlagen!C24))</f>
        <v>0</v>
      </c>
    </row>
    <row r="75" spans="1:14" s="773" customFormat="1" ht="15.75" thickBot="1" x14ac:dyDescent="0.3">
      <c r="A75" s="828"/>
      <c r="B75" s="829"/>
      <c r="C75" s="829"/>
      <c r="D75" s="829"/>
      <c r="E75" s="829"/>
      <c r="F75" s="829"/>
      <c r="G75" s="829"/>
      <c r="H75" s="829"/>
      <c r="I75" s="829"/>
      <c r="J75" s="829"/>
      <c r="K75" s="829"/>
      <c r="L75" s="829"/>
      <c r="M75" s="830"/>
      <c r="N75" s="801"/>
    </row>
    <row r="76" spans="1:14" ht="15.75" thickBot="1" x14ac:dyDescent="0.3">
      <c r="A76" s="771" t="s">
        <v>741</v>
      </c>
      <c r="B76" s="831">
        <v>8.3000000000000004E-2</v>
      </c>
      <c r="C76" s="931" t="s">
        <v>755</v>
      </c>
      <c r="D76" s="931"/>
      <c r="E76" s="931"/>
      <c r="F76" s="931"/>
      <c r="G76" s="931"/>
      <c r="H76" s="931"/>
      <c r="I76" s="931"/>
      <c r="J76" s="931"/>
      <c r="K76" s="931"/>
      <c r="L76" s="931"/>
      <c r="M76" s="932"/>
      <c r="N76" s="823"/>
    </row>
    <row r="77" spans="1:14" x14ac:dyDescent="0.25">
      <c r="A77" s="832" t="s">
        <v>733</v>
      </c>
      <c r="B77" s="833">
        <f t="shared" ref="B77:M77" si="34">B15*20*$B$76</f>
        <v>0</v>
      </c>
      <c r="C77" s="833">
        <f t="shared" si="34"/>
        <v>0</v>
      </c>
      <c r="D77" s="833">
        <f t="shared" si="34"/>
        <v>0</v>
      </c>
      <c r="E77" s="833">
        <f t="shared" si="34"/>
        <v>0</v>
      </c>
      <c r="F77" s="833">
        <f t="shared" si="34"/>
        <v>0</v>
      </c>
      <c r="G77" s="833">
        <f t="shared" si="34"/>
        <v>0</v>
      </c>
      <c r="H77" s="833">
        <f t="shared" si="34"/>
        <v>0</v>
      </c>
      <c r="I77" s="833">
        <f t="shared" si="34"/>
        <v>0</v>
      </c>
      <c r="J77" s="833">
        <f t="shared" si="34"/>
        <v>0</v>
      </c>
      <c r="K77" s="833">
        <f t="shared" si="34"/>
        <v>0</v>
      </c>
      <c r="L77" s="833">
        <f t="shared" si="34"/>
        <v>0</v>
      </c>
      <c r="M77" s="833">
        <f t="shared" si="34"/>
        <v>0</v>
      </c>
      <c r="N77" s="825"/>
    </row>
    <row r="78" spans="1:14" x14ac:dyDescent="0.25">
      <c r="A78" s="790" t="s">
        <v>734</v>
      </c>
      <c r="B78" s="833">
        <f t="shared" ref="B78:M78" si="35">B16*25*$B$76</f>
        <v>0</v>
      </c>
      <c r="C78" s="833">
        <f t="shared" si="35"/>
        <v>0</v>
      </c>
      <c r="D78" s="833">
        <f t="shared" si="35"/>
        <v>0</v>
      </c>
      <c r="E78" s="833">
        <f t="shared" si="35"/>
        <v>0</v>
      </c>
      <c r="F78" s="833">
        <f t="shared" si="35"/>
        <v>0</v>
      </c>
      <c r="G78" s="833">
        <f t="shared" si="35"/>
        <v>0</v>
      </c>
      <c r="H78" s="833">
        <f t="shared" si="35"/>
        <v>0</v>
      </c>
      <c r="I78" s="833">
        <f t="shared" si="35"/>
        <v>0</v>
      </c>
      <c r="J78" s="833">
        <f t="shared" si="35"/>
        <v>0</v>
      </c>
      <c r="K78" s="833">
        <f t="shared" si="35"/>
        <v>0</v>
      </c>
      <c r="L78" s="833">
        <f t="shared" si="35"/>
        <v>0</v>
      </c>
      <c r="M78" s="833">
        <f t="shared" si="35"/>
        <v>0</v>
      </c>
      <c r="N78" s="825"/>
    </row>
    <row r="79" spans="1:14" x14ac:dyDescent="0.25">
      <c r="A79" s="834" t="s">
        <v>735</v>
      </c>
      <c r="B79" s="833">
        <f t="shared" ref="B79:M79" si="36">B17*30*$B$76</f>
        <v>0</v>
      </c>
      <c r="C79" s="833">
        <f t="shared" si="36"/>
        <v>0</v>
      </c>
      <c r="D79" s="833">
        <f t="shared" si="36"/>
        <v>0</v>
      </c>
      <c r="E79" s="833">
        <f t="shared" si="36"/>
        <v>0</v>
      </c>
      <c r="F79" s="833">
        <f t="shared" si="36"/>
        <v>0</v>
      </c>
      <c r="G79" s="833">
        <f t="shared" si="36"/>
        <v>0</v>
      </c>
      <c r="H79" s="833">
        <f t="shared" si="36"/>
        <v>0</v>
      </c>
      <c r="I79" s="833">
        <f t="shared" si="36"/>
        <v>0</v>
      </c>
      <c r="J79" s="833">
        <f t="shared" si="36"/>
        <v>0</v>
      </c>
      <c r="K79" s="833">
        <f t="shared" si="36"/>
        <v>0</v>
      </c>
      <c r="L79" s="833">
        <f t="shared" si="36"/>
        <v>0</v>
      </c>
      <c r="M79" s="833">
        <f t="shared" si="36"/>
        <v>0</v>
      </c>
      <c r="N79" s="825"/>
    </row>
    <row r="80" spans="1:14" x14ac:dyDescent="0.25">
      <c r="A80" s="834" t="s">
        <v>736</v>
      </c>
      <c r="B80" s="833">
        <f t="shared" ref="B80:M80" si="37">B18*35*$B$76</f>
        <v>0</v>
      </c>
      <c r="C80" s="833">
        <f t="shared" si="37"/>
        <v>0</v>
      </c>
      <c r="D80" s="833">
        <f t="shared" si="37"/>
        <v>0</v>
      </c>
      <c r="E80" s="833">
        <f t="shared" si="37"/>
        <v>0</v>
      </c>
      <c r="F80" s="833">
        <f t="shared" si="37"/>
        <v>0</v>
      </c>
      <c r="G80" s="833">
        <f t="shared" si="37"/>
        <v>0</v>
      </c>
      <c r="H80" s="833">
        <f t="shared" si="37"/>
        <v>0</v>
      </c>
      <c r="I80" s="833">
        <f t="shared" si="37"/>
        <v>0</v>
      </c>
      <c r="J80" s="833">
        <f t="shared" si="37"/>
        <v>0</v>
      </c>
      <c r="K80" s="833">
        <f t="shared" si="37"/>
        <v>0</v>
      </c>
      <c r="L80" s="833">
        <f t="shared" si="37"/>
        <v>0</v>
      </c>
      <c r="M80" s="833">
        <f t="shared" si="37"/>
        <v>0</v>
      </c>
      <c r="N80" s="825"/>
    </row>
    <row r="81" spans="1:14" x14ac:dyDescent="0.25">
      <c r="A81" s="834" t="s">
        <v>737</v>
      </c>
      <c r="B81" s="833">
        <f t="shared" ref="B81:M81" si="38">B19*40*$B$76</f>
        <v>0</v>
      </c>
      <c r="C81" s="833">
        <f t="shared" si="38"/>
        <v>0</v>
      </c>
      <c r="D81" s="833">
        <f t="shared" si="38"/>
        <v>0</v>
      </c>
      <c r="E81" s="833">
        <f t="shared" si="38"/>
        <v>0</v>
      </c>
      <c r="F81" s="833">
        <f t="shared" si="38"/>
        <v>0</v>
      </c>
      <c r="G81" s="833">
        <f t="shared" si="38"/>
        <v>0</v>
      </c>
      <c r="H81" s="833">
        <f t="shared" si="38"/>
        <v>0</v>
      </c>
      <c r="I81" s="833">
        <f t="shared" si="38"/>
        <v>0</v>
      </c>
      <c r="J81" s="833">
        <f t="shared" si="38"/>
        <v>0</v>
      </c>
      <c r="K81" s="833">
        <f t="shared" si="38"/>
        <v>0</v>
      </c>
      <c r="L81" s="833">
        <f t="shared" si="38"/>
        <v>0</v>
      </c>
      <c r="M81" s="833">
        <f t="shared" si="38"/>
        <v>0</v>
      </c>
      <c r="N81" s="825"/>
    </row>
    <row r="82" spans="1:14" x14ac:dyDescent="0.25">
      <c r="A82" s="834" t="s">
        <v>738</v>
      </c>
      <c r="B82" s="833">
        <f t="shared" ref="B82:M82" si="39">B20*45*$B$76</f>
        <v>0</v>
      </c>
      <c r="C82" s="833">
        <f t="shared" si="39"/>
        <v>0</v>
      </c>
      <c r="D82" s="833">
        <f t="shared" si="39"/>
        <v>0</v>
      </c>
      <c r="E82" s="833">
        <f t="shared" si="39"/>
        <v>0</v>
      </c>
      <c r="F82" s="833">
        <f t="shared" si="39"/>
        <v>0</v>
      </c>
      <c r="G82" s="833">
        <f t="shared" si="39"/>
        <v>0</v>
      </c>
      <c r="H82" s="833">
        <f t="shared" si="39"/>
        <v>0</v>
      </c>
      <c r="I82" s="833">
        <f t="shared" si="39"/>
        <v>0</v>
      </c>
      <c r="J82" s="833">
        <f t="shared" si="39"/>
        <v>0</v>
      </c>
      <c r="K82" s="833">
        <f t="shared" si="39"/>
        <v>0</v>
      </c>
      <c r="L82" s="833">
        <f t="shared" si="39"/>
        <v>0</v>
      </c>
      <c r="M82" s="833">
        <f t="shared" si="39"/>
        <v>0</v>
      </c>
      <c r="N82" s="825"/>
    </row>
    <row r="83" spans="1:14" x14ac:dyDescent="0.25">
      <c r="A83" s="834" t="s">
        <v>739</v>
      </c>
      <c r="B83" s="833">
        <f t="shared" ref="B83:M83" si="40">B21*50*$B$76</f>
        <v>0</v>
      </c>
      <c r="C83" s="833">
        <f t="shared" si="40"/>
        <v>0</v>
      </c>
      <c r="D83" s="833">
        <f t="shared" si="40"/>
        <v>0</v>
      </c>
      <c r="E83" s="833">
        <f t="shared" si="40"/>
        <v>0</v>
      </c>
      <c r="F83" s="833">
        <f t="shared" si="40"/>
        <v>0</v>
      </c>
      <c r="G83" s="833">
        <f t="shared" si="40"/>
        <v>0</v>
      </c>
      <c r="H83" s="833">
        <f t="shared" si="40"/>
        <v>0</v>
      </c>
      <c r="I83" s="833">
        <f t="shared" si="40"/>
        <v>0</v>
      </c>
      <c r="J83" s="833">
        <f t="shared" si="40"/>
        <v>0</v>
      </c>
      <c r="K83" s="833">
        <f t="shared" si="40"/>
        <v>0</v>
      </c>
      <c r="L83" s="833">
        <f t="shared" si="40"/>
        <v>0</v>
      </c>
      <c r="M83" s="833">
        <f t="shared" si="40"/>
        <v>0</v>
      </c>
      <c r="N83" s="825"/>
    </row>
    <row r="84" spans="1:14" ht="15.75" thickBot="1" x14ac:dyDescent="0.3">
      <c r="A84" s="791" t="s">
        <v>740</v>
      </c>
      <c r="B84" s="833">
        <f t="shared" ref="B84:M84" si="41">B22*55*$B$76</f>
        <v>0</v>
      </c>
      <c r="C84" s="833">
        <f t="shared" si="41"/>
        <v>0</v>
      </c>
      <c r="D84" s="833">
        <f t="shared" si="41"/>
        <v>0</v>
      </c>
      <c r="E84" s="833">
        <f t="shared" si="41"/>
        <v>0</v>
      </c>
      <c r="F84" s="833">
        <f t="shared" si="41"/>
        <v>0</v>
      </c>
      <c r="G84" s="833">
        <f t="shared" si="41"/>
        <v>0</v>
      </c>
      <c r="H84" s="833">
        <f t="shared" si="41"/>
        <v>0</v>
      </c>
      <c r="I84" s="833">
        <f t="shared" si="41"/>
        <v>0</v>
      </c>
      <c r="J84" s="833">
        <f t="shared" si="41"/>
        <v>0</v>
      </c>
      <c r="K84" s="833">
        <f t="shared" si="41"/>
        <v>0</v>
      </c>
      <c r="L84" s="833">
        <f t="shared" si="41"/>
        <v>0</v>
      </c>
      <c r="M84" s="833">
        <f t="shared" si="41"/>
        <v>0</v>
      </c>
      <c r="N84" s="826"/>
    </row>
    <row r="85" spans="1:14" ht="15.75" thickBot="1" x14ac:dyDescent="0.3">
      <c r="A85" s="827"/>
      <c r="B85" s="835">
        <f t="shared" ref="B85:M85" si="42">SUM(B77:B84)</f>
        <v>0</v>
      </c>
      <c r="C85" s="836">
        <f t="shared" si="42"/>
        <v>0</v>
      </c>
      <c r="D85" s="836">
        <f t="shared" si="42"/>
        <v>0</v>
      </c>
      <c r="E85" s="836">
        <f t="shared" si="42"/>
        <v>0</v>
      </c>
      <c r="F85" s="836">
        <f t="shared" si="42"/>
        <v>0</v>
      </c>
      <c r="G85" s="836">
        <f t="shared" si="42"/>
        <v>0</v>
      </c>
      <c r="H85" s="836">
        <f t="shared" si="42"/>
        <v>0</v>
      </c>
      <c r="I85" s="836">
        <f t="shared" si="42"/>
        <v>0</v>
      </c>
      <c r="J85" s="836">
        <f t="shared" si="42"/>
        <v>0</v>
      </c>
      <c r="K85" s="836">
        <f t="shared" si="42"/>
        <v>0</v>
      </c>
      <c r="L85" s="836">
        <f t="shared" si="42"/>
        <v>0</v>
      </c>
      <c r="M85" s="837">
        <f t="shared" si="42"/>
        <v>0</v>
      </c>
      <c r="N85" s="795">
        <f>IF(Grundlagen!C24="",0,SUM(B85:M85)/Grundlagen!C24)</f>
        <v>0</v>
      </c>
    </row>
    <row r="86" spans="1:14" ht="15.75" thickBot="1" x14ac:dyDescent="0.3">
      <c r="A86" s="828"/>
      <c r="B86" s="829"/>
      <c r="C86" s="829"/>
      <c r="D86" s="829"/>
      <c r="E86" s="829"/>
      <c r="F86" s="829"/>
      <c r="G86" s="829"/>
      <c r="H86" s="829"/>
      <c r="I86" s="829"/>
      <c r="J86" s="829"/>
      <c r="K86" s="829"/>
      <c r="L86" s="829"/>
      <c r="M86" s="830" t="s">
        <v>307</v>
      </c>
      <c r="N86" s="795">
        <f>IF(N85=0,0,SUM(B85:M85)/Grundlagen!C24*(52/12*Grundlagen!C24))</f>
        <v>0</v>
      </c>
    </row>
    <row r="87" spans="1:14" ht="15.75" thickBot="1" x14ac:dyDescent="0.3">
      <c r="A87" s="828"/>
      <c r="B87" s="829"/>
      <c r="C87" s="829"/>
      <c r="D87" s="829"/>
      <c r="E87" s="829"/>
      <c r="F87" s="829"/>
      <c r="G87" s="829"/>
      <c r="H87" s="829"/>
      <c r="I87" s="829"/>
      <c r="J87" s="829"/>
      <c r="K87" s="829"/>
      <c r="L87" s="829"/>
      <c r="M87" s="830"/>
      <c r="N87" s="801"/>
    </row>
    <row r="88" spans="1:14" ht="15.75" thickBot="1" x14ac:dyDescent="0.3">
      <c r="A88" s="771" t="s">
        <v>756</v>
      </c>
      <c r="B88" s="824">
        <v>5.1999999999999998E-2</v>
      </c>
      <c r="C88" s="926" t="s">
        <v>754</v>
      </c>
      <c r="D88" s="926"/>
      <c r="E88" s="926"/>
      <c r="F88" s="926"/>
      <c r="G88" s="926"/>
      <c r="H88" s="926"/>
      <c r="I88" s="926"/>
      <c r="J88" s="926"/>
      <c r="K88" s="926"/>
      <c r="L88" s="926"/>
      <c r="M88" s="927"/>
      <c r="N88" s="823"/>
    </row>
    <row r="89" spans="1:14" x14ac:dyDescent="0.25">
      <c r="A89" s="774" t="s">
        <v>745</v>
      </c>
      <c r="B89" s="817">
        <f t="shared" ref="B89:M89" si="43">B51*5*$B$88</f>
        <v>0</v>
      </c>
      <c r="C89" s="817">
        <f t="shared" si="43"/>
        <v>0</v>
      </c>
      <c r="D89" s="817">
        <f t="shared" si="43"/>
        <v>0</v>
      </c>
      <c r="E89" s="817">
        <f t="shared" si="43"/>
        <v>0</v>
      </c>
      <c r="F89" s="817">
        <f t="shared" si="43"/>
        <v>0</v>
      </c>
      <c r="G89" s="817">
        <f t="shared" si="43"/>
        <v>0</v>
      </c>
      <c r="H89" s="817">
        <f t="shared" si="43"/>
        <v>0</v>
      </c>
      <c r="I89" s="817">
        <f t="shared" si="43"/>
        <v>0</v>
      </c>
      <c r="J89" s="817">
        <f t="shared" si="43"/>
        <v>0</v>
      </c>
      <c r="K89" s="817">
        <f t="shared" si="43"/>
        <v>0</v>
      </c>
      <c r="L89" s="817">
        <f t="shared" si="43"/>
        <v>0</v>
      </c>
      <c r="M89" s="817">
        <f t="shared" si="43"/>
        <v>0</v>
      </c>
      <c r="N89" s="776"/>
    </row>
    <row r="90" spans="1:14" x14ac:dyDescent="0.25">
      <c r="A90" s="779" t="s">
        <v>746</v>
      </c>
      <c r="B90" s="817">
        <f t="shared" ref="B90:M90" si="44">B52*10*$B$88</f>
        <v>0</v>
      </c>
      <c r="C90" s="817">
        <f t="shared" si="44"/>
        <v>0</v>
      </c>
      <c r="D90" s="817">
        <f t="shared" si="44"/>
        <v>0</v>
      </c>
      <c r="E90" s="817">
        <f t="shared" si="44"/>
        <v>0</v>
      </c>
      <c r="F90" s="817">
        <f t="shared" si="44"/>
        <v>0</v>
      </c>
      <c r="G90" s="817">
        <f t="shared" si="44"/>
        <v>0</v>
      </c>
      <c r="H90" s="817">
        <f t="shared" si="44"/>
        <v>0</v>
      </c>
      <c r="I90" s="817">
        <f t="shared" si="44"/>
        <v>0</v>
      </c>
      <c r="J90" s="817">
        <f t="shared" si="44"/>
        <v>0</v>
      </c>
      <c r="K90" s="817">
        <f t="shared" si="44"/>
        <v>0</v>
      </c>
      <c r="L90" s="817">
        <f t="shared" si="44"/>
        <v>0</v>
      </c>
      <c r="M90" s="817">
        <f t="shared" si="44"/>
        <v>0</v>
      </c>
      <c r="N90" s="776"/>
    </row>
    <row r="91" spans="1:14" x14ac:dyDescent="0.25">
      <c r="A91" s="779" t="s">
        <v>747</v>
      </c>
      <c r="B91" s="817">
        <f t="shared" ref="B91:M91" si="45">B53*15*$B$88</f>
        <v>0</v>
      </c>
      <c r="C91" s="817">
        <f t="shared" si="45"/>
        <v>0</v>
      </c>
      <c r="D91" s="817">
        <f t="shared" si="45"/>
        <v>0</v>
      </c>
      <c r="E91" s="817">
        <f t="shared" si="45"/>
        <v>0</v>
      </c>
      <c r="F91" s="817">
        <f t="shared" si="45"/>
        <v>0</v>
      </c>
      <c r="G91" s="817">
        <f t="shared" si="45"/>
        <v>0</v>
      </c>
      <c r="H91" s="817">
        <f t="shared" si="45"/>
        <v>0</v>
      </c>
      <c r="I91" s="817">
        <f t="shared" si="45"/>
        <v>0</v>
      </c>
      <c r="J91" s="817">
        <f t="shared" si="45"/>
        <v>0</v>
      </c>
      <c r="K91" s="817">
        <f t="shared" si="45"/>
        <v>0</v>
      </c>
      <c r="L91" s="817">
        <f t="shared" si="45"/>
        <v>0</v>
      </c>
      <c r="M91" s="817">
        <f t="shared" si="45"/>
        <v>0</v>
      </c>
      <c r="N91" s="776"/>
    </row>
    <row r="92" spans="1:14" x14ac:dyDescent="0.25">
      <c r="A92" s="779" t="s">
        <v>733</v>
      </c>
      <c r="B92" s="817">
        <f t="shared" ref="B92:M92" si="46">B54*20*$B$88</f>
        <v>0</v>
      </c>
      <c r="C92" s="817">
        <f t="shared" si="46"/>
        <v>0</v>
      </c>
      <c r="D92" s="817">
        <f t="shared" si="46"/>
        <v>0</v>
      </c>
      <c r="E92" s="817">
        <f t="shared" si="46"/>
        <v>0</v>
      </c>
      <c r="F92" s="817">
        <f t="shared" si="46"/>
        <v>0</v>
      </c>
      <c r="G92" s="817">
        <f t="shared" si="46"/>
        <v>0</v>
      </c>
      <c r="H92" s="817">
        <f t="shared" si="46"/>
        <v>0</v>
      </c>
      <c r="I92" s="817">
        <f t="shared" si="46"/>
        <v>0</v>
      </c>
      <c r="J92" s="817">
        <f t="shared" si="46"/>
        <v>0</v>
      </c>
      <c r="K92" s="817">
        <f t="shared" si="46"/>
        <v>0</v>
      </c>
      <c r="L92" s="817">
        <f t="shared" si="46"/>
        <v>0</v>
      </c>
      <c r="M92" s="817">
        <f t="shared" si="46"/>
        <v>0</v>
      </c>
      <c r="N92" s="776"/>
    </row>
    <row r="93" spans="1:14" x14ac:dyDescent="0.25">
      <c r="A93" s="779" t="s">
        <v>734</v>
      </c>
      <c r="B93" s="817">
        <f t="shared" ref="B93:M93" si="47">B55*25*$B$88</f>
        <v>0</v>
      </c>
      <c r="C93" s="817">
        <f t="shared" si="47"/>
        <v>0</v>
      </c>
      <c r="D93" s="817">
        <f t="shared" si="47"/>
        <v>0</v>
      </c>
      <c r="E93" s="817">
        <f t="shared" si="47"/>
        <v>0</v>
      </c>
      <c r="F93" s="817">
        <f t="shared" si="47"/>
        <v>0</v>
      </c>
      <c r="G93" s="817">
        <f t="shared" si="47"/>
        <v>0</v>
      </c>
      <c r="H93" s="817">
        <f t="shared" si="47"/>
        <v>0</v>
      </c>
      <c r="I93" s="817">
        <f t="shared" si="47"/>
        <v>0</v>
      </c>
      <c r="J93" s="817">
        <f t="shared" si="47"/>
        <v>0</v>
      </c>
      <c r="K93" s="817">
        <f t="shared" si="47"/>
        <v>0</v>
      </c>
      <c r="L93" s="817">
        <f t="shared" si="47"/>
        <v>0</v>
      </c>
      <c r="M93" s="817">
        <f t="shared" si="47"/>
        <v>0</v>
      </c>
      <c r="N93" s="776"/>
    </row>
    <row r="94" spans="1:14" x14ac:dyDescent="0.25">
      <c r="A94" s="779" t="s">
        <v>735</v>
      </c>
      <c r="B94" s="817">
        <f t="shared" ref="B94:M94" si="48">B56*30*$B$88</f>
        <v>0</v>
      </c>
      <c r="C94" s="817">
        <f t="shared" si="48"/>
        <v>0</v>
      </c>
      <c r="D94" s="817">
        <f t="shared" si="48"/>
        <v>0</v>
      </c>
      <c r="E94" s="817">
        <f t="shared" si="48"/>
        <v>0</v>
      </c>
      <c r="F94" s="817">
        <f t="shared" si="48"/>
        <v>0</v>
      </c>
      <c r="G94" s="817">
        <f t="shared" si="48"/>
        <v>0</v>
      </c>
      <c r="H94" s="817">
        <f t="shared" si="48"/>
        <v>0</v>
      </c>
      <c r="I94" s="817">
        <f t="shared" si="48"/>
        <v>0</v>
      </c>
      <c r="J94" s="817">
        <f t="shared" si="48"/>
        <v>0</v>
      </c>
      <c r="K94" s="817">
        <f t="shared" si="48"/>
        <v>0</v>
      </c>
      <c r="L94" s="817">
        <f t="shared" si="48"/>
        <v>0</v>
      </c>
      <c r="M94" s="817">
        <f t="shared" si="48"/>
        <v>0</v>
      </c>
      <c r="N94" s="838"/>
    </row>
    <row r="95" spans="1:14" x14ac:dyDescent="0.25">
      <c r="A95" s="779" t="s">
        <v>736</v>
      </c>
      <c r="B95" s="817">
        <f t="shared" ref="B95:M95" si="49">B57*35*$B$88</f>
        <v>0</v>
      </c>
      <c r="C95" s="817">
        <f t="shared" si="49"/>
        <v>0</v>
      </c>
      <c r="D95" s="817">
        <f t="shared" si="49"/>
        <v>0</v>
      </c>
      <c r="E95" s="817">
        <f t="shared" si="49"/>
        <v>0</v>
      </c>
      <c r="F95" s="817">
        <f t="shared" si="49"/>
        <v>0</v>
      </c>
      <c r="G95" s="817">
        <f t="shared" si="49"/>
        <v>0</v>
      </c>
      <c r="H95" s="817">
        <f t="shared" si="49"/>
        <v>0</v>
      </c>
      <c r="I95" s="817">
        <f t="shared" si="49"/>
        <v>0</v>
      </c>
      <c r="J95" s="817">
        <f t="shared" si="49"/>
        <v>0</v>
      </c>
      <c r="K95" s="817">
        <f t="shared" si="49"/>
        <v>0</v>
      </c>
      <c r="L95" s="817">
        <f t="shared" si="49"/>
        <v>0</v>
      </c>
      <c r="M95" s="817">
        <f t="shared" si="49"/>
        <v>0</v>
      </c>
      <c r="N95" s="838"/>
    </row>
    <row r="96" spans="1:14" x14ac:dyDescent="0.25">
      <c r="A96" s="779" t="s">
        <v>737</v>
      </c>
      <c r="B96" s="817">
        <f t="shared" ref="B96:M96" si="50">B58*40*$B$88</f>
        <v>0</v>
      </c>
      <c r="C96" s="817">
        <f t="shared" si="50"/>
        <v>0</v>
      </c>
      <c r="D96" s="817">
        <f t="shared" si="50"/>
        <v>0</v>
      </c>
      <c r="E96" s="817">
        <f t="shared" si="50"/>
        <v>0</v>
      </c>
      <c r="F96" s="817">
        <f t="shared" si="50"/>
        <v>0</v>
      </c>
      <c r="G96" s="817">
        <f t="shared" si="50"/>
        <v>0</v>
      </c>
      <c r="H96" s="817">
        <f t="shared" si="50"/>
        <v>0</v>
      </c>
      <c r="I96" s="817">
        <f t="shared" si="50"/>
        <v>0</v>
      </c>
      <c r="J96" s="817">
        <f t="shared" si="50"/>
        <v>0</v>
      </c>
      <c r="K96" s="817">
        <f t="shared" si="50"/>
        <v>0</v>
      </c>
      <c r="L96" s="817">
        <f t="shared" si="50"/>
        <v>0</v>
      </c>
      <c r="M96" s="817">
        <f t="shared" si="50"/>
        <v>0</v>
      </c>
      <c r="N96" s="776"/>
    </row>
    <row r="97" spans="1:14" x14ac:dyDescent="0.25">
      <c r="A97" s="779" t="s">
        <v>738</v>
      </c>
      <c r="B97" s="817">
        <f t="shared" ref="B97:M97" si="51">B59*45*$B$88</f>
        <v>0</v>
      </c>
      <c r="C97" s="817">
        <f t="shared" si="51"/>
        <v>0</v>
      </c>
      <c r="D97" s="817">
        <f t="shared" si="51"/>
        <v>0</v>
      </c>
      <c r="E97" s="817">
        <f t="shared" si="51"/>
        <v>0</v>
      </c>
      <c r="F97" s="817">
        <f t="shared" si="51"/>
        <v>0</v>
      </c>
      <c r="G97" s="817">
        <f t="shared" si="51"/>
        <v>0</v>
      </c>
      <c r="H97" s="817">
        <f t="shared" si="51"/>
        <v>0</v>
      </c>
      <c r="I97" s="817">
        <f t="shared" si="51"/>
        <v>0</v>
      </c>
      <c r="J97" s="817">
        <f t="shared" si="51"/>
        <v>0</v>
      </c>
      <c r="K97" s="817">
        <f t="shared" si="51"/>
        <v>0</v>
      </c>
      <c r="L97" s="817">
        <f t="shared" si="51"/>
        <v>0</v>
      </c>
      <c r="M97" s="817">
        <f t="shared" si="51"/>
        <v>0</v>
      </c>
      <c r="N97" s="805"/>
    </row>
    <row r="98" spans="1:14" ht="15.75" thickBot="1" x14ac:dyDescent="0.3">
      <c r="A98" s="806" t="s">
        <v>750</v>
      </c>
      <c r="B98" s="817">
        <f t="shared" ref="B98:M98" si="52">B60*50*$B$88</f>
        <v>0</v>
      </c>
      <c r="C98" s="817">
        <f t="shared" si="52"/>
        <v>0</v>
      </c>
      <c r="D98" s="817">
        <f t="shared" si="52"/>
        <v>0</v>
      </c>
      <c r="E98" s="817">
        <f t="shared" si="52"/>
        <v>0</v>
      </c>
      <c r="F98" s="817">
        <f t="shared" si="52"/>
        <v>0</v>
      </c>
      <c r="G98" s="817">
        <f t="shared" si="52"/>
        <v>0</v>
      </c>
      <c r="H98" s="817">
        <f t="shared" si="52"/>
        <v>0</v>
      </c>
      <c r="I98" s="817">
        <f t="shared" si="52"/>
        <v>0</v>
      </c>
      <c r="J98" s="817">
        <f t="shared" si="52"/>
        <v>0</v>
      </c>
      <c r="K98" s="817">
        <f t="shared" si="52"/>
        <v>0</v>
      </c>
      <c r="L98" s="817">
        <f t="shared" si="52"/>
        <v>0</v>
      </c>
      <c r="M98" s="817">
        <f t="shared" si="52"/>
        <v>0</v>
      </c>
      <c r="N98" s="805"/>
    </row>
    <row r="99" spans="1:14" ht="15.75" thickBot="1" x14ac:dyDescent="0.3">
      <c r="A99" s="827"/>
      <c r="B99" s="818">
        <f>SUM(B89:B98)</f>
        <v>0</v>
      </c>
      <c r="C99" s="819">
        <f t="shared" ref="C99:M99" si="53">SUM(C89:C98)</f>
        <v>0</v>
      </c>
      <c r="D99" s="819">
        <f t="shared" si="53"/>
        <v>0</v>
      </c>
      <c r="E99" s="819">
        <f t="shared" si="53"/>
        <v>0</v>
      </c>
      <c r="F99" s="819">
        <f t="shared" si="53"/>
        <v>0</v>
      </c>
      <c r="G99" s="819">
        <f t="shared" si="53"/>
        <v>0</v>
      </c>
      <c r="H99" s="819">
        <f t="shared" si="53"/>
        <v>0</v>
      </c>
      <c r="I99" s="819">
        <f t="shared" si="53"/>
        <v>0</v>
      </c>
      <c r="J99" s="819">
        <f t="shared" si="53"/>
        <v>0</v>
      </c>
      <c r="K99" s="819">
        <f t="shared" si="53"/>
        <v>0</v>
      </c>
      <c r="L99" s="819">
        <f t="shared" si="53"/>
        <v>0</v>
      </c>
      <c r="M99" s="820">
        <f t="shared" si="53"/>
        <v>0</v>
      </c>
      <c r="N99" s="786">
        <f>IF(Grundlagen!C24="",0,SUM(B99:M99)/Grundlagen!C24)</f>
        <v>0</v>
      </c>
    </row>
    <row r="100" spans="1:14" ht="15.75" thickBot="1" x14ac:dyDescent="0.3">
      <c r="B100" s="839"/>
      <c r="C100" s="839"/>
      <c r="D100" s="839"/>
      <c r="E100" s="839"/>
      <c r="F100" s="839"/>
      <c r="G100" s="839"/>
      <c r="H100" s="839"/>
      <c r="I100" s="839"/>
      <c r="J100" s="839"/>
      <c r="K100" s="839"/>
      <c r="L100" s="839"/>
      <c r="M100" s="830" t="s">
        <v>307</v>
      </c>
      <c r="N100" s="786">
        <f>IF(N99=0,0,SUM(B99:M99)/Grundlagen!C24*(52/12*Grundlagen!C24))</f>
        <v>0</v>
      </c>
    </row>
    <row r="101" spans="1:14" ht="15.75" thickBot="1" x14ac:dyDescent="0.3">
      <c r="M101" s="402" t="s">
        <v>757</v>
      </c>
      <c r="N101" s="840">
        <f>N74+N86+N100</f>
        <v>0</v>
      </c>
    </row>
  </sheetData>
  <sheetProtection algorithmName="SHA-512" hashValue="psE/TlFAjDuvXM80JMtDDsQ5BBjOnWYTQonwJv6CaxAPoAflzJKg+m5mRY0sNk2W2jh2LYLA6QXn8LbBydDCOg==" saltValue="npGMxIsY2Yd70/SRo2Solw==" spinCount="100000" sheet="1" objects="1" scenarios="1"/>
  <mergeCells count="6">
    <mergeCell ref="C88:M88"/>
    <mergeCell ref="B1:M1"/>
    <mergeCell ref="B26:M26"/>
    <mergeCell ref="B34:M34"/>
    <mergeCell ref="C64:M64"/>
    <mergeCell ref="C76:M76"/>
  </mergeCells>
  <printOptions horizontalCentered="1"/>
  <pageMargins left="0.19685039370078741" right="0.19685039370078741" top="1.1811023622047245" bottom="0.78740157480314965" header="0.19685039370078741" footer="0.19685039370078741"/>
  <pageSetup paperSize="9" scale="69" fitToHeight="2" orientation="landscape" r:id="rId1"/>
  <headerFooter>
    <oddHeader xml:space="preserve">&amp;L&amp;"Arial,Fett"&amp;22Salzlandkreis&amp;11
&amp;12Der Landrat&amp;C&amp;"Arial,Fett"
&amp;12
Belegung und Wochenstunden&amp;R&amp;G
</oddHeader>
    <oddFooter>&amp;C&amp;"Arial,Standard"&amp;8Ausfertigung vom &amp;D &amp;T&amp;R&amp;"Arial,Standard"&amp;8&amp;P von &amp;N</oddFooter>
  </headerFooter>
  <rowBreaks count="2" manualBreakCount="2">
    <brk id="25" max="16383" man="1"/>
    <brk id="61"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132"/>
  <sheetViews>
    <sheetView showGridLines="0" view="pageLayout" zoomScaleNormal="100" workbookViewId="0">
      <selection activeCell="D7" sqref="D7:I7"/>
    </sheetView>
  </sheetViews>
  <sheetFormatPr baseColWidth="10" defaultRowHeight="14.25" x14ac:dyDescent="0.2"/>
  <cols>
    <col min="1" max="1" width="9.42578125" style="20" customWidth="1"/>
    <col min="2" max="2" width="12.7109375" style="20" customWidth="1"/>
    <col min="3" max="3" width="11.42578125" style="20"/>
    <col min="4" max="4" width="10.5703125" style="20" customWidth="1"/>
    <col min="5" max="5" width="11.140625" style="20" customWidth="1"/>
    <col min="6" max="6" width="11.42578125" style="20" customWidth="1"/>
    <col min="7" max="7" width="10.140625" style="20" customWidth="1"/>
    <col min="8" max="8" width="11.5703125" style="20" customWidth="1"/>
    <col min="9" max="11" width="11.42578125" style="20"/>
    <col min="12" max="13" width="11.140625" style="20" customWidth="1"/>
    <col min="14" max="14" width="11.42578125" style="20" customWidth="1"/>
    <col min="15" max="15" width="11.5703125" style="20" customWidth="1"/>
    <col min="16" max="16" width="10.85546875" style="20" customWidth="1"/>
    <col min="17" max="16384" width="11.42578125" style="20"/>
  </cols>
  <sheetData>
    <row r="1" spans="1:16" s="12" customFormat="1" ht="13.5" customHeight="1" x14ac:dyDescent="0.2">
      <c r="A1" s="1178" t="s">
        <v>18</v>
      </c>
      <c r="B1" s="1178"/>
      <c r="C1" s="1178"/>
      <c r="D1" s="1179" t="str">
        <f>IF('päd.Personal - Leitung'!D1="","",'päd.Personal - Leitung'!D1)</f>
        <v/>
      </c>
      <c r="E1" s="1179"/>
      <c r="F1" s="1179"/>
      <c r="G1" s="1179"/>
      <c r="H1" s="1179"/>
      <c r="I1" s="1179"/>
      <c r="J1" s="1179"/>
      <c r="K1" s="1179"/>
      <c r="L1" s="1179"/>
      <c r="M1" s="1179"/>
      <c r="N1" s="1179"/>
    </row>
    <row r="2" spans="1:16" s="12" customFormat="1" ht="15" customHeight="1" x14ac:dyDescent="0.2">
      <c r="A2" s="1178" t="s">
        <v>17</v>
      </c>
      <c r="B2" s="1178"/>
      <c r="C2" s="1178" t="s">
        <v>15</v>
      </c>
      <c r="D2" s="1179" t="str">
        <f>IF('päd.Personal - Leitung'!D2="","",'päd.Personal - Leitung'!D2)</f>
        <v/>
      </c>
      <c r="E2" s="1179"/>
      <c r="F2" s="1179"/>
      <c r="G2" s="1179"/>
      <c r="H2" s="1179"/>
      <c r="I2" s="1179"/>
      <c r="J2" s="1179"/>
      <c r="K2" s="1179"/>
      <c r="L2" s="1179"/>
      <c r="M2" s="1179"/>
      <c r="N2" s="1179"/>
    </row>
    <row r="3" spans="1:16" s="12" customFormat="1" ht="15" customHeight="1" x14ac:dyDescent="0.2">
      <c r="A3" s="1178" t="s">
        <v>16</v>
      </c>
      <c r="B3" s="1178"/>
      <c r="C3" s="1178" t="s">
        <v>15</v>
      </c>
      <c r="D3" s="1179" t="str">
        <f>IF('päd.Personal - Leitung'!D3="","",'päd.Personal - Leitung'!D3)</f>
        <v/>
      </c>
      <c r="E3" s="1179"/>
      <c r="F3" s="1179"/>
      <c r="G3" s="1179"/>
      <c r="H3" s="1179"/>
      <c r="I3" s="1179"/>
      <c r="J3" s="1179"/>
      <c r="K3" s="1178" t="s">
        <v>103</v>
      </c>
      <c r="L3" s="1178"/>
      <c r="M3" s="1178"/>
      <c r="N3" s="41" t="str">
        <f>IF('päd.Personal - Leitung'!N3="","",'päd.Personal - Leitung'!N3)</f>
        <v/>
      </c>
    </row>
    <row r="4" spans="1:16" s="13" customFormat="1" ht="11.25" x14ac:dyDescent="0.2">
      <c r="A4" s="1182"/>
      <c r="B4" s="1182"/>
      <c r="C4" s="1182"/>
      <c r="D4" s="1183"/>
      <c r="E4" s="1183"/>
      <c r="F4" s="1183"/>
      <c r="G4" s="1183"/>
      <c r="H4" s="1183"/>
      <c r="I4" s="1183"/>
      <c r="J4" s="1183"/>
      <c r="K4" s="11"/>
      <c r="L4" s="11"/>
      <c r="M4" s="11"/>
      <c r="N4" s="11"/>
      <c r="O4" s="11"/>
      <c r="P4" s="11"/>
    </row>
    <row r="5" spans="1:16" s="15" customFormat="1" ht="13.5" customHeight="1" x14ac:dyDescent="0.2">
      <c r="A5" s="1177" t="s">
        <v>210</v>
      </c>
      <c r="B5" s="1177"/>
      <c r="C5" s="1177"/>
      <c r="D5" s="1177"/>
      <c r="E5" s="1177"/>
      <c r="F5" s="1177"/>
      <c r="G5" s="1177"/>
      <c r="H5" s="1177"/>
      <c r="I5" s="1177"/>
      <c r="J5" s="1177"/>
      <c r="K5" s="1177"/>
      <c r="L5" s="9"/>
      <c r="M5" s="9"/>
      <c r="N5" s="59" t="s">
        <v>154</v>
      </c>
      <c r="O5" s="191">
        <f>'päd.Personal - Leitung'!$O$5</f>
        <v>2022</v>
      </c>
      <c r="P5" s="59" t="s">
        <v>154</v>
      </c>
    </row>
    <row r="6" spans="1:16" s="10" customFormat="1" ht="13.5" customHeight="1" x14ac:dyDescent="0.25">
      <c r="B6" s="32"/>
      <c r="C6" s="32"/>
      <c r="D6" s="5" t="s">
        <v>205</v>
      </c>
      <c r="E6" s="31"/>
      <c r="F6" s="31"/>
      <c r="G6" s="31"/>
      <c r="H6" s="31"/>
      <c r="I6" s="26"/>
      <c r="J6" s="1197"/>
      <c r="K6" s="1197"/>
      <c r="L6" s="111"/>
      <c r="N6" s="84">
        <f>IF(L8="","",L8)</f>
        <v>0</v>
      </c>
      <c r="O6" s="58" t="str">
        <f>'päd.Personal - Leitung'!$O$6</f>
        <v>Jan                Jul</v>
      </c>
      <c r="P6" s="85">
        <f>IF(N11="","",N11)</f>
        <v>0</v>
      </c>
    </row>
    <row r="7" spans="1:16" s="7" customFormat="1" ht="13.5" customHeight="1" x14ac:dyDescent="0.25">
      <c r="A7" s="1180" t="s">
        <v>71</v>
      </c>
      <c r="B7" s="1180"/>
      <c r="C7" s="1180"/>
      <c r="D7" s="1184"/>
      <c r="E7" s="1184"/>
      <c r="F7" s="1184"/>
      <c r="G7" s="1184"/>
      <c r="H7" s="1184"/>
      <c r="I7" s="1184"/>
      <c r="J7" s="1174" t="s">
        <v>104</v>
      </c>
      <c r="K7" s="1174"/>
      <c r="L7" s="145"/>
      <c r="N7" s="85">
        <f>IF(N6="","",N6)</f>
        <v>0</v>
      </c>
      <c r="O7" s="58" t="str">
        <f>'päd.Personal - Leitung'!$O$7</f>
        <v>Feb              Aug</v>
      </c>
      <c r="P7" s="85">
        <f>IF(P6="","",P6)</f>
        <v>0</v>
      </c>
    </row>
    <row r="8" spans="1:16" s="1" customFormat="1" ht="13.5" customHeight="1" x14ac:dyDescent="0.2">
      <c r="A8" s="1180" t="s">
        <v>13</v>
      </c>
      <c r="B8" s="1180"/>
      <c r="C8" s="1180"/>
      <c r="D8" s="1181"/>
      <c r="E8" s="1181"/>
      <c r="F8" s="1181"/>
      <c r="G8" s="1181"/>
      <c r="H8" s="1181"/>
      <c r="I8" s="1181"/>
      <c r="J8" s="1174" t="s">
        <v>164</v>
      </c>
      <c r="K8" s="1174"/>
      <c r="L8" s="145">
        <f>IF((L9+L10)&gt;L7,0,L7-L9-L10)</f>
        <v>0</v>
      </c>
      <c r="N8" s="85">
        <f>IF(N7="","",N7)</f>
        <v>0</v>
      </c>
      <c r="O8" s="58" t="str">
        <f>'päd.Personal - Leitung'!$O$8</f>
        <v>Mrz              Sep</v>
      </c>
      <c r="P8" s="85">
        <f>IF(P7="","",P7)</f>
        <v>0</v>
      </c>
    </row>
    <row r="9" spans="1:16" s="1" customFormat="1" ht="13.5" customHeight="1" x14ac:dyDescent="0.2">
      <c r="A9" s="1180" t="s">
        <v>80</v>
      </c>
      <c r="B9" s="1180"/>
      <c r="C9" s="1180"/>
      <c r="D9" s="1181"/>
      <c r="E9" s="1181"/>
      <c r="F9" s="1181"/>
      <c r="G9" s="1181"/>
      <c r="H9" s="1181"/>
      <c r="I9" s="1181"/>
      <c r="J9" s="1174" t="s">
        <v>165</v>
      </c>
      <c r="K9" s="1174"/>
      <c r="L9" s="145"/>
      <c r="N9" s="85">
        <f>IF(N8="","",N8)</f>
        <v>0</v>
      </c>
      <c r="O9" s="58" t="str">
        <f>'päd.Personal - Leitung'!$O$9</f>
        <v>Apr               Okt</v>
      </c>
      <c r="P9" s="85">
        <f t="shared" ref="P9:P11" si="0">IF(P8="","",P8)</f>
        <v>0</v>
      </c>
    </row>
    <row r="10" spans="1:16" s="1" customFormat="1" ht="13.5" customHeight="1" x14ac:dyDescent="0.2">
      <c r="A10" s="1180" t="s">
        <v>19</v>
      </c>
      <c r="B10" s="1180"/>
      <c r="C10" s="1180"/>
      <c r="D10" s="1181"/>
      <c r="E10" s="1181"/>
      <c r="F10" s="1181"/>
      <c r="G10" s="1181"/>
      <c r="H10" s="1181"/>
      <c r="I10" s="1181"/>
      <c r="J10" s="1174" t="s">
        <v>252</v>
      </c>
      <c r="K10" s="1174"/>
      <c r="L10" s="145"/>
      <c r="M10" s="92"/>
      <c r="N10" s="85">
        <f>IF(N9="","",N9)</f>
        <v>0</v>
      </c>
      <c r="O10" s="58" t="str">
        <f>'päd.Personal - Leitung'!$O$10</f>
        <v>Mai               Nov</v>
      </c>
      <c r="P10" s="85">
        <f t="shared" si="0"/>
        <v>0</v>
      </c>
    </row>
    <row r="11" spans="1:16" s="1" customFormat="1" ht="13.5" customHeight="1" x14ac:dyDescent="0.2">
      <c r="B11" s="8"/>
      <c r="C11" s="132" t="s">
        <v>162</v>
      </c>
      <c r="D11" s="1175"/>
      <c r="E11" s="1175"/>
      <c r="F11" s="1176" t="s">
        <v>106</v>
      </c>
      <c r="G11" s="1176"/>
      <c r="H11" s="1186"/>
      <c r="I11" s="1186"/>
      <c r="J11" s="1174" t="s">
        <v>97</v>
      </c>
      <c r="K11" s="1174"/>
      <c r="L11" s="17" t="str">
        <f>IF(IF((COUNTIF(B26:B37,"&gt;0"))=0,0,(COUNTIF(B26:B37,"&gt;0")))&gt;Grundlagen!$C$24,Grundlagen!$C$24,IF((COUNTIF(B26:B37,"&gt;0"))=0,"",(COUNTIF(B26:B37,"&gt;0"))))</f>
        <v/>
      </c>
      <c r="N11" s="85">
        <f>IF(N10="","",N10)</f>
        <v>0</v>
      </c>
      <c r="O11" s="58" t="str">
        <f>'päd.Personal - Leitung'!$O$11</f>
        <v>Jun               Dez</v>
      </c>
      <c r="P11" s="85">
        <f t="shared" si="0"/>
        <v>0</v>
      </c>
    </row>
    <row r="12" spans="1:16" s="1" customFormat="1" ht="13.5" customHeight="1" x14ac:dyDescent="0.2">
      <c r="L12" s="147" t="str">
        <f>IF((SUM(E14:F17))=0,"",IF(P12&gt;L8,L8,IF(L8="","",IF(L11="","",P12))))</f>
        <v/>
      </c>
      <c r="O12" s="174" t="s">
        <v>251</v>
      </c>
      <c r="P12" s="175">
        <f>IF(L11="",0,((IF(SUMIF(B26,"&gt;0"),N6,0))+(IF(SUMIF(B27,"&gt;0"),N7,0))+(IF(SUMIF(B28,"&gt;0"),N8,0))+(IF(SUMIF(B29,"&gt;0"),N9,0))+(IF(SUMIF(B30,"&gt;0"),N10,0))+(IF(SUMIF(B31,"&gt;0"),N11,0))+(IF(SUMIF(B32,"&gt;0"),P6,0))+(IF(SUMIF(B33,"&gt;0"),P7,0))+(IF(SUMIF(B34,"&gt;0"),P8,0))+(IF(SUMIF(B35,"&gt;0"),P9,0))+(IF(SUMIF(B36,"&gt;0"),P10,0))+(IF(SUMIF(B37,"&gt;0"),P11,0)))/Grundlagen!$C$24)</f>
        <v>0</v>
      </c>
    </row>
    <row r="13" spans="1:16" s="156" customFormat="1" ht="14.25" customHeight="1" x14ac:dyDescent="0.25">
      <c r="A13" s="150" t="s">
        <v>197</v>
      </c>
      <c r="B13" s="63"/>
      <c r="C13" s="151"/>
      <c r="D13" s="63"/>
      <c r="E13" s="1229" t="s">
        <v>198</v>
      </c>
      <c r="F13" s="1229"/>
      <c r="G13" s="65" t="s">
        <v>152</v>
      </c>
      <c r="H13" s="117"/>
      <c r="I13" s="152"/>
      <c r="J13" s="152"/>
      <c r="K13" s="153"/>
      <c r="L13" s="154"/>
      <c r="M13" s="153"/>
      <c r="N13" s="155"/>
      <c r="O13" s="116"/>
    </row>
    <row r="14" spans="1:16" s="156" customFormat="1" ht="14.25" customHeight="1" x14ac:dyDescent="0.25">
      <c r="A14" s="54" t="str">
        <f>A26</f>
        <v>Jan 2022</v>
      </c>
      <c r="B14" s="1233"/>
      <c r="C14" s="1234"/>
      <c r="D14" s="1235"/>
      <c r="E14" s="1222"/>
      <c r="F14" s="1223"/>
      <c r="G14" s="157">
        <f>IF(L8=0,0,E14/L7/4.348)</f>
        <v>0</v>
      </c>
      <c r="H14" s="118"/>
    </row>
    <row r="15" spans="1:16" s="156" customFormat="1" ht="14.25" customHeight="1" x14ac:dyDescent="0.25">
      <c r="A15" s="55"/>
      <c r="B15" s="1233"/>
      <c r="C15" s="1234"/>
      <c r="D15" s="1235"/>
      <c r="E15" s="1222"/>
      <c r="F15" s="1223"/>
      <c r="G15" s="157">
        <f>IF(L8=0,0,E15/L7/4.348)</f>
        <v>0</v>
      </c>
      <c r="H15" s="65"/>
    </row>
    <row r="16" spans="1:16" s="156" customFormat="1" ht="14.25" customHeight="1" x14ac:dyDescent="0.25">
      <c r="A16" s="55"/>
      <c r="B16" s="1233"/>
      <c r="C16" s="1234"/>
      <c r="D16" s="1235"/>
      <c r="E16" s="1222"/>
      <c r="F16" s="1223"/>
      <c r="G16" s="157">
        <f>IF(L8=0,0,E16/L7/4.348)</f>
        <v>0</v>
      </c>
      <c r="H16" s="116"/>
    </row>
    <row r="17" spans="1:16" s="116" customFormat="1" ht="14.25" customHeight="1" x14ac:dyDescent="0.25">
      <c r="A17" s="55"/>
      <c r="B17" s="1233"/>
      <c r="C17" s="1234"/>
      <c r="D17" s="1235"/>
      <c r="E17" s="1222"/>
      <c r="F17" s="1223"/>
      <c r="G17" s="157">
        <f>IF(L8=0,0,E17/L7/4.348)</f>
        <v>0</v>
      </c>
      <c r="H17" s="117"/>
    </row>
    <row r="18" spans="1:16" s="116" customFormat="1" ht="14.25" customHeight="1" x14ac:dyDescent="0.25">
      <c r="A18" s="52"/>
      <c r="B18" s="1167" t="s">
        <v>157</v>
      </c>
      <c r="C18" s="1167"/>
      <c r="D18" s="52"/>
      <c r="E18" s="1167" t="s">
        <v>156</v>
      </c>
      <c r="F18" s="1167"/>
      <c r="G18" s="119"/>
      <c r="H18" s="117"/>
    </row>
    <row r="19" spans="1:16" s="156" customFormat="1" ht="14.25" customHeight="1" x14ac:dyDescent="0.25">
      <c r="A19" s="70" t="s">
        <v>167</v>
      </c>
      <c r="B19" s="67"/>
      <c r="C19" s="99"/>
      <c r="D19" s="70" t="s">
        <v>167</v>
      </c>
      <c r="E19" s="67"/>
      <c r="F19" s="99"/>
      <c r="H19" s="117"/>
      <c r="K19" s="152"/>
      <c r="L19" s="152"/>
      <c r="M19" s="152"/>
      <c r="N19" s="159"/>
      <c r="O19" s="152"/>
    </row>
    <row r="20" spans="1:16" s="52" customFormat="1" ht="13.5" customHeight="1" x14ac:dyDescent="0.2">
      <c r="A20" s="60" t="s">
        <v>155</v>
      </c>
    </row>
    <row r="21" spans="1:16" ht="14.25" customHeight="1" x14ac:dyDescent="0.2">
      <c r="A21" s="1147"/>
      <c r="B21" s="1149" t="s">
        <v>9</v>
      </c>
      <c r="C21" s="1150"/>
      <c r="D21" s="1150"/>
      <c r="E21" s="1150"/>
      <c r="F21" s="1150"/>
      <c r="G21" s="1151"/>
      <c r="H21" s="1152" t="s">
        <v>8</v>
      </c>
      <c r="I21" s="1153"/>
      <c r="J21" s="1153"/>
      <c r="K21" s="1153"/>
      <c r="L21" s="1153"/>
      <c r="M21" s="1153"/>
      <c r="N21" s="129"/>
      <c r="O21" s="33"/>
      <c r="P21" s="1154" t="s">
        <v>0</v>
      </c>
    </row>
    <row r="22" spans="1:16" ht="14.25" customHeight="1" x14ac:dyDescent="0.2">
      <c r="A22" s="1148"/>
      <c r="B22" s="1157" t="s">
        <v>117</v>
      </c>
      <c r="C22" s="130" t="s">
        <v>115</v>
      </c>
      <c r="D22" s="1159" t="s">
        <v>277</v>
      </c>
      <c r="E22" s="1161" t="s">
        <v>147</v>
      </c>
      <c r="F22" s="134" t="s">
        <v>7</v>
      </c>
      <c r="G22" s="1162" t="s">
        <v>6</v>
      </c>
      <c r="H22" s="1161" t="s">
        <v>129</v>
      </c>
      <c r="I22" s="1161" t="s">
        <v>5</v>
      </c>
      <c r="J22" s="1161" t="s">
        <v>206</v>
      </c>
      <c r="K22" s="1161" t="s">
        <v>121</v>
      </c>
      <c r="L22" s="1161" t="s">
        <v>122</v>
      </c>
      <c r="M22" s="1161" t="s">
        <v>123</v>
      </c>
      <c r="N22" s="134" t="s">
        <v>7</v>
      </c>
      <c r="O22" s="1160" t="s">
        <v>114</v>
      </c>
      <c r="P22" s="1155"/>
    </row>
    <row r="23" spans="1:16" ht="14.25" customHeight="1" x14ac:dyDescent="0.2">
      <c r="A23" s="1148"/>
      <c r="B23" s="1157"/>
      <c r="C23" s="21" t="str">
        <f>IF(C19="","",C19)</f>
        <v/>
      </c>
      <c r="D23" s="1160"/>
      <c r="E23" s="1161"/>
      <c r="F23" s="1236" t="str">
        <f>IF(H14=0,"","siehe Zuschläge / Zulagen")</f>
        <v/>
      </c>
      <c r="G23" s="1162"/>
      <c r="H23" s="1164" t="s">
        <v>127</v>
      </c>
      <c r="I23" s="1164"/>
      <c r="J23" s="1164"/>
      <c r="K23" s="1164"/>
      <c r="L23" s="1164"/>
      <c r="M23" s="1164"/>
      <c r="N23" s="1236" t="str">
        <f>IF(P14=0,"","siehe Zuschläge / Zulagen")</f>
        <v/>
      </c>
      <c r="O23" s="1160"/>
      <c r="P23" s="1155"/>
    </row>
    <row r="24" spans="1:16" ht="14.25" customHeight="1" x14ac:dyDescent="0.2">
      <c r="A24" s="1148"/>
      <c r="B24" s="1157"/>
      <c r="C24" s="128" t="s">
        <v>70</v>
      </c>
      <c r="D24" s="1160"/>
      <c r="E24" s="1161"/>
      <c r="F24" s="1236"/>
      <c r="G24" s="1162"/>
      <c r="H24" s="120" t="s">
        <v>261</v>
      </c>
      <c r="I24" s="131" t="s">
        <v>262</v>
      </c>
      <c r="J24" s="131" t="s">
        <v>263</v>
      </c>
      <c r="K24" s="131" t="s">
        <v>264</v>
      </c>
      <c r="L24" s="131" t="s">
        <v>265</v>
      </c>
      <c r="M24" s="131" t="s">
        <v>254</v>
      </c>
      <c r="N24" s="1236"/>
      <c r="O24" s="1160"/>
      <c r="P24" s="1155"/>
    </row>
    <row r="25" spans="1:16" x14ac:dyDescent="0.2">
      <c r="A25" s="1148"/>
      <c r="B25" s="1158"/>
      <c r="C25" s="21" t="str">
        <f>IF(F19="","",F19)</f>
        <v/>
      </c>
      <c r="D25" s="51"/>
      <c r="E25" s="51"/>
      <c r="F25" s="51"/>
      <c r="G25" s="1163"/>
      <c r="H25" s="21"/>
      <c r="I25" s="21"/>
      <c r="J25" s="21"/>
      <c r="K25" s="34"/>
      <c r="L25" s="34"/>
      <c r="M25" s="25"/>
      <c r="N25" s="51"/>
      <c r="O25" s="21">
        <f>'päd.Personal - Leitung'!$O$69</f>
        <v>0</v>
      </c>
      <c r="P25" s="1156"/>
    </row>
    <row r="26" spans="1:16" x14ac:dyDescent="0.2">
      <c r="A26" s="100" t="str">
        <f>'päd.Personal - Leitung'!$A$26</f>
        <v>Jan 2022</v>
      </c>
      <c r="B26" s="24">
        <f>ROUND(IF(N6=0,0,(LOOKUP(2,1/(A14:A17=A26),E14:E17))/L7*N6),2)</f>
        <v>0</v>
      </c>
      <c r="C26" s="23">
        <f>ROUND(IFERROR(((LOOKUP(2,1/(B19=A26),((SUM(B32:B34)+SUM(F32:F34))/3)*C19))),0)+IFERROR(((LOOKUP(2,1/(E19=A26),(B38+F38)*F19))),0),2)</f>
        <v>0</v>
      </c>
      <c r="D26" s="23">
        <f>IF(B26=0,0,D25/L7*N6)</f>
        <v>0</v>
      </c>
      <c r="E26" s="23">
        <f>IF(B26=0,0,E25/N3*N6)</f>
        <v>0</v>
      </c>
      <c r="F26" s="23">
        <f>IF(B26=0,0,F25/L7*N6)</f>
        <v>0</v>
      </c>
      <c r="G26" s="27">
        <f>SUM(B26+C26+E26+F26)</f>
        <v>0</v>
      </c>
      <c r="H26" s="76">
        <f>ROUND(SUM(B26:F26)*H25,2)</f>
        <v>0</v>
      </c>
      <c r="I26" s="76">
        <f>ROUND(SUM(B26:F26)*I25,2)</f>
        <v>0</v>
      </c>
      <c r="J26" s="76">
        <f>ROUND(SUM(B26:F26)*J25,2)</f>
        <v>0</v>
      </c>
      <c r="K26" s="27">
        <f>ROUND((B26+SUM(D26:F26))*K25,2)</f>
        <v>0</v>
      </c>
      <c r="L26" s="27">
        <f>ROUND((B26+SUM(D26:F26))*L25,2)</f>
        <v>0</v>
      </c>
      <c r="M26" s="76">
        <f>ROUND(SUM(B26:F26)*M25,2)</f>
        <v>0</v>
      </c>
      <c r="N26" s="23"/>
      <c r="O26" s="23">
        <f>ROUND(SUM(B26+C26+F26)*O25,2)</f>
        <v>0</v>
      </c>
      <c r="P26" s="27">
        <f>SUM(G26:O26)</f>
        <v>0</v>
      </c>
    </row>
    <row r="27" spans="1:16" x14ac:dyDescent="0.2">
      <c r="A27" s="100" t="str">
        <f>'päd.Personal - Leitung'!$A$27</f>
        <v>Feb 2022</v>
      </c>
      <c r="B27" s="24">
        <f>ROUND(IF(N7=0,0,IFERROR(((LOOKUP(2,1/(A14:A17=A27),E14:E17))/L7*N7),B26/N7*N7)),2)</f>
        <v>0</v>
      </c>
      <c r="C27" s="23">
        <f>ROUND(IFERROR(((LOOKUP(2,1/(B19=A27),((SUM(B32:B34)+SUM(F32:F34))/3)*C19))),0)+IFERROR(((LOOKUP(2,1/(E19=A27),(B38+F38)*F19))),0),2)</f>
        <v>0</v>
      </c>
      <c r="D27" s="23">
        <f>IF(B27=0,0,D25/L7*N7)</f>
        <v>0</v>
      </c>
      <c r="E27" s="23">
        <f>IF(B27=0,0,E25/N3*N7)</f>
        <v>0</v>
      </c>
      <c r="F27" s="23">
        <f>IF(B27=0,0,F25/L7*N7)</f>
        <v>0</v>
      </c>
      <c r="G27" s="27">
        <f t="shared" ref="G27:G37" si="1">SUM(B27+C27+E27+F27)</f>
        <v>0</v>
      </c>
      <c r="H27" s="76">
        <f>ROUND(SUM(B27:F27)*H25,2)</f>
        <v>0</v>
      </c>
      <c r="I27" s="76">
        <f>ROUND(SUM(B27:F27)*I25,2)</f>
        <v>0</v>
      </c>
      <c r="J27" s="76">
        <f>ROUND(SUM(B27:F27)*J25,2)</f>
        <v>0</v>
      </c>
      <c r="K27" s="27">
        <f>ROUND((B27+SUM(D27:F27))*K25,2)</f>
        <v>0</v>
      </c>
      <c r="L27" s="27">
        <f>ROUND((B27+SUM(D27:F27))*L25,2)</f>
        <v>0</v>
      </c>
      <c r="M27" s="76">
        <f>ROUND(SUM(B27:F27)*M25,2)</f>
        <v>0</v>
      </c>
      <c r="N27" s="23"/>
      <c r="O27" s="23">
        <f>ROUND(SUM(B27+C27+F27)*O25,2)</f>
        <v>0</v>
      </c>
      <c r="P27" s="27">
        <f>SUM(G27:O27)</f>
        <v>0</v>
      </c>
    </row>
    <row r="28" spans="1:16" x14ac:dyDescent="0.2">
      <c r="A28" s="100" t="str">
        <f>'päd.Personal - Leitung'!$A$28</f>
        <v>Mrz 2022</v>
      </c>
      <c r="B28" s="24">
        <f>ROUND(IF(N8=0,0,IFERROR(((LOOKUP(2,1/(A14:A17=A28),E14:E17))/L7*N8),B27/N8*N8)),2)</f>
        <v>0</v>
      </c>
      <c r="C28" s="23">
        <f>ROUND(IFERROR(((LOOKUP(2,1/(B19=A28),((SUM(B32:B34)+SUM(F32:F34))/3)*C19))),0)+IFERROR(((LOOKUP(2,1/(E19=A28),(B38+F38)*F19))),0),2)</f>
        <v>0</v>
      </c>
      <c r="D28" s="23">
        <f>IF(B28=0,0,D25/L7*N8)</f>
        <v>0</v>
      </c>
      <c r="E28" s="23">
        <f>IF(B28=0,0,E25/N3*N8)</f>
        <v>0</v>
      </c>
      <c r="F28" s="23">
        <f>IF(B28=0,0,F25/L7*N8)</f>
        <v>0</v>
      </c>
      <c r="G28" s="27">
        <f t="shared" si="1"/>
        <v>0</v>
      </c>
      <c r="H28" s="76">
        <f>ROUND(SUM(B28:F28)*H25,2)</f>
        <v>0</v>
      </c>
      <c r="I28" s="76">
        <f>ROUND(SUM(B28:F28)*I25,2)</f>
        <v>0</v>
      </c>
      <c r="J28" s="76">
        <f>ROUND(SUM(B28:F28)*J25,2)</f>
        <v>0</v>
      </c>
      <c r="K28" s="27">
        <f>ROUND((B28+SUM(D28:F28))*K25,2)</f>
        <v>0</v>
      </c>
      <c r="L28" s="27">
        <f>ROUND((B28+SUM(D28:F28))*L25,2)</f>
        <v>0</v>
      </c>
      <c r="M28" s="76">
        <f>ROUND(SUM(B28:F28)*M25,2)</f>
        <v>0</v>
      </c>
      <c r="N28" s="23"/>
      <c r="O28" s="23">
        <f>ROUND(SUM(B28+C28+F28)*O25,2)</f>
        <v>0</v>
      </c>
      <c r="P28" s="27">
        <f t="shared" ref="P28" si="2">SUM(G28:O28)</f>
        <v>0</v>
      </c>
    </row>
    <row r="29" spans="1:16" x14ac:dyDescent="0.2">
      <c r="A29" s="100" t="str">
        <f>'päd.Personal - Leitung'!$A$29</f>
        <v>Apr 2022</v>
      </c>
      <c r="B29" s="24">
        <f>ROUND(IF(N9=0,0,IFERROR(((LOOKUP(2,1/(A14:A17=A29),E14:E17))/L7*N9),B28/N9*N9)),2)</f>
        <v>0</v>
      </c>
      <c r="C29" s="23">
        <f>ROUND(IFERROR(((LOOKUP(2,1/(B19=A29),((SUM(B32:B34)+SUM(F32:F34))/3)*C19))),0)+IFERROR(((LOOKUP(2,1/(E19=A29),(B38+F38)*F19))),0),2)</f>
        <v>0</v>
      </c>
      <c r="D29" s="23">
        <f>IF(B29=0,0,D25/L7*N9)</f>
        <v>0</v>
      </c>
      <c r="E29" s="23">
        <f>IF(B29=0,0,E25/N3*N9)</f>
        <v>0</v>
      </c>
      <c r="F29" s="23">
        <f>IF(B29=0,0,F25/L7*N9)</f>
        <v>0</v>
      </c>
      <c r="G29" s="27">
        <f t="shared" si="1"/>
        <v>0</v>
      </c>
      <c r="H29" s="76">
        <f>ROUND(SUM(B29:F29)*H25,2)</f>
        <v>0</v>
      </c>
      <c r="I29" s="76">
        <f>ROUND(SUM(B29:F29)*I25,2)</f>
        <v>0</v>
      </c>
      <c r="J29" s="76">
        <f>ROUND(SUM(B29:F29)*J25,2)</f>
        <v>0</v>
      </c>
      <c r="K29" s="27">
        <f>ROUND((B29+SUM(D29:F29))*K25,2)</f>
        <v>0</v>
      </c>
      <c r="L29" s="27">
        <f>ROUND((B29+SUM(D29:F29))*L25,2)</f>
        <v>0</v>
      </c>
      <c r="M29" s="76">
        <f>ROUND(SUM(B29:F29)*M25,2)</f>
        <v>0</v>
      </c>
      <c r="N29" s="23"/>
      <c r="O29" s="23">
        <f>ROUND(SUM(B29+C29+F29)*O25,2)</f>
        <v>0</v>
      </c>
      <c r="P29" s="27">
        <f>SUM(G29:O29)</f>
        <v>0</v>
      </c>
    </row>
    <row r="30" spans="1:16" x14ac:dyDescent="0.2">
      <c r="A30" s="100" t="str">
        <f>'päd.Personal - Leitung'!$A$30</f>
        <v>Mai 2022</v>
      </c>
      <c r="B30" s="24">
        <f>ROUND(IF(N10=0,0,IFERROR(((LOOKUP(2,1/(A14:A17=A30),E14:E17))/L7*N10),B29/N10*N10)),2)</f>
        <v>0</v>
      </c>
      <c r="C30" s="23">
        <f>ROUND(IFERROR(((LOOKUP(2,1/(B19=A30),((SUM(B32:B34)+SUM(F32:F34))/3)*C19))),0)+IFERROR(((LOOKUP(2,1/(E19=A30),(B38+F38)*F19))),0),2)</f>
        <v>0</v>
      </c>
      <c r="D30" s="23">
        <f>IF(B30=0,0,D25/L7*N10)</f>
        <v>0</v>
      </c>
      <c r="E30" s="23">
        <f>IF(B30=0,0,E25/N3*N10)</f>
        <v>0</v>
      </c>
      <c r="F30" s="23">
        <f>IF(B30=0,0,F25/L7*N10)</f>
        <v>0</v>
      </c>
      <c r="G30" s="27">
        <f t="shared" si="1"/>
        <v>0</v>
      </c>
      <c r="H30" s="76">
        <f>ROUND(SUM(B30:F30)*H25,2)</f>
        <v>0</v>
      </c>
      <c r="I30" s="76">
        <f>ROUND(SUM(B30:F30)*I25,2)</f>
        <v>0</v>
      </c>
      <c r="J30" s="76">
        <f>ROUND(SUM(B30:F30)*J25,2)</f>
        <v>0</v>
      </c>
      <c r="K30" s="27">
        <f>ROUND((B30+SUM(D30:F30))*K25,2)</f>
        <v>0</v>
      </c>
      <c r="L30" s="27">
        <f>ROUND((B30+SUM(D30:F30))*L25,2)</f>
        <v>0</v>
      </c>
      <c r="M30" s="76">
        <f>ROUND(SUM(B30:F30)*M25,2)</f>
        <v>0</v>
      </c>
      <c r="N30" s="23"/>
      <c r="O30" s="23">
        <f>ROUND(SUM(B30+C30+F30)*O25,2)</f>
        <v>0</v>
      </c>
      <c r="P30" s="27">
        <f t="shared" ref="P30" si="3">SUM(G30:O30)</f>
        <v>0</v>
      </c>
    </row>
    <row r="31" spans="1:16" x14ac:dyDescent="0.2">
      <c r="A31" s="100" t="str">
        <f>'päd.Personal - Leitung'!$A$31</f>
        <v>Jun 2022</v>
      </c>
      <c r="B31" s="24">
        <f>ROUND(IF(N11=0,0,IFERROR(((LOOKUP(2,1/(A14:A17=A31),E14:E17))/L7*N11),B30/N11*N11)),2)</f>
        <v>0</v>
      </c>
      <c r="C31" s="23">
        <f>ROUND(IFERROR(((LOOKUP(2,1/(B19=A31),((SUM(B32:B34)+SUM(F32:F34))/3)*C19))),0)+IFERROR(((LOOKUP(2,1/(E19=A31),(B38+F38)*F19))),0),2)</f>
        <v>0</v>
      </c>
      <c r="D31" s="23">
        <f>IF(B31=0,0,D25/L7*N11)</f>
        <v>0</v>
      </c>
      <c r="E31" s="23">
        <f>IF(B31=0,0,E25/N3*N11)</f>
        <v>0</v>
      </c>
      <c r="F31" s="23">
        <f>IF(B31=0,0,F25/L7*N11)</f>
        <v>0</v>
      </c>
      <c r="G31" s="27">
        <f t="shared" si="1"/>
        <v>0</v>
      </c>
      <c r="H31" s="76">
        <f>ROUND(SUM(B31:F31)*H25,2)</f>
        <v>0</v>
      </c>
      <c r="I31" s="76">
        <f>ROUND(SUM(B31:F31)*I25,2)</f>
        <v>0</v>
      </c>
      <c r="J31" s="76">
        <f>ROUND(SUM(B31:F31)*J25,2)</f>
        <v>0</v>
      </c>
      <c r="K31" s="27">
        <f>ROUND((B31+SUM(D31:F31))*K25,2)</f>
        <v>0</v>
      </c>
      <c r="L31" s="27">
        <f>ROUND((B31+SUM(D31:F31))*L25,2)</f>
        <v>0</v>
      </c>
      <c r="M31" s="76">
        <f>ROUND(SUM(B31:F31)*M25,2)</f>
        <v>0</v>
      </c>
      <c r="N31" s="23"/>
      <c r="O31" s="23">
        <f>ROUND(SUM(B31+C31+F31)*O25,2)</f>
        <v>0</v>
      </c>
      <c r="P31" s="27">
        <f t="shared" ref="P31:P37" si="4">SUM(G31:O31)</f>
        <v>0</v>
      </c>
    </row>
    <row r="32" spans="1:16" x14ac:dyDescent="0.2">
      <c r="A32" s="100" t="str">
        <f>'päd.Personal - Leitung'!$A$32</f>
        <v>Jul 2022</v>
      </c>
      <c r="B32" s="24">
        <f>ROUND(IF(P6=0,0,IFERROR(((LOOKUP(2,1/(A14:A17=A32),E14:E17))/L7*P6),B31/P6*P6)),2)</f>
        <v>0</v>
      </c>
      <c r="C32" s="23">
        <f>ROUND(IFERROR(((LOOKUP(2,1/(B19=A32),((SUM(B32:B34)+SUM(F32:F34))/3)*C19))),0)+IFERROR(((LOOKUP(2,1/(E19=A32),(B38+F38)*F19))),0),2)</f>
        <v>0</v>
      </c>
      <c r="D32" s="23">
        <f>IF(B32=0,0,D25/L7*P6)</f>
        <v>0</v>
      </c>
      <c r="E32" s="23">
        <f>IF(B32=0,0,E25/N3*P6)</f>
        <v>0</v>
      </c>
      <c r="F32" s="23">
        <f>IF(B32=0,0,F25/L7*P6)</f>
        <v>0</v>
      </c>
      <c r="G32" s="27">
        <f t="shared" si="1"/>
        <v>0</v>
      </c>
      <c r="H32" s="76">
        <f>ROUND(SUM(B32:F32)*H25,2)</f>
        <v>0</v>
      </c>
      <c r="I32" s="76">
        <f>ROUND(SUM(B32:F32)*I25,2)</f>
        <v>0</v>
      </c>
      <c r="J32" s="76">
        <f>ROUND(SUM(B32:F32)*J25,2)</f>
        <v>0</v>
      </c>
      <c r="K32" s="27">
        <f>ROUND((B32+SUM(D32:F32))*K25,2)</f>
        <v>0</v>
      </c>
      <c r="L32" s="27">
        <f>ROUND((B32+SUM(D32:F32))*L25,2)</f>
        <v>0</v>
      </c>
      <c r="M32" s="76">
        <f>ROUND(SUM(B32:F32)*M25,2)</f>
        <v>0</v>
      </c>
      <c r="N32" s="23"/>
      <c r="O32" s="23">
        <f>ROUND(SUM(B32+C32+F32)*O25,2)</f>
        <v>0</v>
      </c>
      <c r="P32" s="27">
        <f t="shared" si="4"/>
        <v>0</v>
      </c>
    </row>
    <row r="33" spans="1:16" x14ac:dyDescent="0.2">
      <c r="A33" s="100" t="str">
        <f>'päd.Personal - Leitung'!$A$33</f>
        <v>Aug 2022</v>
      </c>
      <c r="B33" s="24">
        <f>ROUND(IF(P7=0,0,IFERROR(((LOOKUP(2,1/(A14:A17=A33),E14:E17))/L7*P7),B32/P7*P7)),2)</f>
        <v>0</v>
      </c>
      <c r="C33" s="23">
        <f>ROUND(IFERROR(((LOOKUP(2,1/(B19=A33),((SUM(B32:B34)+SUM(F32:F34))/3)*C19))),0)+IFERROR(((LOOKUP(2,1/(E19=A33),(B38+F38)*F19))),0),2)</f>
        <v>0</v>
      </c>
      <c r="D33" s="23">
        <f>IF(B33=0,0,D25/L7*P7)</f>
        <v>0</v>
      </c>
      <c r="E33" s="23">
        <f>IF(B33=0,0,E25/N3*P7)</f>
        <v>0</v>
      </c>
      <c r="F33" s="23">
        <f>IF(B33=0,0,F25/L7*P7)</f>
        <v>0</v>
      </c>
      <c r="G33" s="27">
        <f t="shared" si="1"/>
        <v>0</v>
      </c>
      <c r="H33" s="76">
        <f>ROUND(SUM(B33:F33)*H25,2)</f>
        <v>0</v>
      </c>
      <c r="I33" s="76">
        <f>ROUND(SUM(B33:F33)*I25,2)</f>
        <v>0</v>
      </c>
      <c r="J33" s="76">
        <f>ROUND(SUM(B33:F33)*J25,2)</f>
        <v>0</v>
      </c>
      <c r="K33" s="27">
        <f>ROUND((B33+SUM(D33:F33))*K25,2)</f>
        <v>0</v>
      </c>
      <c r="L33" s="27">
        <f>ROUND((B33+SUM(D33:F33))*L25,2)</f>
        <v>0</v>
      </c>
      <c r="M33" s="76">
        <f>ROUND(SUM(B33:F33)*M25,2)</f>
        <v>0</v>
      </c>
      <c r="N33" s="23"/>
      <c r="O33" s="23">
        <f>ROUND(SUM(B33+C33+F33)*O25,2)</f>
        <v>0</v>
      </c>
      <c r="P33" s="27">
        <f t="shared" si="4"/>
        <v>0</v>
      </c>
    </row>
    <row r="34" spans="1:16" x14ac:dyDescent="0.2">
      <c r="A34" s="100" t="str">
        <f>'päd.Personal - Leitung'!$A$34</f>
        <v>Sep 2022</v>
      </c>
      <c r="B34" s="24">
        <f>ROUND(IF(P8=0,0,IFERROR(((LOOKUP(2,1/(A14:A17=A34),E14:E17))/L7*P8),B33/P8*P8)),2)</f>
        <v>0</v>
      </c>
      <c r="C34" s="23">
        <f>ROUND(IFERROR(((LOOKUP(2,1/(B19=A34),((SUM(B32:B34)+SUM(F32:F34))/3)*C19))),0)+IFERROR(((LOOKUP(2,1/(E19=A34),(B38+F38)*F19))),0),2)</f>
        <v>0</v>
      </c>
      <c r="D34" s="23">
        <f>IF(B34=0,0,D25/L7*P8)</f>
        <v>0</v>
      </c>
      <c r="E34" s="23">
        <f>IF(B34=0,0,E25/N3*P8)</f>
        <v>0</v>
      </c>
      <c r="F34" s="23">
        <f>IF(B34=0,0,F25/L7*P8)</f>
        <v>0</v>
      </c>
      <c r="G34" s="27">
        <f t="shared" si="1"/>
        <v>0</v>
      </c>
      <c r="H34" s="76">
        <f>ROUND(SUM(B34:F34)*H25,2)</f>
        <v>0</v>
      </c>
      <c r="I34" s="76">
        <f>ROUND(SUM(B34:F34)*I25,2)</f>
        <v>0</v>
      </c>
      <c r="J34" s="76">
        <f>ROUND(SUM(B34:F34)*J25,2)</f>
        <v>0</v>
      </c>
      <c r="K34" s="27">
        <f>ROUND((B34+SUM(D34:F34))*K25,2)</f>
        <v>0</v>
      </c>
      <c r="L34" s="27">
        <f>ROUND((B34+SUM(D34:F34))*L25,2)</f>
        <v>0</v>
      </c>
      <c r="M34" s="76">
        <f>ROUND(SUM(B34:F34)*M25,2)</f>
        <v>0</v>
      </c>
      <c r="N34" s="23"/>
      <c r="O34" s="23">
        <f>ROUND(SUM(B34+C34+F34)*O25,2)</f>
        <v>0</v>
      </c>
      <c r="P34" s="27">
        <f t="shared" si="4"/>
        <v>0</v>
      </c>
    </row>
    <row r="35" spans="1:16" x14ac:dyDescent="0.2">
      <c r="A35" s="100" t="str">
        <f>'päd.Personal - Leitung'!$A$35</f>
        <v>Okt 2022</v>
      </c>
      <c r="B35" s="24">
        <f>ROUND(IF(P9=0,0,IFERROR(((LOOKUP(2,1/(A14:A17=A35),E14:E17))/L7*P9),B34/P9*P9)),2)</f>
        <v>0</v>
      </c>
      <c r="C35" s="23">
        <f>ROUND(IFERROR(((LOOKUP(2,1/(B19=A35),((SUM(B32:B34)+SUM(F32:F34))/3)*C19))),0)+IFERROR(((LOOKUP(2,1/(E19=A35),(B38+F38)*F19))),0),2)</f>
        <v>0</v>
      </c>
      <c r="D35" s="23">
        <f>IF(B35=0,0,D25/L7*P9)</f>
        <v>0</v>
      </c>
      <c r="E35" s="23">
        <f>IF(B35=0,0,E25/N3*P9)</f>
        <v>0</v>
      </c>
      <c r="F35" s="23">
        <f>IF(B35=0,0,F25/L7*P9)</f>
        <v>0</v>
      </c>
      <c r="G35" s="27">
        <f t="shared" si="1"/>
        <v>0</v>
      </c>
      <c r="H35" s="76">
        <f>ROUND(SUM(B35:F35)*H25,2)</f>
        <v>0</v>
      </c>
      <c r="I35" s="76">
        <f>ROUND(SUM(B35:F35)*I25,2)</f>
        <v>0</v>
      </c>
      <c r="J35" s="76">
        <f>ROUND(SUM(B35:F35)*J25,2)</f>
        <v>0</v>
      </c>
      <c r="K35" s="27">
        <f>ROUND((B35+SUM(D35:F35))*K25,2)</f>
        <v>0</v>
      </c>
      <c r="L35" s="27">
        <f>ROUND((B35+SUM(D35:F35))*L25,2)</f>
        <v>0</v>
      </c>
      <c r="M35" s="76">
        <f>ROUND(SUM(B35:F35)*M25,2)</f>
        <v>0</v>
      </c>
      <c r="N35" s="23"/>
      <c r="O35" s="23">
        <f>ROUND(SUM(B35+C35+F35)*O25,2)</f>
        <v>0</v>
      </c>
      <c r="P35" s="27">
        <f t="shared" si="4"/>
        <v>0</v>
      </c>
    </row>
    <row r="36" spans="1:16" x14ac:dyDescent="0.2">
      <c r="A36" s="100" t="str">
        <f>'päd.Personal - Leitung'!$A$36</f>
        <v>Nov 2022</v>
      </c>
      <c r="B36" s="24">
        <f>ROUND(IF(P10=0,0,IFERROR(((LOOKUP(2,1/(A14:A17=A36),E14:E17))/L7*P10),B35/P10*P10)),2)</f>
        <v>0</v>
      </c>
      <c r="C36" s="23">
        <f>ROUND(IFERROR(((LOOKUP(2,1/(B19=A36),((SUM(B32:B34)+SUM(F32:F34))/3)*C19))),0)+IFERROR(((LOOKUP(2,1/(E19=A36),(B38+F38)*F19))),0),2)</f>
        <v>0</v>
      </c>
      <c r="D36" s="23">
        <f>IF(B36=0,0,D25/L7*P10)</f>
        <v>0</v>
      </c>
      <c r="E36" s="23">
        <f>IF(B36=0,0,E25/N3*P10)</f>
        <v>0</v>
      </c>
      <c r="F36" s="23">
        <f>IF(B36=0,0,F25/L7*P10)</f>
        <v>0</v>
      </c>
      <c r="G36" s="27">
        <f t="shared" si="1"/>
        <v>0</v>
      </c>
      <c r="H36" s="76">
        <f>ROUND(SUM(B36:F36)*H25,2)</f>
        <v>0</v>
      </c>
      <c r="I36" s="76">
        <f>ROUND(SUM(B36:F36)*I25,2)</f>
        <v>0</v>
      </c>
      <c r="J36" s="76">
        <f>ROUND(SUM(B36:F36)*J25,2)</f>
        <v>0</v>
      </c>
      <c r="K36" s="27">
        <f>ROUND((B36+SUM(D36:F36))*K25,2)</f>
        <v>0</v>
      </c>
      <c r="L36" s="27">
        <f>ROUND((B36+SUM(D36:F36))*L25,2)</f>
        <v>0</v>
      </c>
      <c r="M36" s="76">
        <f>ROUND(SUM(B36:F36)*M25,2)</f>
        <v>0</v>
      </c>
      <c r="N36" s="23"/>
      <c r="O36" s="23">
        <f>ROUND(SUM(B36+C36+F36)*O25,2)</f>
        <v>0</v>
      </c>
      <c r="P36" s="27">
        <f t="shared" si="4"/>
        <v>0</v>
      </c>
    </row>
    <row r="37" spans="1:16" x14ac:dyDescent="0.2">
      <c r="A37" s="100" t="str">
        <f>'päd.Personal - Leitung'!$A$37</f>
        <v>Dez 2022</v>
      </c>
      <c r="B37" s="24">
        <f>ROUND(IF(P11=0,0,IFERROR(((LOOKUP(2,1/(A14:A17=A37),E14:E17))/L7*P11),B36/P11*P11)),2)</f>
        <v>0</v>
      </c>
      <c r="C37" s="23">
        <f>ROUND(IFERROR(((LOOKUP(2,1/(B19=A37),((SUM(B32:B34)+SUM(F32:F34))/3)*C19))),0)+IFERROR(((LOOKUP(2,1/(E19=A37),(B38+F38)*F19))),0),2)</f>
        <v>0</v>
      </c>
      <c r="D37" s="23">
        <f>IF(B37=0,0,D25/L7*P11)</f>
        <v>0</v>
      </c>
      <c r="E37" s="23">
        <f>IF(B37=0,0,E25/N3*P11)</f>
        <v>0</v>
      </c>
      <c r="F37" s="23">
        <f>IF(B37=0,0,F25/L7*P11)</f>
        <v>0</v>
      </c>
      <c r="G37" s="27">
        <f t="shared" si="1"/>
        <v>0</v>
      </c>
      <c r="H37" s="76">
        <f>ROUND(SUM(B37:F37)*H25,2)</f>
        <v>0</v>
      </c>
      <c r="I37" s="76">
        <f>ROUND(SUM(B37:F37)*I25,2)</f>
        <v>0</v>
      </c>
      <c r="J37" s="76">
        <f>ROUND(SUM(B37:F37)*J25,2)</f>
        <v>0</v>
      </c>
      <c r="K37" s="27">
        <f>ROUND((B37+SUM(D37:F37))*K25,2)</f>
        <v>0</v>
      </c>
      <c r="L37" s="27">
        <f>ROUND((B37+SUM(D37:F37))*L25,2)</f>
        <v>0</v>
      </c>
      <c r="M37" s="76">
        <f>ROUND(SUM(B37:F37)*M25,2)</f>
        <v>0</v>
      </c>
      <c r="N37" s="23"/>
      <c r="O37" s="23">
        <f>ROUND(SUM(B37+C37+F37)*O25,2)</f>
        <v>0</v>
      </c>
      <c r="P37" s="27">
        <f t="shared" si="4"/>
        <v>0</v>
      </c>
    </row>
    <row r="38" spans="1:16" x14ac:dyDescent="0.2">
      <c r="A38" s="4" t="s">
        <v>2</v>
      </c>
      <c r="B38" s="27">
        <f t="shared" ref="B38:G38" si="5">SUM(B26:B37)</f>
        <v>0</v>
      </c>
      <c r="C38" s="27">
        <f t="shared" si="5"/>
        <v>0</v>
      </c>
      <c r="D38" s="27">
        <f t="shared" si="5"/>
        <v>0</v>
      </c>
      <c r="E38" s="27">
        <f t="shared" si="5"/>
        <v>0</v>
      </c>
      <c r="F38" s="27">
        <f t="shared" si="5"/>
        <v>0</v>
      </c>
      <c r="G38" s="27">
        <f t="shared" si="5"/>
        <v>0</v>
      </c>
      <c r="H38" s="1133">
        <f>SUM(H26:M37)</f>
        <v>0</v>
      </c>
      <c r="I38" s="1134"/>
      <c r="J38" s="1134"/>
      <c r="K38" s="1134"/>
      <c r="L38" s="1134"/>
      <c r="M38" s="1135"/>
      <c r="N38" s="27">
        <f>SUM(N26:N37)</f>
        <v>0</v>
      </c>
      <c r="O38" s="27">
        <f>SUM(O26:O37)</f>
        <v>0</v>
      </c>
      <c r="P38" s="27">
        <f>SUM(P26:P37)</f>
        <v>0</v>
      </c>
    </row>
    <row r="39" spans="1:16" s="13" customFormat="1" ht="11.25" x14ac:dyDescent="0.2">
      <c r="A39" s="3" t="s">
        <v>1</v>
      </c>
      <c r="B39" s="2"/>
      <c r="C39" s="2"/>
      <c r="D39" s="2"/>
      <c r="E39" s="2"/>
      <c r="F39" s="2"/>
      <c r="G39" s="2"/>
      <c r="H39" s="2"/>
      <c r="I39" s="2"/>
      <c r="J39" s="2"/>
      <c r="K39" s="2"/>
      <c r="L39" s="2"/>
      <c r="M39" s="2"/>
      <c r="N39" s="2"/>
      <c r="O39" s="2"/>
      <c r="P39" s="2"/>
    </row>
    <row r="40" spans="1:16" s="1" customFormat="1" ht="14.25" customHeight="1" x14ac:dyDescent="0.2">
      <c r="A40" s="1136" t="s">
        <v>133</v>
      </c>
      <c r="B40" s="1137"/>
      <c r="C40" s="1137"/>
      <c r="D40" s="1137" t="s">
        <v>134</v>
      </c>
      <c r="E40" s="1137"/>
      <c r="F40" s="46"/>
      <c r="G40" s="77" t="s">
        <v>135</v>
      </c>
      <c r="H40" s="71"/>
      <c r="I40" s="73"/>
      <c r="J40" s="78"/>
      <c r="K40" s="78"/>
      <c r="L40" s="78"/>
      <c r="M40" s="1138" t="s">
        <v>140</v>
      </c>
      <c r="N40" s="1138"/>
      <c r="O40" s="1139"/>
      <c r="P40" s="27">
        <f>ROUND(IF(F40="",IF(E44="",0,(E44*H44/K44)/L7*L8),G38*F40*H40/1000),2)</f>
        <v>0</v>
      </c>
    </row>
    <row r="41" spans="1:16" s="1" customFormat="1" ht="15" customHeight="1" x14ac:dyDescent="0.2">
      <c r="A41" s="1140" t="s">
        <v>145</v>
      </c>
      <c r="B41" s="1141"/>
      <c r="C41" s="1141"/>
      <c r="D41" s="18"/>
      <c r="E41" s="107" t="s">
        <v>135</v>
      </c>
      <c r="F41" s="49"/>
      <c r="G41" s="48"/>
      <c r="H41" s="47"/>
      <c r="I41" s="48"/>
      <c r="J41" s="79"/>
      <c r="K41" s="80"/>
      <c r="L41" s="81"/>
      <c r="M41" s="1138" t="s">
        <v>139</v>
      </c>
      <c r="N41" s="1138"/>
      <c r="O41" s="1139"/>
      <c r="P41" s="27">
        <f>ROUND(IF(F41="",0,G38*F41/1000),2)</f>
        <v>0</v>
      </c>
    </row>
    <row r="42" spans="1:16" s="1" customFormat="1" ht="15.75" customHeight="1" x14ac:dyDescent="0.2">
      <c r="A42" s="1142" t="s">
        <v>141</v>
      </c>
      <c r="B42" s="1143"/>
      <c r="C42" s="1143"/>
      <c r="D42" s="1144" t="s">
        <v>143</v>
      </c>
      <c r="E42" s="1144"/>
      <c r="F42" s="1145"/>
      <c r="G42" s="1145"/>
      <c r="H42" s="72"/>
      <c r="I42" s="18"/>
      <c r="J42" s="79"/>
      <c r="K42" s="80"/>
      <c r="L42" s="81"/>
      <c r="M42" s="1138" t="s">
        <v>141</v>
      </c>
      <c r="N42" s="1138"/>
      <c r="O42" s="1139"/>
      <c r="P42" s="23">
        <f>ROUND(IF(F42="",0,IF(G38=0,0,F42/L7*L8)),2)</f>
        <v>0</v>
      </c>
    </row>
    <row r="43" spans="1:16" s="1" customFormat="1" ht="14.25" customHeight="1" x14ac:dyDescent="0.2">
      <c r="A43" s="18"/>
      <c r="B43" s="18"/>
      <c r="C43" s="18"/>
      <c r="D43" s="18"/>
      <c r="E43" s="18"/>
      <c r="F43" s="18"/>
      <c r="G43" s="18"/>
      <c r="H43" s="18"/>
      <c r="I43" s="18"/>
      <c r="J43" s="18"/>
      <c r="K43" s="74"/>
      <c r="L43" s="82"/>
      <c r="M43" s="1127" t="s">
        <v>146</v>
      </c>
      <c r="N43" s="1127"/>
      <c r="O43" s="1128"/>
      <c r="P43" s="23">
        <f>ROUND(IF(G38=0,0,'päd.Personal - Leitung'!$P$43),2)</f>
        <v>0</v>
      </c>
    </row>
    <row r="44" spans="1:16" s="1" customFormat="1" ht="14.25" customHeight="1" x14ac:dyDescent="0.2">
      <c r="A44" s="1129" t="s">
        <v>142</v>
      </c>
      <c r="B44" s="1130"/>
      <c r="C44" s="133" t="s">
        <v>136</v>
      </c>
      <c r="D44" s="133" t="s">
        <v>137</v>
      </c>
      <c r="E44" s="1185"/>
      <c r="F44" s="1185"/>
      <c r="G44" s="83" t="s">
        <v>138</v>
      </c>
      <c r="H44" s="90"/>
      <c r="I44" s="1132" t="s">
        <v>144</v>
      </c>
      <c r="J44" s="1132"/>
      <c r="K44" s="91"/>
      <c r="L44" s="29"/>
      <c r="M44" s="29"/>
      <c r="N44" s="29"/>
      <c r="O44" s="28" t="s">
        <v>0</v>
      </c>
      <c r="P44" s="27">
        <f>P38+SUM(P40:P43)</f>
        <v>0</v>
      </c>
    </row>
    <row r="45" spans="1:16" s="12" customFormat="1" ht="13.5" customHeight="1" x14ac:dyDescent="0.2">
      <c r="A45" s="1178" t="s">
        <v>18</v>
      </c>
      <c r="B45" s="1178"/>
      <c r="C45" s="1178"/>
      <c r="D45" s="1179" t="str">
        <f>IF($D$1="","",$D$1)</f>
        <v/>
      </c>
      <c r="E45" s="1179"/>
      <c r="F45" s="1179"/>
      <c r="G45" s="1179"/>
      <c r="H45" s="1179"/>
      <c r="I45" s="1179"/>
      <c r="J45" s="1179"/>
      <c r="K45" s="1179"/>
      <c r="L45" s="1179"/>
      <c r="M45" s="1179"/>
      <c r="N45" s="1179"/>
    </row>
    <row r="46" spans="1:16" s="12" customFormat="1" ht="15" customHeight="1" x14ac:dyDescent="0.2">
      <c r="A46" s="1178" t="s">
        <v>17</v>
      </c>
      <c r="B46" s="1178"/>
      <c r="C46" s="1178" t="s">
        <v>15</v>
      </c>
      <c r="D46" s="1179" t="str">
        <f>IF($D$2="","",$D$2)</f>
        <v/>
      </c>
      <c r="E46" s="1179"/>
      <c r="F46" s="1179"/>
      <c r="G46" s="1179"/>
      <c r="H46" s="1179"/>
      <c r="I46" s="1179"/>
      <c r="J46" s="1179"/>
      <c r="K46" s="1179"/>
      <c r="L46" s="1179"/>
      <c r="M46" s="1179"/>
      <c r="N46" s="1179"/>
    </row>
    <row r="47" spans="1:16" s="12" customFormat="1" ht="15" customHeight="1" x14ac:dyDescent="0.2">
      <c r="A47" s="1178" t="s">
        <v>16</v>
      </c>
      <c r="B47" s="1178"/>
      <c r="C47" s="1178" t="s">
        <v>15</v>
      </c>
      <c r="D47" s="1179" t="str">
        <f>IF($D$3="","",$D$3)</f>
        <v/>
      </c>
      <c r="E47" s="1179"/>
      <c r="F47" s="1179"/>
      <c r="G47" s="1179"/>
      <c r="H47" s="1179"/>
      <c r="I47" s="1179"/>
      <c r="J47" s="1179"/>
      <c r="K47" s="1178" t="s">
        <v>103</v>
      </c>
      <c r="L47" s="1178"/>
      <c r="M47" s="1178"/>
      <c r="N47" s="41" t="str">
        <f>IF($N$3="","",$N$3)</f>
        <v/>
      </c>
    </row>
    <row r="48" spans="1:16" s="13" customFormat="1" ht="11.25" x14ac:dyDescent="0.2">
      <c r="A48" s="1182"/>
      <c r="B48" s="1182"/>
      <c r="C48" s="1182"/>
      <c r="D48" s="1183"/>
      <c r="E48" s="1183"/>
      <c r="F48" s="1183"/>
      <c r="G48" s="1183"/>
      <c r="H48" s="1183"/>
      <c r="I48" s="1183"/>
      <c r="J48" s="1183"/>
      <c r="K48" s="11"/>
      <c r="L48" s="11"/>
      <c r="M48" s="11"/>
      <c r="N48" s="11"/>
      <c r="O48" s="11"/>
      <c r="P48" s="11"/>
    </row>
    <row r="49" spans="1:16" s="15" customFormat="1" ht="13.5" customHeight="1" x14ac:dyDescent="0.2">
      <c r="A49" s="1177" t="s">
        <v>210</v>
      </c>
      <c r="B49" s="1177"/>
      <c r="C49" s="1177"/>
      <c r="D49" s="1177"/>
      <c r="E49" s="1177"/>
      <c r="F49" s="1177"/>
      <c r="G49" s="1177"/>
      <c r="H49" s="1177"/>
      <c r="I49" s="1177"/>
      <c r="J49" s="1177"/>
      <c r="K49" s="1177"/>
      <c r="L49" s="9"/>
      <c r="M49" s="9"/>
      <c r="N49" s="59" t="s">
        <v>154</v>
      </c>
      <c r="O49" s="191">
        <f>'päd.Personal - Leitung'!$O$5</f>
        <v>2022</v>
      </c>
      <c r="P49" s="59" t="s">
        <v>154</v>
      </c>
    </row>
    <row r="50" spans="1:16" s="10" customFormat="1" ht="13.5" customHeight="1" x14ac:dyDescent="0.25">
      <c r="B50" s="32"/>
      <c r="C50" s="32"/>
      <c r="D50" s="5" t="s">
        <v>207</v>
      </c>
      <c r="E50" s="31"/>
      <c r="F50" s="31"/>
      <c r="G50" s="31"/>
      <c r="H50" s="31"/>
      <c r="I50" s="26"/>
      <c r="J50" s="1197"/>
      <c r="K50" s="1197"/>
      <c r="L50" s="111"/>
      <c r="N50" s="84">
        <f>IF(L52="","",L52)</f>
        <v>0</v>
      </c>
      <c r="O50" s="58" t="str">
        <f>'päd.Personal - Leitung'!$O$6</f>
        <v>Jan                Jul</v>
      </c>
      <c r="P50" s="85">
        <f>IF(N55="","",N55)</f>
        <v>0</v>
      </c>
    </row>
    <row r="51" spans="1:16" s="7" customFormat="1" ht="13.5" customHeight="1" x14ac:dyDescent="0.25">
      <c r="A51" s="1180" t="s">
        <v>71</v>
      </c>
      <c r="B51" s="1180"/>
      <c r="C51" s="1180"/>
      <c r="D51" s="1184"/>
      <c r="E51" s="1184"/>
      <c r="F51" s="1184"/>
      <c r="G51" s="1184"/>
      <c r="H51" s="1184"/>
      <c r="I51" s="1184"/>
      <c r="J51" s="1174" t="s">
        <v>104</v>
      </c>
      <c r="K51" s="1174"/>
      <c r="L51" s="145"/>
      <c r="N51" s="85">
        <f>IF(N50="","",N50)</f>
        <v>0</v>
      </c>
      <c r="O51" s="58" t="str">
        <f>'päd.Personal - Leitung'!$O$7</f>
        <v>Feb              Aug</v>
      </c>
      <c r="P51" s="85">
        <f>IF(P50="","",P50)</f>
        <v>0</v>
      </c>
    </row>
    <row r="52" spans="1:16" s="1" customFormat="1" ht="13.5" customHeight="1" x14ac:dyDescent="0.2">
      <c r="A52" s="1180" t="s">
        <v>13</v>
      </c>
      <c r="B52" s="1180"/>
      <c r="C52" s="1180"/>
      <c r="D52" s="1181"/>
      <c r="E52" s="1181"/>
      <c r="F52" s="1181"/>
      <c r="G52" s="1181"/>
      <c r="H52" s="1181"/>
      <c r="I52" s="1181"/>
      <c r="J52" s="1174" t="s">
        <v>164</v>
      </c>
      <c r="K52" s="1174"/>
      <c r="L52" s="145">
        <f>IF((L53+L54)&gt;L51,0,L51-L53-L54)</f>
        <v>0</v>
      </c>
      <c r="N52" s="85">
        <f>IF(N51="","",N51)</f>
        <v>0</v>
      </c>
      <c r="O52" s="58" t="str">
        <f>'päd.Personal - Leitung'!$O$8</f>
        <v>Mrz              Sep</v>
      </c>
      <c r="P52" s="85">
        <f>IF(P51="","",P51)</f>
        <v>0</v>
      </c>
    </row>
    <row r="53" spans="1:16" s="1" customFormat="1" ht="13.5" customHeight="1" x14ac:dyDescent="0.2">
      <c r="A53" s="1180" t="s">
        <v>80</v>
      </c>
      <c r="B53" s="1180"/>
      <c r="C53" s="1180"/>
      <c r="D53" s="1181"/>
      <c r="E53" s="1181"/>
      <c r="F53" s="1181"/>
      <c r="G53" s="1181"/>
      <c r="H53" s="1181"/>
      <c r="I53" s="1181"/>
      <c r="J53" s="1174" t="s">
        <v>165</v>
      </c>
      <c r="K53" s="1174"/>
      <c r="L53" s="145"/>
      <c r="N53" s="85">
        <f>IF(N52="","",N52)</f>
        <v>0</v>
      </c>
      <c r="O53" s="58" t="str">
        <f>'päd.Personal - Leitung'!$O$9</f>
        <v>Apr               Okt</v>
      </c>
      <c r="P53" s="85">
        <f t="shared" ref="P53:P55" si="6">IF(P52="","",P52)</f>
        <v>0</v>
      </c>
    </row>
    <row r="54" spans="1:16" s="1" customFormat="1" ht="13.5" customHeight="1" x14ac:dyDescent="0.2">
      <c r="A54" s="1180" t="s">
        <v>19</v>
      </c>
      <c r="B54" s="1180"/>
      <c r="C54" s="1180"/>
      <c r="D54" s="1181"/>
      <c r="E54" s="1181"/>
      <c r="F54" s="1181"/>
      <c r="G54" s="1181"/>
      <c r="H54" s="1181"/>
      <c r="I54" s="1181"/>
      <c r="J54" s="1174" t="s">
        <v>252</v>
      </c>
      <c r="K54" s="1174"/>
      <c r="L54" s="145"/>
      <c r="M54" s="92"/>
      <c r="N54" s="85">
        <f>IF(N53="","",N53)</f>
        <v>0</v>
      </c>
      <c r="O54" s="58" t="str">
        <f>'päd.Personal - Leitung'!$O$10</f>
        <v>Mai               Nov</v>
      </c>
      <c r="P54" s="85">
        <f t="shared" si="6"/>
        <v>0</v>
      </c>
    </row>
    <row r="55" spans="1:16" s="1" customFormat="1" ht="13.5" customHeight="1" x14ac:dyDescent="0.2">
      <c r="B55" s="8"/>
      <c r="C55" s="132" t="s">
        <v>162</v>
      </c>
      <c r="D55" s="1175"/>
      <c r="E55" s="1175"/>
      <c r="F55" s="1176" t="s">
        <v>106</v>
      </c>
      <c r="G55" s="1176"/>
      <c r="H55" s="1186"/>
      <c r="I55" s="1186"/>
      <c r="J55" s="1174" t="s">
        <v>97</v>
      </c>
      <c r="K55" s="1174"/>
      <c r="L55" s="17" t="str">
        <f>IF(IF((COUNTIF(B70:B81,"&gt;0"))=0,0,(COUNTIF(B70:B81,"&gt;0")))&gt;Grundlagen!$C$24,Grundlagen!$C$24,IF((COUNTIF(B70:B81,"&gt;0"))=0,"",(COUNTIF(B70:B81,"&gt;0"))))</f>
        <v/>
      </c>
      <c r="N55" s="85">
        <f>IF(N54="","",N54)</f>
        <v>0</v>
      </c>
      <c r="O55" s="58" t="str">
        <f>'päd.Personal - Leitung'!$O$11</f>
        <v>Jun               Dez</v>
      </c>
      <c r="P55" s="85">
        <f t="shared" si="6"/>
        <v>0</v>
      </c>
    </row>
    <row r="56" spans="1:16" s="1" customFormat="1" ht="13.5" customHeight="1" x14ac:dyDescent="0.2">
      <c r="L56" s="147" t="str">
        <f>IF((SUM(E58:F61))=0,"",IF(P56&gt;L52,L52,IF(L52="","",IF(L55="","",P56))))</f>
        <v/>
      </c>
      <c r="O56" s="174" t="s">
        <v>251</v>
      </c>
      <c r="P56" s="175">
        <f>IF(L55="",0,((IF(SUMIF(B70,"&gt;0"),N50,0))+(IF(SUMIF(B71,"&gt;0"),N51,0))+(IF(SUMIF(B72,"&gt;0"),N52,0))+(IF(SUMIF(B73,"&gt;0"),N53,0))+(IF(SUMIF(B74,"&gt;0"),N54,0))+(IF(SUMIF(B75,"&gt;0"),N55,0))+(IF(SUMIF(B76,"&gt;0"),P50,0))+(IF(SUMIF(B77,"&gt;0"),P51,0))+(IF(SUMIF(B78,"&gt;0"),P52,0))+(IF(SUMIF(B79,"&gt;0"),P53,0))+(IF(SUMIF(B80,"&gt;0"),P54,0))+(IF(SUMIF(B81,"&gt;0"),P55,0)))/Grundlagen!$C$24)</f>
        <v>0</v>
      </c>
    </row>
    <row r="57" spans="1:16" s="156" customFormat="1" ht="14.25" customHeight="1" x14ac:dyDescent="0.25">
      <c r="A57" s="150" t="s">
        <v>197</v>
      </c>
      <c r="B57" s="63"/>
      <c r="C57" s="151"/>
      <c r="D57" s="63"/>
      <c r="E57" s="1229" t="s">
        <v>198</v>
      </c>
      <c r="F57" s="1229"/>
      <c r="G57" s="65" t="s">
        <v>152</v>
      </c>
      <c r="H57" s="117"/>
      <c r="I57" s="152"/>
      <c r="J57" s="152"/>
      <c r="K57" s="153"/>
      <c r="L57" s="154"/>
      <c r="M57" s="153"/>
      <c r="N57" s="155"/>
      <c r="O57" s="116"/>
    </row>
    <row r="58" spans="1:16" s="156" customFormat="1" ht="14.25" customHeight="1" x14ac:dyDescent="0.25">
      <c r="A58" s="54" t="str">
        <f>A70</f>
        <v>Jan 2022</v>
      </c>
      <c r="B58" s="1233"/>
      <c r="C58" s="1234"/>
      <c r="D58" s="1235"/>
      <c r="E58" s="1222"/>
      <c r="F58" s="1223"/>
      <c r="G58" s="157">
        <f>IF(L52=0,0,E58/L51/4.348)</f>
        <v>0</v>
      </c>
      <c r="H58" s="118"/>
    </row>
    <row r="59" spans="1:16" s="156" customFormat="1" ht="14.25" customHeight="1" x14ac:dyDescent="0.25">
      <c r="A59" s="55"/>
      <c r="B59" s="1233"/>
      <c r="C59" s="1234"/>
      <c r="D59" s="1235"/>
      <c r="E59" s="1222"/>
      <c r="F59" s="1223"/>
      <c r="G59" s="157">
        <f>IF(L52=0,0,E59/L51/4.348)</f>
        <v>0</v>
      </c>
      <c r="H59" s="65"/>
    </row>
    <row r="60" spans="1:16" s="156" customFormat="1" ht="14.25" customHeight="1" x14ac:dyDescent="0.25">
      <c r="A60" s="55"/>
      <c r="B60" s="1233"/>
      <c r="C60" s="1234"/>
      <c r="D60" s="1235"/>
      <c r="E60" s="1222"/>
      <c r="F60" s="1223"/>
      <c r="G60" s="157">
        <f>IF(L52=0,0,E60/L51/4.348)</f>
        <v>0</v>
      </c>
      <c r="H60" s="116"/>
    </row>
    <row r="61" spans="1:16" s="116" customFormat="1" ht="14.25" customHeight="1" x14ac:dyDescent="0.25">
      <c r="A61" s="55"/>
      <c r="B61" s="1233"/>
      <c r="C61" s="1234"/>
      <c r="D61" s="1235"/>
      <c r="E61" s="1222"/>
      <c r="F61" s="1223"/>
      <c r="G61" s="157">
        <f>IF(L52=0,0,E61/L51/4.348)</f>
        <v>0</v>
      </c>
      <c r="H61" s="117"/>
    </row>
    <row r="62" spans="1:16" s="116" customFormat="1" ht="14.25" customHeight="1" x14ac:dyDescent="0.25">
      <c r="A62" s="52"/>
      <c r="B62" s="1167" t="s">
        <v>157</v>
      </c>
      <c r="C62" s="1167"/>
      <c r="D62" s="52"/>
      <c r="E62" s="1167" t="s">
        <v>156</v>
      </c>
      <c r="F62" s="1167"/>
      <c r="G62" s="119"/>
      <c r="H62" s="117"/>
    </row>
    <row r="63" spans="1:16" s="156" customFormat="1" ht="14.25" customHeight="1" x14ac:dyDescent="0.25">
      <c r="A63" s="70" t="s">
        <v>167</v>
      </c>
      <c r="B63" s="67"/>
      <c r="C63" s="99"/>
      <c r="D63" s="70" t="s">
        <v>167</v>
      </c>
      <c r="E63" s="67"/>
      <c r="F63" s="99"/>
      <c r="H63" s="117"/>
      <c r="K63" s="152"/>
      <c r="L63" s="152"/>
      <c r="M63" s="152"/>
      <c r="N63" s="159"/>
      <c r="O63" s="152"/>
    </row>
    <row r="64" spans="1:16" s="52" customFormat="1" ht="13.5" customHeight="1" x14ac:dyDescent="0.2">
      <c r="A64" s="60" t="s">
        <v>155</v>
      </c>
    </row>
    <row r="65" spans="1:16" ht="14.25" customHeight="1" x14ac:dyDescent="0.2">
      <c r="A65" s="1147"/>
      <c r="B65" s="1149" t="s">
        <v>9</v>
      </c>
      <c r="C65" s="1150"/>
      <c r="D65" s="1150"/>
      <c r="E65" s="1150"/>
      <c r="F65" s="1150"/>
      <c r="G65" s="1151"/>
      <c r="H65" s="1152" t="s">
        <v>8</v>
      </c>
      <c r="I65" s="1153"/>
      <c r="J65" s="1153"/>
      <c r="K65" s="1153"/>
      <c r="L65" s="1153"/>
      <c r="M65" s="1153"/>
      <c r="N65" s="129"/>
      <c r="O65" s="33"/>
      <c r="P65" s="1154" t="s">
        <v>0</v>
      </c>
    </row>
    <row r="66" spans="1:16" ht="14.25" customHeight="1" x14ac:dyDescent="0.2">
      <c r="A66" s="1148"/>
      <c r="B66" s="1157" t="s">
        <v>117</v>
      </c>
      <c r="C66" s="130" t="s">
        <v>115</v>
      </c>
      <c r="D66" s="1159" t="s">
        <v>277</v>
      </c>
      <c r="E66" s="1161" t="s">
        <v>147</v>
      </c>
      <c r="F66" s="134" t="s">
        <v>7</v>
      </c>
      <c r="G66" s="1162" t="s">
        <v>6</v>
      </c>
      <c r="H66" s="1161" t="s">
        <v>129</v>
      </c>
      <c r="I66" s="1161" t="s">
        <v>5</v>
      </c>
      <c r="J66" s="1161" t="s">
        <v>206</v>
      </c>
      <c r="K66" s="1161" t="s">
        <v>121</v>
      </c>
      <c r="L66" s="1161" t="s">
        <v>122</v>
      </c>
      <c r="M66" s="1161" t="s">
        <v>123</v>
      </c>
      <c r="N66" s="134" t="s">
        <v>7</v>
      </c>
      <c r="O66" s="1160" t="s">
        <v>114</v>
      </c>
      <c r="P66" s="1155"/>
    </row>
    <row r="67" spans="1:16" ht="14.25" customHeight="1" x14ac:dyDescent="0.2">
      <c r="A67" s="1148"/>
      <c r="B67" s="1157"/>
      <c r="C67" s="21" t="str">
        <f>IF(C63="","",C63)</f>
        <v/>
      </c>
      <c r="D67" s="1160"/>
      <c r="E67" s="1161"/>
      <c r="F67" s="1236" t="str">
        <f>IF(H58=0,"","siehe Zuschläge / Zulagen")</f>
        <v/>
      </c>
      <c r="G67" s="1162"/>
      <c r="H67" s="1164" t="s">
        <v>127</v>
      </c>
      <c r="I67" s="1164"/>
      <c r="J67" s="1164"/>
      <c r="K67" s="1164"/>
      <c r="L67" s="1164"/>
      <c r="M67" s="1164"/>
      <c r="N67" s="1236" t="str">
        <f>IF(P58=0,"","siehe Zuschläge / Zulagen")</f>
        <v/>
      </c>
      <c r="O67" s="1160"/>
      <c r="P67" s="1155"/>
    </row>
    <row r="68" spans="1:16" ht="14.25" customHeight="1" x14ac:dyDescent="0.2">
      <c r="A68" s="1148"/>
      <c r="B68" s="1157"/>
      <c r="C68" s="128" t="s">
        <v>70</v>
      </c>
      <c r="D68" s="1160"/>
      <c r="E68" s="1161"/>
      <c r="F68" s="1236"/>
      <c r="G68" s="1162"/>
      <c r="H68" s="120" t="s">
        <v>261</v>
      </c>
      <c r="I68" s="185" t="s">
        <v>262</v>
      </c>
      <c r="J68" s="185" t="s">
        <v>263</v>
      </c>
      <c r="K68" s="185" t="s">
        <v>264</v>
      </c>
      <c r="L68" s="185" t="s">
        <v>265</v>
      </c>
      <c r="M68" s="185" t="s">
        <v>254</v>
      </c>
      <c r="N68" s="1236"/>
      <c r="O68" s="1160"/>
      <c r="P68" s="1155"/>
    </row>
    <row r="69" spans="1:16" x14ac:dyDescent="0.2">
      <c r="A69" s="1148"/>
      <c r="B69" s="1158"/>
      <c r="C69" s="21" t="str">
        <f>IF(F63="","",F63)</f>
        <v/>
      </c>
      <c r="D69" s="51"/>
      <c r="E69" s="51"/>
      <c r="F69" s="51"/>
      <c r="G69" s="1163"/>
      <c r="H69" s="21"/>
      <c r="I69" s="21"/>
      <c r="J69" s="21"/>
      <c r="K69" s="34"/>
      <c r="L69" s="34"/>
      <c r="M69" s="25"/>
      <c r="N69" s="51"/>
      <c r="O69" s="21">
        <f>'päd.Personal - Leitung'!$O$69</f>
        <v>0</v>
      </c>
      <c r="P69" s="1156"/>
    </row>
    <row r="70" spans="1:16" x14ac:dyDescent="0.2">
      <c r="A70" s="100" t="str">
        <f>'päd.Personal - Leitung'!$A$26</f>
        <v>Jan 2022</v>
      </c>
      <c r="B70" s="24">
        <f>ROUND(IF(N50=0,0,(LOOKUP(2,1/(A58:A61=A70),E58:E61))/L51*N50),2)</f>
        <v>0</v>
      </c>
      <c r="C70" s="23">
        <f>ROUND(IFERROR(((LOOKUP(2,1/(B63=A70),((SUM(B76:B78)+SUM(F76:F78))/3)*C63))),0)+IFERROR(((LOOKUP(2,1/(E63=A70),(B82+F82)*F63))),0),2)</f>
        <v>0</v>
      </c>
      <c r="D70" s="23">
        <f>IF(B70=0,0,D69/L51*N50)</f>
        <v>0</v>
      </c>
      <c r="E70" s="23">
        <f>IF(B70=0,0,E69/N47*N50)</f>
        <v>0</v>
      </c>
      <c r="F70" s="23">
        <f>IF(B70=0,0,F69/L51*N50)</f>
        <v>0</v>
      </c>
      <c r="G70" s="27">
        <f>SUM(B70+C70+E70+F70)</f>
        <v>0</v>
      </c>
      <c r="H70" s="76">
        <f>ROUND(SUM(B70:F70)*H69,2)</f>
        <v>0</v>
      </c>
      <c r="I70" s="76">
        <f>ROUND(SUM(B70:F70)*I69,2)</f>
        <v>0</v>
      </c>
      <c r="J70" s="76">
        <f>ROUND(SUM(B70:F70)*J69,2)</f>
        <v>0</v>
      </c>
      <c r="K70" s="27">
        <f>ROUND((B70+SUM(D70:F70))*K69,2)</f>
        <v>0</v>
      </c>
      <c r="L70" s="27">
        <f>ROUND((B70+SUM(D70:F70))*L69,2)</f>
        <v>0</v>
      </c>
      <c r="M70" s="76">
        <f>ROUND(SUM(B70:F70)*M69,2)</f>
        <v>0</v>
      </c>
      <c r="N70" s="23"/>
      <c r="O70" s="23">
        <f>ROUND(SUM(B70+C70+F70)*O69,2)</f>
        <v>0</v>
      </c>
      <c r="P70" s="27">
        <f>SUM(G70:O70)</f>
        <v>0</v>
      </c>
    </row>
    <row r="71" spans="1:16" x14ac:dyDescent="0.2">
      <c r="A71" s="100" t="str">
        <f>'päd.Personal - Leitung'!$A$27</f>
        <v>Feb 2022</v>
      </c>
      <c r="B71" s="24">
        <f>ROUND(IF(N51=0,0,IFERROR(((LOOKUP(2,1/(A58:A61=A71),E58:E61))/L51*N51),B70/N51*N51)),2)</f>
        <v>0</v>
      </c>
      <c r="C71" s="23">
        <f>ROUND(IFERROR(((LOOKUP(2,1/(B63=A71),((SUM(B76:B78)+SUM(F76:F78))/3)*C63))),0)+IFERROR(((LOOKUP(2,1/(E63=A71),(B82+F82)*F63))),0),2)</f>
        <v>0</v>
      </c>
      <c r="D71" s="23">
        <f>IF(B71=0,0,D69/L51*N51)</f>
        <v>0</v>
      </c>
      <c r="E71" s="23">
        <f>IF(B71=0,0,E69/N47*N51)</f>
        <v>0</v>
      </c>
      <c r="F71" s="23">
        <f>IF(B71=0,0,F69/L51*N51)</f>
        <v>0</v>
      </c>
      <c r="G71" s="27">
        <f t="shared" ref="G71:G81" si="7">SUM(B71+C71+E71+F71)</f>
        <v>0</v>
      </c>
      <c r="H71" s="76">
        <f>ROUND(SUM(B71:F71)*H69,2)</f>
        <v>0</v>
      </c>
      <c r="I71" s="76">
        <f>ROUND(SUM(B71:F71)*I69,2)</f>
        <v>0</v>
      </c>
      <c r="J71" s="76">
        <f>ROUND(SUM(B71:F71)*J69,2)</f>
        <v>0</v>
      </c>
      <c r="K71" s="27">
        <f>ROUND((B71+SUM(D71:F71))*K69,2)</f>
        <v>0</v>
      </c>
      <c r="L71" s="27">
        <f>ROUND((B71+SUM(D71:F71))*L69,2)</f>
        <v>0</v>
      </c>
      <c r="M71" s="76">
        <f>ROUND(SUM(B71:F71)*M69,2)</f>
        <v>0</v>
      </c>
      <c r="N71" s="23"/>
      <c r="O71" s="23">
        <f>ROUND(SUM(B71+C71+F71)*O69,2)</f>
        <v>0</v>
      </c>
      <c r="P71" s="27">
        <f>SUM(G71:O71)</f>
        <v>0</v>
      </c>
    </row>
    <row r="72" spans="1:16" x14ac:dyDescent="0.2">
      <c r="A72" s="100" t="str">
        <f>'päd.Personal - Leitung'!$A$28</f>
        <v>Mrz 2022</v>
      </c>
      <c r="B72" s="24">
        <f>ROUND(IF(N52=0,0,IFERROR(((LOOKUP(2,1/(A58:A61=A72),E58:E61))/L51*N52),B71/N52*N52)),2)</f>
        <v>0</v>
      </c>
      <c r="C72" s="23">
        <f>ROUND(IFERROR(((LOOKUP(2,1/(B63=A72),((SUM(B76:B78)+SUM(F76:F78))/3)*C63))),0)+IFERROR(((LOOKUP(2,1/(E63=A72),(B82+F82)*F63))),0),2)</f>
        <v>0</v>
      </c>
      <c r="D72" s="23">
        <f>IF(B72=0,0,D69/L51*N52)</f>
        <v>0</v>
      </c>
      <c r="E72" s="23">
        <f>IF(B72=0,0,E69/N47*N52)</f>
        <v>0</v>
      </c>
      <c r="F72" s="23">
        <f>IF(B72=0,0,F69/L51*N52)</f>
        <v>0</v>
      </c>
      <c r="G72" s="27">
        <f t="shared" si="7"/>
        <v>0</v>
      </c>
      <c r="H72" s="76">
        <f>ROUND(SUM(B72:F72)*H69,2)</f>
        <v>0</v>
      </c>
      <c r="I72" s="76">
        <f>ROUND(SUM(B72:F72)*I69,2)</f>
        <v>0</v>
      </c>
      <c r="J72" s="76">
        <f>ROUND(SUM(B72:F72)*J69,2)</f>
        <v>0</v>
      </c>
      <c r="K72" s="27">
        <f>ROUND((B72+SUM(D72:F72))*K69,2)</f>
        <v>0</v>
      </c>
      <c r="L72" s="27">
        <f>ROUND((B72+SUM(D72:F72))*L69,2)</f>
        <v>0</v>
      </c>
      <c r="M72" s="76">
        <f>ROUND(SUM(B72:F72)*M69,2)</f>
        <v>0</v>
      </c>
      <c r="N72" s="23"/>
      <c r="O72" s="23">
        <f>ROUND(SUM(B72+C72+F72)*O69,2)</f>
        <v>0</v>
      </c>
      <c r="P72" s="27">
        <f t="shared" ref="P72" si="8">SUM(G72:O72)</f>
        <v>0</v>
      </c>
    </row>
    <row r="73" spans="1:16" x14ac:dyDescent="0.2">
      <c r="A73" s="100" t="str">
        <f>'päd.Personal - Leitung'!$A$29</f>
        <v>Apr 2022</v>
      </c>
      <c r="B73" s="24">
        <f>ROUND(IF(N53=0,0,IFERROR(((LOOKUP(2,1/(A58:A61=A73),E58:E61))/L51*N53),B72/N53*N53)),2)</f>
        <v>0</v>
      </c>
      <c r="C73" s="23">
        <f>ROUND(IFERROR(((LOOKUP(2,1/(B63=A73),((SUM(B76:B78)+SUM(F76:F78))/3)*C63))),0)+IFERROR(((LOOKUP(2,1/(E63=A73),(B82+F82)*F63))),0),2)</f>
        <v>0</v>
      </c>
      <c r="D73" s="23">
        <f>IF(B73=0,0,D69/L51*N53)</f>
        <v>0</v>
      </c>
      <c r="E73" s="23">
        <f>IF(B73=0,0,E69/N47*N53)</f>
        <v>0</v>
      </c>
      <c r="F73" s="23">
        <f>IF(B73=0,0,F69/L51*N53)</f>
        <v>0</v>
      </c>
      <c r="G73" s="27">
        <f t="shared" si="7"/>
        <v>0</v>
      </c>
      <c r="H73" s="76">
        <f>ROUND(SUM(B73:F73)*H69,2)</f>
        <v>0</v>
      </c>
      <c r="I73" s="76">
        <f>ROUND(SUM(B73:F73)*I69,2)</f>
        <v>0</v>
      </c>
      <c r="J73" s="76">
        <f>ROUND(SUM(B73:F73)*J69,2)</f>
        <v>0</v>
      </c>
      <c r="K73" s="27">
        <f>ROUND((B73+SUM(D73:F73))*K69,2)</f>
        <v>0</v>
      </c>
      <c r="L73" s="27">
        <f>ROUND((B73+SUM(D73:F73))*L69,2)</f>
        <v>0</v>
      </c>
      <c r="M73" s="76">
        <f>ROUND(SUM(B73:F73)*M69,2)</f>
        <v>0</v>
      </c>
      <c r="N73" s="23"/>
      <c r="O73" s="23">
        <f>ROUND(SUM(B73+C73+F73)*O69,2)</f>
        <v>0</v>
      </c>
      <c r="P73" s="27">
        <f>SUM(G73:O73)</f>
        <v>0</v>
      </c>
    </row>
    <row r="74" spans="1:16" x14ac:dyDescent="0.2">
      <c r="A74" s="100" t="str">
        <f>'päd.Personal - Leitung'!$A$30</f>
        <v>Mai 2022</v>
      </c>
      <c r="B74" s="24">
        <f>ROUND(IF(N54=0,0,IFERROR(((LOOKUP(2,1/(A58:A61=A74),E58:E61))/L51*N54),B73/N54*N54)),2)</f>
        <v>0</v>
      </c>
      <c r="C74" s="23">
        <f>ROUND(IFERROR(((LOOKUP(2,1/(B63=A74),((SUM(B76:B78)+SUM(F76:F78))/3)*C63))),0)+IFERROR(((LOOKUP(2,1/(E63=A74),(B82+F82)*F63))),0),2)</f>
        <v>0</v>
      </c>
      <c r="D74" s="23">
        <f>IF(B74=0,0,D69/L51*N54)</f>
        <v>0</v>
      </c>
      <c r="E74" s="23">
        <f>IF(B74=0,0,E69/N47*N54)</f>
        <v>0</v>
      </c>
      <c r="F74" s="23">
        <f>IF(B74=0,0,F69/L51*N54)</f>
        <v>0</v>
      </c>
      <c r="G74" s="27">
        <f t="shared" si="7"/>
        <v>0</v>
      </c>
      <c r="H74" s="76">
        <f>ROUND(SUM(B74:F74)*H69,2)</f>
        <v>0</v>
      </c>
      <c r="I74" s="76">
        <f>ROUND(SUM(B74:F74)*I69,2)</f>
        <v>0</v>
      </c>
      <c r="J74" s="76">
        <f>ROUND(SUM(B74:F74)*J69,2)</f>
        <v>0</v>
      </c>
      <c r="K74" s="27">
        <f>ROUND((B74+SUM(D74:F74))*K69,2)</f>
        <v>0</v>
      </c>
      <c r="L74" s="27">
        <f>ROUND((B74+SUM(D74:F74))*L69,2)</f>
        <v>0</v>
      </c>
      <c r="M74" s="76">
        <f>ROUND(SUM(B74:F74)*M69,2)</f>
        <v>0</v>
      </c>
      <c r="N74" s="23"/>
      <c r="O74" s="23">
        <f>ROUND(SUM(B74+C74+F74)*O69,2)</f>
        <v>0</v>
      </c>
      <c r="P74" s="27">
        <f t="shared" ref="P74" si="9">SUM(G74:O74)</f>
        <v>0</v>
      </c>
    </row>
    <row r="75" spans="1:16" x14ac:dyDescent="0.2">
      <c r="A75" s="100" t="str">
        <f>'päd.Personal - Leitung'!$A$31</f>
        <v>Jun 2022</v>
      </c>
      <c r="B75" s="24">
        <f>ROUND(IF(N55=0,0,IFERROR(((LOOKUP(2,1/(A58:A61=A75),E58:E61))/L51*N55),B74/N55*N55)),2)</f>
        <v>0</v>
      </c>
      <c r="C75" s="23">
        <f>ROUND(IFERROR(((LOOKUP(2,1/(B63=A75),((SUM(B76:B78)+SUM(F76:F78))/3)*C63))),0)+IFERROR(((LOOKUP(2,1/(E63=A75),(B82+F82)*F63))),0),2)</f>
        <v>0</v>
      </c>
      <c r="D75" s="23">
        <f>IF(B75=0,0,D69/L51*N55)</f>
        <v>0</v>
      </c>
      <c r="E75" s="23">
        <f>IF(B75=0,0,E69/N47*N55)</f>
        <v>0</v>
      </c>
      <c r="F75" s="23">
        <f>IF(B75=0,0,F69/L51*N55)</f>
        <v>0</v>
      </c>
      <c r="G75" s="27">
        <f t="shared" si="7"/>
        <v>0</v>
      </c>
      <c r="H75" s="76">
        <f>ROUND(SUM(B75:F75)*H69,2)</f>
        <v>0</v>
      </c>
      <c r="I75" s="76">
        <f>ROUND(SUM(B75:F75)*I69,2)</f>
        <v>0</v>
      </c>
      <c r="J75" s="76">
        <f>ROUND(SUM(B75:F75)*J69,2)</f>
        <v>0</v>
      </c>
      <c r="K75" s="27">
        <f>ROUND((B75+SUM(D75:F75))*K69,2)</f>
        <v>0</v>
      </c>
      <c r="L75" s="27">
        <f>ROUND((B75+SUM(D75:F75))*L69,2)</f>
        <v>0</v>
      </c>
      <c r="M75" s="76">
        <f>ROUND(SUM(B75:F75)*M69,2)</f>
        <v>0</v>
      </c>
      <c r="N75" s="23"/>
      <c r="O75" s="23">
        <f>ROUND(SUM(B75+C75+F75)*O69,2)</f>
        <v>0</v>
      </c>
      <c r="P75" s="27">
        <f t="shared" ref="P75:P81" si="10">SUM(G75:O75)</f>
        <v>0</v>
      </c>
    </row>
    <row r="76" spans="1:16" x14ac:dyDescent="0.2">
      <c r="A76" s="100" t="str">
        <f>'päd.Personal - Leitung'!$A$32</f>
        <v>Jul 2022</v>
      </c>
      <c r="B76" s="24">
        <f>ROUND(IF(P50=0,0,IFERROR(((LOOKUP(2,1/(A58:A61=A76),E58:E61))/L51*P50),B75/P50*P50)),2)</f>
        <v>0</v>
      </c>
      <c r="C76" s="23">
        <f>ROUND(IFERROR(((LOOKUP(2,1/(B63=A76),((SUM(B76:B78)+SUM(F76:F78))/3)*C63))),0)+IFERROR(((LOOKUP(2,1/(E63=A76),(B82+F82)*F63))),0),2)</f>
        <v>0</v>
      </c>
      <c r="D76" s="23">
        <f>IF(B76=0,0,D69/L51*P50)</f>
        <v>0</v>
      </c>
      <c r="E76" s="23">
        <f>IF(B76=0,0,E69/N47*P50)</f>
        <v>0</v>
      </c>
      <c r="F76" s="23">
        <f>IF(B76=0,0,F69/L51*P50)</f>
        <v>0</v>
      </c>
      <c r="G76" s="27">
        <f t="shared" si="7"/>
        <v>0</v>
      </c>
      <c r="H76" s="76">
        <f>ROUND(SUM(B76:F76)*H69,2)</f>
        <v>0</v>
      </c>
      <c r="I76" s="76">
        <f>ROUND(SUM(B76:F76)*I69,2)</f>
        <v>0</v>
      </c>
      <c r="J76" s="76">
        <f>ROUND(SUM(B76:F76)*J69,2)</f>
        <v>0</v>
      </c>
      <c r="K76" s="27">
        <f>ROUND((B76+SUM(D76:F76))*K69,2)</f>
        <v>0</v>
      </c>
      <c r="L76" s="27">
        <f>ROUND((B76+SUM(D76:F76))*L69,2)</f>
        <v>0</v>
      </c>
      <c r="M76" s="76">
        <f>ROUND(SUM(B76:F76)*M69,2)</f>
        <v>0</v>
      </c>
      <c r="N76" s="23"/>
      <c r="O76" s="23">
        <f>ROUND(SUM(B76+C76+F76)*O69,2)</f>
        <v>0</v>
      </c>
      <c r="P76" s="27">
        <f t="shared" si="10"/>
        <v>0</v>
      </c>
    </row>
    <row r="77" spans="1:16" x14ac:dyDescent="0.2">
      <c r="A77" s="100" t="str">
        <f>'päd.Personal - Leitung'!$A$33</f>
        <v>Aug 2022</v>
      </c>
      <c r="B77" s="24">
        <f>ROUND(IF(P51=0,0,IFERROR(((LOOKUP(2,1/(A58:A61=A77),E58:E61))/L51*P51),B76/P51*P51)),2)</f>
        <v>0</v>
      </c>
      <c r="C77" s="23">
        <f>ROUND(IFERROR(((LOOKUP(2,1/(B63=A77),((SUM(B76:B78)+SUM(F76:F78))/3)*C63))),0)+IFERROR(((LOOKUP(2,1/(E63=A77),(B82+F82)*F63))),0),2)</f>
        <v>0</v>
      </c>
      <c r="D77" s="23">
        <f>IF(B77=0,0,D69/L51*P51)</f>
        <v>0</v>
      </c>
      <c r="E77" s="23">
        <f>IF(B77=0,0,E69/N47*P51)</f>
        <v>0</v>
      </c>
      <c r="F77" s="23">
        <f>IF(B77=0,0,F69/L51*P51)</f>
        <v>0</v>
      </c>
      <c r="G77" s="27">
        <f t="shared" si="7"/>
        <v>0</v>
      </c>
      <c r="H77" s="76">
        <f>ROUND(SUM(B77:F77)*H69,2)</f>
        <v>0</v>
      </c>
      <c r="I77" s="76">
        <f>ROUND(SUM(B77:F77)*I69,2)</f>
        <v>0</v>
      </c>
      <c r="J77" s="76">
        <f>ROUND(SUM(B77:F77)*J69,2)</f>
        <v>0</v>
      </c>
      <c r="K77" s="27">
        <f>ROUND((B77+SUM(D77:F77))*K69,2)</f>
        <v>0</v>
      </c>
      <c r="L77" s="27">
        <f>ROUND((B77+SUM(D77:F77))*L69,2)</f>
        <v>0</v>
      </c>
      <c r="M77" s="76">
        <f>ROUND(SUM(B77:F77)*M69,2)</f>
        <v>0</v>
      </c>
      <c r="N77" s="23"/>
      <c r="O77" s="23">
        <f>ROUND(SUM(B77+C77+F77)*O69,2)</f>
        <v>0</v>
      </c>
      <c r="P77" s="27">
        <f t="shared" si="10"/>
        <v>0</v>
      </c>
    </row>
    <row r="78" spans="1:16" x14ac:dyDescent="0.2">
      <c r="A78" s="100" t="str">
        <f>'päd.Personal - Leitung'!$A$34</f>
        <v>Sep 2022</v>
      </c>
      <c r="B78" s="24">
        <f>ROUND(IF(P52=0,0,IFERROR(((LOOKUP(2,1/(A58:A61=A78),E58:E61))/L51*P52),B77/P52*P52)),2)</f>
        <v>0</v>
      </c>
      <c r="C78" s="23">
        <f>ROUND(IFERROR(((LOOKUP(2,1/(B63=A78),((SUM(B76:B78)+SUM(F76:F78))/3)*C63))),0)+IFERROR(((LOOKUP(2,1/(E63=A78),(B82+F82)*F63))),0),2)</f>
        <v>0</v>
      </c>
      <c r="D78" s="23">
        <f>IF(B78=0,0,D69/L51*P52)</f>
        <v>0</v>
      </c>
      <c r="E78" s="23">
        <f>IF(B78=0,0,E69/N47*P52)</f>
        <v>0</v>
      </c>
      <c r="F78" s="23">
        <f>IF(B78=0,0,F69/L51*P52)</f>
        <v>0</v>
      </c>
      <c r="G78" s="27">
        <f t="shared" si="7"/>
        <v>0</v>
      </c>
      <c r="H78" s="76">
        <f>ROUND(SUM(B78:F78)*H69,2)</f>
        <v>0</v>
      </c>
      <c r="I78" s="76">
        <f>ROUND(SUM(B78:F78)*I69,2)</f>
        <v>0</v>
      </c>
      <c r="J78" s="76">
        <f>ROUND(SUM(B78:F78)*J69,2)</f>
        <v>0</v>
      </c>
      <c r="K78" s="27">
        <f>ROUND((B78+SUM(D78:F78))*K69,2)</f>
        <v>0</v>
      </c>
      <c r="L78" s="27">
        <f>ROUND((B78+SUM(D78:F78))*L69,2)</f>
        <v>0</v>
      </c>
      <c r="M78" s="76">
        <f>ROUND(SUM(B78:F78)*M69,2)</f>
        <v>0</v>
      </c>
      <c r="N78" s="23"/>
      <c r="O78" s="23">
        <f>ROUND(SUM(B78+C78+F78)*O69,2)</f>
        <v>0</v>
      </c>
      <c r="P78" s="27">
        <f t="shared" si="10"/>
        <v>0</v>
      </c>
    </row>
    <row r="79" spans="1:16" x14ac:dyDescent="0.2">
      <c r="A79" s="100" t="str">
        <f>'päd.Personal - Leitung'!$A$35</f>
        <v>Okt 2022</v>
      </c>
      <c r="B79" s="24">
        <f>ROUND(IF(P53=0,0,IFERROR(((LOOKUP(2,1/(A58:A61=A79),E58:E61))/L51*P53),B78/P53*P53)),2)</f>
        <v>0</v>
      </c>
      <c r="C79" s="23">
        <f>ROUND(IFERROR(((LOOKUP(2,1/(B63=A79),((SUM(B76:B78)+SUM(F76:F78))/3)*C63))),0)+IFERROR(((LOOKUP(2,1/(E63=A79),(B82+F82)*F63))),0),2)</f>
        <v>0</v>
      </c>
      <c r="D79" s="23">
        <f>IF(B79=0,0,D69/L51*P53)</f>
        <v>0</v>
      </c>
      <c r="E79" s="23">
        <f>IF(B79=0,0,E69/N47*P53)</f>
        <v>0</v>
      </c>
      <c r="F79" s="23">
        <f>IF(B79=0,0,F69/L51*P53)</f>
        <v>0</v>
      </c>
      <c r="G79" s="27">
        <f t="shared" si="7"/>
        <v>0</v>
      </c>
      <c r="H79" s="76">
        <f>ROUND(SUM(B79:F79)*H69,2)</f>
        <v>0</v>
      </c>
      <c r="I79" s="76">
        <f>ROUND(SUM(B79:F79)*I69,2)</f>
        <v>0</v>
      </c>
      <c r="J79" s="76">
        <f>ROUND(SUM(B79:F79)*J69,2)</f>
        <v>0</v>
      </c>
      <c r="K79" s="27">
        <f>ROUND((B79+SUM(D79:F79))*K69,2)</f>
        <v>0</v>
      </c>
      <c r="L79" s="27">
        <f>ROUND((B79+SUM(D79:F79))*L69,2)</f>
        <v>0</v>
      </c>
      <c r="M79" s="76">
        <f>ROUND(SUM(B79:F79)*M69,2)</f>
        <v>0</v>
      </c>
      <c r="N79" s="23"/>
      <c r="O79" s="23">
        <f>ROUND(SUM(B79+C79+F79)*O69,2)</f>
        <v>0</v>
      </c>
      <c r="P79" s="27">
        <f t="shared" si="10"/>
        <v>0</v>
      </c>
    </row>
    <row r="80" spans="1:16" x14ac:dyDescent="0.2">
      <c r="A80" s="100" t="str">
        <f>'päd.Personal - Leitung'!$A$36</f>
        <v>Nov 2022</v>
      </c>
      <c r="B80" s="24">
        <f>ROUND(IF(P54=0,0,IFERROR(((LOOKUP(2,1/(A58:A61=A80),E58:E61))/L51*P54),B79/P54*P54)),2)</f>
        <v>0</v>
      </c>
      <c r="C80" s="23">
        <f>ROUND(IFERROR(((LOOKUP(2,1/(B63=A80),((SUM(B76:B78)+SUM(F76:F78))/3)*C63))),0)+IFERROR(((LOOKUP(2,1/(E63=A80),(B82+F82)*F63))),0),2)</f>
        <v>0</v>
      </c>
      <c r="D80" s="23">
        <f>IF(B80=0,0,D69/L51*P54)</f>
        <v>0</v>
      </c>
      <c r="E80" s="23">
        <f>IF(B80=0,0,E69/N47*P54)</f>
        <v>0</v>
      </c>
      <c r="F80" s="23">
        <f>IF(B80=0,0,F69/L51*P54)</f>
        <v>0</v>
      </c>
      <c r="G80" s="27">
        <f t="shared" si="7"/>
        <v>0</v>
      </c>
      <c r="H80" s="76">
        <f>ROUND(SUM(B80:F80)*H69,2)</f>
        <v>0</v>
      </c>
      <c r="I80" s="76">
        <f>ROUND(SUM(B80:F80)*I69,2)</f>
        <v>0</v>
      </c>
      <c r="J80" s="76">
        <f>ROUND(SUM(B80:F80)*J69,2)</f>
        <v>0</v>
      </c>
      <c r="K80" s="27">
        <f>ROUND((B80+SUM(D80:F80))*K69,2)</f>
        <v>0</v>
      </c>
      <c r="L80" s="27">
        <f>ROUND((B80+SUM(D80:F80))*L69,2)</f>
        <v>0</v>
      </c>
      <c r="M80" s="76">
        <f>ROUND(SUM(B80:F80)*M69,2)</f>
        <v>0</v>
      </c>
      <c r="N80" s="23"/>
      <c r="O80" s="23">
        <f>ROUND(SUM(B80+C80+F80)*O69,2)</f>
        <v>0</v>
      </c>
      <c r="P80" s="27">
        <f t="shared" si="10"/>
        <v>0</v>
      </c>
    </row>
    <row r="81" spans="1:16" x14ac:dyDescent="0.2">
      <c r="A81" s="100" t="str">
        <f>'päd.Personal - Leitung'!$A$37</f>
        <v>Dez 2022</v>
      </c>
      <c r="B81" s="24">
        <f>ROUND(IF(P55=0,0,IFERROR(((LOOKUP(2,1/(A58:A61=A81),E58:E61))/L51*P55),B80/P55*P55)),2)</f>
        <v>0</v>
      </c>
      <c r="C81" s="23">
        <f>ROUND(IFERROR(((LOOKUP(2,1/(B63=A81),((SUM(B76:B78)+SUM(F76:F78))/3)*C63))),0)+IFERROR(((LOOKUP(2,1/(E63=A81),(B82+F82)*F63))),0),2)</f>
        <v>0</v>
      </c>
      <c r="D81" s="23">
        <f>IF(B81=0,0,D69/L51*P55)</f>
        <v>0</v>
      </c>
      <c r="E81" s="23">
        <f>IF(B81=0,0,E69/N47*P55)</f>
        <v>0</v>
      </c>
      <c r="F81" s="23">
        <f>IF(B81=0,0,F69/L51*P55)</f>
        <v>0</v>
      </c>
      <c r="G81" s="27">
        <f t="shared" si="7"/>
        <v>0</v>
      </c>
      <c r="H81" s="76">
        <f>ROUND(SUM(B81:F81)*H69,2)</f>
        <v>0</v>
      </c>
      <c r="I81" s="76">
        <f>ROUND(SUM(B81:F81)*I69,2)</f>
        <v>0</v>
      </c>
      <c r="J81" s="76">
        <f>ROUND(SUM(B81:F81)*J69,2)</f>
        <v>0</v>
      </c>
      <c r="K81" s="27">
        <f>ROUND((B81+SUM(D81:F81))*K69,2)</f>
        <v>0</v>
      </c>
      <c r="L81" s="27">
        <f>ROUND((B81+SUM(D81:F81))*L69,2)</f>
        <v>0</v>
      </c>
      <c r="M81" s="76">
        <f>ROUND(SUM(B81:F81)*M69,2)</f>
        <v>0</v>
      </c>
      <c r="N81" s="23"/>
      <c r="O81" s="23">
        <f>ROUND(SUM(B81+C81+F81)*O69,2)</f>
        <v>0</v>
      </c>
      <c r="P81" s="27">
        <f t="shared" si="10"/>
        <v>0</v>
      </c>
    </row>
    <row r="82" spans="1:16" x14ac:dyDescent="0.2">
      <c r="A82" s="4" t="s">
        <v>2</v>
      </c>
      <c r="B82" s="27">
        <f t="shared" ref="B82:G82" si="11">SUM(B70:B81)</f>
        <v>0</v>
      </c>
      <c r="C82" s="27">
        <f t="shared" si="11"/>
        <v>0</v>
      </c>
      <c r="D82" s="27">
        <f t="shared" si="11"/>
        <v>0</v>
      </c>
      <c r="E82" s="27">
        <f t="shared" si="11"/>
        <v>0</v>
      </c>
      <c r="F82" s="27">
        <f t="shared" si="11"/>
        <v>0</v>
      </c>
      <c r="G82" s="27">
        <f t="shared" si="11"/>
        <v>0</v>
      </c>
      <c r="H82" s="1133">
        <f>SUM(H70:M81)</f>
        <v>0</v>
      </c>
      <c r="I82" s="1134"/>
      <c r="J82" s="1134"/>
      <c r="K82" s="1134"/>
      <c r="L82" s="1134"/>
      <c r="M82" s="1135"/>
      <c r="N82" s="27">
        <f>SUM(N70:N81)</f>
        <v>0</v>
      </c>
      <c r="O82" s="27">
        <f>SUM(O70:O81)</f>
        <v>0</v>
      </c>
      <c r="P82" s="27">
        <f>SUM(P70:P81)</f>
        <v>0</v>
      </c>
    </row>
    <row r="83" spans="1:16" s="13" customFormat="1" ht="11.25" x14ac:dyDescent="0.2">
      <c r="A83" s="3" t="s">
        <v>1</v>
      </c>
      <c r="B83" s="2"/>
      <c r="C83" s="2"/>
      <c r="D83" s="2"/>
      <c r="E83" s="2"/>
      <c r="F83" s="2"/>
      <c r="G83" s="2"/>
      <c r="H83" s="2"/>
      <c r="I83" s="2"/>
      <c r="J83" s="2"/>
      <c r="K83" s="2"/>
      <c r="L83" s="2"/>
      <c r="M83" s="2"/>
      <c r="N83" s="2"/>
      <c r="O83" s="2"/>
      <c r="P83" s="2"/>
    </row>
    <row r="84" spans="1:16" s="1" customFormat="1" ht="14.25" customHeight="1" x14ac:dyDescent="0.2">
      <c r="A84" s="1136" t="s">
        <v>133</v>
      </c>
      <c r="B84" s="1137"/>
      <c r="C84" s="1137"/>
      <c r="D84" s="1137" t="s">
        <v>134</v>
      </c>
      <c r="E84" s="1137"/>
      <c r="F84" s="46"/>
      <c r="G84" s="77" t="s">
        <v>135</v>
      </c>
      <c r="H84" s="71"/>
      <c r="I84" s="73"/>
      <c r="J84" s="78"/>
      <c r="K84" s="78"/>
      <c r="L84" s="78"/>
      <c r="M84" s="1138" t="s">
        <v>140</v>
      </c>
      <c r="N84" s="1138"/>
      <c r="O84" s="1139"/>
      <c r="P84" s="27">
        <f>ROUND(IF(F84="",IF(E88="",0,(E88*H88/K88)/L51*L52),G82*F84*H84/1000),2)</f>
        <v>0</v>
      </c>
    </row>
    <row r="85" spans="1:16" s="1" customFormat="1" ht="15" customHeight="1" x14ac:dyDescent="0.2">
      <c r="A85" s="1140" t="s">
        <v>145</v>
      </c>
      <c r="B85" s="1141"/>
      <c r="C85" s="1141"/>
      <c r="D85" s="18"/>
      <c r="E85" s="107" t="s">
        <v>135</v>
      </c>
      <c r="F85" s="49"/>
      <c r="G85" s="48"/>
      <c r="H85" s="47"/>
      <c r="I85" s="48"/>
      <c r="J85" s="79"/>
      <c r="K85" s="80"/>
      <c r="L85" s="81"/>
      <c r="M85" s="1138" t="s">
        <v>139</v>
      </c>
      <c r="N85" s="1138"/>
      <c r="O85" s="1139"/>
      <c r="P85" s="27">
        <f>ROUND(IF(F85="",0,G82*F85/1000),2)</f>
        <v>0</v>
      </c>
    </row>
    <row r="86" spans="1:16" s="1" customFormat="1" ht="15.75" customHeight="1" x14ac:dyDescent="0.2">
      <c r="A86" s="1142" t="s">
        <v>141</v>
      </c>
      <c r="B86" s="1143"/>
      <c r="C86" s="1143"/>
      <c r="D86" s="1144" t="s">
        <v>143</v>
      </c>
      <c r="E86" s="1144"/>
      <c r="F86" s="1145"/>
      <c r="G86" s="1145"/>
      <c r="H86" s="72"/>
      <c r="I86" s="18"/>
      <c r="J86" s="79"/>
      <c r="K86" s="80"/>
      <c r="L86" s="81"/>
      <c r="M86" s="1138" t="s">
        <v>141</v>
      </c>
      <c r="N86" s="1138"/>
      <c r="O86" s="1139"/>
      <c r="P86" s="23">
        <f>ROUND(IF(F86="",0,IF(G82=0,0,F86/L51*L52)),2)</f>
        <v>0</v>
      </c>
    </row>
    <row r="87" spans="1:16" s="1" customFormat="1" ht="14.25" customHeight="1" x14ac:dyDescent="0.2">
      <c r="A87" s="18"/>
      <c r="B87" s="18"/>
      <c r="C87" s="18"/>
      <c r="D87" s="18"/>
      <c r="E87" s="18"/>
      <c r="F87" s="18"/>
      <c r="G87" s="18"/>
      <c r="H87" s="18"/>
      <c r="I87" s="18"/>
      <c r="J87" s="18"/>
      <c r="K87" s="74"/>
      <c r="L87" s="82"/>
      <c r="M87" s="1191" t="s">
        <v>146</v>
      </c>
      <c r="N87" s="1191"/>
      <c r="O87" s="1192"/>
      <c r="P87" s="23">
        <f>ROUND(IF(G82=0,0,$P$43),2)</f>
        <v>0</v>
      </c>
    </row>
    <row r="88" spans="1:16" s="1" customFormat="1" ht="14.25" customHeight="1" x14ac:dyDescent="0.2">
      <c r="A88" s="1129" t="s">
        <v>142</v>
      </c>
      <c r="B88" s="1130"/>
      <c r="C88" s="133" t="s">
        <v>136</v>
      </c>
      <c r="D88" s="133" t="s">
        <v>137</v>
      </c>
      <c r="E88" s="1185"/>
      <c r="F88" s="1185"/>
      <c r="G88" s="83" t="s">
        <v>138</v>
      </c>
      <c r="H88" s="90"/>
      <c r="I88" s="1132" t="s">
        <v>144</v>
      </c>
      <c r="J88" s="1132"/>
      <c r="K88" s="91"/>
      <c r="L88" s="29"/>
      <c r="M88" s="29"/>
      <c r="N88" s="29"/>
      <c r="O88" s="28" t="s">
        <v>0</v>
      </c>
      <c r="P88" s="27">
        <f>P82+SUM(P84:P87)</f>
        <v>0</v>
      </c>
    </row>
    <row r="89" spans="1:16" s="12" customFormat="1" ht="13.5" customHeight="1" x14ac:dyDescent="0.2">
      <c r="A89" s="1178" t="s">
        <v>18</v>
      </c>
      <c r="B89" s="1178"/>
      <c r="C89" s="1178"/>
      <c r="D89" s="1179" t="str">
        <f>IF($D$1="","",$D$1)</f>
        <v/>
      </c>
      <c r="E89" s="1179"/>
      <c r="F89" s="1179"/>
      <c r="G89" s="1179"/>
      <c r="H89" s="1179"/>
      <c r="I89" s="1179"/>
      <c r="J89" s="1179"/>
      <c r="K89" s="1179"/>
      <c r="L89" s="1179"/>
      <c r="M89" s="1179"/>
      <c r="N89" s="1179"/>
    </row>
    <row r="90" spans="1:16" s="12" customFormat="1" ht="15" customHeight="1" x14ac:dyDescent="0.2">
      <c r="A90" s="1178" t="s">
        <v>17</v>
      </c>
      <c r="B90" s="1178"/>
      <c r="C90" s="1178" t="s">
        <v>15</v>
      </c>
      <c r="D90" s="1179" t="str">
        <f>IF($D$2="","",$D$2)</f>
        <v/>
      </c>
      <c r="E90" s="1179"/>
      <c r="F90" s="1179"/>
      <c r="G90" s="1179"/>
      <c r="H90" s="1179"/>
      <c r="I90" s="1179"/>
      <c r="J90" s="1179"/>
      <c r="K90" s="1179"/>
      <c r="L90" s="1179"/>
      <c r="M90" s="1179"/>
      <c r="N90" s="1179"/>
    </row>
    <row r="91" spans="1:16" s="12" customFormat="1" ht="15" customHeight="1" x14ac:dyDescent="0.2">
      <c r="A91" s="1178" t="s">
        <v>16</v>
      </c>
      <c r="B91" s="1178"/>
      <c r="C91" s="1178" t="s">
        <v>15</v>
      </c>
      <c r="D91" s="1179" t="str">
        <f>IF($D$3="","",$D$3)</f>
        <v/>
      </c>
      <c r="E91" s="1179"/>
      <c r="F91" s="1179"/>
      <c r="G91" s="1179"/>
      <c r="H91" s="1179"/>
      <c r="I91" s="1179"/>
      <c r="J91" s="1179"/>
      <c r="K91" s="1178" t="s">
        <v>103</v>
      </c>
      <c r="L91" s="1178"/>
      <c r="M91" s="1178"/>
      <c r="N91" s="41" t="str">
        <f>IF($N$3="","",$N$3)</f>
        <v/>
      </c>
    </row>
    <row r="92" spans="1:16" s="13" customFormat="1" ht="11.25" x14ac:dyDescent="0.2">
      <c r="A92" s="1182"/>
      <c r="B92" s="1182"/>
      <c r="C92" s="1182"/>
      <c r="D92" s="1183"/>
      <c r="E92" s="1183"/>
      <c r="F92" s="1183"/>
      <c r="G92" s="1183"/>
      <c r="H92" s="1183"/>
      <c r="I92" s="1183"/>
      <c r="J92" s="1183"/>
      <c r="K92" s="11"/>
      <c r="L92" s="11"/>
      <c r="M92" s="11"/>
      <c r="N92" s="11"/>
      <c r="O92" s="11"/>
      <c r="P92" s="11"/>
    </row>
    <row r="93" spans="1:16" s="15" customFormat="1" ht="13.5" customHeight="1" x14ac:dyDescent="0.2">
      <c r="A93" s="1177" t="s">
        <v>210</v>
      </c>
      <c r="B93" s="1177"/>
      <c r="C93" s="1177"/>
      <c r="D93" s="1177"/>
      <c r="E93" s="1177"/>
      <c r="F93" s="1177"/>
      <c r="G93" s="1177"/>
      <c r="H93" s="1177"/>
      <c r="I93" s="1177"/>
      <c r="J93" s="1177"/>
      <c r="K93" s="1177"/>
      <c r="L93" s="9"/>
      <c r="M93" s="9"/>
      <c r="N93" s="59" t="s">
        <v>154</v>
      </c>
      <c r="O93" s="191">
        <f>'päd.Personal - Leitung'!$O$5</f>
        <v>2022</v>
      </c>
      <c r="P93" s="59" t="s">
        <v>154</v>
      </c>
    </row>
    <row r="94" spans="1:16" s="10" customFormat="1" ht="13.5" customHeight="1" x14ac:dyDescent="0.25">
      <c r="B94" s="32"/>
      <c r="C94" s="32"/>
      <c r="D94" s="5" t="s">
        <v>208</v>
      </c>
      <c r="E94" s="31"/>
      <c r="F94" s="31"/>
      <c r="G94" s="31"/>
      <c r="H94" s="31"/>
      <c r="I94" s="26"/>
      <c r="J94" s="1197"/>
      <c r="K94" s="1197"/>
      <c r="L94" s="111"/>
      <c r="N94" s="84">
        <f>IF(L96="","",L96)</f>
        <v>0</v>
      </c>
      <c r="O94" s="58" t="str">
        <f>'päd.Personal - Leitung'!$O$6</f>
        <v>Jan                Jul</v>
      </c>
      <c r="P94" s="85">
        <f>IF(N99="","",N99)</f>
        <v>0</v>
      </c>
    </row>
    <row r="95" spans="1:16" s="7" customFormat="1" ht="13.5" customHeight="1" x14ac:dyDescent="0.25">
      <c r="A95" s="1180" t="s">
        <v>71</v>
      </c>
      <c r="B95" s="1180"/>
      <c r="C95" s="1180"/>
      <c r="D95" s="1184"/>
      <c r="E95" s="1184"/>
      <c r="F95" s="1184"/>
      <c r="G95" s="1184"/>
      <c r="H95" s="1184"/>
      <c r="I95" s="1184"/>
      <c r="J95" s="1174" t="s">
        <v>104</v>
      </c>
      <c r="K95" s="1174"/>
      <c r="L95" s="145"/>
      <c r="N95" s="85">
        <f>IF(N94="","",N94)</f>
        <v>0</v>
      </c>
      <c r="O95" s="58" t="str">
        <f>'päd.Personal - Leitung'!$O$7</f>
        <v>Feb              Aug</v>
      </c>
      <c r="P95" s="85">
        <f>IF(P94="","",P94)</f>
        <v>0</v>
      </c>
    </row>
    <row r="96" spans="1:16" s="1" customFormat="1" ht="13.5" customHeight="1" x14ac:dyDescent="0.2">
      <c r="A96" s="1180" t="s">
        <v>13</v>
      </c>
      <c r="B96" s="1180"/>
      <c r="C96" s="1180"/>
      <c r="D96" s="1181"/>
      <c r="E96" s="1181"/>
      <c r="F96" s="1181"/>
      <c r="G96" s="1181"/>
      <c r="H96" s="1181"/>
      <c r="I96" s="1181"/>
      <c r="J96" s="1174" t="s">
        <v>164</v>
      </c>
      <c r="K96" s="1174"/>
      <c r="L96" s="145">
        <f>IF((L97+L98)&gt;L95,0,L95-L97-L98)</f>
        <v>0</v>
      </c>
      <c r="N96" s="85">
        <f>IF(N95="","",N95)</f>
        <v>0</v>
      </c>
      <c r="O96" s="58" t="str">
        <f>'päd.Personal - Leitung'!$O$8</f>
        <v>Mrz              Sep</v>
      </c>
      <c r="P96" s="85">
        <f>IF(P95="","",P95)</f>
        <v>0</v>
      </c>
    </row>
    <row r="97" spans="1:16" s="1" customFormat="1" ht="13.5" customHeight="1" x14ac:dyDescent="0.2">
      <c r="A97" s="1180" t="s">
        <v>80</v>
      </c>
      <c r="B97" s="1180"/>
      <c r="C97" s="1180"/>
      <c r="D97" s="1181"/>
      <c r="E97" s="1181"/>
      <c r="F97" s="1181"/>
      <c r="G97" s="1181"/>
      <c r="H97" s="1181"/>
      <c r="I97" s="1181"/>
      <c r="J97" s="1174" t="s">
        <v>165</v>
      </c>
      <c r="K97" s="1174"/>
      <c r="L97" s="145"/>
      <c r="N97" s="85">
        <f>IF(N96="","",N96)</f>
        <v>0</v>
      </c>
      <c r="O97" s="58" t="str">
        <f>'päd.Personal - Leitung'!$O$9</f>
        <v>Apr               Okt</v>
      </c>
      <c r="P97" s="85">
        <f t="shared" ref="P97:P99" si="12">IF(P96="","",P96)</f>
        <v>0</v>
      </c>
    </row>
    <row r="98" spans="1:16" s="1" customFormat="1" ht="13.5" customHeight="1" x14ac:dyDescent="0.2">
      <c r="A98" s="1180" t="s">
        <v>19</v>
      </c>
      <c r="B98" s="1180"/>
      <c r="C98" s="1180"/>
      <c r="D98" s="1181"/>
      <c r="E98" s="1181"/>
      <c r="F98" s="1181"/>
      <c r="G98" s="1181"/>
      <c r="H98" s="1181"/>
      <c r="I98" s="1181"/>
      <c r="J98" s="1174" t="s">
        <v>252</v>
      </c>
      <c r="K98" s="1174"/>
      <c r="L98" s="145"/>
      <c r="M98" s="92"/>
      <c r="N98" s="85">
        <f>IF(N97="","",N97)</f>
        <v>0</v>
      </c>
      <c r="O98" s="58" t="str">
        <f>'päd.Personal - Leitung'!$O$10</f>
        <v>Mai               Nov</v>
      </c>
      <c r="P98" s="85">
        <f t="shared" si="12"/>
        <v>0</v>
      </c>
    </row>
    <row r="99" spans="1:16" s="1" customFormat="1" ht="13.5" customHeight="1" x14ac:dyDescent="0.2">
      <c r="B99" s="8"/>
      <c r="C99" s="132" t="s">
        <v>162</v>
      </c>
      <c r="D99" s="1175"/>
      <c r="E99" s="1175"/>
      <c r="F99" s="1176" t="s">
        <v>106</v>
      </c>
      <c r="G99" s="1176"/>
      <c r="H99" s="1186"/>
      <c r="I99" s="1186"/>
      <c r="J99" s="1174" t="s">
        <v>97</v>
      </c>
      <c r="K99" s="1174"/>
      <c r="L99" s="17" t="str">
        <f>IF(IF((COUNTIF(B114:B125,"&gt;0"))=0,0,(COUNTIF(B114:B125,"&gt;0")))&gt;Grundlagen!$C$24,Grundlagen!$C$24,IF((COUNTIF(B114:B125,"&gt;0"))=0,"",(COUNTIF(B114:B125,"&gt;0"))))</f>
        <v/>
      </c>
      <c r="N99" s="85">
        <f>IF(N98="","",N98)</f>
        <v>0</v>
      </c>
      <c r="O99" s="58" t="str">
        <f>'päd.Personal - Leitung'!$O$11</f>
        <v>Jun               Dez</v>
      </c>
      <c r="P99" s="85">
        <f t="shared" si="12"/>
        <v>0</v>
      </c>
    </row>
    <row r="100" spans="1:16" s="1" customFormat="1" ht="13.5" customHeight="1" x14ac:dyDescent="0.2">
      <c r="L100" s="147" t="str">
        <f>IF((SUM(E102:F105))=0,"",IF(P100&gt;L96,L96,IF(L96="","",IF(L99="","",P100))))</f>
        <v/>
      </c>
      <c r="O100" s="174" t="s">
        <v>251</v>
      </c>
      <c r="P100" s="175">
        <f>IF(L99="",0,((IF(SUMIF(B114,"&gt;0"),N94,0))+(IF(SUMIF(B115,"&gt;0"),N95,0))+(IF(SUMIF(B116,"&gt;0"),N96,0))+(IF(SUMIF(B117,"&gt;0"),N97,0))+(IF(SUMIF(B118,"&gt;0"),N98,0))+(IF(SUMIF(B119,"&gt;0"),N99,0))+(IF(SUMIF(B120,"&gt;0"),P94,0))+(IF(SUMIF(B121,"&gt;0"),P95,0))+(IF(SUMIF(B122,"&gt;0"),P96,0))+(IF(SUMIF(B123,"&gt;0"),P97,0))+(IF(SUMIF(B124,"&gt;0"),P98,0))+(IF(SUMIF(B125,"&gt;0"),P99,0)))/Grundlagen!$C$24)</f>
        <v>0</v>
      </c>
    </row>
    <row r="101" spans="1:16" s="156" customFormat="1" ht="14.25" customHeight="1" x14ac:dyDescent="0.25">
      <c r="A101" s="150" t="s">
        <v>197</v>
      </c>
      <c r="B101" s="63"/>
      <c r="C101" s="151"/>
      <c r="D101" s="63"/>
      <c r="E101" s="1229" t="s">
        <v>198</v>
      </c>
      <c r="F101" s="1229"/>
      <c r="G101" s="65" t="s">
        <v>152</v>
      </c>
      <c r="H101" s="117"/>
      <c r="I101" s="152"/>
      <c r="J101" s="152"/>
      <c r="K101" s="153"/>
      <c r="L101" s="154"/>
      <c r="M101" s="153"/>
      <c r="N101" s="155"/>
      <c r="O101" s="116"/>
    </row>
    <row r="102" spans="1:16" s="156" customFormat="1" ht="14.25" customHeight="1" x14ac:dyDescent="0.25">
      <c r="A102" s="54" t="str">
        <f>A114</f>
        <v>Jan 2022</v>
      </c>
      <c r="B102" s="1233"/>
      <c r="C102" s="1234"/>
      <c r="D102" s="1235"/>
      <c r="E102" s="1222"/>
      <c r="F102" s="1223"/>
      <c r="G102" s="157">
        <f>IF(L96=0,0,E102/L95/4.348)</f>
        <v>0</v>
      </c>
      <c r="H102" s="118"/>
    </row>
    <row r="103" spans="1:16" s="156" customFormat="1" ht="14.25" customHeight="1" x14ac:dyDescent="0.25">
      <c r="A103" s="55"/>
      <c r="B103" s="1233"/>
      <c r="C103" s="1234"/>
      <c r="D103" s="1235"/>
      <c r="E103" s="1222"/>
      <c r="F103" s="1223"/>
      <c r="G103" s="157">
        <f>IF(L96=0,0,E103/L95/4.348)</f>
        <v>0</v>
      </c>
      <c r="H103" s="65"/>
    </row>
    <row r="104" spans="1:16" s="156" customFormat="1" ht="14.25" customHeight="1" x14ac:dyDescent="0.25">
      <c r="A104" s="55"/>
      <c r="B104" s="1233"/>
      <c r="C104" s="1234"/>
      <c r="D104" s="1235"/>
      <c r="E104" s="1222"/>
      <c r="F104" s="1223"/>
      <c r="G104" s="157">
        <f>IF(L96=0,0,E104/L95/4.348)</f>
        <v>0</v>
      </c>
      <c r="H104" s="116"/>
    </row>
    <row r="105" spans="1:16" s="116" customFormat="1" ht="14.25" customHeight="1" x14ac:dyDescent="0.25">
      <c r="A105" s="55"/>
      <c r="B105" s="1233"/>
      <c r="C105" s="1234"/>
      <c r="D105" s="1235"/>
      <c r="E105" s="1222"/>
      <c r="F105" s="1223"/>
      <c r="G105" s="157">
        <f>IF(L96=0,0,E105/L95/4.348)</f>
        <v>0</v>
      </c>
      <c r="H105" s="117"/>
    </row>
    <row r="106" spans="1:16" s="116" customFormat="1" ht="14.25" customHeight="1" x14ac:dyDescent="0.25">
      <c r="A106" s="52"/>
      <c r="B106" s="1167" t="s">
        <v>157</v>
      </c>
      <c r="C106" s="1167"/>
      <c r="D106" s="52"/>
      <c r="E106" s="1167" t="s">
        <v>156</v>
      </c>
      <c r="F106" s="1167"/>
      <c r="G106" s="119"/>
      <c r="H106" s="117"/>
    </row>
    <row r="107" spans="1:16" s="156" customFormat="1" ht="14.25" customHeight="1" x14ac:dyDescent="0.25">
      <c r="A107" s="70" t="s">
        <v>167</v>
      </c>
      <c r="B107" s="67"/>
      <c r="C107" s="99"/>
      <c r="D107" s="70" t="s">
        <v>167</v>
      </c>
      <c r="E107" s="67"/>
      <c r="F107" s="99"/>
      <c r="H107" s="117"/>
      <c r="K107" s="152"/>
      <c r="L107" s="152"/>
      <c r="M107" s="152"/>
      <c r="N107" s="159"/>
      <c r="O107" s="152"/>
    </row>
    <row r="108" spans="1:16" s="52" customFormat="1" ht="13.5" customHeight="1" x14ac:dyDescent="0.2">
      <c r="A108" s="60" t="s">
        <v>155</v>
      </c>
    </row>
    <row r="109" spans="1:16" ht="14.25" customHeight="1" x14ac:dyDescent="0.2">
      <c r="A109" s="1147"/>
      <c r="B109" s="1149" t="s">
        <v>9</v>
      </c>
      <c r="C109" s="1150"/>
      <c r="D109" s="1150"/>
      <c r="E109" s="1150"/>
      <c r="F109" s="1150"/>
      <c r="G109" s="1151"/>
      <c r="H109" s="1152" t="s">
        <v>8</v>
      </c>
      <c r="I109" s="1153"/>
      <c r="J109" s="1153"/>
      <c r="K109" s="1153"/>
      <c r="L109" s="1153"/>
      <c r="M109" s="1153"/>
      <c r="N109" s="129"/>
      <c r="O109" s="33"/>
      <c r="P109" s="1154" t="s">
        <v>0</v>
      </c>
    </row>
    <row r="110" spans="1:16" ht="14.25" customHeight="1" x14ac:dyDescent="0.2">
      <c r="A110" s="1148"/>
      <c r="B110" s="1157" t="s">
        <v>117</v>
      </c>
      <c r="C110" s="130" t="s">
        <v>115</v>
      </c>
      <c r="D110" s="1159" t="s">
        <v>277</v>
      </c>
      <c r="E110" s="1161" t="s">
        <v>147</v>
      </c>
      <c r="F110" s="134" t="s">
        <v>7</v>
      </c>
      <c r="G110" s="1162" t="s">
        <v>6</v>
      </c>
      <c r="H110" s="1161" t="s">
        <v>129</v>
      </c>
      <c r="I110" s="1161" t="s">
        <v>5</v>
      </c>
      <c r="J110" s="1161" t="s">
        <v>206</v>
      </c>
      <c r="K110" s="1161" t="s">
        <v>121</v>
      </c>
      <c r="L110" s="1161" t="s">
        <v>122</v>
      </c>
      <c r="M110" s="1161" t="s">
        <v>123</v>
      </c>
      <c r="N110" s="134" t="s">
        <v>7</v>
      </c>
      <c r="O110" s="1160" t="s">
        <v>114</v>
      </c>
      <c r="P110" s="1155"/>
    </row>
    <row r="111" spans="1:16" ht="14.25" customHeight="1" x14ac:dyDescent="0.2">
      <c r="A111" s="1148"/>
      <c r="B111" s="1157"/>
      <c r="C111" s="21" t="str">
        <f>IF(C107="","",C107)</f>
        <v/>
      </c>
      <c r="D111" s="1160"/>
      <c r="E111" s="1161"/>
      <c r="F111" s="1236" t="str">
        <f>IF(H102=0,"","siehe Zuschläge / Zulagen")</f>
        <v/>
      </c>
      <c r="G111" s="1162"/>
      <c r="H111" s="1164" t="s">
        <v>127</v>
      </c>
      <c r="I111" s="1164"/>
      <c r="J111" s="1164"/>
      <c r="K111" s="1164"/>
      <c r="L111" s="1164"/>
      <c r="M111" s="1164"/>
      <c r="N111" s="1236" t="str">
        <f>IF(P102=0,"","siehe Zuschläge / Zulagen")</f>
        <v/>
      </c>
      <c r="O111" s="1160"/>
      <c r="P111" s="1155"/>
    </row>
    <row r="112" spans="1:16" ht="14.25" customHeight="1" x14ac:dyDescent="0.2">
      <c r="A112" s="1148"/>
      <c r="B112" s="1157"/>
      <c r="C112" s="128" t="s">
        <v>70</v>
      </c>
      <c r="D112" s="1160"/>
      <c r="E112" s="1161"/>
      <c r="F112" s="1236"/>
      <c r="G112" s="1162"/>
      <c r="H112" s="120" t="s">
        <v>261</v>
      </c>
      <c r="I112" s="185" t="s">
        <v>262</v>
      </c>
      <c r="J112" s="185" t="s">
        <v>263</v>
      </c>
      <c r="K112" s="185" t="s">
        <v>264</v>
      </c>
      <c r="L112" s="185" t="s">
        <v>265</v>
      </c>
      <c r="M112" s="185" t="s">
        <v>254</v>
      </c>
      <c r="N112" s="1236"/>
      <c r="O112" s="1160"/>
      <c r="P112" s="1155"/>
    </row>
    <row r="113" spans="1:16" x14ac:dyDescent="0.2">
      <c r="A113" s="1148"/>
      <c r="B113" s="1158"/>
      <c r="C113" s="21" t="str">
        <f>IF(F107="","",F107)</f>
        <v/>
      </c>
      <c r="D113" s="51"/>
      <c r="E113" s="51"/>
      <c r="F113" s="51"/>
      <c r="G113" s="1163"/>
      <c r="H113" s="21"/>
      <c r="I113" s="21"/>
      <c r="J113" s="21"/>
      <c r="K113" s="34"/>
      <c r="L113" s="34"/>
      <c r="M113" s="25"/>
      <c r="N113" s="51"/>
      <c r="O113" s="21">
        <f>'päd.Personal - Leitung'!$O$69</f>
        <v>0</v>
      </c>
      <c r="P113" s="1156"/>
    </row>
    <row r="114" spans="1:16" x14ac:dyDescent="0.2">
      <c r="A114" s="100" t="str">
        <f>'päd.Personal - Leitung'!$A$26</f>
        <v>Jan 2022</v>
      </c>
      <c r="B114" s="24">
        <f>ROUND(IF(N94=0,0,(LOOKUP(2,1/(A102:A105=A114),E102:E105))/L95*N94),2)</f>
        <v>0</v>
      </c>
      <c r="C114" s="23">
        <f>ROUND(IFERROR(((LOOKUP(2,1/(B107=A114),((SUM(B120:B122)+SUM(F120:F122))/3)*C107))),0)+IFERROR(((LOOKUP(2,1/(E107=A114),(B126+F126)*F107))),0),2)</f>
        <v>0</v>
      </c>
      <c r="D114" s="23">
        <f>IF(B114=0,0,D113/L95*N94)</f>
        <v>0</v>
      </c>
      <c r="E114" s="23">
        <f>IF(B114=0,0,E113/N91*N94)</f>
        <v>0</v>
      </c>
      <c r="F114" s="23">
        <f>IF(B114=0,0,F113/L95*N94)</f>
        <v>0</v>
      </c>
      <c r="G114" s="27">
        <f>SUM(B114+C114+E114+F114)</f>
        <v>0</v>
      </c>
      <c r="H114" s="76">
        <f>ROUND(SUM(B114:F114)*H113,2)</f>
        <v>0</v>
      </c>
      <c r="I114" s="76">
        <f>ROUND(SUM(B114:F114)*I113,2)</f>
        <v>0</v>
      </c>
      <c r="J114" s="76">
        <f>ROUND(SUM(B114:F114)*J113,2)</f>
        <v>0</v>
      </c>
      <c r="K114" s="27">
        <f>ROUND((B114+SUM(D114:F114))*K113,2)</f>
        <v>0</v>
      </c>
      <c r="L114" s="27">
        <f>ROUND((B114+SUM(D114:F114))*L113,2)</f>
        <v>0</v>
      </c>
      <c r="M114" s="76">
        <f>ROUND(SUM(B114:F114)*M113,2)</f>
        <v>0</v>
      </c>
      <c r="N114" s="23"/>
      <c r="O114" s="23">
        <f>ROUND(SUM(B114+C114+F114)*O113,2)</f>
        <v>0</v>
      </c>
      <c r="P114" s="27">
        <f>SUM(G114:O114)</f>
        <v>0</v>
      </c>
    </row>
    <row r="115" spans="1:16" x14ac:dyDescent="0.2">
      <c r="A115" s="100" t="str">
        <f>'päd.Personal - Leitung'!$A$27</f>
        <v>Feb 2022</v>
      </c>
      <c r="B115" s="24">
        <f>ROUND(IF(N95=0,0,IFERROR(((LOOKUP(2,1/(A102:A105=A115),E102:E105))/L95*N95),B114/N95*N95)),2)</f>
        <v>0</v>
      </c>
      <c r="C115" s="23">
        <f>ROUND(IFERROR(((LOOKUP(2,1/(B107=A115),((SUM(B120:B122)+SUM(F120:F122))/3)*C107))),0)+IFERROR(((LOOKUP(2,1/(E107=A115),(B126+F126)*F107))),0),2)</f>
        <v>0</v>
      </c>
      <c r="D115" s="23">
        <f>IF(B115=0,0,D113/L95*N95)</f>
        <v>0</v>
      </c>
      <c r="E115" s="23">
        <f>IF(B115=0,0,E113/N91*N95)</f>
        <v>0</v>
      </c>
      <c r="F115" s="23">
        <f>IF(B115=0,0,F113/L95*N95)</f>
        <v>0</v>
      </c>
      <c r="G115" s="27">
        <f t="shared" ref="G115:G125" si="13">SUM(B115+C115+E115+F115)</f>
        <v>0</v>
      </c>
      <c r="H115" s="76">
        <f>ROUND(SUM(B115:F115)*H113,2)</f>
        <v>0</v>
      </c>
      <c r="I115" s="76">
        <f>ROUND(SUM(B115:F115)*I113,2)</f>
        <v>0</v>
      </c>
      <c r="J115" s="76">
        <f>ROUND(SUM(B115:F115)*J113,2)</f>
        <v>0</v>
      </c>
      <c r="K115" s="27">
        <f>ROUND((B115+SUM(D115:F115))*K113,2)</f>
        <v>0</v>
      </c>
      <c r="L115" s="27">
        <f>ROUND((B115+SUM(D115:F115))*L113,2)</f>
        <v>0</v>
      </c>
      <c r="M115" s="76">
        <f>ROUND(SUM(B115:F115)*M113,2)</f>
        <v>0</v>
      </c>
      <c r="N115" s="23"/>
      <c r="O115" s="23">
        <f>ROUND(SUM(B115+C115+F115)*O113,2)</f>
        <v>0</v>
      </c>
      <c r="P115" s="27">
        <f>SUM(G115:O115)</f>
        <v>0</v>
      </c>
    </row>
    <row r="116" spans="1:16" x14ac:dyDescent="0.2">
      <c r="A116" s="100" t="str">
        <f>'päd.Personal - Leitung'!$A$28</f>
        <v>Mrz 2022</v>
      </c>
      <c r="B116" s="24">
        <f>ROUND(IF(N96=0,0,IFERROR(((LOOKUP(2,1/(A102:A105=A116),E102:E105))/L95*N96),B115/N96*N96)),2)</f>
        <v>0</v>
      </c>
      <c r="C116" s="23">
        <f>ROUND(IFERROR(((LOOKUP(2,1/(B107=A116),((SUM(B120:B122)+SUM(F120:F122))/3)*C107))),0)+IFERROR(((LOOKUP(2,1/(E107=A116),(B126+F126)*F107))),0),2)</f>
        <v>0</v>
      </c>
      <c r="D116" s="23">
        <f>IF(B116=0,0,D113/L95*N96)</f>
        <v>0</v>
      </c>
      <c r="E116" s="23">
        <f>IF(B116=0,0,E113/N91*N96)</f>
        <v>0</v>
      </c>
      <c r="F116" s="23">
        <f>IF(B116=0,0,F113/L95*N96)</f>
        <v>0</v>
      </c>
      <c r="G116" s="27">
        <f t="shared" si="13"/>
        <v>0</v>
      </c>
      <c r="H116" s="76">
        <f>ROUND(SUM(B116:F116)*H113,2)</f>
        <v>0</v>
      </c>
      <c r="I116" s="76">
        <f>ROUND(SUM(B116:F116)*I113,2)</f>
        <v>0</v>
      </c>
      <c r="J116" s="76">
        <f>ROUND(SUM(B116:F116)*J113,2)</f>
        <v>0</v>
      </c>
      <c r="K116" s="27">
        <f>ROUND((B116+SUM(D116:F116))*K113,2)</f>
        <v>0</v>
      </c>
      <c r="L116" s="27">
        <f>ROUND((B116+SUM(D116:F116))*L113,2)</f>
        <v>0</v>
      </c>
      <c r="M116" s="76">
        <f>ROUND(SUM(B116:F116)*M113,2)</f>
        <v>0</v>
      </c>
      <c r="N116" s="23"/>
      <c r="O116" s="23">
        <f>ROUND(SUM(B116+C116+F116)*O113,2)</f>
        <v>0</v>
      </c>
      <c r="P116" s="27">
        <f t="shared" ref="P116" si="14">SUM(G116:O116)</f>
        <v>0</v>
      </c>
    </row>
    <row r="117" spans="1:16" x14ac:dyDescent="0.2">
      <c r="A117" s="100" t="str">
        <f>'päd.Personal - Leitung'!$A$29</f>
        <v>Apr 2022</v>
      </c>
      <c r="B117" s="24">
        <f>ROUND(IF(N97=0,0,IFERROR(((LOOKUP(2,1/(A102:A105=A117),E102:E105))/L95*N97),B116/N97*N97)),2)</f>
        <v>0</v>
      </c>
      <c r="C117" s="23">
        <f>ROUND(IFERROR(((LOOKUP(2,1/(B107=A117),((SUM(B120:B122)+SUM(F120:F122))/3)*C107))),0)+IFERROR(((LOOKUP(2,1/(E107=A117),(B126+F126)*F107))),0),2)</f>
        <v>0</v>
      </c>
      <c r="D117" s="23">
        <f>IF(B117=0,0,D113/L95*N97)</f>
        <v>0</v>
      </c>
      <c r="E117" s="23">
        <f>IF(B117=0,0,E113/N91*N97)</f>
        <v>0</v>
      </c>
      <c r="F117" s="23">
        <f>IF(B117=0,0,F113/L95*N97)</f>
        <v>0</v>
      </c>
      <c r="G117" s="27">
        <f t="shared" si="13"/>
        <v>0</v>
      </c>
      <c r="H117" s="76">
        <f>ROUND(SUM(B117:F117)*H113,2)</f>
        <v>0</v>
      </c>
      <c r="I117" s="76">
        <f>ROUND(SUM(B117:F117)*I113,2)</f>
        <v>0</v>
      </c>
      <c r="J117" s="76">
        <f>ROUND(SUM(B117:F117)*J113,2)</f>
        <v>0</v>
      </c>
      <c r="K117" s="27">
        <f>ROUND((B117+SUM(D117:F117))*K113,2)</f>
        <v>0</v>
      </c>
      <c r="L117" s="27">
        <f>ROUND((B117+SUM(D117:F117))*L113,2)</f>
        <v>0</v>
      </c>
      <c r="M117" s="76">
        <f>ROUND(SUM(B117:F117)*M113,2)</f>
        <v>0</v>
      </c>
      <c r="N117" s="23"/>
      <c r="O117" s="23">
        <f>ROUND(SUM(B117+C117+F117)*O113,2)</f>
        <v>0</v>
      </c>
      <c r="P117" s="27">
        <f>SUM(G117:O117)</f>
        <v>0</v>
      </c>
    </row>
    <row r="118" spans="1:16" x14ac:dyDescent="0.2">
      <c r="A118" s="100" t="str">
        <f>'päd.Personal - Leitung'!$A$30</f>
        <v>Mai 2022</v>
      </c>
      <c r="B118" s="24">
        <f>ROUND(IF(N98=0,0,IFERROR(((LOOKUP(2,1/(A102:A105=A118),E102:E105))/L95*N98),B117/N98*N98)),2)</f>
        <v>0</v>
      </c>
      <c r="C118" s="23">
        <f>ROUND(IFERROR(((LOOKUP(2,1/(B107=A118),((SUM(B120:B122)+SUM(F120:F122))/3)*C107))),0)+IFERROR(((LOOKUP(2,1/(E107=A118),(B126+F126)*F107))),0),2)</f>
        <v>0</v>
      </c>
      <c r="D118" s="23">
        <f>IF(B118=0,0,D113/L95*N98)</f>
        <v>0</v>
      </c>
      <c r="E118" s="23">
        <f>IF(B118=0,0,E113/N91*N98)</f>
        <v>0</v>
      </c>
      <c r="F118" s="23">
        <f>IF(B118=0,0,F113/L95*N98)</f>
        <v>0</v>
      </c>
      <c r="G118" s="27">
        <f t="shared" si="13"/>
        <v>0</v>
      </c>
      <c r="H118" s="76">
        <f>ROUND(SUM(B118:F118)*H113,2)</f>
        <v>0</v>
      </c>
      <c r="I118" s="76">
        <f>ROUND(SUM(B118:F118)*I113,2)</f>
        <v>0</v>
      </c>
      <c r="J118" s="76">
        <f>ROUND(SUM(B118:F118)*J113,2)</f>
        <v>0</v>
      </c>
      <c r="K118" s="27">
        <f>ROUND((B118+SUM(D118:F118))*K113,2)</f>
        <v>0</v>
      </c>
      <c r="L118" s="27">
        <f>ROUND((B118+SUM(D118:F118))*L113,2)</f>
        <v>0</v>
      </c>
      <c r="M118" s="76">
        <f>ROUND(SUM(B118:F118)*M113,2)</f>
        <v>0</v>
      </c>
      <c r="N118" s="23"/>
      <c r="O118" s="23">
        <f>ROUND(SUM(B118+C118+F118)*O113,2)</f>
        <v>0</v>
      </c>
      <c r="P118" s="27">
        <f t="shared" ref="P118" si="15">SUM(G118:O118)</f>
        <v>0</v>
      </c>
    </row>
    <row r="119" spans="1:16" x14ac:dyDescent="0.2">
      <c r="A119" s="100" t="str">
        <f>'päd.Personal - Leitung'!$A$31</f>
        <v>Jun 2022</v>
      </c>
      <c r="B119" s="24">
        <f>ROUND(IF(N99=0,0,IFERROR(((LOOKUP(2,1/(A102:A105=A119),E102:E105))/L95*N99),B118/N99*N99)),2)</f>
        <v>0</v>
      </c>
      <c r="C119" s="23">
        <f>ROUND(IFERROR(((LOOKUP(2,1/(B107=A119),((SUM(B120:B122)+SUM(F120:F122))/3)*C107))),0)+IFERROR(((LOOKUP(2,1/(E107=A119),(B126+F126)*F107))),0),2)</f>
        <v>0</v>
      </c>
      <c r="D119" s="23">
        <f>IF(B119=0,0,D113/L95*N99)</f>
        <v>0</v>
      </c>
      <c r="E119" s="23">
        <f>IF(B119=0,0,E113/N91*N99)</f>
        <v>0</v>
      </c>
      <c r="F119" s="23">
        <f>IF(B119=0,0,F113/L95*N99)</f>
        <v>0</v>
      </c>
      <c r="G119" s="27">
        <f t="shared" si="13"/>
        <v>0</v>
      </c>
      <c r="H119" s="76">
        <f>ROUND(SUM(B119:F119)*H113,2)</f>
        <v>0</v>
      </c>
      <c r="I119" s="76">
        <f>ROUND(SUM(B119:F119)*I113,2)</f>
        <v>0</v>
      </c>
      <c r="J119" s="76">
        <f>ROUND(SUM(B119:F119)*J113,2)</f>
        <v>0</v>
      </c>
      <c r="K119" s="27">
        <f>ROUND((B119+SUM(D119:F119))*K113,2)</f>
        <v>0</v>
      </c>
      <c r="L119" s="27">
        <f>ROUND((B119+SUM(D119:F119))*L113,2)</f>
        <v>0</v>
      </c>
      <c r="M119" s="76">
        <f>ROUND(SUM(B119:F119)*M113,2)</f>
        <v>0</v>
      </c>
      <c r="N119" s="23"/>
      <c r="O119" s="23">
        <f>ROUND(SUM(B119+C119+F119)*O113,2)</f>
        <v>0</v>
      </c>
      <c r="P119" s="27">
        <f t="shared" ref="P119:P125" si="16">SUM(G119:O119)</f>
        <v>0</v>
      </c>
    </row>
    <row r="120" spans="1:16" x14ac:dyDescent="0.2">
      <c r="A120" s="100" t="str">
        <f>'päd.Personal - Leitung'!$A$32</f>
        <v>Jul 2022</v>
      </c>
      <c r="B120" s="24">
        <f>ROUND(IF(P94=0,0,IFERROR(((LOOKUP(2,1/(A102:A105=A120),E102:E105))/L95*P94),B119/P94*P94)),2)</f>
        <v>0</v>
      </c>
      <c r="C120" s="23">
        <f>ROUND(IFERROR(((LOOKUP(2,1/(B107=A120),((SUM(B120:B122)+SUM(F120:F122))/3)*C107))),0)+IFERROR(((LOOKUP(2,1/(E107=A120),(B126+F126)*F107))),0),2)</f>
        <v>0</v>
      </c>
      <c r="D120" s="23">
        <f>IF(B120=0,0,D113/L95*P94)</f>
        <v>0</v>
      </c>
      <c r="E120" s="23">
        <f>IF(B120=0,0,E113/N91*P94)</f>
        <v>0</v>
      </c>
      <c r="F120" s="23">
        <f>IF(B120=0,0,F113/L95*P94)</f>
        <v>0</v>
      </c>
      <c r="G120" s="27">
        <f t="shared" si="13"/>
        <v>0</v>
      </c>
      <c r="H120" s="76">
        <f>ROUND(SUM(B120:F120)*H113,2)</f>
        <v>0</v>
      </c>
      <c r="I120" s="76">
        <f>ROUND(SUM(B120:F120)*I113,2)</f>
        <v>0</v>
      </c>
      <c r="J120" s="76">
        <f>ROUND(SUM(B120:F120)*J113,2)</f>
        <v>0</v>
      </c>
      <c r="K120" s="27">
        <f>ROUND((B120+SUM(D120:F120))*K113,2)</f>
        <v>0</v>
      </c>
      <c r="L120" s="27">
        <f>ROUND((B120+SUM(D120:F120))*L113,2)</f>
        <v>0</v>
      </c>
      <c r="M120" s="76">
        <f>ROUND(SUM(B120:F120)*M113,2)</f>
        <v>0</v>
      </c>
      <c r="N120" s="23"/>
      <c r="O120" s="23">
        <f>ROUND(SUM(B120+C120+F120)*O113,2)</f>
        <v>0</v>
      </c>
      <c r="P120" s="27">
        <f t="shared" si="16"/>
        <v>0</v>
      </c>
    </row>
    <row r="121" spans="1:16" x14ac:dyDescent="0.2">
      <c r="A121" s="100" t="str">
        <f>'päd.Personal - Leitung'!$A$33</f>
        <v>Aug 2022</v>
      </c>
      <c r="B121" s="24">
        <f>ROUND(IF(P95=0,0,IFERROR(((LOOKUP(2,1/(A102:A105=A121),E102:E105))/L95*P95),B120/P95*P95)),2)</f>
        <v>0</v>
      </c>
      <c r="C121" s="23">
        <f>ROUND(IFERROR(((LOOKUP(2,1/(B107=A121),((SUM(B120:B122)+SUM(F120:F122))/3)*C107))),0)+IFERROR(((LOOKUP(2,1/(E107=A121),(B126+F126)*F107))),0),2)</f>
        <v>0</v>
      </c>
      <c r="D121" s="23">
        <f>IF(B121=0,0,D113/L95*P95)</f>
        <v>0</v>
      </c>
      <c r="E121" s="23">
        <f>IF(B121=0,0,E113/N91*P95)</f>
        <v>0</v>
      </c>
      <c r="F121" s="23">
        <f>IF(B121=0,0,F113/L95*P95)</f>
        <v>0</v>
      </c>
      <c r="G121" s="27">
        <f t="shared" si="13"/>
        <v>0</v>
      </c>
      <c r="H121" s="76">
        <f>ROUND(SUM(B121:F121)*H113,2)</f>
        <v>0</v>
      </c>
      <c r="I121" s="76">
        <f>ROUND(SUM(B121:F121)*I113,2)</f>
        <v>0</v>
      </c>
      <c r="J121" s="76">
        <f>ROUND(SUM(B121:F121)*J113,2)</f>
        <v>0</v>
      </c>
      <c r="K121" s="27">
        <f>ROUND((B121+SUM(D121:F121))*K113,2)</f>
        <v>0</v>
      </c>
      <c r="L121" s="27">
        <f>ROUND((B121+SUM(D121:F121))*L113,2)</f>
        <v>0</v>
      </c>
      <c r="M121" s="76">
        <f>ROUND(SUM(B121:F121)*M113,2)</f>
        <v>0</v>
      </c>
      <c r="N121" s="23"/>
      <c r="O121" s="23">
        <f>ROUND(SUM(B121+C121+F121)*O113,2)</f>
        <v>0</v>
      </c>
      <c r="P121" s="27">
        <f t="shared" si="16"/>
        <v>0</v>
      </c>
    </row>
    <row r="122" spans="1:16" x14ac:dyDescent="0.2">
      <c r="A122" s="100" t="str">
        <f>'päd.Personal - Leitung'!$A$34</f>
        <v>Sep 2022</v>
      </c>
      <c r="B122" s="24">
        <f>ROUND(IF(P96=0,0,IFERROR(((LOOKUP(2,1/(A102:A105=A122),E102:E105))/L95*P96),B121/P96*P96)),2)</f>
        <v>0</v>
      </c>
      <c r="C122" s="23">
        <f>ROUND(IFERROR(((LOOKUP(2,1/(B107=A122),((SUM(B120:B122)+SUM(F120:F122))/3)*C107))),0)+IFERROR(((LOOKUP(2,1/(E107=A122),(B126+F126)*F107))),0),2)</f>
        <v>0</v>
      </c>
      <c r="D122" s="23">
        <f>IF(B122=0,0,D113/L95*P96)</f>
        <v>0</v>
      </c>
      <c r="E122" s="23">
        <f>IF(B122=0,0,E113/N91*P96)</f>
        <v>0</v>
      </c>
      <c r="F122" s="23">
        <f>IF(B122=0,0,F113/L95*P96)</f>
        <v>0</v>
      </c>
      <c r="G122" s="27">
        <f t="shared" si="13"/>
        <v>0</v>
      </c>
      <c r="H122" s="76">
        <f>ROUND(SUM(B122:F122)*H113,2)</f>
        <v>0</v>
      </c>
      <c r="I122" s="76">
        <f>ROUND(SUM(B122:F122)*I113,2)</f>
        <v>0</v>
      </c>
      <c r="J122" s="76">
        <f>ROUND(SUM(B122:F122)*J113,2)</f>
        <v>0</v>
      </c>
      <c r="K122" s="27">
        <f>ROUND((B122+SUM(D122:F122))*K113,2)</f>
        <v>0</v>
      </c>
      <c r="L122" s="27">
        <f>ROUND((B122+SUM(D122:F122))*L113,2)</f>
        <v>0</v>
      </c>
      <c r="M122" s="76">
        <f>ROUND(SUM(B122:F122)*M113,2)</f>
        <v>0</v>
      </c>
      <c r="N122" s="23"/>
      <c r="O122" s="23">
        <f>ROUND(SUM(B122+C122+F122)*O113,2)</f>
        <v>0</v>
      </c>
      <c r="P122" s="27">
        <f t="shared" si="16"/>
        <v>0</v>
      </c>
    </row>
    <row r="123" spans="1:16" x14ac:dyDescent="0.2">
      <c r="A123" s="100" t="str">
        <f>'päd.Personal - Leitung'!$A$35</f>
        <v>Okt 2022</v>
      </c>
      <c r="B123" s="24">
        <f>ROUND(IF(P97=0,0,IFERROR(((LOOKUP(2,1/(A102:A105=A123),E102:E105))/L95*P97),B122/P97*P97)),2)</f>
        <v>0</v>
      </c>
      <c r="C123" s="23">
        <f>ROUND(IFERROR(((LOOKUP(2,1/(B107=A123),((SUM(B120:B122)+SUM(F120:F122))/3)*C107))),0)+IFERROR(((LOOKUP(2,1/(E107=A123),(B126+F126)*F107))),0),2)</f>
        <v>0</v>
      </c>
      <c r="D123" s="23">
        <f>IF(B123=0,0,D113/L95*P97)</f>
        <v>0</v>
      </c>
      <c r="E123" s="23">
        <f>IF(B123=0,0,E113/N91*P97)</f>
        <v>0</v>
      </c>
      <c r="F123" s="23">
        <f>IF(B123=0,0,F113/L95*P97)</f>
        <v>0</v>
      </c>
      <c r="G123" s="27">
        <f t="shared" si="13"/>
        <v>0</v>
      </c>
      <c r="H123" s="76">
        <f>ROUND(SUM(B123:F123)*H113,2)</f>
        <v>0</v>
      </c>
      <c r="I123" s="76">
        <f>ROUND(SUM(B123:F123)*I113,2)</f>
        <v>0</v>
      </c>
      <c r="J123" s="76">
        <f>ROUND(SUM(B123:F123)*J113,2)</f>
        <v>0</v>
      </c>
      <c r="K123" s="27">
        <f>ROUND((B123+SUM(D123:F123))*K113,2)</f>
        <v>0</v>
      </c>
      <c r="L123" s="27">
        <f>ROUND((B123+SUM(D123:F123))*L113,2)</f>
        <v>0</v>
      </c>
      <c r="M123" s="76">
        <f>ROUND(SUM(B123:F123)*M113,2)</f>
        <v>0</v>
      </c>
      <c r="N123" s="23"/>
      <c r="O123" s="23">
        <f>ROUND(SUM(B123+C123+F123)*O113,2)</f>
        <v>0</v>
      </c>
      <c r="P123" s="27">
        <f t="shared" si="16"/>
        <v>0</v>
      </c>
    </row>
    <row r="124" spans="1:16" x14ac:dyDescent="0.2">
      <c r="A124" s="100" t="str">
        <f>'päd.Personal - Leitung'!$A$36</f>
        <v>Nov 2022</v>
      </c>
      <c r="B124" s="24">
        <f>ROUND(IF(P98=0,0,IFERROR(((LOOKUP(2,1/(A102:A105=A124),E102:E105))/L95*P98),B123/P98*P98)),2)</f>
        <v>0</v>
      </c>
      <c r="C124" s="23">
        <f>ROUND(IFERROR(((LOOKUP(2,1/(B107=A124),((SUM(B120:B122)+SUM(F120:F122))/3)*C107))),0)+IFERROR(((LOOKUP(2,1/(E107=A124),(B126+F126)*F107))),0),2)</f>
        <v>0</v>
      </c>
      <c r="D124" s="23">
        <f>IF(B124=0,0,D113/L95*P98)</f>
        <v>0</v>
      </c>
      <c r="E124" s="23">
        <f>IF(B124=0,0,E113/N91*P98)</f>
        <v>0</v>
      </c>
      <c r="F124" s="23">
        <f>IF(B124=0,0,F113/L95*P98)</f>
        <v>0</v>
      </c>
      <c r="G124" s="27">
        <f t="shared" si="13"/>
        <v>0</v>
      </c>
      <c r="H124" s="76">
        <f>ROUND(SUM(B124:F124)*H113,2)</f>
        <v>0</v>
      </c>
      <c r="I124" s="76">
        <f>ROUND(SUM(B124:F124)*I113,2)</f>
        <v>0</v>
      </c>
      <c r="J124" s="76">
        <f>ROUND(SUM(B124:F124)*J113,2)</f>
        <v>0</v>
      </c>
      <c r="K124" s="27">
        <f>ROUND((B124+SUM(D124:F124))*K113,2)</f>
        <v>0</v>
      </c>
      <c r="L124" s="27">
        <f>ROUND((B124+SUM(D124:F124))*L113,2)</f>
        <v>0</v>
      </c>
      <c r="M124" s="76">
        <f>ROUND(SUM(B124:F124)*M113,2)</f>
        <v>0</v>
      </c>
      <c r="N124" s="23"/>
      <c r="O124" s="23">
        <f>ROUND(SUM(B124+C124+F124)*O113,2)</f>
        <v>0</v>
      </c>
      <c r="P124" s="27">
        <f t="shared" si="16"/>
        <v>0</v>
      </c>
    </row>
    <row r="125" spans="1:16" x14ac:dyDescent="0.2">
      <c r="A125" s="100" t="str">
        <f>'päd.Personal - Leitung'!$A$37</f>
        <v>Dez 2022</v>
      </c>
      <c r="B125" s="24">
        <f>ROUND(IF(P99=0,0,IFERROR(((LOOKUP(2,1/(A102:A105=A125),E102:E105))/L95*P99),B124/P99*P99)),2)</f>
        <v>0</v>
      </c>
      <c r="C125" s="23">
        <f>ROUND(IFERROR(((LOOKUP(2,1/(B107=A125),((SUM(B120:B122)+SUM(F120:F122))/3)*C107))),0)+IFERROR(((LOOKUP(2,1/(E107=A125),(B126+F126)*F107))),0),2)</f>
        <v>0</v>
      </c>
      <c r="D125" s="23">
        <f>IF(B125=0,0,D113/L95*P99)</f>
        <v>0</v>
      </c>
      <c r="E125" s="23">
        <f>IF(B125=0,0,E113/N91*P99)</f>
        <v>0</v>
      </c>
      <c r="F125" s="23">
        <f>IF(B125=0,0,F113/L95*P99)</f>
        <v>0</v>
      </c>
      <c r="G125" s="27">
        <f t="shared" si="13"/>
        <v>0</v>
      </c>
      <c r="H125" s="76">
        <f>ROUND(SUM(B125:F125)*H113,2)</f>
        <v>0</v>
      </c>
      <c r="I125" s="76">
        <f>ROUND(SUM(B125:F125)*I113,2)</f>
        <v>0</v>
      </c>
      <c r="J125" s="76">
        <f>ROUND(SUM(B125:F125)*J113,2)</f>
        <v>0</v>
      </c>
      <c r="K125" s="27">
        <f>ROUND((B125+SUM(D125:F125))*K113,2)</f>
        <v>0</v>
      </c>
      <c r="L125" s="27">
        <f>ROUND((B125+SUM(D125:F125))*L113,2)</f>
        <v>0</v>
      </c>
      <c r="M125" s="76">
        <f>ROUND(SUM(B125:F125)*M113,2)</f>
        <v>0</v>
      </c>
      <c r="N125" s="23"/>
      <c r="O125" s="23">
        <f>ROUND(SUM(B125+C125+F125)*O113,2)</f>
        <v>0</v>
      </c>
      <c r="P125" s="27">
        <f t="shared" si="16"/>
        <v>0</v>
      </c>
    </row>
    <row r="126" spans="1:16" x14ac:dyDescent="0.2">
      <c r="A126" s="4" t="s">
        <v>2</v>
      </c>
      <c r="B126" s="27">
        <f t="shared" ref="B126:G126" si="17">SUM(B114:B125)</f>
        <v>0</v>
      </c>
      <c r="C126" s="27">
        <f t="shared" si="17"/>
        <v>0</v>
      </c>
      <c r="D126" s="27">
        <f t="shared" si="17"/>
        <v>0</v>
      </c>
      <c r="E126" s="27">
        <f t="shared" si="17"/>
        <v>0</v>
      </c>
      <c r="F126" s="27">
        <f t="shared" si="17"/>
        <v>0</v>
      </c>
      <c r="G126" s="27">
        <f t="shared" si="17"/>
        <v>0</v>
      </c>
      <c r="H126" s="1133">
        <f>SUM(H114:M125)</f>
        <v>0</v>
      </c>
      <c r="I126" s="1134"/>
      <c r="J126" s="1134"/>
      <c r="K126" s="1134"/>
      <c r="L126" s="1134"/>
      <c r="M126" s="1135"/>
      <c r="N126" s="27">
        <f>SUM(N114:N125)</f>
        <v>0</v>
      </c>
      <c r="O126" s="27">
        <f>SUM(O114:O125)</f>
        <v>0</v>
      </c>
      <c r="P126" s="27">
        <f>SUM(P114:P125)</f>
        <v>0</v>
      </c>
    </row>
    <row r="127" spans="1:16" s="13" customFormat="1" ht="11.25" x14ac:dyDescent="0.2">
      <c r="A127" s="3" t="s">
        <v>1</v>
      </c>
      <c r="B127" s="2"/>
      <c r="C127" s="2"/>
      <c r="D127" s="2"/>
      <c r="E127" s="2"/>
      <c r="F127" s="2"/>
      <c r="G127" s="2"/>
      <c r="H127" s="2"/>
      <c r="I127" s="2"/>
      <c r="J127" s="2"/>
      <c r="K127" s="2"/>
      <c r="L127" s="2"/>
      <c r="M127" s="2"/>
      <c r="N127" s="2"/>
      <c r="O127" s="2"/>
      <c r="P127" s="2"/>
    </row>
    <row r="128" spans="1:16" s="1" customFormat="1" ht="14.25" customHeight="1" x14ac:dyDescent="0.2">
      <c r="A128" s="1136" t="s">
        <v>133</v>
      </c>
      <c r="B128" s="1137"/>
      <c r="C128" s="1137"/>
      <c r="D128" s="1137" t="s">
        <v>134</v>
      </c>
      <c r="E128" s="1137"/>
      <c r="F128" s="46"/>
      <c r="G128" s="77" t="s">
        <v>135</v>
      </c>
      <c r="H128" s="71"/>
      <c r="I128" s="73"/>
      <c r="J128" s="78"/>
      <c r="K128" s="78"/>
      <c r="L128" s="78"/>
      <c r="M128" s="1138" t="s">
        <v>140</v>
      </c>
      <c r="N128" s="1138"/>
      <c r="O128" s="1139"/>
      <c r="P128" s="27">
        <f>ROUND(IF(F128="",IF(E132="",0,(E132*H132/K132)/L95*L96),G126*F128*H128/1000),2)</f>
        <v>0</v>
      </c>
    </row>
    <row r="129" spans="1:16" s="1" customFormat="1" ht="15" customHeight="1" x14ac:dyDescent="0.2">
      <c r="A129" s="1140" t="s">
        <v>145</v>
      </c>
      <c r="B129" s="1141"/>
      <c r="C129" s="1141"/>
      <c r="D129" s="18"/>
      <c r="E129" s="107" t="s">
        <v>135</v>
      </c>
      <c r="F129" s="49"/>
      <c r="G129" s="48"/>
      <c r="H129" s="47"/>
      <c r="I129" s="48"/>
      <c r="J129" s="79"/>
      <c r="K129" s="80"/>
      <c r="L129" s="81"/>
      <c r="M129" s="1138" t="s">
        <v>139</v>
      </c>
      <c r="N129" s="1138"/>
      <c r="O129" s="1139"/>
      <c r="P129" s="27">
        <f>ROUND(IF(F129="",0,G126*F129/1000),2)</f>
        <v>0</v>
      </c>
    </row>
    <row r="130" spans="1:16" s="1" customFormat="1" ht="15.75" customHeight="1" x14ac:dyDescent="0.2">
      <c r="A130" s="1142" t="s">
        <v>141</v>
      </c>
      <c r="B130" s="1143"/>
      <c r="C130" s="1143"/>
      <c r="D130" s="1144" t="s">
        <v>143</v>
      </c>
      <c r="E130" s="1144"/>
      <c r="F130" s="1145"/>
      <c r="G130" s="1145"/>
      <c r="H130" s="72"/>
      <c r="I130" s="18"/>
      <c r="J130" s="79"/>
      <c r="K130" s="80"/>
      <c r="L130" s="81"/>
      <c r="M130" s="1138" t="s">
        <v>141</v>
      </c>
      <c r="N130" s="1138"/>
      <c r="O130" s="1139"/>
      <c r="P130" s="23">
        <f>ROUND(IF(F130="",0,IF(G126=0,0,F130/L95*L96)),2)</f>
        <v>0</v>
      </c>
    </row>
    <row r="131" spans="1:16" s="1" customFormat="1" ht="14.25" customHeight="1" x14ac:dyDescent="0.2">
      <c r="A131" s="18"/>
      <c r="B131" s="18"/>
      <c r="C131" s="18"/>
      <c r="D131" s="18"/>
      <c r="E131" s="18"/>
      <c r="F131" s="18"/>
      <c r="G131" s="18"/>
      <c r="H131" s="18"/>
      <c r="I131" s="18"/>
      <c r="J131" s="18"/>
      <c r="K131" s="74"/>
      <c r="L131" s="82"/>
      <c r="M131" s="1127" t="s">
        <v>146</v>
      </c>
      <c r="N131" s="1127"/>
      <c r="O131" s="1128"/>
      <c r="P131" s="23">
        <f>ROUND(IF(G126=0,0,$P$43),2)</f>
        <v>0</v>
      </c>
    </row>
    <row r="132" spans="1:16" s="1" customFormat="1" ht="14.25" customHeight="1" x14ac:dyDescent="0.2">
      <c r="A132" s="1129" t="s">
        <v>142</v>
      </c>
      <c r="B132" s="1130"/>
      <c r="C132" s="133" t="s">
        <v>136</v>
      </c>
      <c r="D132" s="133" t="s">
        <v>137</v>
      </c>
      <c r="E132" s="1185"/>
      <c r="F132" s="1185"/>
      <c r="G132" s="83" t="s">
        <v>138</v>
      </c>
      <c r="H132" s="90"/>
      <c r="I132" s="1132" t="s">
        <v>144</v>
      </c>
      <c r="J132" s="1132"/>
      <c r="K132" s="91"/>
      <c r="L132" s="29"/>
      <c r="M132" s="29"/>
      <c r="N132" s="29"/>
      <c r="O132" s="28" t="s">
        <v>0</v>
      </c>
      <c r="P132" s="27">
        <f>P126+SUM(P128:P131)</f>
        <v>0</v>
      </c>
    </row>
  </sheetData>
  <sheetProtection algorithmName="SHA-512" hashValue="fXrHSGp7le6mnfC9VMGUM/HvY+oVO/1tS0/plTfbKHhPN2Uod2iFRBeANy8Zef342OIZZTYazQHGYxhg9iNd/w==" saltValue="X/NmynZLHzbAqbjVMv5Uyg==" spinCount="100000" sheet="1" objects="1" scenarios="1"/>
  <mergeCells count="207">
    <mergeCell ref="J55:K55"/>
    <mergeCell ref="J99:K99"/>
    <mergeCell ref="M131:O131"/>
    <mergeCell ref="A132:B132"/>
    <mergeCell ref="E132:F132"/>
    <mergeCell ref="I132:J132"/>
    <mergeCell ref="H126:M126"/>
    <mergeCell ref="A128:C128"/>
    <mergeCell ref="D128:E128"/>
    <mergeCell ref="M128:O128"/>
    <mergeCell ref="A129:C129"/>
    <mergeCell ref="M129:O129"/>
    <mergeCell ref="A130:C130"/>
    <mergeCell ref="D130:E130"/>
    <mergeCell ref="F130:G130"/>
    <mergeCell ref="M130:O130"/>
    <mergeCell ref="B105:D105"/>
    <mergeCell ref="E105:F105"/>
    <mergeCell ref="B106:C106"/>
    <mergeCell ref="E106:F106"/>
    <mergeCell ref="A109:A113"/>
    <mergeCell ref="B109:G109"/>
    <mergeCell ref="H109:M109"/>
    <mergeCell ref="B104:D104"/>
    <mergeCell ref="P109:P113"/>
    <mergeCell ref="B110:B113"/>
    <mergeCell ref="D110:D112"/>
    <mergeCell ref="E110:E112"/>
    <mergeCell ref="G110:G113"/>
    <mergeCell ref="H110:H111"/>
    <mergeCell ref="I110:I111"/>
    <mergeCell ref="J110:J111"/>
    <mergeCell ref="K110:K111"/>
    <mergeCell ref="L110:L111"/>
    <mergeCell ref="M110:M111"/>
    <mergeCell ref="O110:O112"/>
    <mergeCell ref="F111:F112"/>
    <mergeCell ref="N111:N112"/>
    <mergeCell ref="E104:F104"/>
    <mergeCell ref="A95:C95"/>
    <mergeCell ref="D95:I95"/>
    <mergeCell ref="J95:K95"/>
    <mergeCell ref="A96:C96"/>
    <mergeCell ref="D96:I96"/>
    <mergeCell ref="J96:K96"/>
    <mergeCell ref="A97:C97"/>
    <mergeCell ref="D97:I97"/>
    <mergeCell ref="J97:K97"/>
    <mergeCell ref="B103:D103"/>
    <mergeCell ref="E103:F103"/>
    <mergeCell ref="A98:C98"/>
    <mergeCell ref="D98:I98"/>
    <mergeCell ref="J98:K98"/>
    <mergeCell ref="D99:E99"/>
    <mergeCell ref="F99:G99"/>
    <mergeCell ref="H99:I99"/>
    <mergeCell ref="E101:F101"/>
    <mergeCell ref="B102:D102"/>
    <mergeCell ref="E102:F102"/>
    <mergeCell ref="D55:E55"/>
    <mergeCell ref="F55:G55"/>
    <mergeCell ref="H55:I55"/>
    <mergeCell ref="E57:F57"/>
    <mergeCell ref="B58:D58"/>
    <mergeCell ref="E58:F58"/>
    <mergeCell ref="B59:D59"/>
    <mergeCell ref="E59:F59"/>
    <mergeCell ref="P65:P69"/>
    <mergeCell ref="B66:B69"/>
    <mergeCell ref="D66:D68"/>
    <mergeCell ref="E66:E68"/>
    <mergeCell ref="G66:G69"/>
    <mergeCell ref="H66:H67"/>
    <mergeCell ref="I66:I67"/>
    <mergeCell ref="J66:J67"/>
    <mergeCell ref="K66:K67"/>
    <mergeCell ref="L66:L67"/>
    <mergeCell ref="M66:M67"/>
    <mergeCell ref="O66:O68"/>
    <mergeCell ref="F67:F68"/>
    <mergeCell ref="N67:N68"/>
    <mergeCell ref="B60:D60"/>
    <mergeCell ref="E60:F60"/>
    <mergeCell ref="L22:L23"/>
    <mergeCell ref="M22:M23"/>
    <mergeCell ref="B14:D14"/>
    <mergeCell ref="B15:D15"/>
    <mergeCell ref="B16:D16"/>
    <mergeCell ref="B17:D17"/>
    <mergeCell ref="B18:C18"/>
    <mergeCell ref="E16:F16"/>
    <mergeCell ref="E17:F17"/>
    <mergeCell ref="E18:F18"/>
    <mergeCell ref="I22:I23"/>
    <mergeCell ref="M40:O40"/>
    <mergeCell ref="M41:O41"/>
    <mergeCell ref="A42:C42"/>
    <mergeCell ref="D42:E42"/>
    <mergeCell ref="F42:G42"/>
    <mergeCell ref="M43:O43"/>
    <mergeCell ref="A44:B44"/>
    <mergeCell ref="E44:F44"/>
    <mergeCell ref="I44:J44"/>
    <mergeCell ref="A40:C40"/>
    <mergeCell ref="F11:G11"/>
    <mergeCell ref="H11:I11"/>
    <mergeCell ref="J10:K10"/>
    <mergeCell ref="D11:E11"/>
    <mergeCell ref="E13:F13"/>
    <mergeCell ref="E14:F14"/>
    <mergeCell ref="E15:F15"/>
    <mergeCell ref="D4:J4"/>
    <mergeCell ref="A5:K5"/>
    <mergeCell ref="J6:K6"/>
    <mergeCell ref="D7:I7"/>
    <mergeCell ref="J7:K7"/>
    <mergeCell ref="D8:I8"/>
    <mergeCell ref="J8:K8"/>
    <mergeCell ref="D9:I9"/>
    <mergeCell ref="J9:K9"/>
    <mergeCell ref="D10:I10"/>
    <mergeCell ref="J11:K11"/>
    <mergeCell ref="P21:P25"/>
    <mergeCell ref="H21:M21"/>
    <mergeCell ref="D45:N45"/>
    <mergeCell ref="D46:N46"/>
    <mergeCell ref="M42:O42"/>
    <mergeCell ref="A1:C1"/>
    <mergeCell ref="A2:C2"/>
    <mergeCell ref="A3:C3"/>
    <mergeCell ref="A8:C8"/>
    <mergeCell ref="D1:N1"/>
    <mergeCell ref="D2:N2"/>
    <mergeCell ref="D3:J3"/>
    <mergeCell ref="K3:M3"/>
    <mergeCell ref="A9:C9"/>
    <mergeCell ref="A4:C4"/>
    <mergeCell ref="A7:C7"/>
    <mergeCell ref="A10:C10"/>
    <mergeCell ref="A21:A25"/>
    <mergeCell ref="B21:G21"/>
    <mergeCell ref="B22:B25"/>
    <mergeCell ref="G22:G25"/>
    <mergeCell ref="H38:M38"/>
    <mergeCell ref="N23:N24"/>
    <mergeCell ref="O22:O24"/>
    <mergeCell ref="A45:C45"/>
    <mergeCell ref="A46:C46"/>
    <mergeCell ref="F23:F24"/>
    <mergeCell ref="A41:C41"/>
    <mergeCell ref="A52:C52"/>
    <mergeCell ref="D40:E40"/>
    <mergeCell ref="D22:D24"/>
    <mergeCell ref="E22:E24"/>
    <mergeCell ref="H22:H23"/>
    <mergeCell ref="D48:J48"/>
    <mergeCell ref="A49:K49"/>
    <mergeCell ref="J50:K50"/>
    <mergeCell ref="D51:I51"/>
    <mergeCell ref="J51:K51"/>
    <mergeCell ref="D52:I52"/>
    <mergeCell ref="J52:K52"/>
    <mergeCell ref="J22:J23"/>
    <mergeCell ref="K22:K23"/>
    <mergeCell ref="A53:C53"/>
    <mergeCell ref="A47:C47"/>
    <mergeCell ref="A48:C48"/>
    <mergeCell ref="A51:C51"/>
    <mergeCell ref="D47:J47"/>
    <mergeCell ref="K47:M47"/>
    <mergeCell ref="D53:I53"/>
    <mergeCell ref="J53:K53"/>
    <mergeCell ref="A54:C54"/>
    <mergeCell ref="D54:I54"/>
    <mergeCell ref="J54:K54"/>
    <mergeCell ref="B61:D61"/>
    <mergeCell ref="E61:F61"/>
    <mergeCell ref="B62:C62"/>
    <mergeCell ref="E62:F62"/>
    <mergeCell ref="A65:A69"/>
    <mergeCell ref="B65:G65"/>
    <mergeCell ref="H65:M65"/>
    <mergeCell ref="H82:M82"/>
    <mergeCell ref="A89:C89"/>
    <mergeCell ref="M84:O84"/>
    <mergeCell ref="M85:O85"/>
    <mergeCell ref="A86:C86"/>
    <mergeCell ref="D86:E86"/>
    <mergeCell ref="F86:G86"/>
    <mergeCell ref="M86:O86"/>
    <mergeCell ref="M87:O87"/>
    <mergeCell ref="A88:B88"/>
    <mergeCell ref="E88:F88"/>
    <mergeCell ref="I88:J88"/>
    <mergeCell ref="A93:K93"/>
    <mergeCell ref="J94:K94"/>
    <mergeCell ref="A91:C91"/>
    <mergeCell ref="K91:M91"/>
    <mergeCell ref="A90:C90"/>
    <mergeCell ref="A84:C84"/>
    <mergeCell ref="A85:C85"/>
    <mergeCell ref="D84:E84"/>
    <mergeCell ref="D89:N89"/>
    <mergeCell ref="D90:N90"/>
    <mergeCell ref="D91:J91"/>
    <mergeCell ref="A92:C92"/>
    <mergeCell ref="D92:J92"/>
  </mergeCells>
  <dataValidations count="1">
    <dataValidation type="list" allowBlank="1" showInputMessage="1" showErrorMessage="1" sqref="B19 E19 B63 E63 B107 E107">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sonstige/r Arbeitnehmer/in
&amp;R&amp;G</oddHeader>
    <oddFooter>&amp;L&amp;"Arial,Standard"&amp;7JSZ - Jahressonderzahlung o.ä.
LOB - Leistungsorientierte Bezahlung o.ä.
SV - Sozialversicherung
BAV - Betriebliche Altersvorsorge&amp;C&amp;"Arial,Standard"&amp;8Ausfertigung vom &amp;D &amp;T&amp;R&amp;"Arial,Standard"&amp;8&amp;P von &amp;N</oddFooter>
  </headerFooter>
  <rowBreaks count="1" manualBreakCount="1">
    <brk id="44"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A103:A105 A59:A61 A15:A17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13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6384" width="11.42578125" style="1"/>
  </cols>
  <sheetData>
    <row r="1" spans="1:16" s="12" customFormat="1" ht="13.5" customHeight="1" x14ac:dyDescent="0.2">
      <c r="A1" s="1178" t="s">
        <v>18</v>
      </c>
      <c r="B1" s="1178"/>
      <c r="C1" s="1178"/>
      <c r="D1" s="1179" t="str">
        <f>IF('päd.Personal - Leitung'!D1="","",'päd.Personal - Leitung'!D1)</f>
        <v/>
      </c>
      <c r="E1" s="1179"/>
      <c r="F1" s="1179"/>
      <c r="G1" s="1179"/>
      <c r="H1" s="1179"/>
      <c r="I1" s="1179"/>
      <c r="J1" s="1179"/>
      <c r="K1" s="1179"/>
      <c r="L1" s="1179"/>
      <c r="M1" s="1179"/>
      <c r="N1" s="1179"/>
    </row>
    <row r="2" spans="1:16" s="12" customFormat="1" ht="15" customHeight="1" x14ac:dyDescent="0.2">
      <c r="A2" s="1178" t="s">
        <v>17</v>
      </c>
      <c r="B2" s="1178"/>
      <c r="C2" s="1178" t="s">
        <v>15</v>
      </c>
      <c r="D2" s="1179" t="str">
        <f>IF('päd.Personal - Leitung'!D2="","",'päd.Personal - Leitung'!D2)</f>
        <v/>
      </c>
      <c r="E2" s="1179"/>
      <c r="F2" s="1179"/>
      <c r="G2" s="1179"/>
      <c r="H2" s="1179"/>
      <c r="I2" s="1179"/>
      <c r="J2" s="1179"/>
      <c r="K2" s="1179"/>
      <c r="L2" s="1179"/>
      <c r="M2" s="1179"/>
      <c r="N2" s="1179"/>
    </row>
    <row r="3" spans="1:16" s="12" customFormat="1" ht="15" customHeight="1" x14ac:dyDescent="0.2">
      <c r="A3" s="1178" t="s">
        <v>16</v>
      </c>
      <c r="B3" s="1178"/>
      <c r="C3" s="1178" t="s">
        <v>15</v>
      </c>
      <c r="D3" s="1179" t="str">
        <f>IF('päd.Personal - Leitung'!D3="","",'päd.Personal - Leitung'!D3)</f>
        <v/>
      </c>
      <c r="E3" s="1179"/>
      <c r="F3" s="1179"/>
      <c r="G3" s="1179"/>
      <c r="H3" s="1179"/>
      <c r="I3" s="1179"/>
      <c r="J3" s="1179"/>
      <c r="K3" s="1178" t="s">
        <v>103</v>
      </c>
      <c r="L3" s="1178"/>
      <c r="M3" s="1178"/>
      <c r="N3" s="41" t="str">
        <f>IF('päd.Personal - Leitung'!N3="","",'päd.Personal - Leitung'!N3)</f>
        <v/>
      </c>
    </row>
    <row r="4" spans="1:16" s="13" customFormat="1" ht="11.25" x14ac:dyDescent="0.2">
      <c r="A4" s="1182"/>
      <c r="B4" s="1182"/>
      <c r="C4" s="1182"/>
      <c r="D4" s="1183"/>
      <c r="E4" s="1183"/>
      <c r="F4" s="1183"/>
      <c r="G4" s="1183"/>
      <c r="H4" s="1183"/>
      <c r="I4" s="1183"/>
      <c r="J4" s="1183"/>
      <c r="K4" s="11"/>
      <c r="L4" s="11"/>
      <c r="M4" s="11"/>
      <c r="N4" s="11"/>
      <c r="O4" s="11"/>
      <c r="P4" s="11"/>
    </row>
    <row r="5" spans="1:16" s="15" customFormat="1" ht="13.5" customHeight="1" x14ac:dyDescent="0.2">
      <c r="A5" s="1177" t="s">
        <v>118</v>
      </c>
      <c r="B5" s="1177"/>
      <c r="C5" s="1177"/>
      <c r="D5" s="1177"/>
      <c r="E5" s="1177"/>
      <c r="F5" s="1177"/>
      <c r="G5" s="1177"/>
      <c r="H5" s="1177"/>
      <c r="I5" s="1177"/>
      <c r="J5" s="1177"/>
      <c r="K5" s="1177"/>
      <c r="L5" s="9"/>
      <c r="M5" s="9"/>
      <c r="N5" s="59" t="s">
        <v>154</v>
      </c>
      <c r="O5" s="191">
        <f>'päd.Personal - Leitung'!$O$5</f>
        <v>2022</v>
      </c>
      <c r="P5" s="59" t="s">
        <v>154</v>
      </c>
    </row>
    <row r="6" spans="1:16" s="10" customFormat="1" ht="13.5" customHeight="1" x14ac:dyDescent="0.25">
      <c r="B6" s="32"/>
      <c r="C6" s="32"/>
      <c r="D6" s="5" t="s">
        <v>209</v>
      </c>
      <c r="E6" s="31"/>
      <c r="F6" s="31"/>
      <c r="G6" s="31"/>
      <c r="H6" s="31"/>
      <c r="I6" s="26"/>
      <c r="J6" s="1174" t="s">
        <v>14</v>
      </c>
      <c r="K6" s="1174"/>
      <c r="L6" s="180"/>
      <c r="N6" s="84">
        <f>IF(L8="","",L8)</f>
        <v>0</v>
      </c>
      <c r="O6" s="58" t="str">
        <f>'päd.Personal - Leitung'!$O$6</f>
        <v>Jan                Jul</v>
      </c>
      <c r="P6" s="85">
        <f>IF(N11="","",N11)</f>
        <v>0</v>
      </c>
    </row>
    <row r="7" spans="1:16" s="7" customFormat="1" ht="13.5" customHeight="1" x14ac:dyDescent="0.25">
      <c r="A7" s="1180" t="s">
        <v>71</v>
      </c>
      <c r="B7" s="1180"/>
      <c r="C7" s="1180"/>
      <c r="D7" s="1184"/>
      <c r="E7" s="1184"/>
      <c r="F7" s="1184"/>
      <c r="G7" s="1184"/>
      <c r="H7" s="1184"/>
      <c r="I7" s="1184"/>
      <c r="J7" s="1174" t="s">
        <v>104</v>
      </c>
      <c r="K7" s="1174"/>
      <c r="L7" s="145"/>
      <c r="N7" s="85">
        <f>IF(N6="","",N6)</f>
        <v>0</v>
      </c>
      <c r="O7" s="58" t="str">
        <f>'päd.Personal - Leitung'!$O$7</f>
        <v>Feb              Aug</v>
      </c>
      <c r="P7" s="85">
        <f>IF(P6="","",P6)</f>
        <v>0</v>
      </c>
    </row>
    <row r="8" spans="1:16" ht="13.5" customHeight="1" x14ac:dyDescent="0.2">
      <c r="A8" s="1180" t="s">
        <v>13</v>
      </c>
      <c r="B8" s="1180"/>
      <c r="C8" s="1180"/>
      <c r="D8" s="1181"/>
      <c r="E8" s="1181"/>
      <c r="F8" s="1181"/>
      <c r="G8" s="1181"/>
      <c r="H8" s="1181"/>
      <c r="I8" s="1181"/>
      <c r="J8" s="1174" t="s">
        <v>164</v>
      </c>
      <c r="K8" s="1174"/>
      <c r="L8" s="145">
        <f>IF((L9+L10)&gt;L7,0,L7-L9-L10)</f>
        <v>0</v>
      </c>
      <c r="N8" s="85">
        <f>IF(N7="","",N7)</f>
        <v>0</v>
      </c>
      <c r="O8" s="58" t="str">
        <f>'päd.Personal - Leitung'!$O$8</f>
        <v>Mrz              Sep</v>
      </c>
      <c r="P8" s="85">
        <f>IF(P7="","",P7)</f>
        <v>0</v>
      </c>
    </row>
    <row r="9" spans="1:16" ht="13.5" customHeight="1" x14ac:dyDescent="0.2">
      <c r="A9" s="1180" t="s">
        <v>12</v>
      </c>
      <c r="B9" s="1180"/>
      <c r="C9" s="1180"/>
      <c r="D9" s="1181"/>
      <c r="E9" s="1181"/>
      <c r="F9" s="1181"/>
      <c r="G9" s="1181"/>
      <c r="H9" s="1181"/>
      <c r="I9" s="1181"/>
      <c r="J9" s="1174" t="s">
        <v>165</v>
      </c>
      <c r="K9" s="1174"/>
      <c r="L9" s="145"/>
      <c r="N9" s="85">
        <f>IF(N8="","",N8)</f>
        <v>0</v>
      </c>
      <c r="O9" s="58" t="str">
        <f>'päd.Personal - Leitung'!$O$9</f>
        <v>Apr               Okt</v>
      </c>
      <c r="P9" s="85">
        <f t="shared" ref="P9:P11" si="0">IF(P8="","",P8)</f>
        <v>0</v>
      </c>
    </row>
    <row r="10" spans="1:16" ht="13.5" customHeight="1" x14ac:dyDescent="0.2">
      <c r="A10" s="1180" t="s">
        <v>19</v>
      </c>
      <c r="B10" s="1180"/>
      <c r="C10" s="1180"/>
      <c r="D10" s="1181"/>
      <c r="E10" s="1181"/>
      <c r="F10" s="1181"/>
      <c r="G10" s="1181"/>
      <c r="H10" s="1181"/>
      <c r="I10" s="1181"/>
      <c r="J10" s="1174" t="s">
        <v>252</v>
      </c>
      <c r="K10" s="1174"/>
      <c r="L10" s="145"/>
      <c r="M10" s="92"/>
      <c r="N10" s="85">
        <f>IF(N9="","",N9)</f>
        <v>0</v>
      </c>
      <c r="O10" s="58" t="str">
        <f>'päd.Personal - Leitung'!$O$10</f>
        <v>Mai               Nov</v>
      </c>
      <c r="P10" s="85">
        <f t="shared" si="0"/>
        <v>0</v>
      </c>
    </row>
    <row r="11" spans="1:16" ht="13.5" customHeight="1" x14ac:dyDescent="0.2">
      <c r="B11" s="8"/>
      <c r="C11" s="132" t="s">
        <v>162</v>
      </c>
      <c r="D11" s="1175"/>
      <c r="E11" s="1175"/>
      <c r="F11" s="1176" t="s">
        <v>106</v>
      </c>
      <c r="G11" s="1176"/>
      <c r="H11" s="1186"/>
      <c r="I11" s="1186"/>
      <c r="J11" s="1174" t="s">
        <v>97</v>
      </c>
      <c r="K11" s="1174"/>
      <c r="L11" s="17" t="str">
        <f>IF(IF((COUNTIF(B26:B37,"&gt;0"))=0,0,(COUNTIF(B26:B37,"&gt;0")))&gt;Grundlagen!$C$24,Grundlagen!$C$24,IF((COUNTIF(B26:B37,"&gt;0"))=0,"",(COUNTIF(B26:B37,"&gt;0"))))</f>
        <v/>
      </c>
      <c r="N11" s="85">
        <f>IF(N10="","",N10)</f>
        <v>0</v>
      </c>
      <c r="O11" s="58" t="str">
        <f>'päd.Personal - Leitung'!$O$11</f>
        <v>Jun               Dez</v>
      </c>
      <c r="P11" s="85">
        <f t="shared" si="0"/>
        <v>0</v>
      </c>
    </row>
    <row r="12" spans="1:16" ht="13.5" customHeight="1" x14ac:dyDescent="0.2">
      <c r="F12" s="1176"/>
      <c r="G12" s="1176"/>
      <c r="H12" s="1237"/>
      <c r="I12" s="1237"/>
      <c r="L12" s="147" t="str">
        <f>IF((SUM(F14:F17))=0,"",IF(P12&gt;L8,L8,IF(L8="","",IF(L11="","",P12))))</f>
        <v/>
      </c>
      <c r="O12" s="174" t="s">
        <v>251</v>
      </c>
      <c r="P12" s="175">
        <f>IF(L11="",0,((IF(SUMIF(B26,"&gt;0"),N6,0))+(IF(SUMIF(B27,"&gt;0"),N7,0))+(IF(SUMIF(B28,"&gt;0"),N8,0))+(IF(SUMIF(B29,"&gt;0"),N9,0))+(IF(SUMIF(B30,"&gt;0"),N10,0))+(IF(SUMIF(B31,"&gt;0"),N11,0))+(IF(SUMIF(B32,"&gt;0"),P6,0))+(IF(SUMIF(B33,"&gt;0"),P7,0))+(IF(SUMIF(B34,"&gt;0"),P8,0))+(IF(SUMIF(B35,"&gt;0"),P9,0))+(IF(SUMIF(B36,"&gt;0"),P10,0))+(IF(SUMIF(B37,"&gt;0"),P11,0)))/Grundlagen!$C$24)</f>
        <v>0</v>
      </c>
    </row>
    <row r="13" spans="1:16" s="52" customFormat="1" ht="13.5" customHeight="1" x14ac:dyDescent="0.2">
      <c r="A13" s="61" t="s">
        <v>148</v>
      </c>
      <c r="B13" s="1168" t="s">
        <v>149</v>
      </c>
      <c r="C13" s="1168"/>
      <c r="D13" s="62" t="s">
        <v>150</v>
      </c>
      <c r="E13" s="63" t="s">
        <v>151</v>
      </c>
      <c r="F13" s="64" t="str">
        <f>CONCATENATE("Entg. ",N3," h/Wo")</f>
        <v>Entg.  h/Wo</v>
      </c>
      <c r="G13" s="65" t="s">
        <v>152</v>
      </c>
      <c r="H13" s="65" t="s">
        <v>153</v>
      </c>
      <c r="K13" s="1169" t="str">
        <f>CONCATENATE("Zuschläge / Zulagen für ",N3,"h/Wo")</f>
        <v>Zuschläge / Zulagen für h/Wo</v>
      </c>
      <c r="L13" s="1169"/>
      <c r="M13" s="66" t="str">
        <f>IF(A14="","",A14)</f>
        <v>Jan 2022</v>
      </c>
      <c r="N13" s="66" t="str">
        <f>IF(A15="","",A15)</f>
        <v/>
      </c>
      <c r="O13" s="66" t="str">
        <f>IF(A16="","",A16)</f>
        <v/>
      </c>
      <c r="P13" s="66" t="str">
        <f>IF(A17="","",A17)</f>
        <v/>
      </c>
    </row>
    <row r="14" spans="1:16" s="52" customFormat="1" ht="13.5" customHeight="1" x14ac:dyDescent="0.25">
      <c r="A14" s="54" t="str">
        <f>A26</f>
        <v>Jan 2022</v>
      </c>
      <c r="B14" s="1198"/>
      <c r="C14" s="1199"/>
      <c r="D14" s="181"/>
      <c r="E14" s="181"/>
      <c r="F14" s="87"/>
      <c r="G14" s="56">
        <f>IF(N3="",0,F14/N3/4.348)</f>
        <v>0</v>
      </c>
      <c r="H14" s="53">
        <f>IF(G14=0,0,M19)</f>
        <v>0</v>
      </c>
      <c r="K14" s="1146"/>
      <c r="L14" s="1146"/>
      <c r="M14" s="86"/>
      <c r="N14" s="86"/>
      <c r="O14" s="86"/>
      <c r="P14" s="86"/>
    </row>
    <row r="15" spans="1:16" s="52" customFormat="1" ht="13.5" customHeight="1" x14ac:dyDescent="0.25">
      <c r="A15" s="55"/>
      <c r="B15" s="1172" t="str">
        <f>IF(A15="","",B14)</f>
        <v/>
      </c>
      <c r="C15" s="1173"/>
      <c r="D15" s="181"/>
      <c r="E15" s="181"/>
      <c r="F15" s="87"/>
      <c r="G15" s="56">
        <f>IF(N3="",0,F15/N3/4.348)</f>
        <v>0</v>
      </c>
      <c r="H15" s="53">
        <f>IF(G15=0,0,N19)</f>
        <v>0</v>
      </c>
      <c r="K15" s="1146"/>
      <c r="L15" s="1146"/>
      <c r="M15" s="86"/>
      <c r="N15" s="86"/>
      <c r="O15" s="86"/>
      <c r="P15" s="86"/>
    </row>
    <row r="16" spans="1:16" s="52" customFormat="1" ht="13.5" customHeight="1" x14ac:dyDescent="0.25">
      <c r="A16" s="55"/>
      <c r="B16" s="1172" t="str">
        <f>IF(A16="","",B15)</f>
        <v/>
      </c>
      <c r="C16" s="1173"/>
      <c r="D16" s="181"/>
      <c r="E16" s="181"/>
      <c r="F16" s="87"/>
      <c r="G16" s="56">
        <f>IF(N3="",0,F16/N3/4.348)</f>
        <v>0</v>
      </c>
      <c r="H16" s="53">
        <f>IF(G16=0,0,O19)</f>
        <v>0</v>
      </c>
      <c r="K16" s="1146"/>
      <c r="L16" s="1146"/>
      <c r="M16" s="86"/>
      <c r="N16" s="86"/>
      <c r="O16" s="86"/>
      <c r="P16" s="86"/>
    </row>
    <row r="17" spans="1:16" s="52" customFormat="1" ht="13.5" customHeight="1" x14ac:dyDescent="0.25">
      <c r="A17" s="55"/>
      <c r="B17" s="1172" t="str">
        <f>IF(A17="","",B16)</f>
        <v/>
      </c>
      <c r="C17" s="1173"/>
      <c r="D17" s="181"/>
      <c r="E17" s="181"/>
      <c r="F17" s="87"/>
      <c r="G17" s="56">
        <f>IF(N3="",0,F17/N3/4.348)</f>
        <v>0</v>
      </c>
      <c r="H17" s="53">
        <f>IF(G17=0,0,P19)</f>
        <v>0</v>
      </c>
      <c r="K17" s="1146"/>
      <c r="L17" s="1146"/>
      <c r="M17" s="86"/>
      <c r="N17" s="86"/>
      <c r="O17" s="86"/>
      <c r="P17" s="86"/>
    </row>
    <row r="18" spans="1:16" s="52" customFormat="1" ht="13.5" customHeight="1" x14ac:dyDescent="0.25">
      <c r="B18" s="1167" t="s">
        <v>157</v>
      </c>
      <c r="C18" s="1167"/>
      <c r="E18" s="1167" t="s">
        <v>156</v>
      </c>
      <c r="F18" s="1167"/>
      <c r="J18" s="69"/>
      <c r="K18" s="1146"/>
      <c r="L18" s="1146"/>
      <c r="M18" s="86"/>
      <c r="N18" s="86"/>
      <c r="O18" s="86"/>
      <c r="P18" s="86"/>
    </row>
    <row r="19" spans="1:16" s="52" customFormat="1" ht="13.5" customHeight="1" x14ac:dyDescent="0.25">
      <c r="A19" s="70" t="s">
        <v>167</v>
      </c>
      <c r="B19" s="67"/>
      <c r="C19" s="99"/>
      <c r="D19" s="70" t="s">
        <v>167</v>
      </c>
      <c r="E19" s="67"/>
      <c r="F19" s="99"/>
      <c r="J19" s="68"/>
      <c r="M19" s="57">
        <f>SUM(M14:M18)</f>
        <v>0</v>
      </c>
      <c r="N19" s="57">
        <f t="shared" ref="N19:P19" si="1">SUM(N14:N18)</f>
        <v>0</v>
      </c>
      <c r="O19" s="57">
        <f t="shared" si="1"/>
        <v>0</v>
      </c>
      <c r="P19" s="57">
        <f t="shared" si="1"/>
        <v>0</v>
      </c>
    </row>
    <row r="20" spans="1:16" s="52" customFormat="1" ht="13.5" customHeight="1" x14ac:dyDescent="0.2">
      <c r="A20" s="60" t="s">
        <v>155</v>
      </c>
    </row>
    <row r="21" spans="1:16" ht="14.25" customHeight="1" x14ac:dyDescent="0.2">
      <c r="A21" s="1147"/>
      <c r="B21" s="1149" t="s">
        <v>9</v>
      </c>
      <c r="C21" s="1150"/>
      <c r="D21" s="1150"/>
      <c r="E21" s="1150"/>
      <c r="F21" s="1150"/>
      <c r="G21" s="1151"/>
      <c r="H21" s="1152" t="s">
        <v>119</v>
      </c>
      <c r="I21" s="1153"/>
      <c r="J21" s="1153"/>
      <c r="K21" s="1153"/>
      <c r="L21" s="1153"/>
      <c r="M21" s="1153"/>
      <c r="N21" s="1153"/>
      <c r="O21" s="33"/>
      <c r="P21" s="1154" t="s">
        <v>0</v>
      </c>
    </row>
    <row r="22" spans="1:16" ht="14.25" customHeight="1" x14ac:dyDescent="0.2">
      <c r="A22" s="1148"/>
      <c r="B22" s="1157" t="s">
        <v>117</v>
      </c>
      <c r="C22" s="130" t="s">
        <v>115</v>
      </c>
      <c r="D22" s="1159" t="s">
        <v>277</v>
      </c>
      <c r="E22" s="1161" t="s">
        <v>147</v>
      </c>
      <c r="F22" s="134" t="s">
        <v>7</v>
      </c>
      <c r="G22" s="1162" t="s">
        <v>6</v>
      </c>
      <c r="H22" s="1161" t="s">
        <v>129</v>
      </c>
      <c r="I22" s="1161" t="s">
        <v>5</v>
      </c>
      <c r="J22" s="1161" t="s">
        <v>4</v>
      </c>
      <c r="K22" s="1161" t="s">
        <v>3</v>
      </c>
      <c r="L22" s="1161" t="s">
        <v>121</v>
      </c>
      <c r="M22" s="1161" t="s">
        <v>122</v>
      </c>
      <c r="N22" s="1161" t="s">
        <v>123</v>
      </c>
      <c r="O22" s="1160" t="s">
        <v>114</v>
      </c>
      <c r="P22" s="1155"/>
    </row>
    <row r="23" spans="1:16" ht="14.25" customHeight="1" x14ac:dyDescent="0.2">
      <c r="A23" s="1148"/>
      <c r="B23" s="1157"/>
      <c r="C23" s="21" t="str">
        <f>IF(C19="","",C19)</f>
        <v/>
      </c>
      <c r="D23" s="1160"/>
      <c r="E23" s="1161"/>
      <c r="F23" s="1165" t="str">
        <f>IF(H14=0,"","siehe Zuschläge / Zulagen")</f>
        <v/>
      </c>
      <c r="G23" s="1162"/>
      <c r="H23" s="1164" t="s">
        <v>127</v>
      </c>
      <c r="I23" s="1164"/>
      <c r="J23" s="1164"/>
      <c r="K23" s="1164"/>
      <c r="L23" s="1164"/>
      <c r="M23" s="1164"/>
      <c r="N23" s="1164"/>
      <c r="O23" s="1160"/>
      <c r="P23" s="1155"/>
    </row>
    <row r="24" spans="1:16" x14ac:dyDescent="0.2">
      <c r="A24" s="1148"/>
      <c r="B24" s="1157"/>
      <c r="C24" s="128" t="s">
        <v>70</v>
      </c>
      <c r="D24" s="1160"/>
      <c r="E24" s="1161"/>
      <c r="F24" s="1165"/>
      <c r="G24" s="1162"/>
      <c r="H24" s="43" t="s">
        <v>128</v>
      </c>
      <c r="I24" s="43" t="s">
        <v>255</v>
      </c>
      <c r="J24" s="43" t="s">
        <v>256</v>
      </c>
      <c r="K24" s="43" t="s">
        <v>257</v>
      </c>
      <c r="L24" s="43"/>
      <c r="M24" s="43"/>
      <c r="N24" s="43" t="s">
        <v>254</v>
      </c>
      <c r="O24" s="1160"/>
      <c r="P24" s="1155"/>
    </row>
    <row r="25" spans="1:16" x14ac:dyDescent="0.2">
      <c r="A25" s="1148"/>
      <c r="B25" s="1158"/>
      <c r="C25" s="21" t="str">
        <f>IF(F19="","",F19)</f>
        <v/>
      </c>
      <c r="D25" s="51"/>
      <c r="E25" s="51"/>
      <c r="F25" s="1166"/>
      <c r="G25" s="1163"/>
      <c r="H25" s="93"/>
      <c r="I25" s="139">
        <f>'päd.Personal - Leitung'!$I$69</f>
        <v>0</v>
      </c>
      <c r="J25" s="139">
        <f>'päd.Personal - Leitung'!$J$69</f>
        <v>0</v>
      </c>
      <c r="K25" s="44">
        <f>'päd.Personal - Leitung'!$K$69</f>
        <v>0</v>
      </c>
      <c r="L25" s="21"/>
      <c r="M25" s="21"/>
      <c r="N25" s="139">
        <f>'päd.Personal - Leitung'!$N$69</f>
        <v>0</v>
      </c>
      <c r="O25" s="21">
        <f>'päd.Personal - Leitung'!$O$69</f>
        <v>0</v>
      </c>
      <c r="P25" s="1156"/>
    </row>
    <row r="26" spans="1:16" x14ac:dyDescent="0.2">
      <c r="A26" s="100" t="str">
        <f>'päd.Personal - Leitung'!$A$26</f>
        <v>Jan 2022</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76">
        <f>ROUND(IF((SUM(B26:F26))&gt;L41,L41*H25,SUM(B26:F26)*H25),2)</f>
        <v>0</v>
      </c>
      <c r="I26" s="76">
        <f>ROUND(IF((SUM(B26:F26))&gt;L42,L42*I25,SUM(B26:F26)*I25),2)</f>
        <v>0</v>
      </c>
      <c r="J26" s="76">
        <f>ROUND(IF((SUM(B26:F26))&gt;L42,L42*J25,SUM(B26:F26)*J25),2)</f>
        <v>0</v>
      </c>
      <c r="K26" s="76">
        <f>ROUND(IF((SUM(B26:F26))&gt;L41,L41*K25,SUM(B26:F26)*K25),2)</f>
        <v>0</v>
      </c>
      <c r="L26" s="76">
        <f>ROUND(IF((SUM(B26:F26))&gt;L42,L42*L25,(SUM(B26:F26)-C26)*L25),2)</f>
        <v>0</v>
      </c>
      <c r="M26" s="76">
        <f>ROUND(IF((SUM(B26:F26))&gt;L42,L42*M25,(SUM(B26:F26)-C26)*M25),2)</f>
        <v>0</v>
      </c>
      <c r="N26" s="76">
        <f>ROUND(IF((SUM(B26:F26))&gt;L42,L42*N25,SUM(B26:F26)*N25),2)</f>
        <v>0</v>
      </c>
      <c r="O26" s="23">
        <f>ROUND(SUM(B26+C26+F26)*O25,2)</f>
        <v>0</v>
      </c>
      <c r="P26" s="27">
        <f>SUM(G26:O26)</f>
        <v>0</v>
      </c>
    </row>
    <row r="27" spans="1:16" x14ac:dyDescent="0.2">
      <c r="A27" s="100" t="str">
        <f>'päd.Personal - Leitung'!$A$27</f>
        <v>Feb 2022</v>
      </c>
      <c r="B27" s="24">
        <f>ROUND(IF(N7=0,0,IFERROR(((LOOKUP(2,1/(A14:A17=A27),G14:G17))*N7*4.348),B26/N7*N7)),2)</f>
        <v>0</v>
      </c>
      <c r="C27" s="23">
        <f>ROUND(IFERROR(((LOOKUP(2,1/(B19=A27),((SUM(B32:B34)+SUM(F32:F34))/3)*C19))),0)+IFERROR(((LOOKUP(2,1/(E19=A27),(B38+F38)*F19))),0),2)</f>
        <v>0</v>
      </c>
      <c r="D27" s="23">
        <f>ROUND(IF(B27=0,0,D25/L7*N7),2)</f>
        <v>0</v>
      </c>
      <c r="E27" s="23">
        <f>ROUND(IF(B27=0,0,E25/N3*N7),2)</f>
        <v>0</v>
      </c>
      <c r="F27" s="24">
        <f>ROUND(IF(N7=0,0,IFERROR(((LOOKUP(2,1/(A14:A17=A27),H14:H17))/N3*N7),F26/N7*N7)),2)</f>
        <v>0</v>
      </c>
      <c r="G27" s="27">
        <f t="shared" ref="G27:G37" si="2">SUM(B27+C27+E27+F27)</f>
        <v>0</v>
      </c>
      <c r="H27" s="76">
        <f>ROUND(IF(SUM(B26:F26)&lt;(L41*1),IF((SUM(B26:F27))&gt;(L41*2),(((L41*2)-(SUM(B26:F27)-C26))*H25)+((SUM(B27:F27)-C26)*H25),SUM(B27:F27)*H25),IF(SUM(B26:F27)&gt;(L41*2),L41*H25,SUM(B27:F27)*H25)),2)</f>
        <v>0</v>
      </c>
      <c r="I27" s="76">
        <f>ROUND(IF(SUM(B26:F26)&lt;(L42*1),IF((SUM(B26:F27))&gt;(L42*2),(((L42*2)-(SUM(B26:F27)-C26))*I25)+((SUM(B27:F27)-C26)*I25),SUM(B27:F27)*I25),IF(SUM(B26:F27)&gt;(L42*2),L42*I25,SUM(B27:F27)*I25)),2)</f>
        <v>0</v>
      </c>
      <c r="J27" s="76">
        <f>ROUND(IF(SUM(B26:F26)&lt;(L42*1),IF((SUM(B26:F27))&gt;(L42*2),(((L42*2)-(SUM(B26:F27)-C26))*J25)+((SUM(B27:F27)-C26)*J25),SUM(B27:F27)*J25),IF(SUM(B26:F27)&gt;(L42*2),L42*J25,SUM(B27:F27)*J25)),2)</f>
        <v>0</v>
      </c>
      <c r="K27" s="76">
        <f>ROUND(IF(SUM(B26:F26)&lt;(L41*1),IF((SUM(B26:F27))&gt;(L41*2),(((L41*2)-(SUM(B26:F27)-C26))*K25)+((SUM(B27:F27)-C26)*K25),SUM(B27:F27)*K25),IF(SUM(B26:F27)&gt;(L41*2),L41*K25,SUM(B27:F27)*K25)),2)</f>
        <v>0</v>
      </c>
      <c r="L27" s="76">
        <f>ROUND(IF(SUM(B26:F26)&lt;(L42*1),IF((SUM(B26:F27))&gt;(L42*2),(((L42*2)-(SUM(B26:F27)-C27))*L25)+((SUM(B27:F27)-C27)*L25),(SUM(B27:F27)-C27)*L25),IF(SUM(B26:F27)&gt;(L42*2),L42*L25,SUM(B27:F27)*L25)),2)</f>
        <v>0</v>
      </c>
      <c r="M27" s="76">
        <f>ROUND(IF(SUM(B26:F26)&lt;(L42*1),IF((SUM(B26:F27))&gt;(L42*2),(((L42*2)-(SUM(B26:F27)-C27))*M25)+((SUM(B27:F27)-C27)*M25),(SUM(B27:F27)-C27)*M25),IF(SUM(B26:F27)&gt;(L42*2),L42*M25,SUM(B27:F27)*M25)),2)</f>
        <v>0</v>
      </c>
      <c r="N27" s="76">
        <f>ROUND(IF(SUM(B26:F26)&lt;(L42*1),IF((SUM(B26:F27))&gt;(L42*2),(((L42*2)-(SUM(B26:F27)-C26))*N25)+((SUM(B27:F27)-C26)*N25),SUM(B27:F27)*N25),IF(SUM(B26:F27)&gt;(L42*2),L42*N25,SUM(B27:F27)*N25)),2)</f>
        <v>0</v>
      </c>
      <c r="O27" s="23">
        <f>ROUND(SUM(B27+C27+F27)*O25,2)</f>
        <v>0</v>
      </c>
      <c r="P27" s="27">
        <f>SUM(G27:O27)</f>
        <v>0</v>
      </c>
    </row>
    <row r="28" spans="1:16" x14ac:dyDescent="0.2">
      <c r="A28" s="100" t="str">
        <f>'päd.Personal - Leitung'!$A$28</f>
        <v>Mrz 2022</v>
      </c>
      <c r="B28" s="24">
        <f>ROUND(IF(N8=0,0,IFERROR(((LOOKUP(2,1/(A14:A17=A28),G14:G17))*N8*4.348),B27/N8*N8)),2)</f>
        <v>0</v>
      </c>
      <c r="C28" s="23">
        <f>ROUND(IFERROR(((LOOKUP(2,1/(B19=A28),((SUM(B32:B34)+SUM(F32:F34))/3)*C19))),0)+IFERROR(((LOOKUP(2,1/(E19=A28),(B38+F38)*F19))),0),2)</f>
        <v>0</v>
      </c>
      <c r="D28" s="23">
        <f>ROUND(IF(B28=0,0,D25/L7*N8),2)</f>
        <v>0</v>
      </c>
      <c r="E28" s="23">
        <f>ROUND(IF(B28=0,0,E25/N3*N8),2)</f>
        <v>0</v>
      </c>
      <c r="F28" s="24">
        <f>ROUND(IF(N8=0,0,IFERROR(((LOOKUP(2,1/(A14:A17=A28),H14:H17))/N3*N8),F27/N8*N8)),2)</f>
        <v>0</v>
      </c>
      <c r="G28" s="27">
        <f t="shared" si="2"/>
        <v>0</v>
      </c>
      <c r="H28" s="76">
        <f>ROUND(IF(SUM(B26:F27)&lt;(L41*2),IF((SUM(B26:F28))&gt;(L41*3),(((L41*3)-(SUM(B26:F28)-C27))*H25)+((SUM(B28:F28)-C27)*H25),SUM(B28:F28)*H25),IF(SUM(B26:F28)&gt;(L41*3),L41*H25,SUM(B28:F28)*H25)),2)</f>
        <v>0</v>
      </c>
      <c r="I28" s="76">
        <f>ROUND(IF(SUM(B26:F27)&lt;(L42*2),IF((SUM(B26:F28))&gt;(L42*3),(((L42*3)-(SUM(B26:F28)-C27))*I25)+((SUM(B28:F28)-C27)*I25),SUM(B28:F28)*I25),IF(SUM(B26:F28)&gt;(L42*3),L42*I25,SUM(B28:F28)*I25)),2)</f>
        <v>0</v>
      </c>
      <c r="J28" s="76">
        <f>ROUND(IF(SUM(B26:F27)&lt;(L42*2),IF((SUM(B26:F28))&gt;(L42*3),(((L42*3)-(SUM(B26:F28)-C27))*J25)+((SUM(B28:F28)-C27)*J25),SUM(B28:F28)*J25),IF(SUM(B26:F28)&gt;(L42*3),L42*J25,SUM(B28:F28)*J25)),2)</f>
        <v>0</v>
      </c>
      <c r="K28" s="76">
        <f>ROUND(IF(SUM(B26:F27)&lt;(L41*2),IF((SUM(B26:F28))&gt;(L41*3),(((L41*3)-(SUM(B26:F28)-C27))*K25)+((SUM(B28:F28)-C27)*K25),SUM(B28:F28)*K25),IF(SUM(B26:F28)&gt;(L41*3),L41*K25,SUM(B28:F28)*K25)),2)</f>
        <v>0</v>
      </c>
      <c r="L28" s="76">
        <f>ROUND(IF(SUM(B26:F27)&lt;(L42*2),IF((SUM(B26:F28))&gt;(L42*3),(((L42*3)-(SUM(B26:F28)-C28))*L25)+((SUM(B28:F28)-C28)*L25),(SUM(B28:F28)-C28)*L25),IF(SUM(B26:F28)&gt;(L42*3),L42*L25,SUM(B28:F28)*L25)),2)</f>
        <v>0</v>
      </c>
      <c r="M28" s="76">
        <f>ROUND(IF(SUM(B26:F27)&lt;(L42*2),IF((SUM(B26:F28))&gt;(L42*3),(((L42*3)-(SUM(B26:F28)-C28))*M25)+((SUM(B28:F28)-C28)*M25),(SUM(B28:F28)-C28)*M25),IF(SUM(B26:F28)&gt;(L42*3),L42*M25,SUM(B28:F28)*M25)),2)</f>
        <v>0</v>
      </c>
      <c r="N28" s="76">
        <f>ROUND(IF(SUM(B26:F27)&lt;(L42*2),IF((SUM(B26:F28))&gt;(L42*3),(((L42*3)-(SUM(B26:F28)-C27))*N25)+((SUM(B28:F28)-C27)*N25),SUM(B28:F28)*N25),IF(SUM(B26:F28)&gt;(L42*3),L42*N25,SUM(B28:F28)*N25)),2)</f>
        <v>0</v>
      </c>
      <c r="O28" s="23">
        <f>ROUND(SUM(B28+C28+F28)*O25,2)</f>
        <v>0</v>
      </c>
      <c r="P28" s="27">
        <f t="shared" ref="P28:P37" si="3">SUM(G28:O28)</f>
        <v>0</v>
      </c>
    </row>
    <row r="29" spans="1:16" x14ac:dyDescent="0.2">
      <c r="A29" s="100" t="str">
        <f>'päd.Personal - Leitung'!$A$29</f>
        <v>Apr 2022</v>
      </c>
      <c r="B29" s="24">
        <f>ROUND(IF(N9=0,0,IFERROR(((LOOKUP(2,1/(A14:A17=A29),G14:G17))*N9*4.348),B28/N9*N9)),2)</f>
        <v>0</v>
      </c>
      <c r="C29" s="23">
        <f>ROUND(IFERROR(((LOOKUP(2,1/(B19=A29),((SUM(B32:B34)+SUM(F32:F34))/3)*C19))),0)+IFERROR(((LOOKUP(2,1/(E19=A29),(B38+F38)*F19))),0),2)</f>
        <v>0</v>
      </c>
      <c r="D29" s="23">
        <f>ROUND(IF(B29=0,0,D25/L7*N9),2)</f>
        <v>0</v>
      </c>
      <c r="E29" s="23">
        <f>ROUND(IF(B29=0,0,E25/N3*N9),2)</f>
        <v>0</v>
      </c>
      <c r="F29" s="24">
        <f>ROUND(IF(N9=0,0,IFERROR(((LOOKUP(2,1/(A14:A17=A29),H14:H17))/N3*N9),F28/N9*N9)),2)</f>
        <v>0</v>
      </c>
      <c r="G29" s="27">
        <f t="shared" si="2"/>
        <v>0</v>
      </c>
      <c r="H29" s="76">
        <f>ROUND(IF(SUM(B26:F28)&lt;(L41*3),IF((SUM(B26:F29))&gt;(L41*4),(((L41*4)-(SUM(B26:F29)-C28))*H25)+((SUM(B29:F29)-C28)*H25),SUM(B29:F29)*H25),IF(SUM(B26:F29)&gt;(L41*4),L41*H25,SUM(B29:F29)*H25)),2)</f>
        <v>0</v>
      </c>
      <c r="I29" s="76">
        <f>ROUND(IF(SUM(B26:F28)&lt;(L42*3),IF((SUM(B26:F29))&gt;(L42*4),(((L42*4)-(SUM(B26:F29)-C28))*I25)+((SUM(B29:F29)-C28)*I25),SUM(B29:F29)*I25),IF(SUM(B26:F29)&gt;(L42*4),L42*I25,SUM(B29:F29)*I25)),2)</f>
        <v>0</v>
      </c>
      <c r="J29" s="76">
        <f>ROUND(IF(SUM(B26:F28)&lt;(L42*3),IF((SUM(B26:F29))&gt;(L42*4),(((L42*4)-(SUM(B26:F29)-C28))*J25)+((SUM(B29:F29)-C28)*J25),SUM(B29:F29)*J25),IF(SUM(B26:F29)&gt;(L42*4),L42*J25,SUM(B29:F29)*J25)),2)</f>
        <v>0</v>
      </c>
      <c r="K29" s="76">
        <f>ROUND(IF(SUM(B26:F28)&lt;(L41*3),IF((SUM(B26:F29))&gt;(L41*4),(((L41*4)-(SUM(B26:F29)-C28))*K25)+((SUM(B29:F29)-C28)*K25),SUM(B29:F29)*K25),IF(SUM(B26:F29)&gt;(L41*4),L41*K25,SUM(B29:F29)*K25)),2)</f>
        <v>0</v>
      </c>
      <c r="L29" s="76">
        <f>ROUND(IF(SUM(B26:F28)&lt;(L42*3),IF((SUM(B26:F29))&gt;(L42*4),(((L42*4)-(SUM(B26:F29)-C29))*L25)+((SUM(B29:F29)-C29)*L25),(SUM(B29:F29)-C29)*L25),IF(SUM(B26:F29)&gt;(L42*4),L42*L25,SUM(B29:F29)*L25)),2)</f>
        <v>0</v>
      </c>
      <c r="M29" s="76">
        <f>ROUND(IF(SUM(B26:F28)&lt;(L42*3),IF((SUM(B26:F29))&gt;(L42*4),(((L42*4)-(SUM(B26:F29)-C29))*M25)+((SUM(B29:F29)-C29)*M25),(SUM(B29:F29)-C29)*M25),IF(SUM(B26:F29)&gt;(L42*4),L42*M25,SUM(B29:F29)*M25)),2)</f>
        <v>0</v>
      </c>
      <c r="N29" s="76">
        <f>ROUND(IF(SUM(B26:F28)&lt;(L42*3),IF((SUM(B26:F29))&gt;(L42*4),(((L42*4)-(SUM(B26:F29)-C28))*N25)+((SUM(B29:F29)-C28)*N25),SUM(B29:F29)*N25),IF(SUM(B26:F29)&gt;(L42*4),L42*N25,SUM(B29:F29)*N25)),2)</f>
        <v>0</v>
      </c>
      <c r="O29" s="23">
        <f>ROUND(SUM(B29+C29+F29)*O25,2)</f>
        <v>0</v>
      </c>
      <c r="P29" s="27">
        <f t="shared" si="3"/>
        <v>0</v>
      </c>
    </row>
    <row r="30" spans="1:16" x14ac:dyDescent="0.2">
      <c r="A30" s="100" t="str">
        <f>'päd.Personal - Leitung'!$A$30</f>
        <v>Mai 2022</v>
      </c>
      <c r="B30" s="24">
        <f>ROUND(IF(N10=0,0,IFERROR(((LOOKUP(2,1/(A14:A17=A30),G14:G17))*N10*4.348),B29/N10*N10)),2)</f>
        <v>0</v>
      </c>
      <c r="C30" s="23">
        <f>ROUND(IFERROR(((LOOKUP(2,1/(B19=A30),((SUM(B32:B34)+SUM(F32:F34))/3)*C19))),0)+IFERROR(((LOOKUP(2,1/(E19=A30),(B38+F38)*F19))),0),2)</f>
        <v>0</v>
      </c>
      <c r="D30" s="23">
        <f>ROUND(IF(B30=0,0,D25/L7*N10),2)</f>
        <v>0</v>
      </c>
      <c r="E30" s="23">
        <f>ROUND(IF(B30=0,0,E25/N3*N10),2)</f>
        <v>0</v>
      </c>
      <c r="F30" s="24">
        <f>ROUND(IF(N10=0,0,IFERROR(((LOOKUP(2,1/(A14:A17=A30),H14:H17))/N3*N10),F29/N10*N10)),2)</f>
        <v>0</v>
      </c>
      <c r="G30" s="27">
        <f t="shared" si="2"/>
        <v>0</v>
      </c>
      <c r="H30" s="76">
        <f>ROUND(IF(SUM(B26:F29)&lt;(L41*4),IF((SUM(B26:F30))&gt;(L41*5),(((L41*5)-(SUM(B26:F30)-C29))*H25)+((SUM(B30:F30)-C29)*H25),SUM(B30:F30)*H25),IF(SUM(B26:F30)&gt;(L41*5),L41*H25,SUM(B30:F30)*H25)),2)</f>
        <v>0</v>
      </c>
      <c r="I30" s="76">
        <f>ROUND(IF(SUM(B26:F29)&lt;(L42*4),IF((SUM(B26:F30))&gt;(L42*5),(((L42*5)-(SUM(B26:F30)-C29))*I25)+((SUM(B30:F30)-C29)*I25),SUM(B30:F30)*I25),IF(SUM(B26:F30)&gt;(L42*5),L42*I25,SUM(B30:F30)*I25)),2)</f>
        <v>0</v>
      </c>
      <c r="J30" s="76">
        <f>ROUND(IF(SUM(B26:F29)&lt;(L42*4),IF((SUM(B26:F30))&gt;(L42*5),(((L42*5)-(SUM(B26:F30)-C29))*J25)+((SUM(B30:F30)-C29)*J25),SUM(B30:F30)*J25),IF(SUM(B26:F30)&gt;(L42*5),L42*J25,SUM(B30:F30)*J25)),2)</f>
        <v>0</v>
      </c>
      <c r="K30" s="76">
        <f>ROUND(IF(SUM(B26:F29)&lt;(L41*4),IF((SUM(B26:F30))&gt;(L41*5),(((L41*5)-(SUM(B26:F30)-C29))*K25)+((SUM(B30:F30)-C29)*K25),SUM(B30:F30)*K25),IF(SUM(B26:F30)&gt;(L41*5),L41*K25,SUM(B30:F30)*K25)),2)</f>
        <v>0</v>
      </c>
      <c r="L30" s="76">
        <f>ROUND(IF(SUM(B26:F29)&lt;(L42*4),IF((SUM(B26:F30))&gt;(L42*5),(((L42*5)-(SUM(B26:F30)-C30))*L25)+((SUM(B30:F30)-C30)*L25),(SUM(B30:F30)-C30)*L25),IF(SUM(B26:F30)&gt;(L42*5),L42*L25,SUM(B30:F30)*L25)),2)</f>
        <v>0</v>
      </c>
      <c r="M30" s="76">
        <f>ROUND(IF(SUM(B26:F29)&lt;(L42*4),IF((SUM(B26:F30))&gt;(L42*5),(((L42*5)-(SUM(B26:F30)-C30))*M25)+((SUM(B30:F30)-C30)*M25),(SUM(B30:F30)-C30)*M25),IF(SUM(B26:F30)&gt;(L42*5),L42*M25,SUM(B30:F30)*M25)),2)</f>
        <v>0</v>
      </c>
      <c r="N30" s="76">
        <f>ROUND(IF(SUM(B26:F29)&lt;(L42*4),IF((SUM(B26:F30))&gt;(L42*5),(((L42*5)-(SUM(B26:F30)-C29))*N25)+((SUM(B30:F30)-C29)*N25),SUM(B30:F30)*N25),IF(SUM(B26:F30)&gt;(L42*5),L42*N25,SUM(B30:F30)*N25)),2)</f>
        <v>0</v>
      </c>
      <c r="O30" s="23">
        <f>ROUND(SUM(B30+C30+F30)*O25,2)</f>
        <v>0</v>
      </c>
      <c r="P30" s="27">
        <f t="shared" si="3"/>
        <v>0</v>
      </c>
    </row>
    <row r="31" spans="1:16" x14ac:dyDescent="0.2">
      <c r="A31" s="100" t="str">
        <f>'päd.Personal - Leitung'!$A$31</f>
        <v>Jun 2022</v>
      </c>
      <c r="B31" s="24">
        <f>ROUND(IF(N11=0,0,IFERROR(((LOOKUP(2,1/(A14:A17=A31),G14:G17))*N11*4.348),B30/N11*N11)),2)</f>
        <v>0</v>
      </c>
      <c r="C31" s="23">
        <f>ROUND(IFERROR(((LOOKUP(2,1/(B19=A31),((SUM(B32:B34)+SUM(F32:F34))/3)*C19))),0)+IFERROR(((LOOKUP(2,1/(E19=A31),(B38+F38)*F19))),0),2)</f>
        <v>0</v>
      </c>
      <c r="D31" s="23">
        <f>ROUND(IF(B31=0,0,D25/L7*N11),2)</f>
        <v>0</v>
      </c>
      <c r="E31" s="23">
        <f>ROUND(IF(B31=0,0,E25/N3*N11),2)</f>
        <v>0</v>
      </c>
      <c r="F31" s="24">
        <f>ROUND(IF(N11=0,0,IFERROR(((LOOKUP(2,1/(A14:A17=A31),H14:H17))/N3*N11),F30/N11*N11)),2)</f>
        <v>0</v>
      </c>
      <c r="G31" s="27">
        <f t="shared" si="2"/>
        <v>0</v>
      </c>
      <c r="H31" s="76">
        <f>ROUND(IF(SUM(B26:F30)&lt;(L41*5),IF((SUM(B26:F31))&gt;(L41*6),(((L41*6)-(SUM(B26:F31)-C30))*H25)+((SUM(B31:F31)-C30)*H25),SUM(B31:F31)*H25),IF(SUM(B26:F31)&gt;(L41*6),L41*H25,SUM(B31:F31)*H25)),2)</f>
        <v>0</v>
      </c>
      <c r="I31" s="76">
        <f>ROUND(IF(SUM(B26:F30)&lt;(L42*5),IF((SUM(B26:F31))&gt;(L42*6),(((L42*6)-(SUM(B26:F31)-C30))*I25)+((SUM(B31:F31)-C30)*I25),SUM(B31:F31)*I25),IF(SUM(B26:F31)&gt;(L42*6),L42*I25,SUM(B31:F31)*I25)),2)</f>
        <v>0</v>
      </c>
      <c r="J31" s="76">
        <f>ROUND(IF(SUM(B26:F30)&lt;(L42*5),IF((SUM(B26:F31))&gt;(L42*6),(((L42*6)-(SUM(B26:F31)-C30))*J25)+((SUM(B31:F31)-C30)*J25),SUM(B31:F31)*J25),IF(SUM(B26:F31)&gt;(L42*6),L42*J25,SUM(B31:F31)*J25)),2)</f>
        <v>0</v>
      </c>
      <c r="K31" s="76">
        <f>ROUND(IF(SUM(B26:F30)&lt;(L41*5),IF((SUM(B26:F31))&gt;(L41*6),(((L41*6)-(SUM(B26:F31)-C30))*K25)+((SUM(B31:F31)-C30)*K25),SUM(B31:F31)*K25),IF(SUM(B26:F31)&gt;(L41*6),L41*K25,SUM(B31:F31)*K25)),2)</f>
        <v>0</v>
      </c>
      <c r="L31" s="76">
        <f>ROUND(IF(SUM(B26:F30)&lt;(L42*5),IF((SUM(B26:F31))&gt;(L42*6),(((L42*6)-(SUM(B26:F31)-C31))*L25)+((SUM(B31:F31)-C31)*L25),(SUM(B31:F31)-C31)*L25),IF(SUM(B26:F31)&gt;(L42*6),L42*L25,SUM(B31:F31)*L25)),2)</f>
        <v>0</v>
      </c>
      <c r="M31" s="76">
        <f>ROUND(IF(SUM(B26:F30)&lt;(L42*5),IF((SUM(B26:F31))&gt;(L42*6),(((L42*6)-(SUM(B26:F31)-C31))*M25)+((SUM(B31:F31)-C31)*M25),(SUM(B31:F31)-C31)*M25),IF(SUM(B26:F31)&gt;(L42*6),L42*M25,SUM(B31:F31)*M25)),2)</f>
        <v>0</v>
      </c>
      <c r="N31" s="76">
        <f>ROUND(IF(SUM(B26:F30)&lt;(L42*5),IF((SUM(B26:F31))&gt;(L42*6),(((L42*6)-(SUM(B26:F31)-C30))*N25)+((SUM(B31:F31)-C30)*N25),SUM(B31:F31)*N25),IF(SUM(B26:F31)&gt;(L42*6),L42*N25,SUM(B31:F31)*N25)),2)</f>
        <v>0</v>
      </c>
      <c r="O31" s="23">
        <f>ROUND(SUM(B31+C31+F31)*O25,2)</f>
        <v>0</v>
      </c>
      <c r="P31" s="27">
        <f t="shared" si="3"/>
        <v>0</v>
      </c>
    </row>
    <row r="32" spans="1:16" x14ac:dyDescent="0.2">
      <c r="A32" s="100" t="str">
        <f>'päd.Personal - Leitung'!$A$32</f>
        <v>Jul 2022</v>
      </c>
      <c r="B32" s="24">
        <f>ROUND(IF(P6=0,0,IFERROR(((LOOKUP(2,1/(A14:A17=A32),G14:G17))*P6*4.348),B31/P6*P6)),2)</f>
        <v>0</v>
      </c>
      <c r="C32" s="23">
        <f>ROUND(IFERROR(((LOOKUP(2,1/(B19=A32),((SUM(B32:B34)+SUM(F32:F34))/3)*C19))),0)+IFERROR(((LOOKUP(2,1/(E19=A32),(B38+F38)*F19))),0),2)</f>
        <v>0</v>
      </c>
      <c r="D32" s="23">
        <f>ROUND(IF(B32=0,0,D25/L7*P6),2)</f>
        <v>0</v>
      </c>
      <c r="E32" s="23">
        <f>ROUND(IF(B32=0,0,E25/N3*P6),2)</f>
        <v>0</v>
      </c>
      <c r="F32" s="24">
        <f>ROUND(IF(P6=0,0,IFERROR(((LOOKUP(2,1/(A14:A17=A32),H14:H17))/N3*P6),F31/P6*P6)),2)</f>
        <v>0</v>
      </c>
      <c r="G32" s="27">
        <f t="shared" si="2"/>
        <v>0</v>
      </c>
      <c r="H32" s="76">
        <f>ROUND(IF(SUM(B26:F31)&lt;(L41*6),IF((SUM(B26:F32))&gt;(L41*7),(((L41*7)-(SUM(B26:F32)-C31))*H25)+((SUM(B32:F32)-C31)*H25),SUM(B32:F32)*H25),IF(SUM(B26:F32)&gt;(L41*7),L41*H25,SUM(B32:F32)*H25)),2)</f>
        <v>0</v>
      </c>
      <c r="I32" s="76">
        <f>ROUND(IF(SUM(B26:F31)&lt;(L42*6),IF((SUM(B26:F32))&gt;(L42*7),(((L42*7)-(SUM(B26:F32)-C31))*I25)+((SUM(B32:F32)-C31)*I25),SUM(B32:F32)*I25),IF(SUM(B26:F32)&gt;(L42*7),L42*I25,SUM(B32:F32)*I25)),2)</f>
        <v>0</v>
      </c>
      <c r="J32" s="76">
        <f>ROUND(IF(SUM(B26:F31)&lt;(L42*6),IF((SUM(B26:F32))&gt;(L42*7),(((L42*7)-(SUM(B26:F32)-C31))*J25)+((SUM(B32:F32)-C31)*J25),SUM(B32:F32)*J25),IF(SUM(B26:F32)&gt;(L42*7),L42*J25,SUM(B32:F32)*J25)),2)</f>
        <v>0</v>
      </c>
      <c r="K32" s="76">
        <f>ROUND(IF(SUM(B26:F31)&lt;(L41*6),IF((SUM(B26:F32))&gt;(L41*7),(((L41*7)-(SUM(B26:F32)-C31))*K25)+((SUM(B32:F32)-C31)*K25),SUM(B32:F32)*K25),IF(SUM(B26:F32)&gt;(L41*7),L41*K25,SUM(B32:F32)*K25)),2)</f>
        <v>0</v>
      </c>
      <c r="L32" s="76">
        <f>ROUND(IF(SUM(B26:F31)&lt;(L42*6),IF((SUM(B26:F32))&gt;(L42*7),(((L42*7)-(SUM(B26:F32)-C32))*L25)+((SUM(B32:F32)-C32)*L25),(SUM(B32:F32)-C32)*L25),IF(SUM(B26:F32)&gt;(L42*7),L42*L25,SUM(B32:F32)*L25)),2)</f>
        <v>0</v>
      </c>
      <c r="M32" s="76">
        <f>ROUND(IF(SUM(B26:F31)&lt;(L42*6),IF((SUM(B26:F32))&gt;(L42*7),(((L42*7)-(SUM(B26:F32)-C32))*M25)+((SUM(B32:F32)-C32)*M25),(SUM(B32:F32)-C32)*M25),IF(SUM(B26:F32)&gt;(L42*7),L42*M25,SUM(B32:F32)*M25)),2)</f>
        <v>0</v>
      </c>
      <c r="N32" s="76">
        <f>ROUND(IF(SUM(B26:F31)&lt;(L42*6),IF((SUM(B26:F32))&gt;(L42*7),(((L42*7)-(SUM(B26:F32)-C31))*N25)+((SUM(B32:F32)-C31)*N25),SUM(B32:F32)*N25),IF(SUM(B26:F32)&gt;(L42*7),L42*N25,SUM(B32:F32)*N25)),2)</f>
        <v>0</v>
      </c>
      <c r="O32" s="23">
        <f>ROUND(SUM(B32+C32+F32)*O25,2)</f>
        <v>0</v>
      </c>
      <c r="P32" s="27">
        <f t="shared" si="3"/>
        <v>0</v>
      </c>
    </row>
    <row r="33" spans="1:16" x14ac:dyDescent="0.2">
      <c r="A33" s="100" t="str">
        <f>'päd.Personal - Leitung'!$A$33</f>
        <v>Aug 2022</v>
      </c>
      <c r="B33" s="24">
        <f>ROUND(IF(P7=0,0,IFERROR(((LOOKUP(2,1/(A14:A17=A33),G14:G17))*P7*4.348),B32/P7*P7)),2)</f>
        <v>0</v>
      </c>
      <c r="C33" s="23">
        <f>ROUND(IFERROR(((LOOKUP(2,1/(B19=A33),((SUM(B32:B34)+SUM(F32:F34))/3)*C19))),0)+IFERROR(((LOOKUP(2,1/(E19=A33),(B38+F38)*F19))),0),2)</f>
        <v>0</v>
      </c>
      <c r="D33" s="23">
        <f>ROUND(IF(B33=0,0,D25/L7*P7),2)</f>
        <v>0</v>
      </c>
      <c r="E33" s="23">
        <f>ROUND(IF(B33=0,0,E25/N3*P7),2)</f>
        <v>0</v>
      </c>
      <c r="F33" s="24">
        <f>ROUND(IF(P7=0,0,IFERROR(((LOOKUP(2,1/(A14:A17=A33),H14:H17))/N3*P7),F32/P7*P7)),2)</f>
        <v>0</v>
      </c>
      <c r="G33" s="27">
        <f t="shared" si="2"/>
        <v>0</v>
      </c>
      <c r="H33" s="76">
        <f>ROUND(IF(SUM(B26:F32)&lt;(L41*7),IF((SUM(B26:F33))&gt;(L41*8),(((L41*8)-(SUM(B26:F33)-C32))*H25)+((SUM(B33:F33)-C32)*H25),SUM(B33:F33)*H25),IF(SUM(B26:F33)&gt;(L41*8),L41*H25,SUM(B33:F33)*H25)),2)</f>
        <v>0</v>
      </c>
      <c r="I33" s="76">
        <f>ROUND(IF(SUM(B26:F32)&lt;(L42*7),IF((SUM(B26:F33))&gt;(L42*8),(((L42*8)-(SUM(B26:F33)-C32))*I25)+((SUM(B33:F33)-C32)*I25),SUM(B33:F33)*I25),IF(SUM(B26:F33)&gt;(L42*8),L42*I25,SUM(B33:F33)*I25)),2)</f>
        <v>0</v>
      </c>
      <c r="J33" s="76">
        <f>ROUND(IF(SUM(B26:F32)&lt;(L42*7),IF((SUM(B26:F33))&gt;(L42*8),(((L42*8)-(SUM(B26:F33)-C32))*J25)+((SUM(B33:F33)-C32)*J25),SUM(B33:F33)*J25),IF(SUM(B26:F33)&gt;(L42*8),L42*J25,SUM(B33:F33)*J25)),2)</f>
        <v>0</v>
      </c>
      <c r="K33" s="76">
        <f>ROUND(IF(SUM(B26:F32)&lt;(L41*7),IF((SUM(B26:F33))&gt;(L41*8),(((L41*8)-(SUM(B26:F33)-C32))*K25)+((SUM(B33:F33)-C32)*K25),SUM(B33:F33)*K25),IF(SUM(B26:F33)&gt;(L41*8),L41*K25,SUM(B33:F33)*K25)),2)</f>
        <v>0</v>
      </c>
      <c r="L33" s="76">
        <f>ROUND(IF(SUM(B26:F32)&lt;(L42*7),IF((SUM(B26:F33))&gt;(L42*8),(((L42*8)-(SUM(B26:F33)-C33))*L25)+((SUM(B33:F33)-C33)*L25),(SUM(B33:F33)-C33)*L25),IF(SUM(B26:F33)&gt;(L42*8),L42*L25,SUM(B33:F33)*L25)),2)</f>
        <v>0</v>
      </c>
      <c r="M33" s="76">
        <f>ROUND(IF(SUM(B26:F32)&lt;(L42*7),IF((SUM(B26:F33))&gt;(L42*8),(((L42*8)-(SUM(B26:F33)-C33))*M25)+((SUM(B33:F33)-C33)*M25),(SUM(B33:F33)-C33)*M25),IF(SUM(B26:F33)&gt;(L42*8),L42*M25,SUM(B33:F33)*M25)),2)</f>
        <v>0</v>
      </c>
      <c r="N33" s="76">
        <f>ROUND(IF(SUM(B26:F32)&lt;(L42*7),IF((SUM(B26:F33))&gt;(L42*8),(((L42*8)-(SUM(B26:F33)-C32))*N25)+((SUM(B33:F33)-C32)*N25),SUM(B33:F33)*N25),IF(SUM(B26:F33)&gt;(L42*8),L42*N25,SUM(B33:F33)*N25)),2)</f>
        <v>0</v>
      </c>
      <c r="O33" s="23">
        <f>ROUND(SUM(B33+C33+F33)*O25,2)</f>
        <v>0</v>
      </c>
      <c r="P33" s="27">
        <f t="shared" si="3"/>
        <v>0</v>
      </c>
    </row>
    <row r="34" spans="1:16" x14ac:dyDescent="0.2">
      <c r="A34" s="100" t="str">
        <f>'päd.Personal - Leitung'!$A$34</f>
        <v>Sep 2022</v>
      </c>
      <c r="B34" s="24">
        <f>ROUND(IF(P8=0,0,IFERROR(((LOOKUP(2,1/(A14:A17=A34),G14:G17))*P8*4.348),B33/P8*P8)),2)</f>
        <v>0</v>
      </c>
      <c r="C34" s="23">
        <f>ROUND(IFERROR(((LOOKUP(2,1/(B19=A34),((SUM(B32:B34)+SUM(F32:F34))/3)*C19))),0)+IFERROR(((LOOKUP(2,1/(E19=A34),(B38+F38)*F19))),0),2)</f>
        <v>0</v>
      </c>
      <c r="D34" s="23">
        <f>ROUND(IF(B34=0,0,D25/L7*P8),2)</f>
        <v>0</v>
      </c>
      <c r="E34" s="23">
        <f>ROUND(IF(B34=0,0,E25/N3*P8),2)</f>
        <v>0</v>
      </c>
      <c r="F34" s="24">
        <f>ROUND(IF(P8=0,0,IFERROR(((LOOKUP(2,1/(A14:A17=A34),H14:H17))/N3*P8),F33/P8*P8)),2)</f>
        <v>0</v>
      </c>
      <c r="G34" s="27">
        <f t="shared" si="2"/>
        <v>0</v>
      </c>
      <c r="H34" s="76">
        <f>ROUND(IF(SUM(B26:F33)&lt;(L41*8),IF((SUM(B26:F34))&gt;(L41*9),(((L41*9)-(SUM(B26:F34)-C33))*H25)+((SUM(B34:F34)-C33)*H25),SUM(B34:F34)*H25),IF(SUM(B26:F34)&gt;(L41*9),L41*H25,SUM(B34:F34)*H25)),2)</f>
        <v>0</v>
      </c>
      <c r="I34" s="76">
        <f>ROUND(IF(SUM(B26:F33)&lt;(L42*8),IF((SUM(B26:F34))&gt;(L42*9),(((L42*9)-(SUM(B26:F34)-C33))*I25)+((SUM(B34:F34)-C33)*I25),SUM(B34:F34)*I25),IF(SUM(B26:F34)&gt;(L42*9),L42*I25,SUM(B34:F34)*I25)),2)</f>
        <v>0</v>
      </c>
      <c r="J34" s="76">
        <f>ROUND(IF(SUM(B26:F33)&lt;(L42*8),IF((SUM(B26:F34))&gt;(L42*9),(((L42*9)-(SUM(B26:F34)-C33))*J25)+((SUM(B34:F34)-C33)*J25),SUM(B34:F34)*J25),IF(SUM(B26:F34)&gt;(L42*9),L42*J25,SUM(B34:F34)*J25)),2)</f>
        <v>0</v>
      </c>
      <c r="K34" s="76">
        <f>ROUND(IF(SUM(B26:F33)&lt;(L41*8),IF((SUM(B26:F34))&gt;(L41*9),(((L41*9)-(SUM(B26:F34)-C33))*K25)+((SUM(B34:F34)-C33)*K25),SUM(B34:F34)*K25),IF(SUM(B26:F34)&gt;(L41*9),L41*K25,SUM(B34:F34)*K25)),2)</f>
        <v>0</v>
      </c>
      <c r="L34" s="76">
        <f>ROUND(IF(SUM(B26:F33)&lt;(L42*8),IF((SUM(B26:F34))&gt;(L42*9),(((L42*9)-(SUM(B26:F34)-C34))*L25)+((SUM(B34:F34)-C34)*L25),(SUM(B34:F34)-C34)*L25),IF(SUM(B26:F34)&gt;(L42*9),L42*L25,SUM(B34:F34)*L25)),2)</f>
        <v>0</v>
      </c>
      <c r="M34" s="76">
        <f>ROUND(IF(SUM(B26:F33)&lt;(L42*8),IF((SUM(B26:F34))&gt;(L42*9),(((L42*9)-(SUM(B26:F34)-C34))*M25)+((SUM(B34:F34)-C34)*M25),(SUM(B34:F34)-C34)*M25),IF(SUM(B26:F34)&gt;(L42*9),L42*M25,SUM(B34:F34)*M25)),2)</f>
        <v>0</v>
      </c>
      <c r="N34" s="76">
        <f>ROUND(IF(SUM(B26:F33)&lt;(L42*8),IF((SUM(B26:F34))&gt;(L42*9),(((L42*9)-(SUM(B26:F34)-C33))*N25)+((SUM(B34:F34)-C33)*N25),SUM(B34:F34)*N25),IF(SUM(B26:F34)&gt;(L42*9),L42*N25,SUM(B34:F34)*N25)),2)</f>
        <v>0</v>
      </c>
      <c r="O34" s="23">
        <f>ROUND(SUM(B34+C34+F34)*O25,2)</f>
        <v>0</v>
      </c>
      <c r="P34" s="27">
        <f t="shared" si="3"/>
        <v>0</v>
      </c>
    </row>
    <row r="35" spans="1:16" x14ac:dyDescent="0.2">
      <c r="A35" s="100" t="str">
        <f>'päd.Personal - Leitung'!$A$35</f>
        <v>Okt 2022</v>
      </c>
      <c r="B35" s="24">
        <f>ROUND(IF(P9=0,0,IFERROR(((LOOKUP(2,1/(A14:A17=A35),G14:G17))*P9*4.348),B34/P9*P9)),2)</f>
        <v>0</v>
      </c>
      <c r="C35" s="23">
        <f>ROUND(IFERROR(((LOOKUP(2,1/(B19=A35),((SUM(B32:B34)+SUM(F32:F34))/3)*C19))),0)+IFERROR(((LOOKUP(2,1/(E19=A35),(B38+F38)*F19))),0),2)</f>
        <v>0</v>
      </c>
      <c r="D35" s="23">
        <f>ROUND(IF(B35=0,0,D25/L7*P9),2)</f>
        <v>0</v>
      </c>
      <c r="E35" s="23">
        <f>ROUND(IF(B35=0,0,E25/N3*P9),2)</f>
        <v>0</v>
      </c>
      <c r="F35" s="24">
        <f>ROUND(IF(P9=0,0,IFERROR(((LOOKUP(2,1/(A14:A17=A35),H14:H17))/N3*P9),F34/P9*P9)),2)</f>
        <v>0</v>
      </c>
      <c r="G35" s="27">
        <f t="shared" si="2"/>
        <v>0</v>
      </c>
      <c r="H35" s="76">
        <f>ROUND(IF(SUM(B26:F34)&lt;(L41*9),IF((SUM(B26:F35))&gt;(L41*10),(((L41*10)-(SUM(B26:F35)-C34))*H25)+((SUM(B35:F35)-C34)*H25),SUM(B35:F35)*H25),IF(SUM(B26:F35)&gt;(L41*10),L41*H25,SUM(B35:F35)*H25)),2)</f>
        <v>0</v>
      </c>
      <c r="I35" s="76">
        <f>ROUND(IF(SUM(B26:F34)&lt;(L42*9),IF((SUM(B26:F35))&gt;(L42*10),(((L42*10)-(SUM(B26:F35)-C34))*I25)+((SUM(B35:F35)-C34)*I25),SUM(B35:F35)*I25),IF(SUM(B26:F35)&gt;(L42*10),L42*I25,SUM(B35:F35)*I25)),2)</f>
        <v>0</v>
      </c>
      <c r="J35" s="76">
        <f>ROUND(IF(SUM(B26:F34)&lt;(L42*9),IF((SUM(B26:F35))&gt;(L42*10),(((L42*10)-(SUM(B26:F35)-C34))*J25)+((SUM(B35:F35)-C34)*J25),SUM(B35:F35)*J25),IF(SUM(B26:F35)&gt;(L42*10),L42*J25,SUM(B35:F35)*J25)),2)</f>
        <v>0</v>
      </c>
      <c r="K35" s="76">
        <f>ROUND(IF(SUM(B26:F34)&lt;(L41*9),IF((SUM(B26:F35))&gt;(L41*10),(((L41*10)-(SUM(B26:F35)-C34))*K25)+((SUM(B35:F35)-C34)*K25),SUM(B35:F35)*K25),IF(SUM(B26:F35)&gt;(L41*10),L41*K25,SUM(B35:F35)*K25)),2)</f>
        <v>0</v>
      </c>
      <c r="L35" s="76">
        <f>ROUND(IF(SUM(B26:F34)&lt;(L42*9),IF((SUM(B26:F35))&gt;(L42*10),(((L42*10)-(SUM(B26:F35)-C35))*L25)+((SUM(B35:F35)-C35)*L25),(SUM(B35:F35)-C35)*L25),IF(SUM(B26:F35)&gt;(L42*10),L42*L25,SUM(B35:F35)*L25)),2)</f>
        <v>0</v>
      </c>
      <c r="M35" s="76">
        <f>ROUND(IF(SUM(B26:F34)&lt;(L42*9),IF((SUM(B26:F35))&gt;(L42*10),(((L42*10)-(SUM(B26:F35)-C35))*M25)+((SUM(B35:F35)-C35)*M25),(SUM(B35:F35)-C35)*M25),IF(SUM(B26:F35)&gt;(L42*10),L42*M25,SUM(B35:F35)*M25)),2)</f>
        <v>0</v>
      </c>
      <c r="N35" s="76">
        <f>ROUND(IF(SUM(B26:F34)&lt;(L42*9),IF((SUM(B26:F35))&gt;(L42*10),(((L42*10)-(SUM(B26:F35)-C34))*N25)+((SUM(B35:F35)-C34)*N25),SUM(B35:F35)*N25),IF(SUM(B26:F35)&gt;(L42*10),L42*N25,SUM(B35:F35)*N25)),2)</f>
        <v>0</v>
      </c>
      <c r="O35" s="23">
        <f>ROUND(SUM(B35+C35+F35)*O25,2)</f>
        <v>0</v>
      </c>
      <c r="P35" s="27">
        <f t="shared" si="3"/>
        <v>0</v>
      </c>
    </row>
    <row r="36" spans="1:16" x14ac:dyDescent="0.2">
      <c r="A36" s="100" t="str">
        <f>'päd.Personal - Leitung'!$A$36</f>
        <v>Nov 2022</v>
      </c>
      <c r="B36" s="24">
        <f>ROUND(IF(P10=0,0,IFERROR(((LOOKUP(2,1/(A14:A17=A36),G14:G17))*P10*4.348),B35/P10*P10)),2)</f>
        <v>0</v>
      </c>
      <c r="C36" s="23">
        <f>ROUND(IFERROR(((LOOKUP(2,1/(B19=A36),((SUM(B32:B34)+SUM(F32:F34))/3)*C19))),0)+IFERROR(((LOOKUP(2,1/(E19=A36),(B38+F38)*F19))),0),2)</f>
        <v>0</v>
      </c>
      <c r="D36" s="23">
        <f>ROUND(IF(B36=0,0,D25/L7*P10),2)</f>
        <v>0</v>
      </c>
      <c r="E36" s="23">
        <f>ROUND(IF(B36=0,0,E25/N3*P10),2)</f>
        <v>0</v>
      </c>
      <c r="F36" s="24">
        <f>ROUND(IF(P10=0,0,IFERROR(((LOOKUP(2,1/(A14:A17=A36),H14:H17))/N3*P10),F35/P10*P10)),2)</f>
        <v>0</v>
      </c>
      <c r="G36" s="27">
        <f t="shared" si="2"/>
        <v>0</v>
      </c>
      <c r="H36" s="76">
        <f>ROUND(IF(SUM(B26:F35)&lt;(L41*10),IF((SUM(B26:F36))&gt;(L41*11),(((L41*11)-(SUM(B26:F36)-C35))*H25)+((SUM(B36:F36)-C35)*H25),SUM(B36:F36)*H25),IF(SUM(B26:F36)&gt;(L41*11),L41*H25,SUM(B36:F36)*H25)),2)</f>
        <v>0</v>
      </c>
      <c r="I36" s="76">
        <f>ROUND(IF(SUM(B26:F35)&lt;(L42*10),IF((SUM(B26:F36))&gt;(L42*11),(((L42*11)-(SUM(B26:F36)-C35))*I25)+((SUM(B36:F36)-C35)*I25),SUM(B36:F36)*I25),IF(SUM(B26:F36)&gt;(L42*11),L42*I25,SUM(B36:F36)*I25)),2)</f>
        <v>0</v>
      </c>
      <c r="J36" s="76">
        <f>ROUND(IF(SUM(B26:F35)&lt;(L42*10),IF((SUM(B26:F36))&gt;(L42*11),(((L42*11)-(SUM(B26:F36)-C35))*J25)+((SUM(B36:F36)-C35)*J25),SUM(B36:F36)*J25),IF(SUM(B26:F36)&gt;(L42*11),L42*J25,SUM(B36:F36)*J25)),2)</f>
        <v>0</v>
      </c>
      <c r="K36" s="76">
        <f>ROUND(IF(SUM(B26:F35)&lt;(L41*10),IF((SUM(B26:F36))&gt;(L41*11),(((L41*11)-(SUM(B26:F36)-C35))*K25)+((SUM(B36:F36)-C35)*K25),SUM(B36:F36)*K25),IF(SUM(B26:F36)&gt;(L41*11),L41*K25,SUM(B36:F36)*K25)),2)</f>
        <v>0</v>
      </c>
      <c r="L36" s="76">
        <f>ROUND(IF(SUM(B26:F35)&lt;(L42*10),IF((SUM(B26:F36))&gt;(L42*11),(((L42*11)-(SUM(B26:F36)-C36))*L25)+((SUM(B36:F36)-C36)*L25),(SUM(B36:F36)-C36)*L25),IF(SUM(B26:F36)&gt;(L42*11),L42*L25,SUM(B36:F36)*L25)),2)</f>
        <v>0</v>
      </c>
      <c r="M36" s="76">
        <f>ROUND(IF(SUM(B26:F35)&lt;(L42*10),IF((SUM(B26:F36))&gt;(L42*11),(((L42*11)-(SUM(B26:F36)-C36))*M25)+((SUM(B36:F36)-C36)*M25),(SUM(B36:F36)-C36)*M25),IF(SUM(B26:F36)&gt;(L42*11),L42*M25,SUM(B36:F36)*M25)),2)</f>
        <v>0</v>
      </c>
      <c r="N36" s="76">
        <f>ROUND(IF(SUM(B26:F35)&lt;(L42*10),IF((SUM(B26:F36))&gt;(L42*11),(((L42*11)-(SUM(B26:F36)-C35))*N25)+((SUM(B36:F36)-C35)*N25),SUM(B36:F36)*N25),IF(SUM(B26:F36)&gt;(L42*11),L42*N25,SUM(B36:F36)*N25)),2)</f>
        <v>0</v>
      </c>
      <c r="O36" s="23">
        <f>ROUND(SUM(B36+C36+F36)*O25,2)</f>
        <v>0</v>
      </c>
      <c r="P36" s="27">
        <f t="shared" si="3"/>
        <v>0</v>
      </c>
    </row>
    <row r="37" spans="1:16" x14ac:dyDescent="0.2">
      <c r="A37" s="100" t="str">
        <f>'päd.Personal - Leitung'!$A$37</f>
        <v>Dez 2022</v>
      </c>
      <c r="B37" s="24">
        <f>ROUND(IF(P11=0,0,IFERROR(((LOOKUP(2,1/(A14:A17=A37),G14:G17))*P11*4.348),B36/P11*P11)),2)</f>
        <v>0</v>
      </c>
      <c r="C37" s="23">
        <f>ROUND(IFERROR(((LOOKUP(2,1/(B19=A37),((SUM(B32:B34)+SUM(F32:F34))/3)*C19))),0)+IFERROR(((LOOKUP(2,1/(E19=A37),(B38+F38)*F19))),0),2)</f>
        <v>0</v>
      </c>
      <c r="D37" s="23">
        <f>ROUND(IF(B37=0,0,D25/L7*P11),2)</f>
        <v>0</v>
      </c>
      <c r="E37" s="23">
        <f>ROUND(IF(B37=0,0,E25/N3*P11),2)</f>
        <v>0</v>
      </c>
      <c r="F37" s="24">
        <f>ROUND(IF(P11=0,0,IFERROR(((LOOKUP(2,1/(A14:A17=A37),H14:H17))/N3*P11),F36/P11*P11)),2)</f>
        <v>0</v>
      </c>
      <c r="G37" s="27">
        <f t="shared" si="2"/>
        <v>0</v>
      </c>
      <c r="H37" s="76">
        <f>ROUND(IF(SUM(B26:F36)&lt;(L41*11),IF((SUM(B26:F37))&gt;(L41*12),(((L41*12)-(SUM(B26:F37)-C36))*H25)+((SUM(B37:F37)-C36)*H25),SUM(B37:F37)*H25),IF(SUM(B26:F37)&gt;(L41*12),L41*H25,SUM(B37:F37)*H25)),2)</f>
        <v>0</v>
      </c>
      <c r="I37" s="76">
        <f>ROUND(IF(SUM(B26:F36)&lt;(L42*11),IF((SUM(B26:F37))&gt;(L42*12),(((L42*12)-(SUM(B26:F37)-C36))*I25)+((SUM(B37:F37)-C36)*I25),SUM(B37:F37)*I25),IF(SUM(B26:F37)&gt;(L42*12),L42*I25,SUM(B37:F37)*I25)),2)</f>
        <v>0</v>
      </c>
      <c r="J37" s="76">
        <f>ROUND(IF(SUM(B26:F36)&lt;(L42*11),IF((SUM(B26:F37))&gt;(L42*12),(((L42*12)-(SUM(B26:F37)-C36))*J25)+((SUM(B37:F37)-C36)*J25),SUM(B37:F37)*J25),IF(SUM(B26:F37)&gt;(L42*12),L42*J25,SUM(B37:F37)*J25)),2)</f>
        <v>0</v>
      </c>
      <c r="K37" s="76">
        <f>ROUND(IF(SUM(B26:F36)&lt;(L41*11),IF((SUM(B26:F37))&gt;(L41*12),(((L41*12)-(SUM(B26:F37)-C36))*K25)+((SUM(B37:F37)-C36)*K25),SUM(B37:F37)*K25),IF(SUM(B26:F37)&gt;(L41*12),L41*K25,SUM(B37:F37)*K25)),2)</f>
        <v>0</v>
      </c>
      <c r="L37" s="76">
        <f>ROUND(IF(SUM(B26:F36)&lt;(L42*11),IF((SUM(B26:F37))&gt;(L42*12),(((L42*12)-(SUM(B26:F37)-C37))*L25)+((SUM(B37:F37)-C37)*L25),(SUM(B37:F37)-C37)*L25),IF(SUM(B26:F37)&gt;(L42*12),L42*L25,SUM(B37:F37)*L25)),2)</f>
        <v>0</v>
      </c>
      <c r="M37" s="76">
        <f>ROUND(IF(SUM(B26:F36)&lt;(L42*11),IF((SUM(B26:F37))&gt;(L42*12),(((L42*12)-(SUM(B26:F37)-C37))*M25)+((SUM(B37:F37)-C37)*M25),(SUM(B37:F37)-C37)*M25),IF(SUM(B26:F37)&gt;(L42*12),L42*M25,SUM(B37:F37)*M25)),2)</f>
        <v>0</v>
      </c>
      <c r="N37" s="76">
        <f>ROUND(IF(SUM(B26:F36)&lt;(L42*11),IF((SUM(B26:F37))&gt;(L42*12),(((L42*12)-(SUM(B26:F37)-C36))*N25)+((SUM(B37:F37)-C36)*N25),SUM(B37:F37)*N25),IF(SUM(B26:F37)&gt;(L42*12),L42*N25,SUM(B37:F37)*N25)),2)</f>
        <v>0</v>
      </c>
      <c r="O37" s="23">
        <f>ROUND(SUM(B37+C37+F37)*O25,2)</f>
        <v>0</v>
      </c>
      <c r="P37" s="27">
        <f t="shared" si="3"/>
        <v>0</v>
      </c>
    </row>
    <row r="38" spans="1:16" s="14" customFormat="1" ht="15" x14ac:dyDescent="0.25">
      <c r="A38" s="4" t="s">
        <v>2</v>
      </c>
      <c r="B38" s="27">
        <f>SUM(B26:B37)</f>
        <v>0</v>
      </c>
      <c r="C38" s="27">
        <f t="shared" ref="C38:D38" si="4">SUM(C26:C37)</f>
        <v>0</v>
      </c>
      <c r="D38" s="27">
        <f t="shared" si="4"/>
        <v>0</v>
      </c>
      <c r="E38" s="27">
        <f>SUM(E26:E37)</f>
        <v>0</v>
      </c>
      <c r="F38" s="27">
        <f>SUM(F26:F37)</f>
        <v>0</v>
      </c>
      <c r="G38" s="27">
        <f>SUM(G26:G37)</f>
        <v>0</v>
      </c>
      <c r="H38" s="1133">
        <f>SUM(H26:N37)</f>
        <v>0</v>
      </c>
      <c r="I38" s="1134"/>
      <c r="J38" s="1134"/>
      <c r="K38" s="1134"/>
      <c r="L38" s="1134"/>
      <c r="M38" s="1134"/>
      <c r="N38" s="1135"/>
      <c r="O38" s="27">
        <f>SUM(O26:O37)</f>
        <v>0</v>
      </c>
      <c r="P38" s="27">
        <f>SUM(P26:P37)</f>
        <v>0</v>
      </c>
    </row>
    <row r="39" spans="1:16" s="13" customFormat="1" ht="11.25" x14ac:dyDescent="0.2">
      <c r="A39" s="3" t="s">
        <v>1</v>
      </c>
      <c r="B39" s="2"/>
      <c r="C39" s="2"/>
      <c r="D39" s="2"/>
      <c r="E39" s="2"/>
      <c r="F39" s="2"/>
      <c r="G39" s="2"/>
      <c r="H39" s="2"/>
      <c r="I39" s="2"/>
      <c r="J39" s="2"/>
      <c r="K39" s="2"/>
      <c r="L39" s="2"/>
      <c r="M39" s="2"/>
      <c r="N39" s="2"/>
      <c r="O39" s="2"/>
      <c r="P39" s="2"/>
    </row>
    <row r="40" spans="1:16" ht="14.25" customHeight="1" x14ac:dyDescent="0.2">
      <c r="A40" s="1136" t="s">
        <v>133</v>
      </c>
      <c r="B40" s="1137"/>
      <c r="C40" s="1137"/>
      <c r="D40" s="1137" t="s">
        <v>134</v>
      </c>
      <c r="E40" s="1137"/>
      <c r="F40" s="94" t="str">
        <f>IF(IF(G38=0,"",'päd.Personal - Leitung'!$F$40)=0,"",IF(G38=0,"",'päd.Personal - Leitung'!$F$40))</f>
        <v/>
      </c>
      <c r="G40" s="77" t="s">
        <v>135</v>
      </c>
      <c r="H40" s="96" t="str">
        <f>IF(IF(G38=0,"",'päd.Personal - Leitung'!$H$40)=0,"",IF(G38=0,"",'päd.Personal - Leitung'!$H$40))</f>
        <v/>
      </c>
      <c r="I40" s="73"/>
      <c r="J40" s="194" t="s">
        <v>160</v>
      </c>
      <c r="K40" s="194" t="str">
        <f>'päd.Personal - Leitung'!$K$40</f>
        <v>2021</v>
      </c>
      <c r="L40" s="194" t="str">
        <f>'päd.Personal - Leitung'!$L$40</f>
        <v>anteilig 2021</v>
      </c>
      <c r="M40" s="1138" t="s">
        <v>140</v>
      </c>
      <c r="N40" s="1138"/>
      <c r="O40" s="1139"/>
      <c r="P40" s="27">
        <f>ROUND(IF(F40="",IF(E44="",0,(E44*H44/K44)/L7*L8),G38*F40*H40/1000),2)</f>
        <v>0</v>
      </c>
    </row>
    <row r="41" spans="1:16" ht="15" customHeight="1" x14ac:dyDescent="0.2">
      <c r="A41" s="1140" t="s">
        <v>145</v>
      </c>
      <c r="B41" s="1141"/>
      <c r="C41" s="1141"/>
      <c r="D41" s="18"/>
      <c r="E41" s="107" t="s">
        <v>135</v>
      </c>
      <c r="F41" s="95" t="str">
        <f>IF(IF(G38=0,"",'päd.Personal - Leitung'!$F$41)=0,"",IF(G38=0,"",'päd.Personal - Leitung'!$F$41))</f>
        <v/>
      </c>
      <c r="G41" s="48"/>
      <c r="H41" s="47"/>
      <c r="I41" s="48"/>
      <c r="J41" s="195" t="s">
        <v>158</v>
      </c>
      <c r="K41" s="198">
        <f>'päd.Personal - Leitung'!$K$41</f>
        <v>4837.5</v>
      </c>
      <c r="L41" s="197">
        <f>IF(L7="",K41,K41/L7*L8)</f>
        <v>4837.5</v>
      </c>
      <c r="M41" s="1138" t="s">
        <v>139</v>
      </c>
      <c r="N41" s="1138"/>
      <c r="O41" s="1139"/>
      <c r="P41" s="27">
        <f>ROUND(IF(F41="",0,G38*F41/1000),2)</f>
        <v>0</v>
      </c>
    </row>
    <row r="42" spans="1:16" ht="15.75" customHeight="1" x14ac:dyDescent="0.2">
      <c r="A42" s="1142" t="s">
        <v>141</v>
      </c>
      <c r="B42" s="1143"/>
      <c r="C42" s="1143"/>
      <c r="D42" s="1144" t="s">
        <v>143</v>
      </c>
      <c r="E42" s="1144"/>
      <c r="F42" s="1145" t="str">
        <f>IF(IF(G38=0,"",'päd.Personal - Leitung'!$F$42)=0,"",IF(G38=0,"",'päd.Personal - Leitung'!$F$42))</f>
        <v/>
      </c>
      <c r="G42" s="1145"/>
      <c r="H42" s="72"/>
      <c r="I42" s="18"/>
      <c r="J42" s="195" t="s">
        <v>159</v>
      </c>
      <c r="K42" s="198">
        <f>'päd.Personal - Leitung'!$K$42</f>
        <v>6700</v>
      </c>
      <c r="L42" s="197">
        <f>IF(L7="",K42,K42/L7*L8)</f>
        <v>6700</v>
      </c>
      <c r="M42" s="1138" t="s">
        <v>141</v>
      </c>
      <c r="N42" s="1138"/>
      <c r="O42" s="1139"/>
      <c r="P42" s="23">
        <f>ROUND(IF(F42="",0,IF(G38=0,0,F42/L7*L8)),2)</f>
        <v>0</v>
      </c>
    </row>
    <row r="43" spans="1:16" ht="14.25" customHeight="1" x14ac:dyDescent="0.2">
      <c r="A43" s="18"/>
      <c r="B43" s="18"/>
      <c r="C43" s="18"/>
      <c r="D43" s="18"/>
      <c r="E43" s="18"/>
      <c r="F43" s="18"/>
      <c r="G43" s="18"/>
      <c r="H43" s="18"/>
      <c r="I43" s="18"/>
      <c r="J43" s="18"/>
      <c r="K43" s="74"/>
      <c r="L43" s="82"/>
      <c r="M43" s="1127" t="s">
        <v>146</v>
      </c>
      <c r="N43" s="1127"/>
      <c r="O43" s="1128"/>
      <c r="P43" s="23">
        <f>ROUND(IF(G38=0,0,'päd.Personal - Leitung'!$P$43),2)</f>
        <v>0</v>
      </c>
    </row>
    <row r="44" spans="1:16" ht="14.25" customHeight="1" x14ac:dyDescent="0.2">
      <c r="A44" s="1129" t="s">
        <v>142</v>
      </c>
      <c r="B44" s="1130"/>
      <c r="C44" s="133" t="s">
        <v>136</v>
      </c>
      <c r="D44" s="133" t="s">
        <v>137</v>
      </c>
      <c r="E44" s="1131" t="str">
        <f>IF(IF(G38=0,"",'päd.Personal - Leitung'!$E$44)=0,"",IF(G38=0,"",'päd.Personal - Leitung'!$E$44))</f>
        <v/>
      </c>
      <c r="F44" s="1131"/>
      <c r="G44" s="83" t="s">
        <v>138</v>
      </c>
      <c r="H44" s="97" t="str">
        <f>IF(IF(G38=0,"",'päd.Personal - Leitung'!$H$44)=0,"",IF(G38=0,"",'päd.Personal - Leitung'!$H$44))</f>
        <v/>
      </c>
      <c r="I44" s="1132" t="s">
        <v>144</v>
      </c>
      <c r="J44" s="1132"/>
      <c r="K44" s="98" t="str">
        <f>IF(IF(G38=0,"",'päd.Personal - Leitung'!$K$44)=0,"",IF(G38=0,"",'päd.Personal - Leitung'!$K$44))</f>
        <v/>
      </c>
      <c r="L44" s="29"/>
      <c r="M44" s="29"/>
      <c r="N44" s="29"/>
      <c r="O44" s="28" t="s">
        <v>0</v>
      </c>
      <c r="P44" s="27">
        <f>P38+SUM(P40:P43)</f>
        <v>0</v>
      </c>
    </row>
    <row r="45" spans="1:16" s="12" customFormat="1" ht="13.5" customHeight="1" x14ac:dyDescent="0.2">
      <c r="A45" s="1178" t="s">
        <v>18</v>
      </c>
      <c r="B45" s="1178"/>
      <c r="C45" s="1178"/>
      <c r="D45" s="1179" t="str">
        <f>IF($D$1="","",$D$1)</f>
        <v/>
      </c>
      <c r="E45" s="1179"/>
      <c r="F45" s="1179"/>
      <c r="G45" s="1179"/>
      <c r="H45" s="1179"/>
      <c r="I45" s="1179"/>
      <c r="J45" s="1179"/>
      <c r="K45" s="1179"/>
      <c r="L45" s="1179"/>
      <c r="M45" s="1179"/>
      <c r="N45" s="1179"/>
    </row>
    <row r="46" spans="1:16" s="12" customFormat="1" ht="15" customHeight="1" x14ac:dyDescent="0.2">
      <c r="A46" s="1178" t="s">
        <v>17</v>
      </c>
      <c r="B46" s="1178"/>
      <c r="C46" s="1178" t="s">
        <v>15</v>
      </c>
      <c r="D46" s="1179" t="str">
        <f>IF($D$2="","",$D$2)</f>
        <v/>
      </c>
      <c r="E46" s="1179"/>
      <c r="F46" s="1179"/>
      <c r="G46" s="1179"/>
      <c r="H46" s="1179"/>
      <c r="I46" s="1179"/>
      <c r="J46" s="1179"/>
      <c r="K46" s="1179"/>
      <c r="L46" s="1179"/>
      <c r="M46" s="1179"/>
      <c r="N46" s="1179"/>
    </row>
    <row r="47" spans="1:16" s="12" customFormat="1" ht="15" customHeight="1" x14ac:dyDescent="0.2">
      <c r="A47" s="1178" t="s">
        <v>16</v>
      </c>
      <c r="B47" s="1178"/>
      <c r="C47" s="1178" t="s">
        <v>15</v>
      </c>
      <c r="D47" s="1179" t="str">
        <f>IF($D$3="","",$D$3)</f>
        <v/>
      </c>
      <c r="E47" s="1179"/>
      <c r="F47" s="1179"/>
      <c r="G47" s="1179"/>
      <c r="H47" s="1179"/>
      <c r="I47" s="1179"/>
      <c r="J47" s="1179"/>
      <c r="K47" s="1178" t="s">
        <v>103</v>
      </c>
      <c r="L47" s="1178"/>
      <c r="M47" s="1178"/>
      <c r="N47" s="41" t="str">
        <f>IF($N$3="","",$N$3)</f>
        <v/>
      </c>
    </row>
    <row r="48" spans="1:16" s="13" customFormat="1" ht="11.25" x14ac:dyDescent="0.2">
      <c r="A48" s="1182"/>
      <c r="B48" s="1182"/>
      <c r="C48" s="1182"/>
      <c r="D48" s="1183"/>
      <c r="E48" s="1183"/>
      <c r="F48" s="1183"/>
      <c r="G48" s="1183"/>
      <c r="H48" s="1183"/>
      <c r="I48" s="1183"/>
      <c r="J48" s="1183"/>
      <c r="K48" s="11"/>
      <c r="L48" s="11"/>
      <c r="M48" s="11"/>
      <c r="N48" s="11"/>
      <c r="O48" s="11"/>
      <c r="P48" s="11"/>
    </row>
    <row r="49" spans="1:16" s="15" customFormat="1" ht="13.5" customHeight="1" x14ac:dyDescent="0.2">
      <c r="A49" s="1177" t="s">
        <v>118</v>
      </c>
      <c r="B49" s="1177"/>
      <c r="C49" s="1177"/>
      <c r="D49" s="1177"/>
      <c r="E49" s="1177"/>
      <c r="F49" s="1177"/>
      <c r="G49" s="1177"/>
      <c r="H49" s="1177"/>
      <c r="I49" s="1177"/>
      <c r="J49" s="1177"/>
      <c r="K49" s="9"/>
      <c r="L49" s="9"/>
      <c r="M49" s="9"/>
      <c r="N49" s="59" t="s">
        <v>154</v>
      </c>
      <c r="O49" s="191">
        <f>$O$5</f>
        <v>2022</v>
      </c>
      <c r="P49" s="59" t="s">
        <v>154</v>
      </c>
    </row>
    <row r="50" spans="1:16" s="10" customFormat="1" ht="13.5" customHeight="1" x14ac:dyDescent="0.25">
      <c r="B50" s="32"/>
      <c r="C50" s="32"/>
      <c r="D50" s="5" t="s">
        <v>212</v>
      </c>
      <c r="E50" s="31"/>
      <c r="F50" s="31"/>
      <c r="G50" s="31"/>
      <c r="H50" s="31"/>
      <c r="I50" s="26"/>
      <c r="J50" s="1174" t="s">
        <v>14</v>
      </c>
      <c r="K50" s="1174"/>
      <c r="L50" s="180"/>
      <c r="N50" s="84">
        <f>IF(L52="","",L52)</f>
        <v>0</v>
      </c>
      <c r="O50" s="58" t="str">
        <f>$O$6</f>
        <v>Jan                Jul</v>
      </c>
      <c r="P50" s="85">
        <f>IF(N55="","",N55)</f>
        <v>0</v>
      </c>
    </row>
    <row r="51" spans="1:16" s="7" customFormat="1" ht="13.5" customHeight="1" x14ac:dyDescent="0.25">
      <c r="A51" s="1180" t="s">
        <v>71</v>
      </c>
      <c r="B51" s="1180"/>
      <c r="C51" s="1180"/>
      <c r="D51" s="1184"/>
      <c r="E51" s="1184"/>
      <c r="F51" s="1184"/>
      <c r="G51" s="1184"/>
      <c r="H51" s="1184"/>
      <c r="I51" s="1184"/>
      <c r="J51" s="1174" t="s">
        <v>104</v>
      </c>
      <c r="K51" s="1174"/>
      <c r="L51" s="145"/>
      <c r="N51" s="85">
        <f>IF(N50="","",N50)</f>
        <v>0</v>
      </c>
      <c r="O51" s="58" t="str">
        <f>$O$7</f>
        <v>Feb              Aug</v>
      </c>
      <c r="P51" s="85">
        <f>IF(P50="","",P50)</f>
        <v>0</v>
      </c>
    </row>
    <row r="52" spans="1:16" ht="13.5" customHeight="1" x14ac:dyDescent="0.2">
      <c r="A52" s="1180" t="s">
        <v>13</v>
      </c>
      <c r="B52" s="1180"/>
      <c r="C52" s="1180"/>
      <c r="D52" s="1181"/>
      <c r="E52" s="1181"/>
      <c r="F52" s="1181"/>
      <c r="G52" s="1181"/>
      <c r="H52" s="1181"/>
      <c r="I52" s="1181"/>
      <c r="J52" s="1174" t="s">
        <v>164</v>
      </c>
      <c r="K52" s="1174"/>
      <c r="L52" s="145">
        <f>IF((L53+L54)&gt;L51,0,L51-L53-L54)</f>
        <v>0</v>
      </c>
      <c r="N52" s="85">
        <f>IF(N51="","",N51)</f>
        <v>0</v>
      </c>
      <c r="O52" s="58" t="str">
        <f>$O$8</f>
        <v>Mrz              Sep</v>
      </c>
      <c r="P52" s="85">
        <f>IF(P51="","",P51)</f>
        <v>0</v>
      </c>
    </row>
    <row r="53" spans="1:16" ht="13.5" customHeight="1" x14ac:dyDescent="0.2">
      <c r="A53" s="1180" t="s">
        <v>12</v>
      </c>
      <c r="B53" s="1180"/>
      <c r="C53" s="1180"/>
      <c r="D53" s="1181"/>
      <c r="E53" s="1181"/>
      <c r="F53" s="1181"/>
      <c r="G53" s="1181"/>
      <c r="H53" s="1181"/>
      <c r="I53" s="1181"/>
      <c r="J53" s="1174" t="s">
        <v>165</v>
      </c>
      <c r="K53" s="1174"/>
      <c r="L53" s="145"/>
      <c r="N53" s="85">
        <f>IF(N52="","",N52)</f>
        <v>0</v>
      </c>
      <c r="O53" s="58" t="str">
        <f>$O$9</f>
        <v>Apr               Okt</v>
      </c>
      <c r="P53" s="85">
        <f t="shared" ref="P53:P55" si="5">IF(P52="","",P52)</f>
        <v>0</v>
      </c>
    </row>
    <row r="54" spans="1:16" ht="13.5" customHeight="1" x14ac:dyDescent="0.2">
      <c r="A54" s="1180" t="s">
        <v>19</v>
      </c>
      <c r="B54" s="1180"/>
      <c r="C54" s="1180"/>
      <c r="D54" s="1181"/>
      <c r="E54" s="1181"/>
      <c r="F54" s="1181"/>
      <c r="G54" s="1181"/>
      <c r="H54" s="1181"/>
      <c r="I54" s="1181"/>
      <c r="J54" s="1174" t="s">
        <v>252</v>
      </c>
      <c r="K54" s="1174"/>
      <c r="L54" s="145"/>
      <c r="M54" s="92"/>
      <c r="N54" s="85">
        <f>IF(N53="","",N53)</f>
        <v>0</v>
      </c>
      <c r="O54" s="58" t="str">
        <f>$O$10</f>
        <v>Mai               Nov</v>
      </c>
      <c r="P54" s="85">
        <f t="shared" si="5"/>
        <v>0</v>
      </c>
    </row>
    <row r="55" spans="1:16" ht="13.5" customHeight="1" x14ac:dyDescent="0.2">
      <c r="B55" s="8"/>
      <c r="C55" s="132" t="s">
        <v>162</v>
      </c>
      <c r="D55" s="1175"/>
      <c r="E55" s="1175"/>
      <c r="F55" s="1176" t="s">
        <v>106</v>
      </c>
      <c r="G55" s="1176"/>
      <c r="H55" s="1186"/>
      <c r="I55" s="1186"/>
      <c r="J55" s="1174" t="s">
        <v>97</v>
      </c>
      <c r="K55" s="1174"/>
      <c r="L55" s="17" t="str">
        <f>IF(IF((COUNTIF(B70:B81,"&gt;0"))=0,0,(COUNTIF(B70:B81,"&gt;0")))&gt;Grundlagen!$C$24,Grundlagen!$C$24,IF((COUNTIF(B70:B81,"&gt;0"))=0,"",(COUNTIF(B70:B81,"&gt;0"))))</f>
        <v/>
      </c>
      <c r="N55" s="85">
        <f>IF(N54="","",N54)</f>
        <v>0</v>
      </c>
      <c r="O55" s="58" t="str">
        <f>'päd.Personal - Leitung'!$O$11</f>
        <v>Jun               Dez</v>
      </c>
      <c r="P55" s="85">
        <f t="shared" si="5"/>
        <v>0</v>
      </c>
    </row>
    <row r="56" spans="1:16" ht="13.5" customHeight="1" x14ac:dyDescent="0.2">
      <c r="F56" s="1176"/>
      <c r="G56" s="1176"/>
      <c r="H56" s="1237"/>
      <c r="I56" s="1237"/>
      <c r="L56" s="147" t="str">
        <f>IF((SUM(F58:F61))=0,"",IF(P56&gt;L52,L52,IF(L52="","",IF(L55="","",P56))))</f>
        <v/>
      </c>
      <c r="O56" s="174" t="s">
        <v>251</v>
      </c>
      <c r="P56" s="175">
        <f>IF(L55="",0,((IF(SUMIF(B70,"&gt;0"),N50,0))+(IF(SUMIF(B71,"&gt;0"),N51,0))+(IF(SUMIF(B72,"&gt;0"),N52,0))+(IF(SUMIF(B73,"&gt;0"),N53,0))+(IF(SUMIF(B74,"&gt;0"),N54,0))+(IF(SUMIF(B75,"&gt;0"),N55,0))+(IF(SUMIF(B76,"&gt;0"),P50,0))+(IF(SUMIF(B77,"&gt;0"),P51,0))+(IF(SUMIF(B78,"&gt;0"),P52,0))+(IF(SUMIF(B79,"&gt;0"),P53,0))+(IF(SUMIF(B80,"&gt;0"),P54,0))+(IF(SUMIF(B81,"&gt;0"),P55,0)))/Grundlagen!$C$24)</f>
        <v>0</v>
      </c>
    </row>
    <row r="57" spans="1:16" s="52" customFormat="1" ht="13.5" customHeight="1" x14ac:dyDescent="0.2">
      <c r="A57" s="61" t="s">
        <v>148</v>
      </c>
      <c r="B57" s="1168" t="s">
        <v>149</v>
      </c>
      <c r="C57" s="1168"/>
      <c r="D57" s="62" t="s">
        <v>150</v>
      </c>
      <c r="E57" s="63" t="s">
        <v>151</v>
      </c>
      <c r="F57" s="64" t="str">
        <f>CONCATENATE("Entg. ",N47," h/Wo")</f>
        <v>Entg.  h/Wo</v>
      </c>
      <c r="G57" s="65" t="s">
        <v>152</v>
      </c>
      <c r="H57" s="65" t="s">
        <v>153</v>
      </c>
      <c r="K57" s="1169" t="str">
        <f>CONCATENATE("Zuschläge / Zulagen für ",N47,"h/Wo")</f>
        <v>Zuschläge / Zulagen für h/Wo</v>
      </c>
      <c r="L57" s="1169"/>
      <c r="M57" s="66" t="str">
        <f>IF(A58="","",A58)</f>
        <v>Jan 2022</v>
      </c>
      <c r="N57" s="66" t="str">
        <f>IF(A59="","",A59)</f>
        <v/>
      </c>
      <c r="O57" s="66" t="str">
        <f>IF(A60="","",A60)</f>
        <v/>
      </c>
      <c r="P57" s="66" t="str">
        <f>IF(A61="","",A61)</f>
        <v/>
      </c>
    </row>
    <row r="58" spans="1:16" s="52" customFormat="1" ht="13.5" customHeight="1" x14ac:dyDescent="0.25">
      <c r="A58" s="54" t="str">
        <f>A70</f>
        <v>Jan 2022</v>
      </c>
      <c r="B58" s="1198"/>
      <c r="C58" s="1199"/>
      <c r="D58" s="181"/>
      <c r="E58" s="181"/>
      <c r="F58" s="87"/>
      <c r="G58" s="56">
        <f>IF(N47="",0,F58/N47/4.348)</f>
        <v>0</v>
      </c>
      <c r="H58" s="53">
        <f>IF(G58=0,0,M63)</f>
        <v>0</v>
      </c>
      <c r="K58" s="1146"/>
      <c r="L58" s="1146"/>
      <c r="M58" s="86"/>
      <c r="N58" s="86"/>
      <c r="O58" s="86"/>
      <c r="P58" s="86"/>
    </row>
    <row r="59" spans="1:16" s="52" customFormat="1" ht="13.5" customHeight="1" x14ac:dyDescent="0.25">
      <c r="A59" s="55"/>
      <c r="B59" s="1172" t="str">
        <f>IF(A59="","",B58)</f>
        <v/>
      </c>
      <c r="C59" s="1173"/>
      <c r="D59" s="181"/>
      <c r="E59" s="181"/>
      <c r="F59" s="87"/>
      <c r="G59" s="56">
        <f>IF(N47="",0,F59/N47/4.348)</f>
        <v>0</v>
      </c>
      <c r="H59" s="53">
        <f>IF(G59=0,0,N63)</f>
        <v>0</v>
      </c>
      <c r="K59" s="1146"/>
      <c r="L59" s="1146"/>
      <c r="M59" s="86"/>
      <c r="N59" s="86"/>
      <c r="O59" s="86"/>
      <c r="P59" s="86"/>
    </row>
    <row r="60" spans="1:16" s="52" customFormat="1" ht="13.5" customHeight="1" x14ac:dyDescent="0.25">
      <c r="A60" s="55"/>
      <c r="B60" s="1172" t="str">
        <f>IF(A60="","",B59)</f>
        <v/>
      </c>
      <c r="C60" s="1173"/>
      <c r="D60" s="181"/>
      <c r="E60" s="181"/>
      <c r="F60" s="87"/>
      <c r="G60" s="56">
        <f>IF(N47="",0,F60/N47/4.348)</f>
        <v>0</v>
      </c>
      <c r="H60" s="53">
        <f>IF(G60=0,0,O63)</f>
        <v>0</v>
      </c>
      <c r="K60" s="1146"/>
      <c r="L60" s="1146"/>
      <c r="M60" s="86"/>
      <c r="N60" s="86"/>
      <c r="O60" s="86"/>
      <c r="P60" s="86"/>
    </row>
    <row r="61" spans="1:16" s="52" customFormat="1" ht="13.5" customHeight="1" x14ac:dyDescent="0.25">
      <c r="A61" s="55"/>
      <c r="B61" s="1172" t="str">
        <f>IF(A61="","",B60)</f>
        <v/>
      </c>
      <c r="C61" s="1173"/>
      <c r="D61" s="181"/>
      <c r="E61" s="181"/>
      <c r="F61" s="87"/>
      <c r="G61" s="56">
        <f>IF(N47="",0,F61/N47/4.348)</f>
        <v>0</v>
      </c>
      <c r="H61" s="53">
        <f>IF(G61=0,0,P63)</f>
        <v>0</v>
      </c>
      <c r="K61" s="1146"/>
      <c r="L61" s="1146"/>
      <c r="M61" s="86"/>
      <c r="N61" s="86"/>
      <c r="O61" s="86"/>
      <c r="P61" s="86"/>
    </row>
    <row r="62" spans="1:16" s="52" customFormat="1" ht="13.5" customHeight="1" x14ac:dyDescent="0.25">
      <c r="B62" s="1167" t="s">
        <v>157</v>
      </c>
      <c r="C62" s="1167"/>
      <c r="E62" s="1167" t="s">
        <v>156</v>
      </c>
      <c r="F62" s="1167"/>
      <c r="J62" s="69"/>
      <c r="K62" s="1146"/>
      <c r="L62" s="1146"/>
      <c r="M62" s="86"/>
      <c r="N62" s="86"/>
      <c r="O62" s="86"/>
      <c r="P62" s="86"/>
    </row>
    <row r="63" spans="1:16" s="52" customFormat="1" ht="13.5" customHeight="1" x14ac:dyDescent="0.25">
      <c r="A63" s="70" t="s">
        <v>167</v>
      </c>
      <c r="B63" s="67"/>
      <c r="C63" s="99" t="str">
        <f>IF(C19="","",C19)</f>
        <v/>
      </c>
      <c r="D63" s="70" t="s">
        <v>167</v>
      </c>
      <c r="E63" s="67"/>
      <c r="F63" s="99" t="str">
        <f>IF(F19="","",F19)</f>
        <v/>
      </c>
      <c r="J63" s="68"/>
      <c r="M63" s="57">
        <f>SUM(M58:M62)</f>
        <v>0</v>
      </c>
      <c r="N63" s="57">
        <f t="shared" ref="N63:P63" si="6">SUM(N58:N62)</f>
        <v>0</v>
      </c>
      <c r="O63" s="57">
        <f t="shared" si="6"/>
        <v>0</v>
      </c>
      <c r="P63" s="57">
        <f t="shared" si="6"/>
        <v>0</v>
      </c>
    </row>
    <row r="64" spans="1:16" s="52" customFormat="1" ht="13.5" customHeight="1" x14ac:dyDescent="0.2">
      <c r="A64" s="60" t="s">
        <v>155</v>
      </c>
    </row>
    <row r="65" spans="1:16" ht="14.25" customHeight="1" x14ac:dyDescent="0.2">
      <c r="A65" s="1147"/>
      <c r="B65" s="1149" t="s">
        <v>9</v>
      </c>
      <c r="C65" s="1150"/>
      <c r="D65" s="1150"/>
      <c r="E65" s="1150"/>
      <c r="F65" s="1150"/>
      <c r="G65" s="1151"/>
      <c r="H65" s="1152" t="s">
        <v>119</v>
      </c>
      <c r="I65" s="1153"/>
      <c r="J65" s="1153"/>
      <c r="K65" s="1153"/>
      <c r="L65" s="1153"/>
      <c r="M65" s="1153"/>
      <c r="N65" s="1153"/>
      <c r="O65" s="33"/>
      <c r="P65" s="1154" t="s">
        <v>0</v>
      </c>
    </row>
    <row r="66" spans="1:16" ht="14.25" customHeight="1" x14ac:dyDescent="0.2">
      <c r="A66" s="1148"/>
      <c r="B66" s="1157" t="s">
        <v>117</v>
      </c>
      <c r="C66" s="130" t="s">
        <v>115</v>
      </c>
      <c r="D66" s="1159" t="s">
        <v>277</v>
      </c>
      <c r="E66" s="1161" t="s">
        <v>147</v>
      </c>
      <c r="F66" s="134" t="s">
        <v>7</v>
      </c>
      <c r="G66" s="1162" t="s">
        <v>6</v>
      </c>
      <c r="H66" s="1161" t="s">
        <v>129</v>
      </c>
      <c r="I66" s="1161" t="s">
        <v>5</v>
      </c>
      <c r="J66" s="1161" t="s">
        <v>4</v>
      </c>
      <c r="K66" s="1161" t="s">
        <v>3</v>
      </c>
      <c r="L66" s="1161" t="s">
        <v>121</v>
      </c>
      <c r="M66" s="1161" t="s">
        <v>122</v>
      </c>
      <c r="N66" s="1161" t="s">
        <v>123</v>
      </c>
      <c r="O66" s="1160" t="s">
        <v>114</v>
      </c>
      <c r="P66" s="1155"/>
    </row>
    <row r="67" spans="1:16" ht="14.25" customHeight="1" x14ac:dyDescent="0.2">
      <c r="A67" s="1148"/>
      <c r="B67" s="1157"/>
      <c r="C67" s="21" t="str">
        <f>IF(C63="","",C63)</f>
        <v/>
      </c>
      <c r="D67" s="1160"/>
      <c r="E67" s="1161"/>
      <c r="F67" s="1165" t="str">
        <f>IF(H58=0,"","siehe Zuschläge / Zulagen")</f>
        <v/>
      </c>
      <c r="G67" s="1162"/>
      <c r="H67" s="1164" t="s">
        <v>127</v>
      </c>
      <c r="I67" s="1164"/>
      <c r="J67" s="1164"/>
      <c r="K67" s="1164"/>
      <c r="L67" s="1164"/>
      <c r="M67" s="1164"/>
      <c r="N67" s="1164"/>
      <c r="O67" s="1160"/>
      <c r="P67" s="1155"/>
    </row>
    <row r="68" spans="1:16" x14ac:dyDescent="0.2">
      <c r="A68" s="1148"/>
      <c r="B68" s="1157"/>
      <c r="C68" s="128" t="s">
        <v>70</v>
      </c>
      <c r="D68" s="1160"/>
      <c r="E68" s="1161"/>
      <c r="F68" s="1165"/>
      <c r="G68" s="1162"/>
      <c r="H68" s="43" t="s">
        <v>128</v>
      </c>
      <c r="I68" s="43" t="s">
        <v>255</v>
      </c>
      <c r="J68" s="43" t="s">
        <v>256</v>
      </c>
      <c r="K68" s="43" t="s">
        <v>257</v>
      </c>
      <c r="L68" s="43"/>
      <c r="M68" s="43"/>
      <c r="N68" s="43" t="s">
        <v>254</v>
      </c>
      <c r="O68" s="1160"/>
      <c r="P68" s="1155"/>
    </row>
    <row r="69" spans="1:16" x14ac:dyDescent="0.2">
      <c r="A69" s="1148"/>
      <c r="B69" s="1158"/>
      <c r="C69" s="21" t="str">
        <f>IF(F63="","",F63)</f>
        <v/>
      </c>
      <c r="D69" s="51"/>
      <c r="E69" s="51"/>
      <c r="F69" s="1166"/>
      <c r="G69" s="1163"/>
      <c r="H69" s="93"/>
      <c r="I69" s="139">
        <f>$I$25</f>
        <v>0</v>
      </c>
      <c r="J69" s="139">
        <f>$J$25</f>
        <v>0</v>
      </c>
      <c r="K69" s="44">
        <f>$K$25</f>
        <v>0</v>
      </c>
      <c r="L69" s="21"/>
      <c r="M69" s="21"/>
      <c r="N69" s="139">
        <f>$N$25</f>
        <v>0</v>
      </c>
      <c r="O69" s="21">
        <f>O25</f>
        <v>0</v>
      </c>
      <c r="P69" s="1156"/>
    </row>
    <row r="70" spans="1:16" x14ac:dyDescent="0.2">
      <c r="A70" s="100" t="str">
        <f>$A$26</f>
        <v>Jan 2022</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76">
        <f>ROUND(IF((SUM(B70:F70))&gt;L85,L85*H69,SUM(B70:F70)*H69),2)</f>
        <v>0</v>
      </c>
      <c r="I70" s="76">
        <f>ROUND(IF((SUM(B70:F70))&gt;L86,L86*I69,SUM(B70:F70)*I69),2)</f>
        <v>0</v>
      </c>
      <c r="J70" s="76">
        <f>ROUND(IF((SUM(B70:F70))&gt;L86,L86*J69,SUM(B70:F70)*J69),2)</f>
        <v>0</v>
      </c>
      <c r="K70" s="76">
        <f>ROUND(IF((SUM(B70:F70))&gt;L85,L85*K69,SUM(B70:F70)*K69),2)</f>
        <v>0</v>
      </c>
      <c r="L70" s="76">
        <f>ROUND(IF((SUM(B70:F70))&gt;L86,L86*L69,(SUM(B70:F70)-C70)*L69),2)</f>
        <v>0</v>
      </c>
      <c r="M70" s="76">
        <f>ROUND(IF((SUM(B70:F70))&gt;L86,L86*M69,(SUM(B70:F70)-C70)*M69),2)</f>
        <v>0</v>
      </c>
      <c r="N70" s="76">
        <f>ROUND(IF((SUM(B70:F70))&gt;L86,L86*N69,SUM(B70:F70)*N69),2)</f>
        <v>0</v>
      </c>
      <c r="O70" s="23">
        <f>ROUND(SUM(B70+C70+F70)*O69,2)</f>
        <v>0</v>
      </c>
      <c r="P70" s="27">
        <f>SUM(G70:O70)</f>
        <v>0</v>
      </c>
    </row>
    <row r="71" spans="1:16" x14ac:dyDescent="0.2">
      <c r="A71" s="100" t="str">
        <f>$A$27</f>
        <v>Feb 2022</v>
      </c>
      <c r="B71" s="24">
        <f>ROUND(IF(N51=0,0,IFERROR(((LOOKUP(2,1/(A58:A61=A71),G58:G61))*N51*4.348),B70/N51*N51)),2)</f>
        <v>0</v>
      </c>
      <c r="C71" s="23">
        <f>ROUND(IFERROR(((LOOKUP(2,1/(B63=A71),((SUM(B76:B78)+SUM(F76:F78))/3)*C63))),0)+IFERROR(((LOOKUP(2,1/(E63=A71),(B82+F82)*F63))),0),2)</f>
        <v>0</v>
      </c>
      <c r="D71" s="23">
        <f>ROUND(IF(B71=0,0,D69/L51*N51),2)</f>
        <v>0</v>
      </c>
      <c r="E71" s="23">
        <f>ROUND(IF(B71=0,0,E69/N47*N51),2)</f>
        <v>0</v>
      </c>
      <c r="F71" s="24">
        <f>ROUND(IF(N51=0,0,IFERROR(((LOOKUP(2,1/(A58:A61=A71),H58:H61))/N47*N51),F70/N51*N51)),2)</f>
        <v>0</v>
      </c>
      <c r="G71" s="27">
        <f t="shared" ref="G71:G81" si="7">SUM(B71+C71+E71+F71)</f>
        <v>0</v>
      </c>
      <c r="H71" s="76">
        <f>ROUND(IF(SUM(B70:F70)&lt;(L85*1),IF((SUM(B70:F71))&gt;(L85*2),(((L85*2)-(SUM(B70:F71)-C70))*H69)+((SUM(B71:F71)-C70)*H69),SUM(B71:F71)*H69),IF(SUM(B70:F71)&gt;(L85*2),L85*H69,SUM(B71:F71)*H69)),2)</f>
        <v>0</v>
      </c>
      <c r="I71" s="76">
        <f>ROUND(IF(SUM(B70:F70)&lt;(L86*1),IF((SUM(B70:F71))&gt;(L86*2),(((L86*2)-(SUM(B70:F71)-C70))*I69)+((SUM(B71:F71)-C70)*I69),SUM(B71:F71)*I69),IF(SUM(B70:F71)&gt;(L86*2),L86*I69,SUM(B71:F71)*I69)),2)</f>
        <v>0</v>
      </c>
      <c r="J71" s="76">
        <f>ROUND(IF(SUM(B70:F70)&lt;(L86*1),IF((SUM(B70:F71))&gt;(L86*2),(((L86*2)-(SUM(B70:F71)-C70))*J69)+((SUM(B71:F71)-C70)*J69),SUM(B71:F71)*J69),IF(SUM(B70:F71)&gt;(L86*2),L86*J69,SUM(B71:F71)*J69)),2)</f>
        <v>0</v>
      </c>
      <c r="K71" s="76">
        <f>ROUND(IF(SUM(B70:F70)&lt;(L85*1),IF((SUM(B70:F71))&gt;(L85*2),(((L85*2)-(SUM(B70:F71)-C70))*K69)+((SUM(B71:F71)-C70)*K69),SUM(B71:F71)*K69),IF(SUM(B70:F71)&gt;(L85*2),L85*K69,SUM(B71:F71)*K69)),2)</f>
        <v>0</v>
      </c>
      <c r="L71" s="76">
        <f>ROUND(IF(SUM(B70:F70)&lt;(L86*1),IF((SUM(B70:F71))&gt;(L86*2),(((L86*2)-(SUM(B70:F71)-C71))*L69)+((SUM(B71:F71)-C71)*L69),(SUM(B71:F71)-C71)*L69),IF(SUM(B70:F71)&gt;(L86*2),L86*L69,SUM(B71:F71)*L69)),2)</f>
        <v>0</v>
      </c>
      <c r="M71" s="76">
        <f>ROUND(IF(SUM(B70:F70)&lt;(L86*1),IF((SUM(B70:F71))&gt;(L86*2),(((L86*2)-(SUM(B70:F71)-C71))*M69)+((SUM(B71:F71)-C71)*M69),(SUM(B71:F71)-C71)*M69),IF(SUM(B70:F71)&gt;(L86*2),L86*M69,SUM(B71:F71)*M69)),2)</f>
        <v>0</v>
      </c>
      <c r="N71" s="76">
        <f>ROUND(IF(SUM(B70:F70)&lt;(L86*1),IF((SUM(B70:F71))&gt;(L86*2),(((L86*2)-(SUM(B70:F71)-C70))*N69)+((SUM(B71:F71)-C70)*N69),SUM(B71:F71)*N69),IF(SUM(B70:F71)&gt;(L86*2),L86*N69,SUM(B71:F71)*N69)),2)</f>
        <v>0</v>
      </c>
      <c r="O71" s="23">
        <f>ROUND(SUM(B71+C71+F71)*O69,2)</f>
        <v>0</v>
      </c>
      <c r="P71" s="27">
        <f>SUM(G71:O71)</f>
        <v>0</v>
      </c>
    </row>
    <row r="72" spans="1:16" x14ac:dyDescent="0.2">
      <c r="A72" s="100" t="str">
        <f>$A$28</f>
        <v>Mrz 2022</v>
      </c>
      <c r="B72" s="24">
        <f>ROUND(IF(N52=0,0,IFERROR(((LOOKUP(2,1/(A58:A61=A72),G58:G61))*N52*4.348),B71/N52*N52)),2)</f>
        <v>0</v>
      </c>
      <c r="C72" s="23">
        <f>ROUND(IFERROR(((LOOKUP(2,1/(B63=A72),((SUM(B76:B78)+SUM(F76:F78))/3)*C63))),0)+IFERROR(((LOOKUP(2,1/(E63=A72),(B82+F82)*F63))),0),2)</f>
        <v>0</v>
      </c>
      <c r="D72" s="23">
        <f>ROUND(IF(B72=0,0,D69/L51*N52),2)</f>
        <v>0</v>
      </c>
      <c r="E72" s="23">
        <f>ROUND(IF(B72=0,0,E69/N47*N52),2)</f>
        <v>0</v>
      </c>
      <c r="F72" s="24">
        <f>ROUND(IF(N52=0,0,IFERROR(((LOOKUP(2,1/(A58:A61=A72),H58:H61))/N47*N52),F71/N52*N52)),2)</f>
        <v>0</v>
      </c>
      <c r="G72" s="27">
        <f t="shared" si="7"/>
        <v>0</v>
      </c>
      <c r="H72" s="76">
        <f>ROUND(IF(SUM(B70:F71)&lt;(L85*2),IF((SUM(B70:F72))&gt;(L85*3),(((L85*3)-(SUM(B70:F72)-C71))*H69)+((SUM(B72:F72)-C71)*H69),SUM(B72:F72)*H69),IF(SUM(B70:F72)&gt;(L85*3),L85*H69,SUM(B72:F72)*H69)),2)</f>
        <v>0</v>
      </c>
      <c r="I72" s="76">
        <f>ROUND(IF(SUM(B70:F71)&lt;(L86*2),IF((SUM(B70:F72))&gt;(L86*3),(((L86*3)-(SUM(B70:F72)-C71))*I69)+((SUM(B72:F72)-C71)*I69),SUM(B72:F72)*I69),IF(SUM(B70:F72)&gt;(L86*3),L86*I69,SUM(B72:F72)*I69)),2)</f>
        <v>0</v>
      </c>
      <c r="J72" s="76">
        <f>ROUND(IF(SUM(B70:F71)&lt;(L86*2),IF((SUM(B70:F72))&gt;(L86*3),(((L86*3)-(SUM(B70:F72)-C71))*J69)+((SUM(B72:F72)-C71)*J69),SUM(B72:F72)*J69),IF(SUM(B70:F72)&gt;(L86*3),L86*J69,SUM(B72:F72)*J69)),2)</f>
        <v>0</v>
      </c>
      <c r="K72" s="76">
        <f>ROUND(IF(SUM(B70:F71)&lt;(L85*2),IF((SUM(B70:F72))&gt;(L85*3),(((L85*3)-(SUM(B70:F72)-C71))*K69)+((SUM(B72:F72)-C71)*K69),SUM(B72:F72)*K69),IF(SUM(B70:F72)&gt;(L85*3),L85*K69,SUM(B72:F72)*K69)),2)</f>
        <v>0</v>
      </c>
      <c r="L72" s="76">
        <f>ROUND(IF(SUM(B70:F71)&lt;(L86*2),IF((SUM(B70:F72))&gt;(L86*3),(((L86*3)-(SUM(B70:F72)-C72))*L69)+((SUM(B72:F72)-C72)*L69),(SUM(B72:F72)-C72)*L69),IF(SUM(B70:F72)&gt;(L86*3),L86*L69,SUM(B72:F72)*L69)),2)</f>
        <v>0</v>
      </c>
      <c r="M72" s="76">
        <f>ROUND(IF(SUM(B70:F71)&lt;(L86*2),IF((SUM(B70:F72))&gt;(L86*3),(((L86*3)-(SUM(B70:F72)-C72))*M69)+((SUM(B72:F72)-C72)*M69),(SUM(B72:F72)-C72)*M69),IF(SUM(B70:F72)&gt;(L86*3),L86*M69,SUM(B72:F72)*M69)),2)</f>
        <v>0</v>
      </c>
      <c r="N72" s="76">
        <f>ROUND(IF(SUM(B70:F71)&lt;(L86*2),IF((SUM(B70:F72))&gt;(L86*3),(((L86*3)-(SUM(B70:F72)-C71))*N69)+((SUM(B72:F72)-C71)*N69),SUM(B72:F72)*N69),IF(SUM(B70:F72)&gt;(L86*3),L86*N69,SUM(B72:F72)*N69)),2)</f>
        <v>0</v>
      </c>
      <c r="O72" s="23">
        <f>ROUND(SUM(B72+C72+F72)*O69,2)</f>
        <v>0</v>
      </c>
      <c r="P72" s="27">
        <f t="shared" ref="P72:P81" si="8">SUM(G72:O72)</f>
        <v>0</v>
      </c>
    </row>
    <row r="73" spans="1:16" x14ac:dyDescent="0.2">
      <c r="A73" s="100" t="str">
        <f>$A$29</f>
        <v>Apr 2022</v>
      </c>
      <c r="B73" s="24">
        <f>ROUND(IF(N53=0,0,IFERROR(((LOOKUP(2,1/(A58:A61=A73),G58:G61))*N53*4.348),B72/N53*N53)),2)</f>
        <v>0</v>
      </c>
      <c r="C73" s="23">
        <f>ROUND(IFERROR(((LOOKUP(2,1/(B63=A73),((SUM(B76:B78)+SUM(F76:F78))/3)*C63))),0)+IFERROR(((LOOKUP(2,1/(E63=A73),(B82+F82)*F63))),0),2)</f>
        <v>0</v>
      </c>
      <c r="D73" s="23">
        <f>ROUND(IF(B73=0,0,D69/L51*N53),2)</f>
        <v>0</v>
      </c>
      <c r="E73" s="23">
        <f>ROUND(IF(B73=0,0,E69/N47*N53),2)</f>
        <v>0</v>
      </c>
      <c r="F73" s="24">
        <f>ROUND(IF(N53=0,0,IFERROR(((LOOKUP(2,1/(A58:A61=A73),H58:H61))/N47*N53),F72/N53*N53)),2)</f>
        <v>0</v>
      </c>
      <c r="G73" s="27">
        <f t="shared" si="7"/>
        <v>0</v>
      </c>
      <c r="H73" s="76">
        <f>ROUND(IF(SUM(B70:F72)&lt;(L85*3),IF((SUM(B70:F73))&gt;(L85*4),(((L85*4)-(SUM(B70:F73)-C72))*H69)+((SUM(B73:F73)-C72)*H69),SUM(B73:F73)*H69),IF(SUM(B70:F73)&gt;(L85*4),L85*H69,SUM(B73:F73)*H69)),2)</f>
        <v>0</v>
      </c>
      <c r="I73" s="76">
        <f>ROUND(IF(SUM(B70:F72)&lt;(L86*3),IF((SUM(B70:F73))&gt;(L86*4),(((L86*4)-(SUM(B70:F73)-C72))*I69)+((SUM(B73:F73)-C72)*I69),SUM(B73:F73)*I69),IF(SUM(B70:F73)&gt;(L86*4),L86*I69,SUM(B73:F73)*I69)),2)</f>
        <v>0</v>
      </c>
      <c r="J73" s="76">
        <f>ROUND(IF(SUM(B70:F72)&lt;(L86*3),IF((SUM(B70:F73))&gt;(L86*4),(((L86*4)-(SUM(B70:F73)-C72))*J69)+((SUM(B73:F73)-C72)*J69),SUM(B73:F73)*J69),IF(SUM(B70:F73)&gt;(L86*4),L86*J69,SUM(B73:F73)*J69)),2)</f>
        <v>0</v>
      </c>
      <c r="K73" s="76">
        <f>ROUND(IF(SUM(B70:F72)&lt;(L85*3),IF((SUM(B70:F73))&gt;(L85*4),(((L85*4)-(SUM(B70:F73)-C72))*K69)+((SUM(B73:F73)-C72)*K69),SUM(B73:F73)*K69),IF(SUM(B70:F73)&gt;(L85*4),L85*K69,SUM(B73:F73)*K69)),2)</f>
        <v>0</v>
      </c>
      <c r="L73" s="76">
        <f>ROUND(IF(SUM(B70:F72)&lt;(L86*3),IF((SUM(B70:F73))&gt;(L86*4),(((L86*4)-(SUM(B70:F73)-C73))*L69)+((SUM(B73:F73)-C73)*L69),(SUM(B73:F73)-C73)*L69),IF(SUM(B70:F73)&gt;(L86*4),L86*L69,SUM(B73:F73)*L69)),2)</f>
        <v>0</v>
      </c>
      <c r="M73" s="76">
        <f>ROUND(IF(SUM(B70:F72)&lt;(L86*3),IF((SUM(B70:F73))&gt;(L86*4),(((L86*4)-(SUM(B70:F73)-C73))*M69)+((SUM(B73:F73)-C73)*M69),(SUM(B73:F73)-C73)*M69),IF(SUM(B70:F73)&gt;(L86*4),L86*M69,SUM(B73:F73)*M69)),2)</f>
        <v>0</v>
      </c>
      <c r="N73" s="76">
        <f>ROUND(IF(SUM(B70:F72)&lt;(L86*3),IF((SUM(B70:F73))&gt;(L86*4),(((L86*4)-(SUM(B70:F73)-C72))*N69)+((SUM(B73:F73)-C72)*N69),SUM(B73:F73)*N69),IF(SUM(B70:F73)&gt;(L86*4),L86*N69,SUM(B73:F73)*N69)),2)</f>
        <v>0</v>
      </c>
      <c r="O73" s="23">
        <f>ROUND(SUM(B73+C73+F73)*O69,2)</f>
        <v>0</v>
      </c>
      <c r="P73" s="27">
        <f t="shared" si="8"/>
        <v>0</v>
      </c>
    </row>
    <row r="74" spans="1:16" x14ac:dyDescent="0.2">
      <c r="A74" s="100" t="str">
        <f>$A$30</f>
        <v>Mai 2022</v>
      </c>
      <c r="B74" s="24">
        <f>ROUND(IF(N54=0,0,IFERROR(((LOOKUP(2,1/(A58:A61=A74),G58:G61))*N54*4.348),B73/N54*N54)),2)</f>
        <v>0</v>
      </c>
      <c r="C74" s="23">
        <f>ROUND(IFERROR(((LOOKUP(2,1/(B63=A74),((SUM(B76:B78)+SUM(F76:F78))/3)*C63))),0)+IFERROR(((LOOKUP(2,1/(E63=A74),(B82+F82)*F63))),0),2)</f>
        <v>0</v>
      </c>
      <c r="D74" s="23">
        <f>ROUND(IF(B74=0,0,D69/L51*N54),2)</f>
        <v>0</v>
      </c>
      <c r="E74" s="23">
        <f>ROUND(IF(B74=0,0,E69/N47*N54),2)</f>
        <v>0</v>
      </c>
      <c r="F74" s="24">
        <f>ROUND(IF(N54=0,0,IFERROR(((LOOKUP(2,1/(A58:A61=A74),H58:H61))/N47*N54),F73/N54*N54)),2)</f>
        <v>0</v>
      </c>
      <c r="G74" s="27">
        <f t="shared" si="7"/>
        <v>0</v>
      </c>
      <c r="H74" s="76">
        <f>ROUND(IF(SUM(B70:F73)&lt;(L85*4),IF((SUM(B70:F74))&gt;(L85*5),(((L85*5)-(SUM(B70:F74)-C73))*H69)+((SUM(B74:F74)-C73)*H69),SUM(B74:F74)*H69),IF(SUM(B70:F74)&gt;(L85*5),L85*H69,SUM(B74:F74)*H69)),2)</f>
        <v>0</v>
      </c>
      <c r="I74" s="76">
        <f>ROUND(IF(SUM(B70:F73)&lt;(L86*4),IF((SUM(B70:F74))&gt;(L86*5),(((L86*5)-(SUM(B70:F74)-C73))*I69)+((SUM(B74:F74)-C73)*I69),SUM(B74:F74)*I69),IF(SUM(B70:F74)&gt;(L86*5),L86*I69,SUM(B74:F74)*I69)),2)</f>
        <v>0</v>
      </c>
      <c r="J74" s="76">
        <f>ROUND(IF(SUM(B70:F73)&lt;(L86*4),IF((SUM(B70:F74))&gt;(L86*5),(((L86*5)-(SUM(B70:F74)-C73))*J69)+((SUM(B74:F74)-C73)*J69),SUM(B74:F74)*J69),IF(SUM(B70:F74)&gt;(L86*5),L86*J69,SUM(B74:F74)*J69)),2)</f>
        <v>0</v>
      </c>
      <c r="K74" s="76">
        <f>ROUND(IF(SUM(B70:F73)&lt;(L85*4),IF((SUM(B70:F74))&gt;(L85*5),(((L85*5)-(SUM(B70:F74)-C73))*K69)+((SUM(B74:F74)-C73)*K69),SUM(B74:F74)*K69),IF(SUM(B70:F74)&gt;(L85*5),L85*K69,SUM(B74:F74)*K69)),2)</f>
        <v>0</v>
      </c>
      <c r="L74" s="76">
        <f>ROUND(IF(SUM(B70:F73)&lt;(L86*4),IF((SUM(B70:F74))&gt;(L86*5),(((L86*5)-(SUM(B70:F74)-C74))*L69)+((SUM(B74:F74)-C74)*L69),(SUM(B74:F74)-C74)*L69),IF(SUM(B70:F74)&gt;(L86*5),L86*L69,SUM(B74:F74)*L69)),2)</f>
        <v>0</v>
      </c>
      <c r="M74" s="76">
        <f>ROUND(IF(SUM(B70:F73)&lt;(L86*4),IF((SUM(B70:F74))&gt;(L86*5),(((L86*5)-(SUM(B70:F74)-C74))*M69)+((SUM(B74:F74)-C74)*M69),(SUM(B74:F74)-C74)*M69),IF(SUM(B70:F74)&gt;(L86*5),L86*M69,SUM(B74:F74)*M69)),2)</f>
        <v>0</v>
      </c>
      <c r="N74" s="76">
        <f>ROUND(IF(SUM(B70:F73)&lt;(L86*4),IF((SUM(B70:F74))&gt;(L86*5),(((L86*5)-(SUM(B70:F74)-C73))*N69)+((SUM(B74:F74)-C73)*N69),SUM(B74:F74)*N69),IF(SUM(B70:F74)&gt;(L86*5),L86*N69,SUM(B74:F74)*N69)),2)</f>
        <v>0</v>
      </c>
      <c r="O74" s="23">
        <f>ROUND(SUM(B74+C74+F74)*O69,2)</f>
        <v>0</v>
      </c>
      <c r="P74" s="27">
        <f t="shared" si="8"/>
        <v>0</v>
      </c>
    </row>
    <row r="75" spans="1:16" x14ac:dyDescent="0.2">
      <c r="A75" s="100" t="str">
        <f>$A$31</f>
        <v>Jun 2022</v>
      </c>
      <c r="B75" s="24">
        <f>ROUND(IF(N55=0,0,IFERROR(((LOOKUP(2,1/(A58:A61=A75),G58:G61))*N55*4.348),B74/N55*N55)),2)</f>
        <v>0</v>
      </c>
      <c r="C75" s="23">
        <f>ROUND(IFERROR(((LOOKUP(2,1/(B63=A75),((SUM(B76:B78)+SUM(F76:F78))/3)*C63))),0)+IFERROR(((LOOKUP(2,1/(E63=A75),(B82+F82)*F63))),0),2)</f>
        <v>0</v>
      </c>
      <c r="D75" s="23">
        <f>ROUND(IF(B75=0,0,D69/L51*N55),2)</f>
        <v>0</v>
      </c>
      <c r="E75" s="23">
        <f>ROUND(IF(B75=0,0,E69/N47*N55),2)</f>
        <v>0</v>
      </c>
      <c r="F75" s="24">
        <f>ROUND(IF(N55=0,0,IFERROR(((LOOKUP(2,1/(A58:A61=A75),H58:H61))/N47*N55),F74/N55*N55)),2)</f>
        <v>0</v>
      </c>
      <c r="G75" s="27">
        <f t="shared" si="7"/>
        <v>0</v>
      </c>
      <c r="H75" s="76">
        <f>ROUND(IF(SUM(B70:F74)&lt;(L85*5),IF((SUM(B70:F75))&gt;(L85*6),(((L85*6)-(SUM(B70:F75)-C74))*H69)+((SUM(B75:F75)-C74)*H69),SUM(B75:F75)*H69),IF(SUM(B70:F75)&gt;(L85*6),L85*H69,SUM(B75:F75)*H69)),2)</f>
        <v>0</v>
      </c>
      <c r="I75" s="76">
        <f>ROUND(IF(SUM(B70:F74)&lt;(L86*5),IF((SUM(B70:F75))&gt;(L86*6),(((L86*6)-(SUM(B70:F75)-C74))*I69)+((SUM(B75:F75)-C74)*I69),SUM(B75:F75)*I69),IF(SUM(B70:F75)&gt;(L86*6),L86*I69,SUM(B75:F75)*I69)),2)</f>
        <v>0</v>
      </c>
      <c r="J75" s="76">
        <f>ROUND(IF(SUM(B70:F74)&lt;(L86*5),IF((SUM(B70:F75))&gt;(L86*6),(((L86*6)-(SUM(B70:F75)-C74))*J69)+((SUM(B75:F75)-C74)*J69),SUM(B75:F75)*J69),IF(SUM(B70:F75)&gt;(L86*6),L86*J69,SUM(B75:F75)*J69)),2)</f>
        <v>0</v>
      </c>
      <c r="K75" s="76">
        <f>ROUND(IF(SUM(B70:F74)&lt;(L85*5),IF((SUM(B70:F75))&gt;(L85*6),(((L85*6)-(SUM(B70:F75)-C74))*K69)+((SUM(B75:F75)-C74)*K69),SUM(B75:F75)*K69),IF(SUM(B70:F75)&gt;(L85*6),L85*K69,SUM(B75:F75)*K69)),2)</f>
        <v>0</v>
      </c>
      <c r="L75" s="76">
        <f>ROUND(IF(SUM(B70:F74)&lt;(L86*5),IF((SUM(B70:F75))&gt;(L86*6),(((L86*6)-(SUM(B70:F75)-C75))*L69)+((SUM(B75:F75)-C75)*L69),(SUM(B75:F75)-C75)*L69),IF(SUM(B70:F75)&gt;(L86*6),L86*L69,SUM(B75:F75)*L69)),2)</f>
        <v>0</v>
      </c>
      <c r="M75" s="76">
        <f>ROUND(IF(SUM(B70:F74)&lt;(L86*5),IF((SUM(B70:F75))&gt;(L86*6),(((L86*6)-(SUM(B70:F75)-C75))*M69)+((SUM(B75:F75)-C75)*M69),(SUM(B75:F75)-C75)*M69),IF(SUM(B70:F75)&gt;(L86*6),L86*M69,SUM(B75:F75)*M69)),2)</f>
        <v>0</v>
      </c>
      <c r="N75" s="76">
        <f>ROUND(IF(SUM(B70:F74)&lt;(L86*5),IF((SUM(B70:F75))&gt;(L86*6),(((L86*6)-(SUM(B70:F75)-C74))*N69)+((SUM(B75:F75)-C74)*N69),SUM(B75:F75)*N69),IF(SUM(B70:F75)&gt;(L86*6),L86*N69,SUM(B75:F75)*N69)),2)</f>
        <v>0</v>
      </c>
      <c r="O75" s="23">
        <f>ROUND(SUM(B75+C75+F75)*O69,2)</f>
        <v>0</v>
      </c>
      <c r="P75" s="27">
        <f t="shared" si="8"/>
        <v>0</v>
      </c>
    </row>
    <row r="76" spans="1:16" x14ac:dyDescent="0.2">
      <c r="A76" s="100" t="str">
        <f>$A$32</f>
        <v>Jul 2022</v>
      </c>
      <c r="B76" s="24">
        <f>ROUND(IF(P50=0,0,IFERROR(((LOOKUP(2,1/(A58:A61=A76),G58:G61))*P50*4.348),B75/P50*P50)),2)</f>
        <v>0</v>
      </c>
      <c r="C76" s="23">
        <f>ROUND(IFERROR(((LOOKUP(2,1/(B63=A76),((SUM(B76:B78)+SUM(F76:F78))/3)*C63))),0)+IFERROR(((LOOKUP(2,1/(E63=A76),(B82+F82)*F63))),0),2)</f>
        <v>0</v>
      </c>
      <c r="D76" s="23">
        <f>ROUND(IF(B76=0,0,D69/L51*P50),2)</f>
        <v>0</v>
      </c>
      <c r="E76" s="23">
        <f>ROUND(IF(B76=0,0,E69/N47*P50),2)</f>
        <v>0</v>
      </c>
      <c r="F76" s="24">
        <f>ROUND(IF(P50=0,0,IFERROR(((LOOKUP(2,1/(A58:A61=A76),H58:H61))/N47*P50),F75/P50*P50)),2)</f>
        <v>0</v>
      </c>
      <c r="G76" s="27">
        <f t="shared" si="7"/>
        <v>0</v>
      </c>
      <c r="H76" s="76">
        <f>ROUND(IF(SUM(B70:F75)&lt;(L85*6),IF((SUM(B70:F76))&gt;(L85*7),(((L85*7)-(SUM(B70:F76)-C75))*H69)+((SUM(B76:F76)-C75)*H69),SUM(B76:F76)*H69),IF(SUM(B70:F76)&gt;(L85*7),L85*H69,SUM(B76:F76)*H69)),2)</f>
        <v>0</v>
      </c>
      <c r="I76" s="76">
        <f>ROUND(IF(SUM(B70:F75)&lt;(L86*6),IF((SUM(B70:F76))&gt;(L86*7),(((L86*7)-(SUM(B70:F76)-C75))*I69)+((SUM(B76:F76)-C75)*I69),SUM(B76:F76)*I69),IF(SUM(B70:F76)&gt;(L86*7),L86*I69,SUM(B76:F76)*I69)),2)</f>
        <v>0</v>
      </c>
      <c r="J76" s="76">
        <f>ROUND(IF(SUM(B70:F75)&lt;(L86*6),IF((SUM(B70:F76))&gt;(L86*7),(((L86*7)-(SUM(B70:F76)-C75))*J69)+((SUM(B76:F76)-C75)*J69),SUM(B76:F76)*J69),IF(SUM(B70:F76)&gt;(L86*7),L86*J69,SUM(B76:F76)*J69)),2)</f>
        <v>0</v>
      </c>
      <c r="K76" s="76">
        <f>ROUND(IF(SUM(B70:F75)&lt;(L85*6),IF((SUM(B70:F76))&gt;(L85*7),(((L85*7)-(SUM(B70:F76)-C75))*K69)+((SUM(B76:F76)-C75)*K69),SUM(B76:F76)*K69),IF(SUM(B70:F76)&gt;(L85*7),L85*K69,SUM(B76:F76)*K69)),2)</f>
        <v>0</v>
      </c>
      <c r="L76" s="76">
        <f>ROUND(IF(SUM(B70:F75)&lt;(L86*6),IF((SUM(B70:F76))&gt;(L86*7),(((L86*7)-(SUM(B70:F76)-C76))*L69)+((SUM(B76:F76)-C76)*L69),(SUM(B76:F76)-C76)*L69),IF(SUM(B70:F76)&gt;(L86*7),L86*L69,SUM(B76:F76)*L69)),2)</f>
        <v>0</v>
      </c>
      <c r="M76" s="76">
        <f>ROUND(IF(SUM(B70:F75)&lt;(L86*6),IF((SUM(B70:F76))&gt;(L86*7),(((L86*7)-(SUM(B70:F76)-C76))*M69)+((SUM(B76:F76)-C76)*M69),(SUM(B76:F76)-C76)*M69),IF(SUM(B70:F76)&gt;(L86*7),L86*M69,SUM(B76:F76)*M69)),2)</f>
        <v>0</v>
      </c>
      <c r="N76" s="76">
        <f>ROUND(IF(SUM(B70:F75)&lt;(L86*6),IF((SUM(B70:F76))&gt;(L86*7),(((L86*7)-(SUM(B70:F76)-C75))*N69)+((SUM(B76:F76)-C75)*N69),SUM(B76:F76)*N69),IF(SUM(B70:F76)&gt;(L86*7),L86*N69,SUM(B76:F76)*N69)),2)</f>
        <v>0</v>
      </c>
      <c r="O76" s="23">
        <f>ROUND(SUM(B76+C76+F76)*O69,2)</f>
        <v>0</v>
      </c>
      <c r="P76" s="27">
        <f t="shared" si="8"/>
        <v>0</v>
      </c>
    </row>
    <row r="77" spans="1:16" x14ac:dyDescent="0.2">
      <c r="A77" s="100" t="str">
        <f>$A$33</f>
        <v>Aug 2022</v>
      </c>
      <c r="B77" s="24">
        <f>ROUND(IF(P51=0,0,IFERROR(((LOOKUP(2,1/(A58:A61=A77),G58:G61))*P51*4.348),B76/P51*P51)),2)</f>
        <v>0</v>
      </c>
      <c r="C77" s="23">
        <f>ROUND(IFERROR(((LOOKUP(2,1/(B63=A77),((SUM(B76:B78)+SUM(F76:F78))/3)*C63))),0)+IFERROR(((LOOKUP(2,1/(E63=A77),(B82+F82)*F63))),0),2)</f>
        <v>0</v>
      </c>
      <c r="D77" s="23">
        <f>ROUND(IF(B77=0,0,D69/L51*P51),2)</f>
        <v>0</v>
      </c>
      <c r="E77" s="23">
        <f>ROUND(IF(B77=0,0,E69/N47*P51),2)</f>
        <v>0</v>
      </c>
      <c r="F77" s="24">
        <f>ROUND(IF(P51=0,0,IFERROR(((LOOKUP(2,1/(A58:A61=A77),H58:H61))/N47*P51),F76/P51*P51)),2)</f>
        <v>0</v>
      </c>
      <c r="G77" s="27">
        <f t="shared" si="7"/>
        <v>0</v>
      </c>
      <c r="H77" s="76">
        <f>ROUND(IF(SUM(B70:F76)&lt;(L85*7),IF((SUM(B70:F77))&gt;(L85*8),(((L85*8)-(SUM(B70:F77)-C76))*H69)+((SUM(B77:F77)-C76)*H69),SUM(B77:F77)*H69),IF(SUM(B70:F77)&gt;(L85*8),L85*H69,SUM(B77:F77)*H69)),2)</f>
        <v>0</v>
      </c>
      <c r="I77" s="76">
        <f>ROUND(IF(SUM(B70:F76)&lt;(L86*7),IF((SUM(B70:F77))&gt;(L86*8),(((L86*8)-(SUM(B70:F77)-C76))*I69)+((SUM(B77:F77)-C76)*I69),SUM(B77:F77)*I69),IF(SUM(B70:F77)&gt;(L86*8),L86*I69,SUM(B77:F77)*I69)),2)</f>
        <v>0</v>
      </c>
      <c r="J77" s="76">
        <f>ROUND(IF(SUM(B70:F76)&lt;(L86*7),IF((SUM(B70:F77))&gt;(L86*8),(((L86*8)-(SUM(B70:F77)-C76))*J69)+((SUM(B77:F77)-C76)*J69),SUM(B77:F77)*J69),IF(SUM(B70:F77)&gt;(L86*8),L86*J69,SUM(B77:F77)*J69)),2)</f>
        <v>0</v>
      </c>
      <c r="K77" s="76">
        <f>ROUND(IF(SUM(B70:F76)&lt;(L85*7),IF((SUM(B70:F77))&gt;(L85*8),(((L85*8)-(SUM(B70:F77)-C76))*K69)+((SUM(B77:F77)-C76)*K69),SUM(B77:F77)*K69),IF(SUM(B70:F77)&gt;(L85*8),L85*K69,SUM(B77:F77)*K69)),2)</f>
        <v>0</v>
      </c>
      <c r="L77" s="76">
        <f>ROUND(IF(SUM(B70:F76)&lt;(L86*7),IF((SUM(B70:F77))&gt;(L86*8),(((L86*8)-(SUM(B70:F77)-C77))*L69)+((SUM(B77:F77)-C77)*L69),(SUM(B77:F77)-C77)*L69),IF(SUM(B70:F77)&gt;(L86*8),L86*L69,SUM(B77:F77)*L69)),2)</f>
        <v>0</v>
      </c>
      <c r="M77" s="76">
        <f>ROUND(IF(SUM(B70:F76)&lt;(L86*7),IF((SUM(B70:F77))&gt;(L86*8),(((L86*8)-(SUM(B70:F77)-C77))*M69)+((SUM(B77:F77)-C77)*M69),(SUM(B77:F77)-C77)*M69),IF(SUM(B70:F77)&gt;(L86*8),L86*M69,SUM(B77:F77)*M69)),2)</f>
        <v>0</v>
      </c>
      <c r="N77" s="76">
        <f>ROUND(IF(SUM(B70:F76)&lt;(L86*7),IF((SUM(B70:F77))&gt;(L86*8),(((L86*8)-(SUM(B70:F77)-C76))*N69)+((SUM(B77:F77)-C76)*N69),SUM(B77:F77)*N69),IF(SUM(B70:F77)&gt;(L86*8),L86*N69,SUM(B77:F77)*N69)),2)</f>
        <v>0</v>
      </c>
      <c r="O77" s="23">
        <f>ROUND(SUM(B77+C77+F77)*O69,2)</f>
        <v>0</v>
      </c>
      <c r="P77" s="27">
        <f t="shared" si="8"/>
        <v>0</v>
      </c>
    </row>
    <row r="78" spans="1:16" x14ac:dyDescent="0.2">
      <c r="A78" s="100" t="str">
        <f>$A$34</f>
        <v>Sep 2022</v>
      </c>
      <c r="B78" s="24">
        <f>ROUND(IF(P52=0,0,IFERROR(((LOOKUP(2,1/(A58:A61=A78),G58:G61))*P52*4.348),B77/P52*P52)),2)</f>
        <v>0</v>
      </c>
      <c r="C78" s="23">
        <f>ROUND(IFERROR(((LOOKUP(2,1/(B63=A78),((SUM(B76:B78)+SUM(F76:F78))/3)*C63))),0)+IFERROR(((LOOKUP(2,1/(E63=A78),(B82+F82)*F63))),0),2)</f>
        <v>0</v>
      </c>
      <c r="D78" s="23">
        <f>ROUND(IF(B78=0,0,D69/L51*P52),2)</f>
        <v>0</v>
      </c>
      <c r="E78" s="23">
        <f>ROUND(IF(B78=0,0,E69/N47*P52),2)</f>
        <v>0</v>
      </c>
      <c r="F78" s="24">
        <f>ROUND(IF(P52=0,0,IFERROR(((LOOKUP(2,1/(A58:A61=A78),H58:H61))/N47*P52),F77/P52*P52)),2)</f>
        <v>0</v>
      </c>
      <c r="G78" s="27">
        <f t="shared" si="7"/>
        <v>0</v>
      </c>
      <c r="H78" s="76">
        <f>ROUND(IF(SUM(B70:F77)&lt;(L85*8),IF((SUM(B70:F78))&gt;(L85*9),(((L85*9)-(SUM(B70:F78)-C77))*H69)+((SUM(B78:F78)-C77)*H69),SUM(B78:F78)*H69),IF(SUM(B70:F78)&gt;(L85*9),L85*H69,SUM(B78:F78)*H69)),2)</f>
        <v>0</v>
      </c>
      <c r="I78" s="76">
        <f>ROUND(IF(SUM(B70:F77)&lt;(L86*8),IF((SUM(B70:F78))&gt;(L86*9),(((L86*9)-(SUM(B70:F78)-C77))*I69)+((SUM(B78:F78)-C77)*I69),SUM(B78:F78)*I69),IF(SUM(B70:F78)&gt;(L86*9),L86*I69,SUM(B78:F78)*I69)),2)</f>
        <v>0</v>
      </c>
      <c r="J78" s="76">
        <f>ROUND(IF(SUM(B70:F77)&lt;(L86*8),IF((SUM(B70:F78))&gt;(L86*9),(((L86*9)-(SUM(B70:F78)-C77))*J69)+((SUM(B78:F78)-C77)*J69),SUM(B78:F78)*J69),IF(SUM(B70:F78)&gt;(L86*9),L86*J69,SUM(B78:F78)*J69)),2)</f>
        <v>0</v>
      </c>
      <c r="K78" s="76">
        <f>ROUND(IF(SUM(B70:F77)&lt;(L85*8),IF((SUM(B70:F78))&gt;(L85*9),(((L85*9)-(SUM(B70:F78)-C77))*K69)+((SUM(B78:F78)-C77)*K69),SUM(B78:F78)*K69),IF(SUM(B70:F78)&gt;(L85*9),L85*K69,SUM(B78:F78)*K69)),2)</f>
        <v>0</v>
      </c>
      <c r="L78" s="76">
        <f>ROUND(IF(SUM(B70:F77)&lt;(L86*8),IF((SUM(B70:F78))&gt;(L86*9),(((L86*9)-(SUM(B70:F78)-C78))*L69)+((SUM(B78:F78)-C78)*L69),(SUM(B78:F78)-C78)*L69),IF(SUM(B70:F78)&gt;(L86*9),L86*L69,SUM(B78:F78)*L69)),2)</f>
        <v>0</v>
      </c>
      <c r="M78" s="76">
        <f>ROUND(IF(SUM(B70:F77)&lt;(L86*8),IF((SUM(B70:F78))&gt;(L86*9),(((L86*9)-(SUM(B70:F78)-C78))*M69)+((SUM(B78:F78)-C78)*M69),(SUM(B78:F78)-C78)*M69),IF(SUM(B70:F78)&gt;(L86*9),L86*M69,SUM(B78:F78)*M69)),2)</f>
        <v>0</v>
      </c>
      <c r="N78" s="76">
        <f>ROUND(IF(SUM(B70:F77)&lt;(L86*8),IF((SUM(B70:F78))&gt;(L86*9),(((L86*9)-(SUM(B70:F78)-C77))*N69)+((SUM(B78:F78)-C77)*N69),SUM(B78:F78)*N69),IF(SUM(B70:F78)&gt;(L86*9),L86*N69,SUM(B78:F78)*N69)),2)</f>
        <v>0</v>
      </c>
      <c r="O78" s="23">
        <f>ROUND(SUM(B78+C78+F78)*O69,2)</f>
        <v>0</v>
      </c>
      <c r="P78" s="27">
        <f t="shared" si="8"/>
        <v>0</v>
      </c>
    </row>
    <row r="79" spans="1:16" x14ac:dyDescent="0.2">
      <c r="A79" s="100" t="str">
        <f>$A$35</f>
        <v>Okt 2022</v>
      </c>
      <c r="B79" s="24">
        <f>ROUND(IF(P53=0,0,IFERROR(((LOOKUP(2,1/(A58:A61=A79),G58:G61))*P53*4.348),B78/P53*P53)),2)</f>
        <v>0</v>
      </c>
      <c r="C79" s="23">
        <f>ROUND(IFERROR(((LOOKUP(2,1/(B63=A79),((SUM(B76:B78)+SUM(F76:F78))/3)*C63))),0)+IFERROR(((LOOKUP(2,1/(E63=A79),(B82+F82)*F63))),0),2)</f>
        <v>0</v>
      </c>
      <c r="D79" s="23">
        <f>ROUND(IF(B79=0,0,D69/L51*P53),2)</f>
        <v>0</v>
      </c>
      <c r="E79" s="23">
        <f>ROUND(IF(B79=0,0,E69/N47*P53),2)</f>
        <v>0</v>
      </c>
      <c r="F79" s="24">
        <f>ROUND(IF(P53=0,0,IFERROR(((LOOKUP(2,1/(A58:A61=A79),H58:H61))/N47*P53),F78/P53*P53)),2)</f>
        <v>0</v>
      </c>
      <c r="G79" s="27">
        <f t="shared" si="7"/>
        <v>0</v>
      </c>
      <c r="H79" s="76">
        <f>ROUND(IF(SUM(B70:F78)&lt;(L85*9),IF((SUM(B70:F79))&gt;(L85*10),(((L85*10)-(SUM(B70:F79)-C78))*H69)+((SUM(B79:F79)-C78)*H69),SUM(B79:F79)*H69),IF(SUM(B70:F79)&gt;(L85*10),L85*H69,SUM(B79:F79)*H69)),2)</f>
        <v>0</v>
      </c>
      <c r="I79" s="76">
        <f>ROUND(IF(SUM(B70:F78)&lt;(L86*9),IF((SUM(B70:F79))&gt;(L86*10),(((L86*10)-(SUM(B70:F79)-C78))*I69)+((SUM(B79:F79)-C78)*I69),SUM(B79:F79)*I69),IF(SUM(B70:F79)&gt;(L86*10),L86*I69,SUM(B79:F79)*I69)),2)</f>
        <v>0</v>
      </c>
      <c r="J79" s="76">
        <f>ROUND(IF(SUM(B70:F78)&lt;(L86*9),IF((SUM(B70:F79))&gt;(L86*10),(((L86*10)-(SUM(B70:F79)-C78))*J69)+((SUM(B79:F79)-C78)*J69),SUM(B79:F79)*J69),IF(SUM(B70:F79)&gt;(L86*10),L86*J69,SUM(B79:F79)*J69)),2)</f>
        <v>0</v>
      </c>
      <c r="K79" s="76">
        <f>ROUND(IF(SUM(B70:F78)&lt;(L85*9),IF((SUM(B70:F79))&gt;(L85*10),(((L85*10)-(SUM(B70:F79)-C78))*K69)+((SUM(B79:F79)-C78)*K69),SUM(B79:F79)*K69),IF(SUM(B70:F79)&gt;(L85*10),L85*K69,SUM(B79:F79)*K69)),2)</f>
        <v>0</v>
      </c>
      <c r="L79" s="76">
        <f>ROUND(IF(SUM(B70:F78)&lt;(L86*9),IF((SUM(B70:F79))&gt;(L86*10),(((L86*10)-(SUM(B70:F79)-C79))*L69)+((SUM(B79:F79)-C79)*L69),(SUM(B79:F79)-C79)*L69),IF(SUM(B70:F79)&gt;(L86*10),L86*L69,SUM(B79:F79)*L69)),2)</f>
        <v>0</v>
      </c>
      <c r="M79" s="76">
        <f>ROUND(IF(SUM(B70:F78)&lt;(L86*9),IF((SUM(B70:F79))&gt;(L86*10),(((L86*10)-(SUM(B70:F79)-C79))*M69)+((SUM(B79:F79)-C79)*M69),(SUM(B79:F79)-C79)*M69),IF(SUM(B70:F79)&gt;(L86*10),L86*M69,SUM(B79:F79)*M69)),2)</f>
        <v>0</v>
      </c>
      <c r="N79" s="76">
        <f>ROUND(IF(SUM(B70:F78)&lt;(L86*9),IF((SUM(B70:F79))&gt;(L86*10),(((L86*10)-(SUM(B70:F79)-C78))*N69)+((SUM(B79:F79)-C78)*N69),SUM(B79:F79)*N69),IF(SUM(B70:F79)&gt;(L86*10),L86*N69,SUM(B79:F79)*N69)),2)</f>
        <v>0</v>
      </c>
      <c r="O79" s="23">
        <f>ROUND(SUM(B79+C79+F79)*O69,2)</f>
        <v>0</v>
      </c>
      <c r="P79" s="27">
        <f t="shared" si="8"/>
        <v>0</v>
      </c>
    </row>
    <row r="80" spans="1:16" x14ac:dyDescent="0.2">
      <c r="A80" s="100" t="str">
        <f>$A$36</f>
        <v>Nov 2022</v>
      </c>
      <c r="B80" s="24">
        <f>ROUND(IF(P54=0,0,IFERROR(((LOOKUP(2,1/(A58:A61=A80),G58:G61))*P54*4.348),B79/P54*P54)),2)</f>
        <v>0</v>
      </c>
      <c r="C80" s="23">
        <f>ROUND(IFERROR(((LOOKUP(2,1/(B63=A80),((SUM(B76:B78)+SUM(F76:F78))/3)*C63))),0)+IFERROR(((LOOKUP(2,1/(E63=A80),(B82+F82)*F63))),0),2)</f>
        <v>0</v>
      </c>
      <c r="D80" s="23">
        <f>ROUND(IF(B80=0,0,D69/L51*P54),2)</f>
        <v>0</v>
      </c>
      <c r="E80" s="23">
        <f>ROUND(IF(B80=0,0,E69/N47*P54),2)</f>
        <v>0</v>
      </c>
      <c r="F80" s="24">
        <f>ROUND(IF(P54=0,0,IFERROR(((LOOKUP(2,1/(A58:A61=A80),H58:H61))/N47*P54),F79/P54*P54)),2)</f>
        <v>0</v>
      </c>
      <c r="G80" s="27">
        <f t="shared" si="7"/>
        <v>0</v>
      </c>
      <c r="H80" s="76">
        <f>ROUND(IF(SUM(B70:F79)&lt;(L85*10),IF((SUM(B70:F80))&gt;(L85*11),(((L85*11)-(SUM(B70:F80)-C79))*H69)+((SUM(B80:F80)-C79)*H69),SUM(B80:F80)*H69),IF(SUM(B70:F80)&gt;(L85*11),L85*H69,SUM(B80:F80)*H69)),2)</f>
        <v>0</v>
      </c>
      <c r="I80" s="76">
        <f>ROUND(IF(SUM(B70:F79)&lt;(L86*10),IF((SUM(B70:F80))&gt;(L86*11),(((L86*11)-(SUM(B70:F80)-C79))*I69)+((SUM(B80:F80)-C79)*I69),SUM(B80:F80)*I69),IF(SUM(B70:F80)&gt;(L86*11),L86*I69,SUM(B80:F80)*I69)),2)</f>
        <v>0</v>
      </c>
      <c r="J80" s="76">
        <f>ROUND(IF(SUM(B70:F79)&lt;(L86*10),IF((SUM(B70:F80))&gt;(L86*11),(((L86*11)-(SUM(B70:F80)-C79))*J69)+((SUM(B80:F80)-C79)*J69),SUM(B80:F80)*J69),IF(SUM(B70:F80)&gt;(L86*11),L86*J69,SUM(B80:F80)*J69)),2)</f>
        <v>0</v>
      </c>
      <c r="K80" s="76">
        <f>ROUND(IF(SUM(B70:F79)&lt;(L85*10),IF((SUM(B70:F80))&gt;(L85*11),(((L85*11)-(SUM(B70:F80)-C79))*K69)+((SUM(B80:F80)-C79)*K69),SUM(B80:F80)*K69),IF(SUM(B70:F80)&gt;(L85*11),L85*K69,SUM(B80:F80)*K69)),2)</f>
        <v>0</v>
      </c>
      <c r="L80" s="76">
        <f>ROUND(IF(SUM(B70:F79)&lt;(L86*10),IF((SUM(B70:F80))&gt;(L86*11),(((L86*11)-(SUM(B70:F80)-C80))*L69)+((SUM(B80:F80)-C80)*L69),(SUM(B80:F80)-C80)*L69),IF(SUM(B70:F80)&gt;(L86*11),L86*L69,SUM(B80:F80)*L69)),2)</f>
        <v>0</v>
      </c>
      <c r="M80" s="76">
        <f>ROUND(IF(SUM(B70:F79)&lt;(L86*10),IF((SUM(B70:F80))&gt;(L86*11),(((L86*11)-(SUM(B70:F80)-C80))*M69)+((SUM(B80:F80)-C80)*M69),(SUM(B80:F80)-C80)*M69),IF(SUM(B70:F80)&gt;(L86*11),L86*M69,SUM(B80:F80)*M69)),2)</f>
        <v>0</v>
      </c>
      <c r="N80" s="76">
        <f>ROUND(IF(SUM(B70:F79)&lt;(L86*10),IF((SUM(B70:F80))&gt;(L86*11),(((L86*11)-(SUM(B70:F80)-C79))*N69)+((SUM(B80:F80)-C79)*N69),SUM(B80:F80)*N69),IF(SUM(B70:F80)&gt;(L86*11),L86*N69,SUM(B80:F80)*N69)),2)</f>
        <v>0</v>
      </c>
      <c r="O80" s="23">
        <f>ROUND(SUM(B80+C80+F80)*O69,2)</f>
        <v>0</v>
      </c>
      <c r="P80" s="27">
        <f t="shared" si="8"/>
        <v>0</v>
      </c>
    </row>
    <row r="81" spans="1:16" x14ac:dyDescent="0.2">
      <c r="A81" s="100" t="str">
        <f>$A$37</f>
        <v>Dez 2022</v>
      </c>
      <c r="B81" s="24">
        <f>ROUND(IF(P55=0,0,IFERROR(((LOOKUP(2,1/(A58:A61=A81),G58:G61))*P55*4.348),B80/P55*P55)),2)</f>
        <v>0</v>
      </c>
      <c r="C81" s="23">
        <f>ROUND(IFERROR(((LOOKUP(2,1/(B63=A81),((SUM(B76:B78)+SUM(F76:F78))/3)*C63))),0)+IFERROR(((LOOKUP(2,1/(E63=A81),(B82+F82)*F63))),0),2)</f>
        <v>0</v>
      </c>
      <c r="D81" s="23">
        <f>ROUND(IF(B81=0,0,D69/L51*P55),2)</f>
        <v>0</v>
      </c>
      <c r="E81" s="23">
        <f>ROUND(IF(B81=0,0,E69/N47*P55),2)</f>
        <v>0</v>
      </c>
      <c r="F81" s="24">
        <f>ROUND(IF(P55=0,0,IFERROR(((LOOKUP(2,1/(A58:A61=A81),H58:H61))/N47*P55),F80/P55*P55)),2)</f>
        <v>0</v>
      </c>
      <c r="G81" s="27">
        <f t="shared" si="7"/>
        <v>0</v>
      </c>
      <c r="H81" s="76">
        <f>ROUND(IF(SUM(B70:F80)&lt;(L85*11),IF((SUM(B70:F81))&gt;(L85*12),(((L85*12)-(SUM(B70:F81)-C80))*H69)+((SUM(B81:F81)-C80)*H69),SUM(B81:F81)*H69),IF(SUM(B70:F81)&gt;(L85*12),L85*H69,SUM(B81:F81)*H69)),2)</f>
        <v>0</v>
      </c>
      <c r="I81" s="76">
        <f>ROUND(IF(SUM(B70:F80)&lt;(L86*11),IF((SUM(B70:F81))&gt;(L86*12),(((L86*12)-(SUM(B70:F81)-C80))*I69)+((SUM(B81:F81)-C80)*I69),SUM(B81:F81)*I69),IF(SUM(B70:F81)&gt;(L86*12),L86*I69,SUM(B81:F81)*I69)),2)</f>
        <v>0</v>
      </c>
      <c r="J81" s="76">
        <f>ROUND(IF(SUM(B70:F80)&lt;(L86*11),IF((SUM(B70:F81))&gt;(L86*12),(((L86*12)-(SUM(B70:F81)-C80))*J69)+((SUM(B81:F81)-C80)*J69),SUM(B81:F81)*J69),IF(SUM(B70:F81)&gt;(L86*12),L86*J69,SUM(B81:F81)*J69)),2)</f>
        <v>0</v>
      </c>
      <c r="K81" s="76">
        <f>ROUND(IF(SUM(B70:F80)&lt;(L85*11),IF((SUM(B70:F81))&gt;(L85*12),(((L85*12)-(SUM(B70:F81)-C80))*K69)+((SUM(B81:F81)-C80)*K69),SUM(B81:F81)*K69),IF(SUM(B70:F81)&gt;(L85*12),L85*K69,SUM(B81:F81)*K69)),2)</f>
        <v>0</v>
      </c>
      <c r="L81" s="76">
        <f>ROUND(IF(SUM(B70:F80)&lt;(L86*11),IF((SUM(B70:F81))&gt;(L86*12),(((L86*12)-(SUM(B70:F81)-C81))*L69)+((SUM(B81:F81)-C81)*L69),(SUM(B81:F81)-C81)*L69),IF(SUM(B70:F81)&gt;(L86*12),L86*L69,SUM(B81:F81)*L69)),2)</f>
        <v>0</v>
      </c>
      <c r="M81" s="76">
        <f>ROUND(IF(SUM(B70:F80)&lt;(L86*11),IF((SUM(B70:F81))&gt;(L86*12),(((L86*12)-(SUM(B70:F81)-C81))*M69)+((SUM(B81:F81)-C81)*M69),(SUM(B81:F81)-C81)*M69),IF(SUM(B70:F81)&gt;(L86*12),L86*M69,SUM(B81:F81)*M69)),2)</f>
        <v>0</v>
      </c>
      <c r="N81" s="76">
        <f>ROUND(IF(SUM(B70:F80)&lt;(L86*11),IF((SUM(B70:F81))&gt;(L86*12),(((L86*12)-(SUM(B70:F81)-C80))*N69)+((SUM(B81:F81)-C80)*N69),SUM(B81:F81)*N69),IF(SUM(B70:F81)&gt;(L86*12),L86*N69,SUM(B81:F81)*N69)),2)</f>
        <v>0</v>
      </c>
      <c r="O81" s="23">
        <f>ROUND(SUM(B81+C81+F81)*O69,2)</f>
        <v>0</v>
      </c>
      <c r="P81" s="27">
        <f t="shared" si="8"/>
        <v>0</v>
      </c>
    </row>
    <row r="82" spans="1:16" s="14" customFormat="1" ht="15" x14ac:dyDescent="0.25">
      <c r="A82" s="4" t="s">
        <v>2</v>
      </c>
      <c r="B82" s="27">
        <f>SUM(B70:B81)</f>
        <v>0</v>
      </c>
      <c r="C82" s="27">
        <f t="shared" ref="C82:D82" si="9">SUM(C70:C81)</f>
        <v>0</v>
      </c>
      <c r="D82" s="27">
        <f t="shared" si="9"/>
        <v>0</v>
      </c>
      <c r="E82" s="27">
        <f>SUM(E70:E81)</f>
        <v>0</v>
      </c>
      <c r="F82" s="27">
        <f>SUM(F70:F81)</f>
        <v>0</v>
      </c>
      <c r="G82" s="27">
        <f>SUM(G70:G81)</f>
        <v>0</v>
      </c>
      <c r="H82" s="1133">
        <f>SUM(H70:N81)</f>
        <v>0</v>
      </c>
      <c r="I82" s="1134"/>
      <c r="J82" s="1134"/>
      <c r="K82" s="1134"/>
      <c r="L82" s="1134"/>
      <c r="M82" s="1134"/>
      <c r="N82" s="1135"/>
      <c r="O82" s="27">
        <f>SUM(O70:O81)</f>
        <v>0</v>
      </c>
      <c r="P82" s="27">
        <f>SUM(P70:P81)</f>
        <v>0</v>
      </c>
    </row>
    <row r="83" spans="1:16" s="13" customFormat="1" ht="11.25" x14ac:dyDescent="0.2">
      <c r="A83" s="3" t="s">
        <v>1</v>
      </c>
      <c r="B83" s="2"/>
      <c r="C83" s="2"/>
      <c r="D83" s="2"/>
      <c r="E83" s="2"/>
      <c r="F83" s="2"/>
      <c r="G83" s="2"/>
      <c r="H83" s="2"/>
      <c r="I83" s="2"/>
      <c r="J83" s="2"/>
      <c r="K83" s="2"/>
      <c r="L83" s="2"/>
      <c r="M83" s="2"/>
      <c r="N83" s="2"/>
      <c r="O83" s="2"/>
      <c r="P83" s="2"/>
    </row>
    <row r="84" spans="1:16" ht="14.25" customHeight="1" x14ac:dyDescent="0.2">
      <c r="A84" s="1136" t="s">
        <v>133</v>
      </c>
      <c r="B84" s="1137"/>
      <c r="C84" s="1137"/>
      <c r="D84" s="1137" t="s">
        <v>134</v>
      </c>
      <c r="E84" s="1137"/>
      <c r="F84" s="94" t="str">
        <f>IF(IF(G82=0,"",'päd.Personal - Leitung'!$F$40)=0,"",IF(G82=0,"",'päd.Personal - Leitung'!$F$40))</f>
        <v/>
      </c>
      <c r="G84" s="77" t="s">
        <v>135</v>
      </c>
      <c r="H84" s="96" t="str">
        <f>IF(IF(G82=0,"",'päd.Personal - Leitung'!$H$40)=0,"",IF(G82=0,"",'päd.Personal - Leitung'!$H$40))</f>
        <v/>
      </c>
      <c r="I84" s="73"/>
      <c r="J84" s="194" t="s">
        <v>160</v>
      </c>
      <c r="K84" s="194" t="str">
        <f>$K$40</f>
        <v>2021</v>
      </c>
      <c r="L84" s="194" t="str">
        <f>$L$40</f>
        <v>anteilig 2021</v>
      </c>
      <c r="M84" s="1138" t="s">
        <v>140</v>
      </c>
      <c r="N84" s="1138"/>
      <c r="O84" s="1139"/>
      <c r="P84" s="27">
        <f>ROUND(IF(F84="",IF(E88="",0,(E88*H88/K88)/L51*L52),G82*F84*H84/1000),2)</f>
        <v>0</v>
      </c>
    </row>
    <row r="85" spans="1:16" ht="15" customHeight="1" x14ac:dyDescent="0.2">
      <c r="A85" s="1140" t="s">
        <v>145</v>
      </c>
      <c r="B85" s="1141"/>
      <c r="C85" s="1141"/>
      <c r="D85" s="18"/>
      <c r="E85" s="107" t="s">
        <v>135</v>
      </c>
      <c r="F85" s="95" t="str">
        <f>IF(IF(G82=0,"",'päd.Personal - Leitung'!$F$41)=0,"",IF(G82=0,"",'päd.Personal - Leitung'!$F$41))</f>
        <v/>
      </c>
      <c r="G85" s="48"/>
      <c r="H85" s="47"/>
      <c r="I85" s="48"/>
      <c r="J85" s="195" t="s">
        <v>158</v>
      </c>
      <c r="K85" s="198">
        <f>$K$41</f>
        <v>4837.5</v>
      </c>
      <c r="L85" s="197">
        <f>IF(L51="",K85,K85/L51*L52)</f>
        <v>4837.5</v>
      </c>
      <c r="M85" s="1138" t="s">
        <v>139</v>
      </c>
      <c r="N85" s="1138"/>
      <c r="O85" s="1139"/>
      <c r="P85" s="27">
        <f>ROUND(IF(F85="",0,G82*F85/1000),2)</f>
        <v>0</v>
      </c>
    </row>
    <row r="86" spans="1:16" ht="15.75" customHeight="1" x14ac:dyDescent="0.2">
      <c r="A86" s="1142" t="s">
        <v>141</v>
      </c>
      <c r="B86" s="1143"/>
      <c r="C86" s="1143"/>
      <c r="D86" s="1144" t="s">
        <v>143</v>
      </c>
      <c r="E86" s="1144"/>
      <c r="F86" s="1145" t="str">
        <f>IF(IF(G82=0,"",'päd.Personal - Leitung'!$F$42)=0,"",IF(G82=0,"",'päd.Personal - Leitung'!$F$42))</f>
        <v/>
      </c>
      <c r="G86" s="1145"/>
      <c r="H86" s="72"/>
      <c r="I86" s="18"/>
      <c r="J86" s="195" t="s">
        <v>159</v>
      </c>
      <c r="K86" s="198">
        <f>$K$42</f>
        <v>6700</v>
      </c>
      <c r="L86" s="197">
        <f>IF(L51="",K86,K86/L51*L52)</f>
        <v>6700</v>
      </c>
      <c r="M86" s="1138" t="s">
        <v>141</v>
      </c>
      <c r="N86" s="1138"/>
      <c r="O86" s="1139"/>
      <c r="P86" s="23">
        <f>ROUND(IF(F86="",0,IF(G82=0,0,F86/L51*L52)),2)</f>
        <v>0</v>
      </c>
    </row>
    <row r="87" spans="1:16" ht="14.25" customHeight="1" x14ac:dyDescent="0.2">
      <c r="A87" s="18"/>
      <c r="B87" s="18"/>
      <c r="C87" s="18"/>
      <c r="D87" s="18"/>
      <c r="E87" s="18"/>
      <c r="F87" s="18"/>
      <c r="G87" s="18"/>
      <c r="H87" s="18"/>
      <c r="I87" s="18"/>
      <c r="J87" s="18"/>
      <c r="K87" s="74"/>
      <c r="L87" s="82"/>
      <c r="M87" s="1127" t="s">
        <v>146</v>
      </c>
      <c r="N87" s="1127"/>
      <c r="O87" s="1128"/>
      <c r="P87" s="23">
        <f>ROUND(IF(G82=0,0,$P$43),2)</f>
        <v>0</v>
      </c>
    </row>
    <row r="88" spans="1:16" ht="14.25" customHeight="1" x14ac:dyDescent="0.2">
      <c r="A88" s="1129" t="s">
        <v>142</v>
      </c>
      <c r="B88" s="1130"/>
      <c r="C88" s="133" t="s">
        <v>136</v>
      </c>
      <c r="D88" s="133" t="s">
        <v>137</v>
      </c>
      <c r="E88" s="1131" t="str">
        <f>IF(IF(G82=0,"",'päd.Personal - Leitung'!$E$44)=0,"",IF(G82=0,"",'päd.Personal - Leitung'!$E$44))</f>
        <v/>
      </c>
      <c r="F88" s="1131"/>
      <c r="G88" s="83" t="s">
        <v>138</v>
      </c>
      <c r="H88" s="97" t="str">
        <f>IF(IF(G82=0,"",'päd.Personal - Leitung'!$H$44)=0,"",IF(G82=0,"",'päd.Personal - Leitung'!$H$44))</f>
        <v/>
      </c>
      <c r="I88" s="1132" t="s">
        <v>144</v>
      </c>
      <c r="J88" s="1132"/>
      <c r="K88" s="98" t="str">
        <f>IF(IF(G82=0,"",'päd.Personal - Leitung'!$K$44)=0,"",IF(G82=0,"",'päd.Personal - Leitung'!$K$44))</f>
        <v/>
      </c>
      <c r="L88" s="29"/>
      <c r="M88" s="29"/>
      <c r="N88" s="29"/>
      <c r="O88" s="28" t="s">
        <v>0</v>
      </c>
      <c r="P88" s="27">
        <f>P82+SUM(P84:P87)</f>
        <v>0</v>
      </c>
    </row>
    <row r="89" spans="1:16" s="12" customFormat="1" ht="13.5" customHeight="1" x14ac:dyDescent="0.2">
      <c r="A89" s="1178" t="s">
        <v>18</v>
      </c>
      <c r="B89" s="1178"/>
      <c r="C89" s="1178"/>
      <c r="D89" s="1179" t="str">
        <f>IF($D$1="","",$D$1)</f>
        <v/>
      </c>
      <c r="E89" s="1179"/>
      <c r="F89" s="1179"/>
      <c r="G89" s="1179"/>
      <c r="H89" s="1179"/>
      <c r="I89" s="1179"/>
      <c r="J89" s="1179"/>
      <c r="K89" s="1179"/>
      <c r="L89" s="1179"/>
      <c r="M89" s="1179"/>
      <c r="N89" s="1179"/>
    </row>
    <row r="90" spans="1:16" s="12" customFormat="1" ht="15" customHeight="1" x14ac:dyDescent="0.2">
      <c r="A90" s="1178" t="s">
        <v>17</v>
      </c>
      <c r="B90" s="1178"/>
      <c r="C90" s="1178" t="s">
        <v>15</v>
      </c>
      <c r="D90" s="1179" t="str">
        <f>IF($D$2="","",$D$2)</f>
        <v/>
      </c>
      <c r="E90" s="1179"/>
      <c r="F90" s="1179"/>
      <c r="G90" s="1179"/>
      <c r="H90" s="1179"/>
      <c r="I90" s="1179"/>
      <c r="J90" s="1179"/>
      <c r="K90" s="1179"/>
      <c r="L90" s="1179"/>
      <c r="M90" s="1179"/>
      <c r="N90" s="1179"/>
    </row>
    <row r="91" spans="1:16" s="12" customFormat="1" ht="15" customHeight="1" x14ac:dyDescent="0.2">
      <c r="A91" s="1178" t="s">
        <v>16</v>
      </c>
      <c r="B91" s="1178"/>
      <c r="C91" s="1178" t="s">
        <v>15</v>
      </c>
      <c r="D91" s="1179" t="str">
        <f>IF($D$3="","",$D$3)</f>
        <v/>
      </c>
      <c r="E91" s="1179"/>
      <c r="F91" s="1179"/>
      <c r="G91" s="1179"/>
      <c r="H91" s="1179"/>
      <c r="I91" s="1179"/>
      <c r="J91" s="1179"/>
      <c r="K91" s="1178" t="s">
        <v>103</v>
      </c>
      <c r="L91" s="1178"/>
      <c r="M91" s="1178"/>
      <c r="N91" s="41" t="str">
        <f>IF($N$3="","",$N$3)</f>
        <v/>
      </c>
    </row>
    <row r="92" spans="1:16" s="13" customFormat="1" ht="11.25" x14ac:dyDescent="0.2">
      <c r="A92" s="1182"/>
      <c r="B92" s="1182"/>
      <c r="C92" s="1182"/>
      <c r="D92" s="1183"/>
      <c r="E92" s="1183"/>
      <c r="F92" s="1183"/>
      <c r="G92" s="1183"/>
      <c r="H92" s="1183"/>
      <c r="I92" s="1183"/>
      <c r="J92" s="1183"/>
      <c r="K92" s="11"/>
      <c r="L92" s="11"/>
      <c r="M92" s="11"/>
      <c r="N92" s="11"/>
      <c r="O92" s="11"/>
      <c r="P92" s="11"/>
    </row>
    <row r="93" spans="1:16" s="15" customFormat="1" ht="13.5" customHeight="1" x14ac:dyDescent="0.2">
      <c r="A93" s="1177" t="s">
        <v>118</v>
      </c>
      <c r="B93" s="1177"/>
      <c r="C93" s="1177"/>
      <c r="D93" s="1177"/>
      <c r="E93" s="1177"/>
      <c r="F93" s="1177"/>
      <c r="G93" s="1177"/>
      <c r="H93" s="1177"/>
      <c r="I93" s="1177"/>
      <c r="J93" s="1177"/>
      <c r="K93" s="9"/>
      <c r="L93" s="9"/>
      <c r="M93" s="9"/>
      <c r="N93" s="59" t="s">
        <v>154</v>
      </c>
      <c r="O93" s="191">
        <f>$O$5</f>
        <v>2022</v>
      </c>
      <c r="P93" s="59" t="s">
        <v>154</v>
      </c>
    </row>
    <row r="94" spans="1:16" s="10" customFormat="1" ht="13.5" customHeight="1" x14ac:dyDescent="0.25">
      <c r="B94" s="32"/>
      <c r="C94" s="32"/>
      <c r="D94" s="5" t="s">
        <v>213</v>
      </c>
      <c r="E94" s="31"/>
      <c r="F94" s="31"/>
      <c r="G94" s="31"/>
      <c r="H94" s="31"/>
      <c r="I94" s="26"/>
      <c r="J94" s="1174" t="s">
        <v>14</v>
      </c>
      <c r="K94" s="1174"/>
      <c r="L94" s="180"/>
      <c r="N94" s="84">
        <f>IF(L96="","",L96)</f>
        <v>0</v>
      </c>
      <c r="O94" s="58" t="str">
        <f>$O$6</f>
        <v>Jan                Jul</v>
      </c>
      <c r="P94" s="85">
        <f>IF(N99="","",N99)</f>
        <v>0</v>
      </c>
    </row>
    <row r="95" spans="1:16" s="7" customFormat="1" ht="13.5" customHeight="1" x14ac:dyDescent="0.25">
      <c r="A95" s="1180" t="s">
        <v>71</v>
      </c>
      <c r="B95" s="1180"/>
      <c r="C95" s="1180"/>
      <c r="D95" s="1184"/>
      <c r="E95" s="1184"/>
      <c r="F95" s="1184"/>
      <c r="G95" s="1184"/>
      <c r="H95" s="1184"/>
      <c r="I95" s="1184"/>
      <c r="J95" s="1174" t="s">
        <v>104</v>
      </c>
      <c r="K95" s="1174"/>
      <c r="L95" s="145"/>
      <c r="N95" s="85">
        <f>IF(N94="","",N94)</f>
        <v>0</v>
      </c>
      <c r="O95" s="58" t="str">
        <f>$O$7</f>
        <v>Feb              Aug</v>
      </c>
      <c r="P95" s="85">
        <f>IF(P94="","",P94)</f>
        <v>0</v>
      </c>
    </row>
    <row r="96" spans="1:16" ht="13.5" customHeight="1" x14ac:dyDescent="0.2">
      <c r="A96" s="1180" t="s">
        <v>13</v>
      </c>
      <c r="B96" s="1180"/>
      <c r="C96" s="1180"/>
      <c r="D96" s="1181"/>
      <c r="E96" s="1181"/>
      <c r="F96" s="1181"/>
      <c r="G96" s="1181"/>
      <c r="H96" s="1181"/>
      <c r="I96" s="1181"/>
      <c r="J96" s="1174" t="s">
        <v>164</v>
      </c>
      <c r="K96" s="1174"/>
      <c r="L96" s="145">
        <f>IF((L97+L98)&gt;L95,0,L95-L97-L98)</f>
        <v>0</v>
      </c>
      <c r="N96" s="85">
        <f>IF(N95="","",N95)</f>
        <v>0</v>
      </c>
      <c r="O96" s="58" t="str">
        <f>$O$8</f>
        <v>Mrz              Sep</v>
      </c>
      <c r="P96" s="85">
        <f>IF(P95="","",P95)</f>
        <v>0</v>
      </c>
    </row>
    <row r="97" spans="1:16" ht="13.5" customHeight="1" x14ac:dyDescent="0.2">
      <c r="A97" s="1180" t="s">
        <v>12</v>
      </c>
      <c r="B97" s="1180"/>
      <c r="C97" s="1180"/>
      <c r="D97" s="1181"/>
      <c r="E97" s="1181"/>
      <c r="F97" s="1181"/>
      <c r="G97" s="1181"/>
      <c r="H97" s="1181"/>
      <c r="I97" s="1181"/>
      <c r="J97" s="1174" t="s">
        <v>165</v>
      </c>
      <c r="K97" s="1174"/>
      <c r="L97" s="145"/>
      <c r="N97" s="85">
        <f>IF(N96="","",N96)</f>
        <v>0</v>
      </c>
      <c r="O97" s="58" t="str">
        <f>$O$9</f>
        <v>Apr               Okt</v>
      </c>
      <c r="P97" s="85">
        <f t="shared" ref="P97:P99" si="10">IF(P96="","",P96)</f>
        <v>0</v>
      </c>
    </row>
    <row r="98" spans="1:16" ht="13.5" customHeight="1" x14ac:dyDescent="0.2">
      <c r="A98" s="1180" t="s">
        <v>19</v>
      </c>
      <c r="B98" s="1180"/>
      <c r="C98" s="1180"/>
      <c r="D98" s="1181"/>
      <c r="E98" s="1181"/>
      <c r="F98" s="1181"/>
      <c r="G98" s="1181"/>
      <c r="H98" s="1181"/>
      <c r="I98" s="1181"/>
      <c r="J98" s="1174" t="s">
        <v>252</v>
      </c>
      <c r="K98" s="1174"/>
      <c r="L98" s="145"/>
      <c r="M98" s="92"/>
      <c r="N98" s="85">
        <f>IF(N97="","",N97)</f>
        <v>0</v>
      </c>
      <c r="O98" s="58" t="str">
        <f>$O$10</f>
        <v>Mai               Nov</v>
      </c>
      <c r="P98" s="85">
        <f t="shared" si="10"/>
        <v>0</v>
      </c>
    </row>
    <row r="99" spans="1:16" ht="13.5" customHeight="1" x14ac:dyDescent="0.2">
      <c r="B99" s="8"/>
      <c r="C99" s="132" t="s">
        <v>162</v>
      </c>
      <c r="D99" s="1175"/>
      <c r="E99" s="1175"/>
      <c r="F99" s="1176" t="s">
        <v>106</v>
      </c>
      <c r="G99" s="1176"/>
      <c r="H99" s="1186"/>
      <c r="I99" s="1186"/>
      <c r="J99" s="1174" t="s">
        <v>97</v>
      </c>
      <c r="K99" s="1174"/>
      <c r="L99" s="17" t="str">
        <f>IF(IF((COUNTIF(B114:B125,"&gt;0"))=0,0,(COUNTIF(B114:B125,"&gt;0")))&gt;Grundlagen!$C$24,Grundlagen!$C$24,IF((COUNTIF(B114:B125,"&gt;0"))=0,"",(COUNTIF(B114:B125,"&gt;0"))))</f>
        <v/>
      </c>
      <c r="N99" s="85">
        <f>IF(N98="","",N98)</f>
        <v>0</v>
      </c>
      <c r="O99" s="58" t="str">
        <f>'päd.Personal - Leitung'!$O$11</f>
        <v>Jun               Dez</v>
      </c>
      <c r="P99" s="85">
        <f t="shared" si="10"/>
        <v>0</v>
      </c>
    </row>
    <row r="100" spans="1:16" ht="13.5" customHeight="1" x14ac:dyDescent="0.2">
      <c r="F100" s="1176"/>
      <c r="G100" s="1176"/>
      <c r="H100" s="1237"/>
      <c r="I100" s="1237"/>
      <c r="L100" s="147" t="str">
        <f>IF((SUM(F102:F105))=0,"",IF(P100&gt;L96,L96,IF(L96="","",IF(L99="","",P100))))</f>
        <v/>
      </c>
      <c r="O100" s="174" t="s">
        <v>251</v>
      </c>
      <c r="P100" s="175">
        <f>IF(L99="",0,((IF(SUMIF(B114,"&gt;0"),N94,0))+(IF(SUMIF(B115,"&gt;0"),N95,0))+(IF(SUMIF(B116,"&gt;0"),N96,0))+(IF(SUMIF(B117,"&gt;0"),N97,0))+(IF(SUMIF(B118,"&gt;0"),N98,0))+(IF(SUMIF(B119,"&gt;0"),N99,0))+(IF(SUMIF(B120,"&gt;0"),P94,0))+(IF(SUMIF(B121,"&gt;0"),P95,0))+(IF(SUMIF(B122,"&gt;0"),P96,0))+(IF(SUMIF(B123,"&gt;0"),P97,0))+(IF(SUMIF(B124,"&gt;0"),P98,0))+(IF(SUMIF(B125,"&gt;0"),P99,0)))/Grundlagen!$C$24)</f>
        <v>0</v>
      </c>
    </row>
    <row r="101" spans="1:16" s="52" customFormat="1" ht="13.5" customHeight="1" x14ac:dyDescent="0.2">
      <c r="A101" s="61" t="s">
        <v>148</v>
      </c>
      <c r="B101" s="1168" t="s">
        <v>149</v>
      </c>
      <c r="C101" s="1168"/>
      <c r="D101" s="62" t="s">
        <v>150</v>
      </c>
      <c r="E101" s="63" t="s">
        <v>151</v>
      </c>
      <c r="F101" s="64" t="str">
        <f>CONCATENATE("Entg. ",N91," h/Wo")</f>
        <v>Entg.  h/Wo</v>
      </c>
      <c r="G101" s="65" t="s">
        <v>152</v>
      </c>
      <c r="H101" s="65" t="s">
        <v>153</v>
      </c>
      <c r="K101" s="1169" t="str">
        <f>CONCATENATE("Zuschläge / Zulagen für ",N91,"h/Wo")</f>
        <v>Zuschläge / Zulagen für h/Wo</v>
      </c>
      <c r="L101" s="1169"/>
      <c r="M101" s="66" t="str">
        <f>IF(A102="","",A102)</f>
        <v>Jan 2022</v>
      </c>
      <c r="N101" s="66" t="str">
        <f>IF(A103="","",A103)</f>
        <v/>
      </c>
      <c r="O101" s="66" t="str">
        <f>IF(A104="","",A104)</f>
        <v/>
      </c>
      <c r="P101" s="66" t="str">
        <f>IF(A105="","",A105)</f>
        <v/>
      </c>
    </row>
    <row r="102" spans="1:16" s="52" customFormat="1" ht="13.5" customHeight="1" x14ac:dyDescent="0.25">
      <c r="A102" s="54" t="str">
        <f>A114</f>
        <v>Jan 2022</v>
      </c>
      <c r="B102" s="1198"/>
      <c r="C102" s="1199"/>
      <c r="D102" s="181"/>
      <c r="E102" s="181"/>
      <c r="F102" s="87"/>
      <c r="G102" s="56">
        <f>IF(N91="",0,F102/N91/4.348)</f>
        <v>0</v>
      </c>
      <c r="H102" s="53">
        <f>IF(G102=0,0,M107)</f>
        <v>0</v>
      </c>
      <c r="K102" s="1146"/>
      <c r="L102" s="1146"/>
      <c r="M102" s="86"/>
      <c r="N102" s="86"/>
      <c r="O102" s="86"/>
      <c r="P102" s="86"/>
    </row>
    <row r="103" spans="1:16" s="52" customFormat="1" ht="13.5" customHeight="1" x14ac:dyDescent="0.25">
      <c r="A103" s="55"/>
      <c r="B103" s="1172" t="str">
        <f>IF(A103="","",B102)</f>
        <v/>
      </c>
      <c r="C103" s="1173"/>
      <c r="D103" s="181"/>
      <c r="E103" s="181"/>
      <c r="F103" s="87"/>
      <c r="G103" s="56">
        <f>IF(N91="",0,F103/N91/4.348)</f>
        <v>0</v>
      </c>
      <c r="H103" s="53">
        <f>IF(G103=0,0,N107)</f>
        <v>0</v>
      </c>
      <c r="K103" s="1146"/>
      <c r="L103" s="1146"/>
      <c r="M103" s="86"/>
      <c r="N103" s="86"/>
      <c r="O103" s="86"/>
      <c r="P103" s="86"/>
    </row>
    <row r="104" spans="1:16" s="52" customFormat="1" ht="13.5" customHeight="1" x14ac:dyDescent="0.25">
      <c r="A104" s="55"/>
      <c r="B104" s="1172" t="str">
        <f>IF(A104="","",B103)</f>
        <v/>
      </c>
      <c r="C104" s="1173"/>
      <c r="D104" s="181"/>
      <c r="E104" s="181"/>
      <c r="F104" s="87"/>
      <c r="G104" s="56">
        <f>IF(N91="",0,F104/N91/4.348)</f>
        <v>0</v>
      </c>
      <c r="H104" s="53">
        <f>IF(G104=0,0,O107)</f>
        <v>0</v>
      </c>
      <c r="K104" s="1146"/>
      <c r="L104" s="1146"/>
      <c r="M104" s="86"/>
      <c r="N104" s="86"/>
      <c r="O104" s="86"/>
      <c r="P104" s="86"/>
    </row>
    <row r="105" spans="1:16" s="52" customFormat="1" ht="13.5" customHeight="1" x14ac:dyDescent="0.25">
      <c r="A105" s="55"/>
      <c r="B105" s="1172" t="str">
        <f>IF(A105="","",B104)</f>
        <v/>
      </c>
      <c r="C105" s="1173"/>
      <c r="D105" s="181"/>
      <c r="E105" s="181"/>
      <c r="F105" s="87"/>
      <c r="G105" s="56">
        <f>IF(N91="",0,F105/N91/4.348)</f>
        <v>0</v>
      </c>
      <c r="H105" s="53">
        <f>IF(G105=0,0,P107)</f>
        <v>0</v>
      </c>
      <c r="K105" s="1146"/>
      <c r="L105" s="1146"/>
      <c r="M105" s="86"/>
      <c r="N105" s="86"/>
      <c r="O105" s="86"/>
      <c r="P105" s="86"/>
    </row>
    <row r="106" spans="1:16" s="52" customFormat="1" ht="13.5" customHeight="1" x14ac:dyDescent="0.25">
      <c r="B106" s="1167" t="s">
        <v>157</v>
      </c>
      <c r="C106" s="1167"/>
      <c r="E106" s="1167" t="s">
        <v>156</v>
      </c>
      <c r="F106" s="1167"/>
      <c r="J106" s="69"/>
      <c r="K106" s="1146"/>
      <c r="L106" s="1146"/>
      <c r="M106" s="86"/>
      <c r="N106" s="86"/>
      <c r="O106" s="86"/>
      <c r="P106" s="86"/>
    </row>
    <row r="107" spans="1:16" s="52" customFormat="1" ht="13.5" customHeight="1" x14ac:dyDescent="0.25">
      <c r="A107" s="70" t="s">
        <v>167</v>
      </c>
      <c r="B107" s="67"/>
      <c r="C107" s="99" t="str">
        <f>IF(C63="","",C63)</f>
        <v/>
      </c>
      <c r="D107" s="70" t="s">
        <v>167</v>
      </c>
      <c r="E107" s="67"/>
      <c r="F107" s="99" t="str">
        <f>IF(F63="","",F63)</f>
        <v/>
      </c>
      <c r="J107" s="68"/>
      <c r="M107" s="57">
        <f>SUM(M102:M106)</f>
        <v>0</v>
      </c>
      <c r="N107" s="57">
        <f t="shared" ref="N107:P107" si="11">SUM(N102:N106)</f>
        <v>0</v>
      </c>
      <c r="O107" s="57">
        <f t="shared" si="11"/>
        <v>0</v>
      </c>
      <c r="P107" s="57">
        <f t="shared" si="11"/>
        <v>0</v>
      </c>
    </row>
    <row r="108" spans="1:16" s="52" customFormat="1" ht="13.5" customHeight="1" x14ac:dyDescent="0.2">
      <c r="A108" s="60" t="s">
        <v>155</v>
      </c>
    </row>
    <row r="109" spans="1:16" ht="14.25" customHeight="1" x14ac:dyDescent="0.2">
      <c r="A109" s="1147"/>
      <c r="B109" s="1149" t="s">
        <v>9</v>
      </c>
      <c r="C109" s="1150"/>
      <c r="D109" s="1150"/>
      <c r="E109" s="1150"/>
      <c r="F109" s="1150"/>
      <c r="G109" s="1151"/>
      <c r="H109" s="1152" t="s">
        <v>119</v>
      </c>
      <c r="I109" s="1153"/>
      <c r="J109" s="1153"/>
      <c r="K109" s="1153"/>
      <c r="L109" s="1153"/>
      <c r="M109" s="1153"/>
      <c r="N109" s="1153"/>
      <c r="O109" s="33"/>
      <c r="P109" s="1154" t="s">
        <v>0</v>
      </c>
    </row>
    <row r="110" spans="1:16" ht="14.25" customHeight="1" x14ac:dyDescent="0.2">
      <c r="A110" s="1148"/>
      <c r="B110" s="1157" t="s">
        <v>117</v>
      </c>
      <c r="C110" s="130" t="s">
        <v>115</v>
      </c>
      <c r="D110" s="1159" t="s">
        <v>277</v>
      </c>
      <c r="E110" s="1161" t="s">
        <v>147</v>
      </c>
      <c r="F110" s="134" t="s">
        <v>7</v>
      </c>
      <c r="G110" s="1162" t="s">
        <v>6</v>
      </c>
      <c r="H110" s="1161" t="s">
        <v>129</v>
      </c>
      <c r="I110" s="1161" t="s">
        <v>5</v>
      </c>
      <c r="J110" s="1161" t="s">
        <v>4</v>
      </c>
      <c r="K110" s="1161" t="s">
        <v>3</v>
      </c>
      <c r="L110" s="1161" t="s">
        <v>121</v>
      </c>
      <c r="M110" s="1161" t="s">
        <v>122</v>
      </c>
      <c r="N110" s="1161" t="s">
        <v>123</v>
      </c>
      <c r="O110" s="1160" t="s">
        <v>114</v>
      </c>
      <c r="P110" s="1155"/>
    </row>
    <row r="111" spans="1:16" ht="14.25" customHeight="1" x14ac:dyDescent="0.2">
      <c r="A111" s="1148"/>
      <c r="B111" s="1157"/>
      <c r="C111" s="21" t="str">
        <f>IF(C107="","",C107)</f>
        <v/>
      </c>
      <c r="D111" s="1160"/>
      <c r="E111" s="1161"/>
      <c r="F111" s="1165" t="str">
        <f>IF(H102=0,"","siehe Zuschläge / Zulagen")</f>
        <v/>
      </c>
      <c r="G111" s="1162"/>
      <c r="H111" s="1164" t="s">
        <v>127</v>
      </c>
      <c r="I111" s="1164"/>
      <c r="J111" s="1164"/>
      <c r="K111" s="1164"/>
      <c r="L111" s="1164"/>
      <c r="M111" s="1164"/>
      <c r="N111" s="1164"/>
      <c r="O111" s="1160"/>
      <c r="P111" s="1155"/>
    </row>
    <row r="112" spans="1:16" x14ac:dyDescent="0.2">
      <c r="A112" s="1148"/>
      <c r="B112" s="1157"/>
      <c r="C112" s="128" t="s">
        <v>70</v>
      </c>
      <c r="D112" s="1160"/>
      <c r="E112" s="1161"/>
      <c r="F112" s="1165"/>
      <c r="G112" s="1162"/>
      <c r="H112" s="43" t="s">
        <v>128</v>
      </c>
      <c r="I112" s="43" t="s">
        <v>255</v>
      </c>
      <c r="J112" s="43" t="s">
        <v>256</v>
      </c>
      <c r="K112" s="43" t="s">
        <v>257</v>
      </c>
      <c r="L112" s="43"/>
      <c r="M112" s="43"/>
      <c r="N112" s="43" t="s">
        <v>254</v>
      </c>
      <c r="O112" s="1160"/>
      <c r="P112" s="1155"/>
    </row>
    <row r="113" spans="1:16" x14ac:dyDescent="0.2">
      <c r="A113" s="1148"/>
      <c r="B113" s="1158"/>
      <c r="C113" s="21" t="str">
        <f>IF(F107="","",F107)</f>
        <v/>
      </c>
      <c r="D113" s="51"/>
      <c r="E113" s="51"/>
      <c r="F113" s="1166"/>
      <c r="G113" s="1163"/>
      <c r="H113" s="93"/>
      <c r="I113" s="139">
        <f>$I$25</f>
        <v>0</v>
      </c>
      <c r="J113" s="139">
        <f>$J$25</f>
        <v>0</v>
      </c>
      <c r="K113" s="44">
        <f>$K$25</f>
        <v>0</v>
      </c>
      <c r="L113" s="21"/>
      <c r="M113" s="21"/>
      <c r="N113" s="139">
        <f>$N$25</f>
        <v>0</v>
      </c>
      <c r="O113" s="21">
        <f>O69</f>
        <v>0</v>
      </c>
      <c r="P113" s="1156"/>
    </row>
    <row r="114" spans="1:16" x14ac:dyDescent="0.2">
      <c r="A114" s="100" t="str">
        <f>$A$26</f>
        <v>Jan 2022</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76">
        <f>ROUND(IF((SUM(B114:F114))&gt;L129,L129*H113,SUM(B114:F114)*H113),2)</f>
        <v>0</v>
      </c>
      <c r="I114" s="76">
        <f>ROUND(IF((SUM(B114:F114))&gt;L130,L130*I113,SUM(B114:F114)*I113),2)</f>
        <v>0</v>
      </c>
      <c r="J114" s="76">
        <f>ROUND(IF((SUM(B114:F114))&gt;L130,L130*J113,SUM(B114:F114)*J113),2)</f>
        <v>0</v>
      </c>
      <c r="K114" s="76">
        <f>ROUND(IF((SUM(B114:F114))&gt;L129,L129*K113,SUM(B114:F114)*K113),2)</f>
        <v>0</v>
      </c>
      <c r="L114" s="76">
        <f>ROUND(IF((SUM(B114:F114))&gt;L130,L130*L113,(SUM(B114:F114)-C114)*L113),2)</f>
        <v>0</v>
      </c>
      <c r="M114" s="76">
        <f>ROUND(IF((SUM(B114:F114))&gt;L130,L130*M113,(SUM(B114:F114)-C114)*M113),2)</f>
        <v>0</v>
      </c>
      <c r="N114" s="76">
        <f>ROUND(IF((SUM(B114:F114))&gt;L130,L130*N113,SUM(B114:F114)*N113),2)</f>
        <v>0</v>
      </c>
      <c r="O114" s="23">
        <f>ROUND(SUM(B114+C114+F114)*O113,2)</f>
        <v>0</v>
      </c>
      <c r="P114" s="27">
        <f>SUM(G114:O114)</f>
        <v>0</v>
      </c>
    </row>
    <row r="115" spans="1:16" x14ac:dyDescent="0.2">
      <c r="A115" s="100" t="str">
        <f>$A$27</f>
        <v>Feb 2022</v>
      </c>
      <c r="B115" s="24">
        <f>ROUND(IF(N95=0,0,IFERROR(((LOOKUP(2,1/(A102:A105=A115),G102:G105))*N95*4.348),B114/N95*N95)),2)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ROUND(IF(N95=0,0,IFERROR(((LOOKUP(2,1/(A102:A105=A115),H102:H105))/N91*N95),F114/N95*N95)),2)</f>
        <v>0</v>
      </c>
      <c r="G115" s="27">
        <f t="shared" ref="G115:G125" si="12">SUM(B115+C115+E115+F115)</f>
        <v>0</v>
      </c>
      <c r="H115" s="76">
        <f>ROUND(IF(SUM(B114:F114)&lt;(L129*1),IF((SUM(B114:F115))&gt;(L129*2),(((L129*2)-(SUM(B114:F115)-C114))*H113)+((SUM(B115:F115)-C114)*H113),SUM(B115:F115)*H113),IF(SUM(B114:F115)&gt;(L129*2),L129*H113,SUM(B115:F115)*H113)),2)</f>
        <v>0</v>
      </c>
      <c r="I115" s="76">
        <f>ROUND(IF(SUM(B114:F114)&lt;(L130*1),IF((SUM(B114:F115))&gt;(L130*2),(((L130*2)-(SUM(B114:F115)-C114))*I113)+((SUM(B115:F115)-C114)*I113),SUM(B115:F115)*I113),IF(SUM(B114:F115)&gt;(L130*2),L130*I113,SUM(B115:F115)*I113)),2)</f>
        <v>0</v>
      </c>
      <c r="J115" s="76">
        <f>ROUND(IF(SUM(B114:F114)&lt;(L130*1),IF((SUM(B114:F115))&gt;(L130*2),(((L130*2)-(SUM(B114:F115)-C114))*J113)+((SUM(B115:F115)-C114)*J113),SUM(B115:F115)*J113),IF(SUM(B114:F115)&gt;(L130*2),L130*J113,SUM(B115:F115)*J113)),2)</f>
        <v>0</v>
      </c>
      <c r="K115" s="76">
        <f>ROUND(IF(SUM(B114:F114)&lt;(L129*1),IF((SUM(B114:F115))&gt;(L129*2),(((L129*2)-(SUM(B114:F115)-C114))*K113)+((SUM(B115:F115)-C114)*K113),SUM(B115:F115)*K113),IF(SUM(B114:F115)&gt;(L129*2),L129*K113,SUM(B115:F115)*K113)),2)</f>
        <v>0</v>
      </c>
      <c r="L115" s="76">
        <f>ROUND(IF(SUM(B114:F114)&lt;(L130*1),IF((SUM(B114:F115))&gt;(L130*2),(((L130*2)-(SUM(B114:F115)-C115))*L113)+((SUM(B115:F115)-C115)*L113),(SUM(B115:F115)-C115)*L113),IF(SUM(B114:F115)&gt;(L130*2),L130*L113,SUM(B115:F115)*L113)),2)</f>
        <v>0</v>
      </c>
      <c r="M115" s="76">
        <f>ROUND(IF(SUM(B114:F114)&lt;(L130*1),IF((SUM(B114:F115))&gt;(L130*2),(((L130*2)-(SUM(B114:F115)-C115))*M113)+((SUM(B115:F115)-C115)*M113),(SUM(B115:F115)-C115)*M113),IF(SUM(B114:F115)&gt;(L130*2),L130*M113,SUM(B115:F115)*M113)),2)</f>
        <v>0</v>
      </c>
      <c r="N115" s="76">
        <f>ROUND(IF(SUM(B114:F114)&lt;(L130*1),IF((SUM(B114:F115))&gt;(L130*2),(((L130*2)-(SUM(B114:F115)-C114))*N113)+((SUM(B115:F115)-C114)*N113),SUM(B115:F115)*N113),IF(SUM(B114:F115)&gt;(L130*2),L130*N113,SUM(B115:F115)*N113)),2)</f>
        <v>0</v>
      </c>
      <c r="O115" s="23">
        <f>ROUND(SUM(B115+C115+F115)*O113,2)</f>
        <v>0</v>
      </c>
      <c r="P115" s="27">
        <f>SUM(G115:O115)</f>
        <v>0</v>
      </c>
    </row>
    <row r="116" spans="1:16" x14ac:dyDescent="0.2">
      <c r="A116" s="100" t="str">
        <f>$A$28</f>
        <v>Mrz 2022</v>
      </c>
      <c r="B116" s="24">
        <f>ROUND(IF(N96=0,0,IFERROR(((LOOKUP(2,1/(A102:A105=A116),G102:G105))*N96*4.348),B115/N96*N96)),2)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ROUND(IF(N96=0,0,IFERROR(((LOOKUP(2,1/(A102:A105=A116),H102:H105))/N91*N96),F115/N96*N96)),2)</f>
        <v>0</v>
      </c>
      <c r="G116" s="27">
        <f t="shared" si="12"/>
        <v>0</v>
      </c>
      <c r="H116" s="76">
        <f>ROUND(IF(SUM(B114:F115)&lt;(L129*2),IF((SUM(B114:F116))&gt;(L129*3),(((L129*3)-(SUM(B114:F116)-C115))*H113)+((SUM(B116:F116)-C115)*H113),SUM(B116:F116)*H113),IF(SUM(B114:F116)&gt;(L129*3),L129*H113,SUM(B116:F116)*H113)),2)</f>
        <v>0</v>
      </c>
      <c r="I116" s="76">
        <f>ROUND(IF(SUM(B114:F115)&lt;(L130*2),IF((SUM(B114:F116))&gt;(L130*3),(((L130*3)-(SUM(B114:F116)-C115))*I113)+((SUM(B116:F116)-C115)*I113),SUM(B116:F116)*I113),IF(SUM(B114:F116)&gt;(L130*3),L130*I113,SUM(B116:F116)*I113)),2)</f>
        <v>0</v>
      </c>
      <c r="J116" s="76">
        <f>ROUND(IF(SUM(B114:F115)&lt;(L130*2),IF((SUM(B114:F116))&gt;(L130*3),(((L130*3)-(SUM(B114:F116)-C115))*J113)+((SUM(B116:F116)-C115)*J113),SUM(B116:F116)*J113),IF(SUM(B114:F116)&gt;(L130*3),L130*J113,SUM(B116:F116)*J113)),2)</f>
        <v>0</v>
      </c>
      <c r="K116" s="76">
        <f>ROUND(IF(SUM(B114:F115)&lt;(L129*2),IF((SUM(B114:F116))&gt;(L129*3),(((L129*3)-(SUM(B114:F116)-C115))*K113)+((SUM(B116:F116)-C115)*K113),SUM(B116:F116)*K113),IF(SUM(B114:F116)&gt;(L129*3),L129*K113,SUM(B116:F116)*K113)),2)</f>
        <v>0</v>
      </c>
      <c r="L116" s="76">
        <f>ROUND(IF(SUM(B114:F115)&lt;(L130*2),IF((SUM(B114:F116))&gt;(L130*3),(((L130*3)-(SUM(B114:F116)-C116))*L113)+((SUM(B116:F116)-C116)*L113),(SUM(B116:F116)-C116)*L113),IF(SUM(B114:F116)&gt;(L130*3),L130*L113,SUM(B116:F116)*L113)),2)</f>
        <v>0</v>
      </c>
      <c r="M116" s="76">
        <f>ROUND(IF(SUM(B114:F115)&lt;(L130*2),IF((SUM(B114:F116))&gt;(L130*3),(((L130*3)-(SUM(B114:F116)-C116))*M113)+((SUM(B116:F116)-C116)*M113),(SUM(B116:F116)-C116)*M113),IF(SUM(B114:F116)&gt;(L130*3),L130*M113,SUM(B116:F116)*M113)),2)</f>
        <v>0</v>
      </c>
      <c r="N116" s="76">
        <f>ROUND(IF(SUM(B114:F115)&lt;(L130*2),IF((SUM(B114:F116))&gt;(L130*3),(((L130*3)-(SUM(B114:F116)-C115))*N113)+((SUM(B116:F116)-C115)*N113),SUM(B116:F116)*N113),IF(SUM(B114:F116)&gt;(L130*3),L130*N113,SUM(B116:F116)*N113)),2)</f>
        <v>0</v>
      </c>
      <c r="O116" s="23">
        <f>ROUND(SUM(B116+C116+F116)*O113,2)</f>
        <v>0</v>
      </c>
      <c r="P116" s="27">
        <f t="shared" ref="P116:P125" si="13">SUM(G116:O116)</f>
        <v>0</v>
      </c>
    </row>
    <row r="117" spans="1:16" x14ac:dyDescent="0.2">
      <c r="A117" s="100" t="str">
        <f>$A$29</f>
        <v>Apr 2022</v>
      </c>
      <c r="B117" s="24">
        <f>ROUND(IF(N97=0,0,IFERROR(((LOOKUP(2,1/(A102:A105=A117),G102:G105))*N97*4.348),B116/N97*N97)),2)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ROUND(IF(N97=0,0,IFERROR(((LOOKUP(2,1/(A102:A105=A117),H102:H105))/N91*N97),F116/N97*N97)),2)</f>
        <v>0</v>
      </c>
      <c r="G117" s="27">
        <f t="shared" si="12"/>
        <v>0</v>
      </c>
      <c r="H117" s="76">
        <f>ROUND(IF(SUM(B114:F116)&lt;(L129*3),IF((SUM(B114:F117))&gt;(L129*4),(((L129*4)-(SUM(B114:F117)-C116))*H113)+((SUM(B117:F117)-C116)*H113),SUM(B117:F117)*H113),IF(SUM(B114:F117)&gt;(L129*4),L129*H113,SUM(B117:F117)*H113)),2)</f>
        <v>0</v>
      </c>
      <c r="I117" s="76">
        <f>ROUND(IF(SUM(B114:F116)&lt;(L130*3),IF((SUM(B114:F117))&gt;(L130*4),(((L130*4)-(SUM(B114:F117)-C116))*I113)+((SUM(B117:F117)-C116)*I113),SUM(B117:F117)*I113),IF(SUM(B114:F117)&gt;(L130*4),L130*I113,SUM(B117:F117)*I113)),2)</f>
        <v>0</v>
      </c>
      <c r="J117" s="76">
        <f>ROUND(IF(SUM(B114:F116)&lt;(L130*3),IF((SUM(B114:F117))&gt;(L130*4),(((L130*4)-(SUM(B114:F117)-C116))*J113)+((SUM(B117:F117)-C116)*J113),SUM(B117:F117)*J113),IF(SUM(B114:F117)&gt;(L130*4),L130*J113,SUM(B117:F117)*J113)),2)</f>
        <v>0</v>
      </c>
      <c r="K117" s="76">
        <f>ROUND(IF(SUM(B114:F116)&lt;(L129*3),IF((SUM(B114:F117))&gt;(L129*4),(((L129*4)-(SUM(B114:F117)-C116))*K113)+((SUM(B117:F117)-C116)*K113),SUM(B117:F117)*K113),IF(SUM(B114:F117)&gt;(L129*4),L129*K113,SUM(B117:F117)*K113)),2)</f>
        <v>0</v>
      </c>
      <c r="L117" s="76">
        <f>ROUND(IF(SUM(B114:F116)&lt;(L130*3),IF((SUM(B114:F117))&gt;(L130*4),(((L130*4)-(SUM(B114:F117)-C117))*L113)+((SUM(B117:F117)-C117)*L113),(SUM(B117:F117)-C117)*L113),IF(SUM(B114:F117)&gt;(L130*4),L130*L113,SUM(B117:F117)*L113)),2)</f>
        <v>0</v>
      </c>
      <c r="M117" s="76">
        <f>ROUND(IF(SUM(B114:F116)&lt;(L130*3),IF((SUM(B114:F117))&gt;(L130*4),(((L130*4)-(SUM(B114:F117)-C117))*M113)+((SUM(B117:F117)-C117)*M113),(SUM(B117:F117)-C117)*M113),IF(SUM(B114:F117)&gt;(L130*4),L130*M113,SUM(B117:F117)*M113)),2)</f>
        <v>0</v>
      </c>
      <c r="N117" s="76">
        <f>ROUND(IF(SUM(B114:F116)&lt;(L130*3),IF((SUM(B114:F117))&gt;(L130*4),(((L130*4)-(SUM(B114:F117)-C116))*N113)+((SUM(B117:F117)-C116)*N113),SUM(B117:F117)*N113),IF(SUM(B114:F117)&gt;(L130*4),L130*N113,SUM(B117:F117)*N113)),2)</f>
        <v>0</v>
      </c>
      <c r="O117" s="23">
        <f>ROUND(SUM(B117+C117+F117)*O113,2)</f>
        <v>0</v>
      </c>
      <c r="P117" s="27">
        <f t="shared" si="13"/>
        <v>0</v>
      </c>
    </row>
    <row r="118" spans="1:16" x14ac:dyDescent="0.2">
      <c r="A118" s="100" t="str">
        <f>$A$30</f>
        <v>Mai 2022</v>
      </c>
      <c r="B118" s="24">
        <f>ROUND(IF(N98=0,0,IFERROR(((LOOKUP(2,1/(A102:A105=A118),G102:G105))*N98*4.348),B117/N98*N98)),2)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ROUND(IF(N98=0,0,IFERROR(((LOOKUP(2,1/(A102:A105=A118),H102:H105))/N91*N98),F117/N98*N98)),2)</f>
        <v>0</v>
      </c>
      <c r="G118" s="27">
        <f t="shared" si="12"/>
        <v>0</v>
      </c>
      <c r="H118" s="76">
        <f>ROUND(IF(SUM(B114:F117)&lt;(L129*4),IF((SUM(B114:F118))&gt;(L129*5),(((L129*5)-(SUM(B114:F118)-C117))*H113)+((SUM(B118:F118)-C117)*H113),SUM(B118:F118)*H113),IF(SUM(B114:F118)&gt;(L129*5),L129*H113,SUM(B118:F118)*H113)),2)</f>
        <v>0</v>
      </c>
      <c r="I118" s="76">
        <f>ROUND(IF(SUM(B114:F117)&lt;(L130*4),IF((SUM(B114:F118))&gt;(L130*5),(((L130*5)-(SUM(B114:F118)-C117))*I113)+((SUM(B118:F118)-C117)*I113),SUM(B118:F118)*I113),IF(SUM(B114:F118)&gt;(L130*5),L130*I113,SUM(B118:F118)*I113)),2)</f>
        <v>0</v>
      </c>
      <c r="J118" s="76">
        <f>ROUND(IF(SUM(B114:F117)&lt;(L130*4),IF((SUM(B114:F118))&gt;(L130*5),(((L130*5)-(SUM(B114:F118)-C117))*J113)+((SUM(B118:F118)-C117)*J113),SUM(B118:F118)*J113),IF(SUM(B114:F118)&gt;(L130*5),L130*J113,SUM(B118:F118)*J113)),2)</f>
        <v>0</v>
      </c>
      <c r="K118" s="76">
        <f>ROUND(IF(SUM(B114:F117)&lt;(L129*4),IF((SUM(B114:F118))&gt;(L129*5),(((L129*5)-(SUM(B114:F118)-C117))*K113)+((SUM(B118:F118)-C117)*K113),SUM(B118:F118)*K113),IF(SUM(B114:F118)&gt;(L129*5),L129*K113,SUM(B118:F118)*K113)),2)</f>
        <v>0</v>
      </c>
      <c r="L118" s="76">
        <f>ROUND(IF(SUM(B114:F117)&lt;(L130*4),IF((SUM(B114:F118))&gt;(L130*5),(((L130*5)-(SUM(B114:F118)-C118))*L113)+((SUM(B118:F118)-C118)*L113),(SUM(B118:F118)-C118)*L113),IF(SUM(B114:F118)&gt;(L130*5),L130*L113,SUM(B118:F118)*L113)),2)</f>
        <v>0</v>
      </c>
      <c r="M118" s="76">
        <f>ROUND(IF(SUM(B114:F117)&lt;(L130*4),IF((SUM(B114:F118))&gt;(L130*5),(((L130*5)-(SUM(B114:F118)-C118))*M113)+((SUM(B118:F118)-C118)*M113),(SUM(B118:F118)-C118)*M113),IF(SUM(B114:F118)&gt;(L130*5),L130*M113,SUM(B118:F118)*M113)),2)</f>
        <v>0</v>
      </c>
      <c r="N118" s="76">
        <f>ROUND(IF(SUM(B114:F117)&lt;(L130*4),IF((SUM(B114:F118))&gt;(L130*5),(((L130*5)-(SUM(B114:F118)-C117))*N113)+((SUM(B118:F118)-C117)*N113),SUM(B118:F118)*N113),IF(SUM(B114:F118)&gt;(L130*5),L130*N113,SUM(B118:F118)*N113)),2)</f>
        <v>0</v>
      </c>
      <c r="O118" s="23">
        <f>ROUND(SUM(B118+C118+F118)*O113,2)</f>
        <v>0</v>
      </c>
      <c r="P118" s="27">
        <f t="shared" si="13"/>
        <v>0</v>
      </c>
    </row>
    <row r="119" spans="1:16" x14ac:dyDescent="0.2">
      <c r="A119" s="100" t="str">
        <f>$A$31</f>
        <v>Jun 2022</v>
      </c>
      <c r="B119" s="24">
        <f>ROUND(IF(N99=0,0,IFERROR(((LOOKUP(2,1/(A102:A105=A119),G102:G105))*N99*4.348),B118/N99*N99)),2)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ROUND(IF(N99=0,0,IFERROR(((LOOKUP(2,1/(A102:A105=A119),H102:H105))/N91*N99),F118/N99*N99)),2)</f>
        <v>0</v>
      </c>
      <c r="G119" s="27">
        <f t="shared" si="12"/>
        <v>0</v>
      </c>
      <c r="H119" s="76">
        <f>ROUND(IF(SUM(B114:F118)&lt;(L129*5),IF((SUM(B114:F119))&gt;(L129*6),(((L129*6)-(SUM(B114:F119)-C118))*H113)+((SUM(B119:F119)-C118)*H113),SUM(B119:F119)*H113),IF(SUM(B114:F119)&gt;(L129*6),L129*H113,SUM(B119:F119)*H113)),2)</f>
        <v>0</v>
      </c>
      <c r="I119" s="76">
        <f>ROUND(IF(SUM(B114:F118)&lt;(L130*5),IF((SUM(B114:F119))&gt;(L130*6),(((L130*6)-(SUM(B114:F119)-C118))*I113)+((SUM(B119:F119)-C118)*I113),SUM(B119:F119)*I113),IF(SUM(B114:F119)&gt;(L130*6),L130*I113,SUM(B119:F119)*I113)),2)</f>
        <v>0</v>
      </c>
      <c r="J119" s="76">
        <f>ROUND(IF(SUM(B114:F118)&lt;(L130*5),IF((SUM(B114:F119))&gt;(L130*6),(((L130*6)-(SUM(B114:F119)-C118))*J113)+((SUM(B119:F119)-C118)*J113),SUM(B119:F119)*J113),IF(SUM(B114:F119)&gt;(L130*6),L130*J113,SUM(B119:F119)*J113)),2)</f>
        <v>0</v>
      </c>
      <c r="K119" s="76">
        <f>ROUND(IF(SUM(B114:F118)&lt;(L129*5),IF((SUM(B114:F119))&gt;(L129*6),(((L129*6)-(SUM(B114:F119)-C118))*K113)+((SUM(B119:F119)-C118)*K113),SUM(B119:F119)*K113),IF(SUM(B114:F119)&gt;(L129*6),L129*K113,SUM(B119:F119)*K113)),2)</f>
        <v>0</v>
      </c>
      <c r="L119" s="76">
        <f>ROUND(IF(SUM(B114:F118)&lt;(L130*5),IF((SUM(B114:F119))&gt;(L130*6),(((L130*6)-(SUM(B114:F119)-C119))*L113)+((SUM(B119:F119)-C119)*L113),(SUM(B119:F119)-C119)*L113),IF(SUM(B114:F119)&gt;(L130*6),L130*L113,SUM(B119:F119)*L113)),2)</f>
        <v>0</v>
      </c>
      <c r="M119" s="76">
        <f>ROUND(IF(SUM(B114:F118)&lt;(L130*5),IF((SUM(B114:F119))&gt;(L130*6),(((L130*6)-(SUM(B114:F119)-C119))*M113)+((SUM(B119:F119)-C119)*M113),(SUM(B119:F119)-C119)*M113),IF(SUM(B114:F119)&gt;(L130*6),L130*M113,SUM(B119:F119)*M113)),2)</f>
        <v>0</v>
      </c>
      <c r="N119" s="76">
        <f>ROUND(IF(SUM(B114:F118)&lt;(L130*5),IF((SUM(B114:F119))&gt;(L130*6),(((L130*6)-(SUM(B114:F119)-C118))*N113)+((SUM(B119:F119)-C118)*N113),SUM(B119:F119)*N113),IF(SUM(B114:F119)&gt;(L130*6),L130*N113,SUM(B119:F119)*N113)),2)</f>
        <v>0</v>
      </c>
      <c r="O119" s="23">
        <f>ROUND(SUM(B119+C119+F119)*O113,2)</f>
        <v>0</v>
      </c>
      <c r="P119" s="27">
        <f t="shared" si="13"/>
        <v>0</v>
      </c>
    </row>
    <row r="120" spans="1:16" x14ac:dyDescent="0.2">
      <c r="A120" s="100" t="str">
        <f>$A$32</f>
        <v>Jul 2022</v>
      </c>
      <c r="B120" s="24">
        <f>ROUND(IF(P94=0,0,IFERROR(((LOOKUP(2,1/(A102:A105=A120),G102:G105))*P94*4.348),B119/P94*P94)),2)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ROUND(IF(P94=0,0,IFERROR(((LOOKUP(2,1/(A102:A105=A120),H102:H105))/N91*P94),F119/P94*P94)),2)</f>
        <v>0</v>
      </c>
      <c r="G120" s="27">
        <f t="shared" si="12"/>
        <v>0</v>
      </c>
      <c r="H120" s="76">
        <f>ROUND(IF(SUM(B114:F119)&lt;(L129*6),IF((SUM(B114:F120))&gt;(L129*7),(((L129*7)-(SUM(B114:F120)-C119))*H113)+((SUM(B120:F120)-C119)*H113),SUM(B120:F120)*H113),IF(SUM(B114:F120)&gt;(L129*7),L129*H113,SUM(B120:F120)*H113)),2)</f>
        <v>0</v>
      </c>
      <c r="I120" s="76">
        <f>ROUND(IF(SUM(B114:F119)&lt;(L130*6),IF((SUM(B114:F120))&gt;(L130*7),(((L130*7)-(SUM(B114:F120)-C119))*I113)+((SUM(B120:F120)-C119)*I113),SUM(B120:F120)*I113),IF(SUM(B114:F120)&gt;(L130*7),L130*I113,SUM(B120:F120)*I113)),2)</f>
        <v>0</v>
      </c>
      <c r="J120" s="76">
        <f>ROUND(IF(SUM(B114:F119)&lt;(L130*6),IF((SUM(B114:F120))&gt;(L130*7),(((L130*7)-(SUM(B114:F120)-C119))*J113)+((SUM(B120:F120)-C119)*J113),SUM(B120:F120)*J113),IF(SUM(B114:F120)&gt;(L130*7),L130*J113,SUM(B120:F120)*J113)),2)</f>
        <v>0</v>
      </c>
      <c r="K120" s="76">
        <f>ROUND(IF(SUM(B114:F119)&lt;(L129*6),IF((SUM(B114:F120))&gt;(L129*7),(((L129*7)-(SUM(B114:F120)-C119))*K113)+((SUM(B120:F120)-C119)*K113),SUM(B120:F120)*K113),IF(SUM(B114:F120)&gt;(L129*7),L129*K113,SUM(B120:F120)*K113)),2)</f>
        <v>0</v>
      </c>
      <c r="L120" s="76">
        <f>ROUND(IF(SUM(B114:F119)&lt;(L130*6),IF((SUM(B114:F120))&gt;(L130*7),(((L130*7)-(SUM(B114:F120)-C120))*L113)+((SUM(B120:F120)-C120)*L113),(SUM(B120:F120)-C120)*L113),IF(SUM(B114:F120)&gt;(L130*7),L130*L113,SUM(B120:F120)*L113)),2)</f>
        <v>0</v>
      </c>
      <c r="M120" s="76">
        <f>ROUND(IF(SUM(B114:F119)&lt;(L130*6),IF((SUM(B114:F120))&gt;(L130*7),(((L130*7)-(SUM(B114:F120)-C120))*M113)+((SUM(B120:F120)-C120)*M113),(SUM(B120:F120)-C120)*M113),IF(SUM(B114:F120)&gt;(L130*7),L130*M113,SUM(B120:F120)*M113)),2)</f>
        <v>0</v>
      </c>
      <c r="N120" s="76">
        <f>ROUND(IF(SUM(B114:F119)&lt;(L130*6),IF((SUM(B114:F120))&gt;(L130*7),(((L130*7)-(SUM(B114:F120)-C119))*N113)+((SUM(B120:F120)-C119)*N113),SUM(B120:F120)*N113),IF(SUM(B114:F120)&gt;(L130*7),L130*N113,SUM(B120:F120)*N113)),2)</f>
        <v>0</v>
      </c>
      <c r="O120" s="23">
        <f>ROUND(SUM(B120+C120+F120)*O113,2)</f>
        <v>0</v>
      </c>
      <c r="P120" s="27">
        <f t="shared" si="13"/>
        <v>0</v>
      </c>
    </row>
    <row r="121" spans="1:16" x14ac:dyDescent="0.2">
      <c r="A121" s="100" t="str">
        <f>$A$33</f>
        <v>Aug 2022</v>
      </c>
      <c r="B121" s="24">
        <f>ROUND(IF(P95=0,0,IFERROR(((LOOKUP(2,1/(A102:A105=A121),G102:G105))*P95*4.348),B120/P95*P95)),2)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ROUND(IF(P95=0,0,IFERROR(((LOOKUP(2,1/(A102:A105=A121),H102:H105))/N91*P95),F120/P95*P95)),2)</f>
        <v>0</v>
      </c>
      <c r="G121" s="27">
        <f t="shared" si="12"/>
        <v>0</v>
      </c>
      <c r="H121" s="76">
        <f>ROUND(IF(SUM(B114:F120)&lt;(L129*7),IF((SUM(B114:F121))&gt;(L129*8),(((L129*8)-(SUM(B114:F121)-C120))*H113)+((SUM(B121:F121)-C120)*H113),SUM(B121:F121)*H113),IF(SUM(B114:F121)&gt;(L129*8),L129*H113,SUM(B121:F121)*H113)),2)</f>
        <v>0</v>
      </c>
      <c r="I121" s="76">
        <f>ROUND(IF(SUM(B114:F120)&lt;(L130*7),IF((SUM(B114:F121))&gt;(L130*8),(((L130*8)-(SUM(B114:F121)-C120))*I113)+((SUM(B121:F121)-C120)*I113),SUM(B121:F121)*I113),IF(SUM(B114:F121)&gt;(L130*8),L130*I113,SUM(B121:F121)*I113)),2)</f>
        <v>0</v>
      </c>
      <c r="J121" s="76">
        <f>ROUND(IF(SUM(B114:F120)&lt;(L130*7),IF((SUM(B114:F121))&gt;(L130*8),(((L130*8)-(SUM(B114:F121)-C120))*J113)+((SUM(B121:F121)-C120)*J113),SUM(B121:F121)*J113),IF(SUM(B114:F121)&gt;(L130*8),L130*J113,SUM(B121:F121)*J113)),2)</f>
        <v>0</v>
      </c>
      <c r="K121" s="76">
        <f>ROUND(IF(SUM(B114:F120)&lt;(L129*7),IF((SUM(B114:F121))&gt;(L129*8),(((L129*8)-(SUM(B114:F121)-C120))*K113)+((SUM(B121:F121)-C120)*K113),SUM(B121:F121)*K113),IF(SUM(B114:F121)&gt;(L129*8),L129*K113,SUM(B121:F121)*K113)),2)</f>
        <v>0</v>
      </c>
      <c r="L121" s="76">
        <f>ROUND(IF(SUM(B114:F120)&lt;(L130*7),IF((SUM(B114:F121))&gt;(L130*8),(((L130*8)-(SUM(B114:F121)-C121))*L113)+((SUM(B121:F121)-C121)*L113),(SUM(B121:F121)-C121)*L113),IF(SUM(B114:F121)&gt;(L130*8),L130*L113,SUM(B121:F121)*L113)),2)</f>
        <v>0</v>
      </c>
      <c r="M121" s="76">
        <f>ROUND(IF(SUM(B114:F120)&lt;(L130*7),IF((SUM(B114:F121))&gt;(L130*8),(((L130*8)-(SUM(B114:F121)-C121))*M113)+((SUM(B121:F121)-C121)*M113),(SUM(B121:F121)-C121)*M113),IF(SUM(B114:F121)&gt;(L130*8),L130*M113,SUM(B121:F121)*M113)),2)</f>
        <v>0</v>
      </c>
      <c r="N121" s="76">
        <f>ROUND(IF(SUM(B114:F120)&lt;(L130*7),IF((SUM(B114:F121))&gt;(L130*8),(((L130*8)-(SUM(B114:F121)-C120))*N113)+((SUM(B121:F121)-C120)*N113),SUM(B121:F121)*N113),IF(SUM(B114:F121)&gt;(L130*8),L130*N113,SUM(B121:F121)*N113)),2)</f>
        <v>0</v>
      </c>
      <c r="O121" s="23">
        <f>ROUND(SUM(B121+C121+F121)*O113,2)</f>
        <v>0</v>
      </c>
      <c r="P121" s="27">
        <f t="shared" si="13"/>
        <v>0</v>
      </c>
    </row>
    <row r="122" spans="1:16" x14ac:dyDescent="0.2">
      <c r="A122" s="100" t="str">
        <f>$A$34</f>
        <v>Sep 2022</v>
      </c>
      <c r="B122" s="24">
        <f>ROUND(IF(P96=0,0,IFERROR(((LOOKUP(2,1/(A102:A105=A122),G102:G105))*P96*4.348),B121/P96*P96)),2)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ROUND(IF(P96=0,0,IFERROR(((LOOKUP(2,1/(A102:A105=A122),H102:H105))/N91*P96),F121/P96*P96)),2)</f>
        <v>0</v>
      </c>
      <c r="G122" s="27">
        <f t="shared" si="12"/>
        <v>0</v>
      </c>
      <c r="H122" s="76">
        <f>ROUND(IF(SUM(B114:F121)&lt;(L129*8),IF((SUM(B114:F122))&gt;(L129*9),(((L129*9)-(SUM(B114:F122)-C121))*H113)+((SUM(B122:F122)-C121)*H113),SUM(B122:F122)*H113),IF(SUM(B114:F122)&gt;(L129*9),L129*H113,SUM(B122:F122)*H113)),2)</f>
        <v>0</v>
      </c>
      <c r="I122" s="76">
        <f>ROUND(IF(SUM(B114:F121)&lt;(L130*8),IF((SUM(B114:F122))&gt;(L130*9),(((L130*9)-(SUM(B114:F122)-C121))*I113)+((SUM(B122:F122)-C121)*I113),SUM(B122:F122)*I113),IF(SUM(B114:F122)&gt;(L130*9),L130*I113,SUM(B122:F122)*I113)),2)</f>
        <v>0</v>
      </c>
      <c r="J122" s="76">
        <f>ROUND(IF(SUM(B114:F121)&lt;(L130*8),IF((SUM(B114:F122))&gt;(L130*9),(((L130*9)-(SUM(B114:F122)-C121))*J113)+((SUM(B122:F122)-C121)*J113),SUM(B122:F122)*J113),IF(SUM(B114:F122)&gt;(L130*9),L130*J113,SUM(B122:F122)*J113)),2)</f>
        <v>0</v>
      </c>
      <c r="K122" s="76">
        <f>ROUND(IF(SUM(B114:F121)&lt;(L129*8),IF((SUM(B114:F122))&gt;(L129*9),(((L129*9)-(SUM(B114:F122)-C121))*K113)+((SUM(B122:F122)-C121)*K113),SUM(B122:F122)*K113),IF(SUM(B114:F122)&gt;(L129*9),L129*K113,SUM(B122:F122)*K113)),2)</f>
        <v>0</v>
      </c>
      <c r="L122" s="76">
        <f>ROUND(IF(SUM(B114:F121)&lt;(L130*8),IF((SUM(B114:F122))&gt;(L130*9),(((L130*9)-(SUM(B114:F122)-C122))*L113)+((SUM(B122:F122)-C122)*L113),(SUM(B122:F122)-C122)*L113),IF(SUM(B114:F122)&gt;(L130*9),L130*L113,SUM(B122:F122)*L113)),2)</f>
        <v>0</v>
      </c>
      <c r="M122" s="76">
        <f>ROUND(IF(SUM(B114:F121)&lt;(L130*8),IF((SUM(B114:F122))&gt;(L130*9),(((L130*9)-(SUM(B114:F122)-C122))*M113)+((SUM(B122:F122)-C122)*M113),(SUM(B122:F122)-C122)*M113),IF(SUM(B114:F122)&gt;(L130*9),L130*M113,SUM(B122:F122)*M113)),2)</f>
        <v>0</v>
      </c>
      <c r="N122" s="76">
        <f>ROUND(IF(SUM(B114:F121)&lt;(L130*8),IF((SUM(B114:F122))&gt;(L130*9),(((L130*9)-(SUM(B114:F122)-C121))*N113)+((SUM(B122:F122)-C121)*N113),SUM(B122:F122)*N113),IF(SUM(B114:F122)&gt;(L130*9),L130*N113,SUM(B122:F122)*N113)),2)</f>
        <v>0</v>
      </c>
      <c r="O122" s="23">
        <f>ROUND(SUM(B122+C122+F122)*O113,2)</f>
        <v>0</v>
      </c>
      <c r="P122" s="27">
        <f t="shared" si="13"/>
        <v>0</v>
      </c>
    </row>
    <row r="123" spans="1:16" x14ac:dyDescent="0.2">
      <c r="A123" s="100" t="str">
        <f>$A$35</f>
        <v>Okt 2022</v>
      </c>
      <c r="B123" s="24">
        <f>ROUND(IF(P97=0,0,IFERROR(((LOOKUP(2,1/(A102:A105=A123),G102:G105))*P97*4.348),B122/P97*P97)),2)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ROUND(IF(P97=0,0,IFERROR(((LOOKUP(2,1/(A102:A105=A123),H102:H105))/N91*P97),F122/P97*P97)),2)</f>
        <v>0</v>
      </c>
      <c r="G123" s="27">
        <f t="shared" si="12"/>
        <v>0</v>
      </c>
      <c r="H123" s="76">
        <f>ROUND(IF(SUM(B114:F122)&lt;(L129*9),IF((SUM(B114:F123))&gt;(L129*10),(((L129*10)-(SUM(B114:F123)-C122))*H113)+((SUM(B123:F123)-C122)*H113),SUM(B123:F123)*H113),IF(SUM(B114:F123)&gt;(L129*10),L129*H113,SUM(B123:F123)*H113)),2)</f>
        <v>0</v>
      </c>
      <c r="I123" s="76">
        <f>ROUND(IF(SUM(B114:F122)&lt;(L130*9),IF((SUM(B114:F123))&gt;(L130*10),(((L130*10)-(SUM(B114:F123)-C122))*I113)+((SUM(B123:F123)-C122)*I113),SUM(B123:F123)*I113),IF(SUM(B114:F123)&gt;(L130*10),L130*I113,SUM(B123:F123)*I113)),2)</f>
        <v>0</v>
      </c>
      <c r="J123" s="76">
        <f>ROUND(IF(SUM(B114:F122)&lt;(L130*9),IF((SUM(B114:F123))&gt;(L130*10),(((L130*10)-(SUM(B114:F123)-C122))*J113)+((SUM(B123:F123)-C122)*J113),SUM(B123:F123)*J113),IF(SUM(B114:F123)&gt;(L130*10),L130*J113,SUM(B123:F123)*J113)),2)</f>
        <v>0</v>
      </c>
      <c r="K123" s="76">
        <f>ROUND(IF(SUM(B114:F122)&lt;(L129*9),IF((SUM(B114:F123))&gt;(L129*10),(((L129*10)-(SUM(B114:F123)-C122))*K113)+((SUM(B123:F123)-C122)*K113),SUM(B123:F123)*K113),IF(SUM(B114:F123)&gt;(L129*10),L129*K113,SUM(B123:F123)*K113)),2)</f>
        <v>0</v>
      </c>
      <c r="L123" s="76">
        <f>ROUND(IF(SUM(B114:F122)&lt;(L130*9),IF((SUM(B114:F123))&gt;(L130*10),(((L130*10)-(SUM(B114:F123)-C123))*L113)+((SUM(B123:F123)-C123)*L113),(SUM(B123:F123)-C123)*L113),IF(SUM(B114:F123)&gt;(L130*10),L130*L113,SUM(B123:F123)*L113)),2)</f>
        <v>0</v>
      </c>
      <c r="M123" s="76">
        <f>ROUND(IF(SUM(B114:F122)&lt;(L130*9),IF((SUM(B114:F123))&gt;(L130*10),(((L130*10)-(SUM(B114:F123)-C123))*M113)+((SUM(B123:F123)-C123)*M113),(SUM(B123:F123)-C123)*M113),IF(SUM(B114:F123)&gt;(L130*10),L130*M113,SUM(B123:F123)*M113)),2)</f>
        <v>0</v>
      </c>
      <c r="N123" s="76">
        <f>ROUND(IF(SUM(B114:F122)&lt;(L130*9),IF((SUM(B114:F123))&gt;(L130*10),(((L130*10)-(SUM(B114:F123)-C122))*N113)+((SUM(B123:F123)-C122)*N113),SUM(B123:F123)*N113),IF(SUM(B114:F123)&gt;(L130*10),L130*N113,SUM(B123:F123)*N113)),2)</f>
        <v>0</v>
      </c>
      <c r="O123" s="23">
        <f>ROUND(SUM(B123+C123+F123)*O113,2)</f>
        <v>0</v>
      </c>
      <c r="P123" s="27">
        <f t="shared" si="13"/>
        <v>0</v>
      </c>
    </row>
    <row r="124" spans="1:16" x14ac:dyDescent="0.2">
      <c r="A124" s="100" t="str">
        <f>$A$36</f>
        <v>Nov 2022</v>
      </c>
      <c r="B124" s="24">
        <f>ROUND(IF(P98=0,0,IFERROR(((LOOKUP(2,1/(A102:A105=A124),G102:G105))*P98*4.348),B123/P98*P98)),2)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ROUND(IF(P98=0,0,IFERROR(((LOOKUP(2,1/(A102:A105=A124),H102:H105))/N91*P98),F123/P98*P98)),2)</f>
        <v>0</v>
      </c>
      <c r="G124" s="27">
        <f t="shared" si="12"/>
        <v>0</v>
      </c>
      <c r="H124" s="76">
        <f>ROUND(IF(SUM(B114:F123)&lt;(L129*10),IF((SUM(B114:F124))&gt;(L129*11),(((L129*11)-(SUM(B114:F124)-C123))*H113)+((SUM(B124:F124)-C123)*H113),SUM(B124:F124)*H113),IF(SUM(B114:F124)&gt;(L129*11),L129*H113,SUM(B124:F124)*H113)),2)</f>
        <v>0</v>
      </c>
      <c r="I124" s="76">
        <f>ROUND(IF(SUM(B114:F123)&lt;(L130*10),IF((SUM(B114:F124))&gt;(L130*11),(((L130*11)-(SUM(B114:F124)-C123))*I113)+((SUM(B124:F124)-C123)*I113),SUM(B124:F124)*I113),IF(SUM(B114:F124)&gt;(L130*11),L130*I113,SUM(B124:F124)*I113)),2)</f>
        <v>0</v>
      </c>
      <c r="J124" s="76">
        <f>ROUND(IF(SUM(B114:F123)&lt;(L130*10),IF((SUM(B114:F124))&gt;(L130*11),(((L130*11)-(SUM(B114:F124)-C123))*J113)+((SUM(B124:F124)-C123)*J113),SUM(B124:F124)*J113),IF(SUM(B114:F124)&gt;(L130*11),L130*J113,SUM(B124:F124)*J113)),2)</f>
        <v>0</v>
      </c>
      <c r="K124" s="76">
        <f>ROUND(IF(SUM(B114:F123)&lt;(L129*10),IF((SUM(B114:F124))&gt;(L129*11),(((L129*11)-(SUM(B114:F124)-C123))*K113)+((SUM(B124:F124)-C123)*K113),SUM(B124:F124)*K113),IF(SUM(B114:F124)&gt;(L129*11),L129*K113,SUM(B124:F124)*K113)),2)</f>
        <v>0</v>
      </c>
      <c r="L124" s="76">
        <f>ROUND(IF(SUM(B114:F123)&lt;(L130*10),IF((SUM(B114:F124))&gt;(L130*11),(((L130*11)-(SUM(B114:F124)-C124))*L113)+((SUM(B124:F124)-C124)*L113),(SUM(B124:F124)-C124)*L113),IF(SUM(B114:F124)&gt;(L130*11),L130*L113,SUM(B124:F124)*L113)),2)</f>
        <v>0</v>
      </c>
      <c r="M124" s="76">
        <f>ROUND(IF(SUM(B114:F123)&lt;(L130*10),IF((SUM(B114:F124))&gt;(L130*11),(((L130*11)-(SUM(B114:F124)-C124))*M113)+((SUM(B124:F124)-C124)*M113),(SUM(B124:F124)-C124)*M113),IF(SUM(B114:F124)&gt;(L130*11),L130*M113,SUM(B124:F124)*M113)),2)</f>
        <v>0</v>
      </c>
      <c r="N124" s="76">
        <f>ROUND(IF(SUM(B114:F123)&lt;(L130*10),IF((SUM(B114:F124))&gt;(L130*11),(((L130*11)-(SUM(B114:F124)-C123))*N113)+((SUM(B124:F124)-C123)*N113),SUM(B124:F124)*N113),IF(SUM(B114:F124)&gt;(L130*11),L130*N113,SUM(B124:F124)*N113)),2)</f>
        <v>0</v>
      </c>
      <c r="O124" s="23">
        <f>ROUND(SUM(B124+C124+F124)*O113,2)</f>
        <v>0</v>
      </c>
      <c r="P124" s="27">
        <f t="shared" si="13"/>
        <v>0</v>
      </c>
    </row>
    <row r="125" spans="1:16" x14ac:dyDescent="0.2">
      <c r="A125" s="100" t="str">
        <f>$A$37</f>
        <v>Dez 2022</v>
      </c>
      <c r="B125" s="24">
        <f>ROUND(IF(P99=0,0,IFERROR(((LOOKUP(2,1/(A102:A105=A125),G102:G105))*P99*4.348),B124/P99*P99)),2)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ROUND(IF(P99=0,0,IFERROR(((LOOKUP(2,1/(A102:A105=A125),H102:H105))/N91*P99),F124/P99*P99)),2)</f>
        <v>0</v>
      </c>
      <c r="G125" s="27">
        <f t="shared" si="12"/>
        <v>0</v>
      </c>
      <c r="H125" s="76">
        <f>ROUND(IF(SUM(B114:F124)&lt;(L129*11),IF((SUM(B114:F125))&gt;(L129*12),(((L129*12)-(SUM(B114:F125)-C124))*H113)+((SUM(B125:F125)-C124)*H113),SUM(B125:F125)*H113),IF(SUM(B114:F125)&gt;(L129*12),L129*H113,SUM(B125:F125)*H113)),2)</f>
        <v>0</v>
      </c>
      <c r="I125" s="76">
        <f>ROUND(IF(SUM(B114:F124)&lt;(L130*11),IF((SUM(B114:F125))&gt;(L130*12),(((L130*12)-(SUM(B114:F125)-C124))*I113)+((SUM(B125:F125)-C124)*I113),SUM(B125:F125)*I113),IF(SUM(B114:F125)&gt;(L130*12),L130*I113,SUM(B125:F125)*I113)),2)</f>
        <v>0</v>
      </c>
      <c r="J125" s="76">
        <f>ROUND(IF(SUM(B114:F124)&lt;(L130*11),IF((SUM(B114:F125))&gt;(L130*12),(((L130*12)-(SUM(B114:F125)-C124))*J113)+((SUM(B125:F125)-C124)*J113),SUM(B125:F125)*J113),IF(SUM(B114:F125)&gt;(L130*12),L130*J113,SUM(B125:F125)*J113)),2)</f>
        <v>0</v>
      </c>
      <c r="K125" s="76">
        <f>ROUND(IF(SUM(B114:F124)&lt;(L129*11),IF((SUM(B114:F125))&gt;(L129*12),(((L129*12)-(SUM(B114:F125)-C124))*K113)+((SUM(B125:F125)-C124)*K113),SUM(B125:F125)*K113),IF(SUM(B114:F125)&gt;(L129*12),L129*K113,SUM(B125:F125)*K113)),2)</f>
        <v>0</v>
      </c>
      <c r="L125" s="76">
        <f>ROUND(IF(SUM(B114:F124)&lt;(L130*11),IF((SUM(B114:F125))&gt;(L130*12),(((L130*12)-(SUM(B114:F125)-C125))*L113)+((SUM(B125:F125)-C125)*L113),(SUM(B125:F125)-C125)*L113),IF(SUM(B114:F125)&gt;(L130*12),L130*L113,SUM(B125:F125)*L113)),2)</f>
        <v>0</v>
      </c>
      <c r="M125" s="76">
        <f>ROUND(IF(SUM(B114:F124)&lt;(L130*11),IF((SUM(B114:F125))&gt;(L130*12),(((L130*12)-(SUM(B114:F125)-C125))*M113)+((SUM(B125:F125)-C125)*M113),(SUM(B125:F125)-C125)*M113),IF(SUM(B114:F125)&gt;(L130*12),L130*M113,SUM(B125:F125)*M113)),2)</f>
        <v>0</v>
      </c>
      <c r="N125" s="76">
        <f>ROUND(IF(SUM(B114:F124)&lt;(L130*11),IF((SUM(B114:F125))&gt;(L130*12),(((L130*12)-(SUM(B114:F125)-C124))*N113)+((SUM(B125:F125)-C124)*N113),SUM(B125:F125)*N113),IF(SUM(B114:F125)&gt;(L130*12),L130*N113,SUM(B125:F125)*N113)),2)</f>
        <v>0</v>
      </c>
      <c r="O125" s="23">
        <f>ROUND(SUM(B125+C125+F125)*O113,2)</f>
        <v>0</v>
      </c>
      <c r="P125" s="27">
        <f t="shared" si="13"/>
        <v>0</v>
      </c>
    </row>
    <row r="126" spans="1:16"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133">
        <f>SUM(H114:N125)</f>
        <v>0</v>
      </c>
      <c r="I126" s="1134"/>
      <c r="J126" s="1134"/>
      <c r="K126" s="1134"/>
      <c r="L126" s="1134"/>
      <c r="M126" s="1134"/>
      <c r="N126" s="1135"/>
      <c r="O126" s="27">
        <f>SUM(O114:O125)</f>
        <v>0</v>
      </c>
      <c r="P126" s="27">
        <f>SUM(P114:P125)</f>
        <v>0</v>
      </c>
    </row>
    <row r="127" spans="1:16" s="13" customFormat="1" ht="11.25" x14ac:dyDescent="0.2">
      <c r="A127" s="3" t="s">
        <v>1</v>
      </c>
      <c r="B127" s="2"/>
      <c r="C127" s="2"/>
      <c r="D127" s="2"/>
      <c r="E127" s="2"/>
      <c r="F127" s="2"/>
      <c r="G127" s="2"/>
      <c r="H127" s="2"/>
      <c r="I127" s="2"/>
      <c r="J127" s="2"/>
      <c r="K127" s="2"/>
      <c r="L127" s="2"/>
      <c r="M127" s="2"/>
      <c r="N127" s="2"/>
      <c r="O127" s="2"/>
      <c r="P127" s="2"/>
    </row>
    <row r="128" spans="1:16" ht="14.25" customHeight="1" x14ac:dyDescent="0.2">
      <c r="A128" s="1136" t="s">
        <v>133</v>
      </c>
      <c r="B128" s="1137"/>
      <c r="C128" s="1137"/>
      <c r="D128" s="1137" t="s">
        <v>134</v>
      </c>
      <c r="E128" s="1137"/>
      <c r="F128" s="94" t="str">
        <f>IF(IF(G126=0,"",'päd.Personal - Leitung'!$F$40)=0,"",IF(G126=0,"",'päd.Personal - Leitung'!$F$40))</f>
        <v/>
      </c>
      <c r="G128" s="77" t="s">
        <v>135</v>
      </c>
      <c r="H128" s="96" t="str">
        <f>IF(IF(G126=0,"",'päd.Personal - Leitung'!$H$40)=0,"",IF(G126=0,"",'päd.Personal - Leitung'!$H$40))</f>
        <v/>
      </c>
      <c r="I128" s="73"/>
      <c r="J128" s="194" t="s">
        <v>160</v>
      </c>
      <c r="K128" s="194" t="str">
        <f>$K$40</f>
        <v>2021</v>
      </c>
      <c r="L128" s="194" t="str">
        <f>$L$40</f>
        <v>anteilig 2021</v>
      </c>
      <c r="M128" s="1138" t="s">
        <v>140</v>
      </c>
      <c r="N128" s="1138"/>
      <c r="O128" s="1139"/>
      <c r="P128" s="27">
        <f>ROUND(IF(F128="",IF(E132="",0,(E132*H132/K132)/L95*L96),G126*F128*H128/1000),2)</f>
        <v>0</v>
      </c>
    </row>
    <row r="129" spans="1:16" ht="15" customHeight="1" x14ac:dyDescent="0.2">
      <c r="A129" s="1140" t="s">
        <v>145</v>
      </c>
      <c r="B129" s="1141"/>
      <c r="C129" s="1141"/>
      <c r="D129" s="18"/>
      <c r="E129" s="107" t="s">
        <v>135</v>
      </c>
      <c r="F129" s="95" t="str">
        <f>IF(IF(G126=0,"",'päd.Personal - Leitung'!$F$41)=0,"",IF(G126=0,"",'päd.Personal - Leitung'!$F$41))</f>
        <v/>
      </c>
      <c r="G129" s="48"/>
      <c r="H129" s="47"/>
      <c r="I129" s="48"/>
      <c r="J129" s="195" t="s">
        <v>158</v>
      </c>
      <c r="K129" s="198">
        <f>$K$41</f>
        <v>4837.5</v>
      </c>
      <c r="L129" s="197">
        <f>IF(L95="",K129,K129/L95*L96)</f>
        <v>4837.5</v>
      </c>
      <c r="M129" s="1138" t="s">
        <v>139</v>
      </c>
      <c r="N129" s="1138"/>
      <c r="O129" s="1139"/>
      <c r="P129" s="27">
        <f>ROUND(IF(F129="",0,G126*F129/1000),2)</f>
        <v>0</v>
      </c>
    </row>
    <row r="130" spans="1:16" ht="15.75" customHeight="1" x14ac:dyDescent="0.2">
      <c r="A130" s="1142" t="s">
        <v>141</v>
      </c>
      <c r="B130" s="1143"/>
      <c r="C130" s="1143"/>
      <c r="D130" s="1144" t="s">
        <v>143</v>
      </c>
      <c r="E130" s="1144"/>
      <c r="F130" s="1145" t="str">
        <f>IF(IF(G126=0,"",'päd.Personal - Leitung'!$F$42)=0,"",IF(G126=0,"",'päd.Personal - Leitung'!$F$42))</f>
        <v/>
      </c>
      <c r="G130" s="1145"/>
      <c r="H130" s="72"/>
      <c r="I130" s="18"/>
      <c r="J130" s="195" t="s">
        <v>159</v>
      </c>
      <c r="K130" s="198">
        <f>$K$42</f>
        <v>6700</v>
      </c>
      <c r="L130" s="197">
        <f>IF(L95="",K130,K130/L95*L96)</f>
        <v>6700</v>
      </c>
      <c r="M130" s="1138" t="s">
        <v>141</v>
      </c>
      <c r="N130" s="1138"/>
      <c r="O130" s="1139"/>
      <c r="P130" s="23">
        <f>ROUND(IF(F130="",0,IF(G126=0,0,F130/L95*L96)),2)</f>
        <v>0</v>
      </c>
    </row>
    <row r="131" spans="1:16" ht="14.25" customHeight="1" x14ac:dyDescent="0.2">
      <c r="A131" s="18"/>
      <c r="B131" s="18"/>
      <c r="C131" s="18"/>
      <c r="D131" s="18"/>
      <c r="E131" s="18"/>
      <c r="F131" s="18"/>
      <c r="G131" s="18"/>
      <c r="H131" s="18"/>
      <c r="I131" s="18"/>
      <c r="J131" s="18"/>
      <c r="K131" s="74"/>
      <c r="L131" s="82"/>
      <c r="M131" s="1127" t="s">
        <v>146</v>
      </c>
      <c r="N131" s="1127"/>
      <c r="O131" s="1128"/>
      <c r="P131" s="23">
        <f>ROUND(IF(G126=0,0,$P$43),2)</f>
        <v>0</v>
      </c>
    </row>
    <row r="132" spans="1:16" ht="14.25" customHeight="1" x14ac:dyDescent="0.2">
      <c r="A132" s="1129" t="s">
        <v>142</v>
      </c>
      <c r="B132" s="1130"/>
      <c r="C132" s="133" t="s">
        <v>136</v>
      </c>
      <c r="D132" s="133" t="s">
        <v>137</v>
      </c>
      <c r="E132" s="1131" t="str">
        <f>IF(IF(G126=0,"",'päd.Personal - Leitung'!$E$44)=0,"",IF(G126=0,"",'päd.Personal - Leitung'!$E$44))</f>
        <v/>
      </c>
      <c r="F132" s="1131"/>
      <c r="G132" s="83" t="s">
        <v>138</v>
      </c>
      <c r="H132" s="97" t="str">
        <f>IF(IF(G126=0,"",'päd.Personal - Leitung'!$H$44)=0,"",IF(G126=0,"",'päd.Personal - Leitung'!$H$44))</f>
        <v/>
      </c>
      <c r="I132" s="1132" t="s">
        <v>144</v>
      </c>
      <c r="J132" s="1132"/>
      <c r="K132" s="98" t="str">
        <f>IF(IF(G126=0,"",'päd.Personal - Leitung'!$K$44)=0,"",IF(G126=0,"",'päd.Personal - Leitung'!$K$44))</f>
        <v/>
      </c>
      <c r="L132" s="29"/>
      <c r="M132" s="29"/>
      <c r="N132" s="29"/>
      <c r="O132" s="28" t="s">
        <v>0</v>
      </c>
      <c r="P132" s="27">
        <f>P126+SUM(P128:P131)</f>
        <v>0</v>
      </c>
    </row>
  </sheetData>
  <sheetProtection algorithmName="SHA-512" hashValue="2C7zR+LIIyLZkFCI824KbOzS7uXtmeBJjs3xt2Lcgg2fQJ5LYYDgYAs3uRpcmx9KiRNlqxFW51FxrEKQ0gRB8g==" saltValue="Dk5hBar2CGGcdkqvPNatZw==" spinCount="100000" sheet="1" objects="1" scenarios="1"/>
  <mergeCells count="219">
    <mergeCell ref="M131:O131"/>
    <mergeCell ref="A132:B132"/>
    <mergeCell ref="E132:F132"/>
    <mergeCell ref="I132:J132"/>
    <mergeCell ref="H126:N126"/>
    <mergeCell ref="A128:C128"/>
    <mergeCell ref="D128:E128"/>
    <mergeCell ref="M128:O128"/>
    <mergeCell ref="A129:C129"/>
    <mergeCell ref="M129:O129"/>
    <mergeCell ref="A130:C130"/>
    <mergeCell ref="D130:E130"/>
    <mergeCell ref="F130:G130"/>
    <mergeCell ref="M130:O130"/>
    <mergeCell ref="B105:C105"/>
    <mergeCell ref="K105:L105"/>
    <mergeCell ref="B106:C106"/>
    <mergeCell ref="E106:F106"/>
    <mergeCell ref="K106:L106"/>
    <mergeCell ref="A109:A113"/>
    <mergeCell ref="B109:G109"/>
    <mergeCell ref="H109:N109"/>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F100:G100"/>
    <mergeCell ref="H100:I100"/>
    <mergeCell ref="B101:C101"/>
    <mergeCell ref="K101:L101"/>
    <mergeCell ref="B102:C102"/>
    <mergeCell ref="K102:L102"/>
    <mergeCell ref="B103:C103"/>
    <mergeCell ref="K103:L103"/>
    <mergeCell ref="B104:C104"/>
    <mergeCell ref="K104:L104"/>
    <mergeCell ref="A97:C97"/>
    <mergeCell ref="D97:I97"/>
    <mergeCell ref="J97:K97"/>
    <mergeCell ref="A98:C98"/>
    <mergeCell ref="D98:I98"/>
    <mergeCell ref="J98:K98"/>
    <mergeCell ref="D99:E99"/>
    <mergeCell ref="F99:G99"/>
    <mergeCell ref="H99:I99"/>
    <mergeCell ref="J99:K99"/>
    <mergeCell ref="A92:C92"/>
    <mergeCell ref="D92:J92"/>
    <mergeCell ref="A93:J93"/>
    <mergeCell ref="J94:K94"/>
    <mergeCell ref="A95:C95"/>
    <mergeCell ref="D95:I95"/>
    <mergeCell ref="J95:K95"/>
    <mergeCell ref="A96:C96"/>
    <mergeCell ref="D96:I96"/>
    <mergeCell ref="J96:K96"/>
    <mergeCell ref="A65:A69"/>
    <mergeCell ref="B65:G65"/>
    <mergeCell ref="H65:N65"/>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B58:C58"/>
    <mergeCell ref="K58:L58"/>
    <mergeCell ref="B59:C59"/>
    <mergeCell ref="K59:L59"/>
    <mergeCell ref="B60:C60"/>
    <mergeCell ref="K60:L60"/>
    <mergeCell ref="B61:C61"/>
    <mergeCell ref="K61:L61"/>
    <mergeCell ref="B62:C62"/>
    <mergeCell ref="E62:F62"/>
    <mergeCell ref="K62:L62"/>
    <mergeCell ref="A53:C53"/>
    <mergeCell ref="D53:I53"/>
    <mergeCell ref="J53:K53"/>
    <mergeCell ref="D55:E55"/>
    <mergeCell ref="F55:G55"/>
    <mergeCell ref="H55:I55"/>
    <mergeCell ref="F56:G56"/>
    <mergeCell ref="H56:I56"/>
    <mergeCell ref="B57:C57"/>
    <mergeCell ref="K57:L57"/>
    <mergeCell ref="A54:C54"/>
    <mergeCell ref="D54:I54"/>
    <mergeCell ref="J54:K54"/>
    <mergeCell ref="J55:K55"/>
    <mergeCell ref="A48:C48"/>
    <mergeCell ref="D48:J48"/>
    <mergeCell ref="A49:J49"/>
    <mergeCell ref="J50:K50"/>
    <mergeCell ref="A51:C51"/>
    <mergeCell ref="D51:I51"/>
    <mergeCell ref="J51:K51"/>
    <mergeCell ref="A52:C52"/>
    <mergeCell ref="D52:I52"/>
    <mergeCell ref="J52:K52"/>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B16:C16"/>
    <mergeCell ref="K16:L16"/>
    <mergeCell ref="B17:C17"/>
    <mergeCell ref="K17:L17"/>
    <mergeCell ref="B18:C18"/>
    <mergeCell ref="E18:F18"/>
    <mergeCell ref="K18:L18"/>
    <mergeCell ref="A21:A25"/>
    <mergeCell ref="B21:G21"/>
    <mergeCell ref="H21:N21"/>
    <mergeCell ref="H11:I11"/>
    <mergeCell ref="F12:G12"/>
    <mergeCell ref="H12:I12"/>
    <mergeCell ref="B13:C13"/>
    <mergeCell ref="K13:L13"/>
    <mergeCell ref="B14:C14"/>
    <mergeCell ref="K14:L14"/>
    <mergeCell ref="B15:C15"/>
    <mergeCell ref="K15:L15"/>
    <mergeCell ref="D11:E11"/>
    <mergeCell ref="F11:G11"/>
    <mergeCell ref="J11:K11"/>
    <mergeCell ref="A89:C89"/>
    <mergeCell ref="D89:N89"/>
    <mergeCell ref="A90:C90"/>
    <mergeCell ref="D90:N90"/>
    <mergeCell ref="A91:C91"/>
    <mergeCell ref="D91:J91"/>
    <mergeCell ref="K91:M91"/>
    <mergeCell ref="A84:C84"/>
    <mergeCell ref="H82:N82"/>
    <mergeCell ref="D84:E84"/>
    <mergeCell ref="M84:O84"/>
    <mergeCell ref="A85:C85"/>
    <mergeCell ref="M85:O85"/>
    <mergeCell ref="A86:C86"/>
    <mergeCell ref="D86:E86"/>
    <mergeCell ref="F86:G86"/>
    <mergeCell ref="M86:O86"/>
    <mergeCell ref="M87:O87"/>
    <mergeCell ref="A88:B88"/>
    <mergeCell ref="E88:F88"/>
    <mergeCell ref="I88:J88"/>
    <mergeCell ref="A46:C46"/>
    <mergeCell ref="A47:C47"/>
    <mergeCell ref="A45:C45"/>
    <mergeCell ref="A40:C40"/>
    <mergeCell ref="A41:C41"/>
    <mergeCell ref="H38:N38"/>
    <mergeCell ref="D40:E40"/>
    <mergeCell ref="M40:O40"/>
    <mergeCell ref="M41:O41"/>
    <mergeCell ref="A42:C42"/>
    <mergeCell ref="D42:E42"/>
    <mergeCell ref="F42:G42"/>
    <mergeCell ref="M42:O42"/>
    <mergeCell ref="M43:O43"/>
    <mergeCell ref="A44:B44"/>
    <mergeCell ref="E44:F44"/>
    <mergeCell ref="I44:J44"/>
    <mergeCell ref="D45:N45"/>
    <mergeCell ref="D46:N46"/>
    <mergeCell ref="D47:J47"/>
    <mergeCell ref="K47:M47"/>
    <mergeCell ref="A1:C1"/>
    <mergeCell ref="D1:N1"/>
    <mergeCell ref="A2:C2"/>
    <mergeCell ref="D2:N2"/>
    <mergeCell ref="A3:C3"/>
    <mergeCell ref="D3:J3"/>
    <mergeCell ref="K3:M3"/>
    <mergeCell ref="A8:C8"/>
    <mergeCell ref="A10:C10"/>
    <mergeCell ref="A9:C9"/>
    <mergeCell ref="A4:C4"/>
    <mergeCell ref="A7:C7"/>
    <mergeCell ref="D4:J4"/>
    <mergeCell ref="A5:K5"/>
    <mergeCell ref="J6:K6"/>
    <mergeCell ref="D7:I7"/>
    <mergeCell ref="J7:K7"/>
    <mergeCell ref="D8:I8"/>
    <mergeCell ref="J8:K8"/>
    <mergeCell ref="D9:I9"/>
    <mergeCell ref="J9:K9"/>
    <mergeCell ref="D10:I10"/>
    <mergeCell ref="J10:K10"/>
  </mergeCells>
  <dataValidations count="1">
    <dataValidation type="list" allowBlank="1" showInputMessage="1" showErrorMessage="1" sqref="B19 E19 B63 E63 B107 E107">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 23 KiFöG&amp;R&amp;G</oddHeader>
    <oddFooter>&amp;L&amp;"Arial,Standard"&amp;7JSZ - Jahressonderzahlung
LOB - Leistungsorientierte Bezahlung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308"/>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6384" width="11.42578125" style="1"/>
  </cols>
  <sheetData>
    <row r="1" spans="1:16" s="12" customFormat="1" ht="13.5" customHeight="1" x14ac:dyDescent="0.2">
      <c r="A1" s="1178" t="s">
        <v>18</v>
      </c>
      <c r="B1" s="1178"/>
      <c r="C1" s="1178"/>
      <c r="D1" s="1179" t="str">
        <f>IF('päd.Personal - Leitung'!D1="","",'päd.Personal - Leitung'!D1)</f>
        <v/>
      </c>
      <c r="E1" s="1179"/>
      <c r="F1" s="1179"/>
      <c r="G1" s="1179"/>
      <c r="H1" s="1179"/>
      <c r="I1" s="1179"/>
      <c r="J1" s="1179"/>
      <c r="K1" s="1179"/>
      <c r="L1" s="1179"/>
      <c r="M1" s="1179"/>
      <c r="N1" s="1179"/>
    </row>
    <row r="2" spans="1:16" s="12" customFormat="1" ht="15" customHeight="1" x14ac:dyDescent="0.2">
      <c r="A2" s="1178" t="s">
        <v>17</v>
      </c>
      <c r="B2" s="1178"/>
      <c r="C2" s="1178" t="s">
        <v>15</v>
      </c>
      <c r="D2" s="1179" t="str">
        <f>IF('päd.Personal - Leitung'!D2="","",'päd.Personal - Leitung'!D2)</f>
        <v/>
      </c>
      <c r="E2" s="1179"/>
      <c r="F2" s="1179"/>
      <c r="G2" s="1179"/>
      <c r="H2" s="1179"/>
      <c r="I2" s="1179"/>
      <c r="J2" s="1179"/>
      <c r="K2" s="1179"/>
      <c r="L2" s="1179"/>
      <c r="M2" s="1179"/>
      <c r="N2" s="1179"/>
    </row>
    <row r="3" spans="1:16" s="12" customFormat="1" ht="15" customHeight="1" x14ac:dyDescent="0.2">
      <c r="A3" s="1178" t="s">
        <v>16</v>
      </c>
      <c r="B3" s="1178"/>
      <c r="C3" s="1178" t="s">
        <v>15</v>
      </c>
      <c r="D3" s="1179" t="str">
        <f>IF('päd.Personal - Leitung'!D3="","",'päd.Personal - Leitung'!D3)</f>
        <v/>
      </c>
      <c r="E3" s="1179"/>
      <c r="F3" s="1179"/>
      <c r="G3" s="1179"/>
      <c r="H3" s="1179"/>
      <c r="I3" s="1179"/>
      <c r="J3" s="1179"/>
      <c r="K3" s="1178" t="s">
        <v>103</v>
      </c>
      <c r="L3" s="1178"/>
      <c r="M3" s="1178"/>
      <c r="N3" s="41" t="str">
        <f>IF('päd.Personal - Leitung'!N3="","",'päd.Personal - Leitung'!N3)</f>
        <v/>
      </c>
    </row>
    <row r="4" spans="1:16" s="13" customFormat="1" ht="11.25" x14ac:dyDescent="0.2">
      <c r="A4" s="1182"/>
      <c r="B4" s="1182"/>
      <c r="C4" s="1182"/>
      <c r="D4" s="1183"/>
      <c r="E4" s="1183"/>
      <c r="F4" s="1183"/>
      <c r="G4" s="1183"/>
      <c r="H4" s="1183"/>
      <c r="I4" s="1183"/>
      <c r="J4" s="1183"/>
      <c r="K4" s="11"/>
      <c r="L4" s="11"/>
      <c r="M4" s="11"/>
      <c r="N4" s="11"/>
      <c r="O4" s="11"/>
      <c r="P4" s="11"/>
    </row>
    <row r="5" spans="1:16" s="15" customFormat="1" ht="13.5" customHeight="1" x14ac:dyDescent="0.2">
      <c r="A5" s="1177" t="s">
        <v>218</v>
      </c>
      <c r="B5" s="1177"/>
      <c r="C5" s="1177"/>
      <c r="D5" s="1177"/>
      <c r="E5" s="1177"/>
      <c r="F5" s="1177"/>
      <c r="G5" s="1177"/>
      <c r="H5" s="1177"/>
      <c r="I5" s="1177"/>
      <c r="J5" s="1177"/>
      <c r="K5" s="9"/>
      <c r="L5" s="9"/>
      <c r="M5" s="9"/>
      <c r="N5" s="59" t="s">
        <v>154</v>
      </c>
      <c r="O5" s="191">
        <f>'päd.Personal - Leitung'!$O$5</f>
        <v>2022</v>
      </c>
      <c r="P5" s="59" t="s">
        <v>154</v>
      </c>
    </row>
    <row r="6" spans="1:16" s="10" customFormat="1" ht="13.5" customHeight="1" x14ac:dyDescent="0.25">
      <c r="B6" s="32"/>
      <c r="C6" s="32"/>
      <c r="D6" s="5" t="s">
        <v>28</v>
      </c>
      <c r="E6" s="31"/>
      <c r="F6" s="31"/>
      <c r="G6" s="31"/>
      <c r="H6" s="31"/>
      <c r="I6" s="26"/>
      <c r="J6" s="1174" t="s">
        <v>14</v>
      </c>
      <c r="K6" s="1174"/>
      <c r="L6" s="180"/>
      <c r="N6" s="84">
        <f>IF(L8="","",L8)</f>
        <v>0</v>
      </c>
      <c r="O6" s="58" t="str">
        <f>'päd.Personal - Leitung'!$O$6</f>
        <v>Jan                Jul</v>
      </c>
      <c r="P6" s="85">
        <f>IF(N11="","",N11)</f>
        <v>0</v>
      </c>
    </row>
    <row r="7" spans="1:16" s="7" customFormat="1" ht="13.5" customHeight="1" x14ac:dyDescent="0.25">
      <c r="A7" s="1180" t="s">
        <v>71</v>
      </c>
      <c r="B7" s="1180"/>
      <c r="C7" s="1180"/>
      <c r="D7" s="1184"/>
      <c r="E7" s="1184"/>
      <c r="F7" s="1184"/>
      <c r="G7" s="1184"/>
      <c r="H7" s="1184"/>
      <c r="I7" s="1184"/>
      <c r="J7" s="1174" t="s">
        <v>104</v>
      </c>
      <c r="K7" s="1174"/>
      <c r="L7" s="145"/>
      <c r="N7" s="85">
        <f>IF(N6="","",N6)</f>
        <v>0</v>
      </c>
      <c r="O7" s="58" t="str">
        <f>'päd.Personal - Leitung'!$O$7</f>
        <v>Feb              Aug</v>
      </c>
      <c r="P7" s="85">
        <f>IF(P6="","",P6)</f>
        <v>0</v>
      </c>
    </row>
    <row r="8" spans="1:16" ht="13.5" customHeight="1" x14ac:dyDescent="0.2">
      <c r="A8" s="1180" t="s">
        <v>13</v>
      </c>
      <c r="B8" s="1180"/>
      <c r="C8" s="1180"/>
      <c r="D8" s="1181"/>
      <c r="E8" s="1181"/>
      <c r="F8" s="1181"/>
      <c r="G8" s="1181"/>
      <c r="H8" s="1181"/>
      <c r="I8" s="1181"/>
      <c r="J8" s="1174" t="s">
        <v>222</v>
      </c>
      <c r="K8" s="1174"/>
      <c r="L8" s="145">
        <f>IF(L9&gt;L7,0,L7-L9)</f>
        <v>0</v>
      </c>
      <c r="N8" s="85">
        <f>IF(N7="","",N7)</f>
        <v>0</v>
      </c>
      <c r="O8" s="58" t="str">
        <f>'päd.Personal - Leitung'!$O$8</f>
        <v>Mrz              Sep</v>
      </c>
      <c r="P8" s="85">
        <f>IF(P7="","",P7)</f>
        <v>0</v>
      </c>
    </row>
    <row r="9" spans="1:16" ht="13.5" customHeight="1" x14ac:dyDescent="0.2">
      <c r="A9" s="1180" t="s">
        <v>12</v>
      </c>
      <c r="B9" s="1180"/>
      <c r="C9" s="1180"/>
      <c r="D9" s="1181"/>
      <c r="E9" s="1181"/>
      <c r="F9" s="1181"/>
      <c r="G9" s="1181"/>
      <c r="H9" s="1181"/>
      <c r="I9" s="1181"/>
      <c r="J9" s="1174" t="s">
        <v>223</v>
      </c>
      <c r="K9" s="1174"/>
      <c r="L9" s="145"/>
      <c r="N9" s="85">
        <f>IF(N8="","",N8)</f>
        <v>0</v>
      </c>
      <c r="O9" s="58" t="str">
        <f>'päd.Personal - Leitung'!$O$9</f>
        <v>Apr               Okt</v>
      </c>
      <c r="P9" s="85">
        <f t="shared" ref="P9:P11" si="0">IF(P8="","",P8)</f>
        <v>0</v>
      </c>
    </row>
    <row r="10" spans="1:16" ht="13.5" customHeight="1" x14ac:dyDescent="0.2">
      <c r="A10" s="1180" t="s">
        <v>19</v>
      </c>
      <c r="B10" s="1180"/>
      <c r="C10" s="1180"/>
      <c r="D10" s="1181"/>
      <c r="E10" s="1181"/>
      <c r="F10" s="1181"/>
      <c r="G10" s="1181"/>
      <c r="H10" s="1181"/>
      <c r="I10" s="1181"/>
      <c r="J10" s="1174" t="s">
        <v>97</v>
      </c>
      <c r="K10" s="1174"/>
      <c r="L10" s="17" t="str">
        <f>IF(IF((COUNTIF(B26:B37,"&gt;0"))=0,0,(COUNTIF(B26:B37,"&gt;0")))&gt;Grundlagen!$C$24,Grundlagen!$C$24,IF((COUNTIF(B26:B37,"&gt;0"))=0,"",(COUNTIF(B26:B37,"&gt;0"))))</f>
        <v/>
      </c>
      <c r="M10" s="92"/>
      <c r="N10" s="85">
        <f>IF(N9="","",N9)</f>
        <v>0</v>
      </c>
      <c r="O10" s="58" t="str">
        <f>'päd.Personal - Leitung'!$O$10</f>
        <v>Mai               Nov</v>
      </c>
      <c r="P10" s="85">
        <f t="shared" si="0"/>
        <v>0</v>
      </c>
    </row>
    <row r="11" spans="1:16" ht="13.5" customHeight="1" x14ac:dyDescent="0.2">
      <c r="B11" s="8"/>
      <c r="C11" s="141" t="s">
        <v>162</v>
      </c>
      <c r="D11" s="1175"/>
      <c r="E11" s="1175"/>
      <c r="F11" s="1176" t="s">
        <v>106</v>
      </c>
      <c r="G11" s="1176"/>
      <c r="H11" s="1186"/>
      <c r="I11" s="1186"/>
      <c r="L11" s="147" t="str">
        <f>IF((SUM(F14:F17))=0,"",IF(P12&gt;L8,L8,IF(L8="","",IF(L10="","",P12))))</f>
        <v/>
      </c>
      <c r="N11" s="85">
        <f>IF(N10="","",N10)</f>
        <v>0</v>
      </c>
      <c r="O11" s="58" t="str">
        <f>'päd.Personal - Leitung'!$O$11</f>
        <v>Jun               Dez</v>
      </c>
      <c r="P11" s="85">
        <f t="shared" si="0"/>
        <v>0</v>
      </c>
    </row>
    <row r="12" spans="1:16" ht="13.5" customHeight="1" x14ac:dyDescent="0.2">
      <c r="I12" s="6"/>
      <c r="O12" s="174" t="s">
        <v>251</v>
      </c>
      <c r="P12" s="175">
        <f>IF(L10="",0,((IF(SUMIF(B26,"&gt;0"),N6,0))+(IF(SUMIF(B27,"&gt;0"),N7,0))+(IF(SUMIF(B28,"&gt;0"),N8,0))+(IF(SUMIF(B29,"&gt;0"),N9,0))+(IF(SUMIF(B30,"&gt;0"),N10,0))+(IF(SUMIF(B31,"&gt;0"),N11,0))+(IF(SUMIF(B32,"&gt;0"),P6,0))+(IF(SUMIF(B33,"&gt;0"),P7,0))+(IF(SUMIF(B34,"&gt;0"),P8,0))+(IF(SUMIF(B35,"&gt;0"),P9,0))+(IF(SUMIF(B36,"&gt;0"),P10,0))+(IF(SUMIF(B37,"&gt;0"),P11,0)))/Grundlagen!$C$24)</f>
        <v>0</v>
      </c>
    </row>
    <row r="13" spans="1:16" s="52" customFormat="1" ht="13.5" customHeight="1" x14ac:dyDescent="0.2">
      <c r="A13" s="61" t="s">
        <v>148</v>
      </c>
      <c r="B13" s="1168" t="s">
        <v>149</v>
      </c>
      <c r="C13" s="1168"/>
      <c r="D13" s="62" t="s">
        <v>150</v>
      </c>
      <c r="E13" s="63" t="s">
        <v>151</v>
      </c>
      <c r="F13" s="64" t="str">
        <f>CONCATENATE("Entg. ",N3," h/Wo")</f>
        <v>Entg.  h/Wo</v>
      </c>
      <c r="G13" s="65" t="s">
        <v>152</v>
      </c>
      <c r="H13" s="65" t="s">
        <v>153</v>
      </c>
      <c r="K13" s="1169" t="str">
        <f>CONCATENATE("Zuschläge / Zulagen für ",N3,"h/Wo")</f>
        <v>Zuschläge / Zulagen für h/Wo</v>
      </c>
      <c r="L13" s="1169"/>
      <c r="M13" s="66" t="str">
        <f>IF(A14="","",A14)</f>
        <v>Jan 2022</v>
      </c>
      <c r="N13" s="66" t="str">
        <f>IF(A15="","",A15)</f>
        <v/>
      </c>
      <c r="O13" s="66" t="str">
        <f>IF(A16="","",A16)</f>
        <v/>
      </c>
      <c r="P13" s="66" t="str">
        <f>IF(A17="","",A17)</f>
        <v/>
      </c>
    </row>
    <row r="14" spans="1:16" s="52" customFormat="1" ht="13.5" customHeight="1" x14ac:dyDescent="0.25">
      <c r="A14" s="55" t="str">
        <f>A26</f>
        <v>Jan 2022</v>
      </c>
      <c r="B14" s="1170" t="str">
        <f>IF($D$3="","",$D$3)</f>
        <v/>
      </c>
      <c r="C14" s="1171"/>
      <c r="D14" s="181"/>
      <c r="E14" s="181"/>
      <c r="F14" s="87"/>
      <c r="G14" s="56">
        <f>IF(N3="",0,F14/N3/4.348)</f>
        <v>0</v>
      </c>
      <c r="H14" s="53">
        <f>IF(G14=0,0,M19)</f>
        <v>0</v>
      </c>
      <c r="K14" s="1146"/>
      <c r="L14" s="1146"/>
      <c r="M14" s="86"/>
      <c r="N14" s="86"/>
      <c r="O14" s="86"/>
      <c r="P14" s="86"/>
    </row>
    <row r="15" spans="1:16" s="52" customFormat="1" ht="13.5" customHeight="1" x14ac:dyDescent="0.25">
      <c r="A15" s="55"/>
      <c r="B15" s="1172" t="str">
        <f>IF(A15="","",B14)</f>
        <v/>
      </c>
      <c r="C15" s="1173"/>
      <c r="D15" s="181"/>
      <c r="E15" s="181"/>
      <c r="F15" s="87"/>
      <c r="G15" s="56">
        <f>IF(N3="",0,F15/N3/4.348)</f>
        <v>0</v>
      </c>
      <c r="H15" s="53">
        <f>IF(G15=0,0,N19)</f>
        <v>0</v>
      </c>
      <c r="K15" s="1146"/>
      <c r="L15" s="1146"/>
      <c r="M15" s="86"/>
      <c r="N15" s="86"/>
      <c r="O15" s="86"/>
      <c r="P15" s="86"/>
    </row>
    <row r="16" spans="1:16" s="52" customFormat="1" ht="13.5" customHeight="1" x14ac:dyDescent="0.25">
      <c r="A16" s="55"/>
      <c r="B16" s="1172" t="str">
        <f>IF(A16="","",B15)</f>
        <v/>
      </c>
      <c r="C16" s="1173"/>
      <c r="D16" s="181"/>
      <c r="E16" s="181"/>
      <c r="F16" s="87"/>
      <c r="G16" s="56">
        <f>IF(N3="",0,F16/N3/4.348)</f>
        <v>0</v>
      </c>
      <c r="H16" s="53">
        <f>IF(G16=0,0,O19)</f>
        <v>0</v>
      </c>
      <c r="K16" s="1146"/>
      <c r="L16" s="1146"/>
      <c r="M16" s="86"/>
      <c r="N16" s="86"/>
      <c r="O16" s="86"/>
      <c r="P16" s="86"/>
    </row>
    <row r="17" spans="1:16" s="52" customFormat="1" ht="13.5" customHeight="1" x14ac:dyDescent="0.25">
      <c r="A17" s="55"/>
      <c r="B17" s="1172" t="str">
        <f>IF(A17="","",B16)</f>
        <v/>
      </c>
      <c r="C17" s="1173"/>
      <c r="D17" s="181"/>
      <c r="E17" s="181"/>
      <c r="F17" s="87"/>
      <c r="G17" s="56">
        <f>IF(N3="",0,F17/N3/4.348)</f>
        <v>0</v>
      </c>
      <c r="H17" s="53">
        <f>IF(G17=0,0,P19)</f>
        <v>0</v>
      </c>
      <c r="K17" s="1146"/>
      <c r="L17" s="1146"/>
      <c r="M17" s="86"/>
      <c r="N17" s="86"/>
      <c r="O17" s="86"/>
      <c r="P17" s="86"/>
    </row>
    <row r="18" spans="1:16" s="52" customFormat="1" ht="13.5" customHeight="1" x14ac:dyDescent="0.25">
      <c r="B18" s="1167" t="s">
        <v>157</v>
      </c>
      <c r="C18" s="1167"/>
      <c r="E18" s="1167" t="s">
        <v>156</v>
      </c>
      <c r="F18" s="1167"/>
      <c r="J18" s="69"/>
      <c r="K18" s="1146"/>
      <c r="L18" s="1146"/>
      <c r="M18" s="86"/>
      <c r="N18" s="86"/>
      <c r="O18" s="86"/>
      <c r="P18" s="86"/>
    </row>
    <row r="19" spans="1:16" s="52" customFormat="1" ht="13.5" customHeight="1" x14ac:dyDescent="0.25">
      <c r="A19" s="70" t="s">
        <v>167</v>
      </c>
      <c r="B19" s="67"/>
      <c r="C19" s="99"/>
      <c r="D19" s="70" t="s">
        <v>167</v>
      </c>
      <c r="E19" s="67"/>
      <c r="F19" s="99"/>
      <c r="J19" s="68"/>
      <c r="M19" s="57">
        <f>SUM(M14:M18)</f>
        <v>0</v>
      </c>
      <c r="N19" s="57">
        <f t="shared" ref="N19:P19" si="1">SUM(N14:N18)</f>
        <v>0</v>
      </c>
      <c r="O19" s="57">
        <f t="shared" si="1"/>
        <v>0</v>
      </c>
      <c r="P19" s="57">
        <f t="shared" si="1"/>
        <v>0</v>
      </c>
    </row>
    <row r="20" spans="1:16" s="52" customFormat="1" ht="13.5" customHeight="1" x14ac:dyDescent="0.2">
      <c r="A20" s="60" t="s">
        <v>155</v>
      </c>
    </row>
    <row r="21" spans="1:16" ht="14.25" customHeight="1" x14ac:dyDescent="0.2">
      <c r="A21" s="1147"/>
      <c r="B21" s="1149" t="s">
        <v>9</v>
      </c>
      <c r="C21" s="1150"/>
      <c r="D21" s="1150"/>
      <c r="E21" s="1150"/>
      <c r="F21" s="1150"/>
      <c r="G21" s="1151"/>
      <c r="H21" s="1152" t="s">
        <v>119</v>
      </c>
      <c r="I21" s="1153"/>
      <c r="J21" s="1153"/>
      <c r="K21" s="1153"/>
      <c r="L21" s="1153"/>
      <c r="M21" s="1153"/>
      <c r="N21" s="1153"/>
      <c r="O21" s="33"/>
      <c r="P21" s="1154" t="s">
        <v>0</v>
      </c>
    </row>
    <row r="22" spans="1:16" ht="14.25" customHeight="1" x14ac:dyDescent="0.2">
      <c r="A22" s="1148"/>
      <c r="B22" s="1157" t="s">
        <v>117</v>
      </c>
      <c r="C22" s="144" t="s">
        <v>115</v>
      </c>
      <c r="D22" s="1159" t="s">
        <v>277</v>
      </c>
      <c r="E22" s="1161" t="s">
        <v>147</v>
      </c>
      <c r="F22" s="149" t="s">
        <v>7</v>
      </c>
      <c r="G22" s="1162" t="s">
        <v>6</v>
      </c>
      <c r="H22" s="1161" t="s">
        <v>129</v>
      </c>
      <c r="I22" s="1161" t="s">
        <v>5</v>
      </c>
      <c r="J22" s="1161" t="s">
        <v>4</v>
      </c>
      <c r="K22" s="1161" t="s">
        <v>3</v>
      </c>
      <c r="L22" s="1161" t="s">
        <v>121</v>
      </c>
      <c r="M22" s="1161" t="s">
        <v>122</v>
      </c>
      <c r="N22" s="1161" t="s">
        <v>123</v>
      </c>
      <c r="O22" s="1160" t="s">
        <v>114</v>
      </c>
      <c r="P22" s="1155"/>
    </row>
    <row r="23" spans="1:16" ht="14.25" customHeight="1" x14ac:dyDescent="0.2">
      <c r="A23" s="1148"/>
      <c r="B23" s="1157"/>
      <c r="C23" s="21" t="str">
        <f>IF(C19="","",C19)</f>
        <v/>
      </c>
      <c r="D23" s="1160"/>
      <c r="E23" s="1161"/>
      <c r="F23" s="1165" t="str">
        <f>IF(H14=0,"","siehe Zuschläge / Zulagen")</f>
        <v/>
      </c>
      <c r="G23" s="1162"/>
      <c r="H23" s="1164" t="s">
        <v>127</v>
      </c>
      <c r="I23" s="1164"/>
      <c r="J23" s="1164"/>
      <c r="K23" s="1164"/>
      <c r="L23" s="1164"/>
      <c r="M23" s="1164"/>
      <c r="N23" s="1164"/>
      <c r="O23" s="1160"/>
      <c r="P23" s="1155"/>
    </row>
    <row r="24" spans="1:16" x14ac:dyDescent="0.2">
      <c r="A24" s="1148"/>
      <c r="B24" s="1157"/>
      <c r="C24" s="142" t="s">
        <v>70</v>
      </c>
      <c r="D24" s="1160"/>
      <c r="E24" s="1161"/>
      <c r="F24" s="1165"/>
      <c r="G24" s="1162"/>
      <c r="H24" s="43" t="s">
        <v>128</v>
      </c>
      <c r="I24" s="43" t="s">
        <v>255</v>
      </c>
      <c r="J24" s="43" t="s">
        <v>256</v>
      </c>
      <c r="K24" s="43" t="s">
        <v>257</v>
      </c>
      <c r="L24" s="43"/>
      <c r="M24" s="43"/>
      <c r="N24" s="43" t="s">
        <v>254</v>
      </c>
      <c r="O24" s="1160"/>
      <c r="P24" s="1155"/>
    </row>
    <row r="25" spans="1:16" x14ac:dyDescent="0.2">
      <c r="A25" s="1148"/>
      <c r="B25" s="1158"/>
      <c r="C25" s="21" t="str">
        <f>IF(F19="","",F19)</f>
        <v/>
      </c>
      <c r="D25" s="51"/>
      <c r="E25" s="51"/>
      <c r="F25" s="1166"/>
      <c r="G25" s="1163"/>
      <c r="H25" s="93"/>
      <c r="I25" s="139">
        <f>'päd.Personal - Leitung'!$I$69</f>
        <v>0</v>
      </c>
      <c r="J25" s="139">
        <f>'päd.Personal - Leitung'!$J$69</f>
        <v>0</v>
      </c>
      <c r="K25" s="44">
        <f>'päd.Personal - Leitung'!$K$69</f>
        <v>0</v>
      </c>
      <c r="L25" s="21"/>
      <c r="M25" s="21"/>
      <c r="N25" s="139">
        <f>'päd.Personal - Leitung'!$N$69</f>
        <v>0</v>
      </c>
      <c r="O25" s="21">
        <f>'päd.Personal - Leitung'!$O$69</f>
        <v>0</v>
      </c>
      <c r="P25" s="1156"/>
    </row>
    <row r="26" spans="1:16" x14ac:dyDescent="0.2">
      <c r="A26" s="100" t="str">
        <f>'päd.Personal - Leitung'!$A$26</f>
        <v>Jan 2022</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76">
        <f>ROUND(IF((SUM(B26:F26))&gt;L41,L41*H25,SUM(B26:F26)*H25),2)</f>
        <v>0</v>
      </c>
      <c r="I26" s="76">
        <f>ROUND(IF((SUM(B26:F26))&gt;L42,L42*I25,SUM(B26:F26)*I25),2)</f>
        <v>0</v>
      </c>
      <c r="J26" s="76">
        <f>ROUND(IF((SUM(B26:F26))&gt;L42,L42*J25,SUM(B26:F26)*J25),2)</f>
        <v>0</v>
      </c>
      <c r="K26" s="76">
        <f>ROUND(IF((SUM(B26:F26))&gt;L41,L41*K25,SUM(B26:F26)*K25),2)</f>
        <v>0</v>
      </c>
      <c r="L26" s="76">
        <f>ROUND(IF((SUM(B26:F26))&gt;L42,L42*L25,(SUM(B26:F26)-C26)*L25),2)</f>
        <v>0</v>
      </c>
      <c r="M26" s="76">
        <f>ROUND(IF((SUM(B26:F26))&gt;L42,L42*M25,(SUM(B26:F26)-C26)*M25),2)</f>
        <v>0</v>
      </c>
      <c r="N26" s="76">
        <f>ROUND(IF((SUM(B26:F26))&gt;L42,L42*N25,SUM(B26:F26)*N25),2)</f>
        <v>0</v>
      </c>
      <c r="O26" s="23">
        <f>ROUND(SUM(B26+C26+F26)*O25,2)</f>
        <v>0</v>
      </c>
      <c r="P26" s="27">
        <f>SUM(G26:O26)</f>
        <v>0</v>
      </c>
    </row>
    <row r="27" spans="1:16" x14ac:dyDescent="0.2">
      <c r="A27" s="100" t="str">
        <f>'päd.Personal - Leitung'!$A$27</f>
        <v>Feb 2022</v>
      </c>
      <c r="B27" s="24">
        <f>ROUND(IF(N7=0,0,IFERROR(((LOOKUP(2,1/(A14:A17=A27),G14:G17))*N7*4.348),B26/N7*N7)),2)</f>
        <v>0</v>
      </c>
      <c r="C27" s="23">
        <f>ROUND(IFERROR(((LOOKUP(2,1/(B19=A27),((SUM(B32:B34)+SUM(F32:F34))/3)*C19))),0)+IFERROR(((LOOKUP(2,1/(E19=A27),(B38+F38)*F19))),0),2)</f>
        <v>0</v>
      </c>
      <c r="D27" s="23">
        <f>ROUND(IF(B27=0,0,D25/L7*N7),2)</f>
        <v>0</v>
      </c>
      <c r="E27" s="23">
        <f>ROUND(IF(B27=0,0,E25/N3*N7),2)</f>
        <v>0</v>
      </c>
      <c r="F27" s="24">
        <f>ROUND(IF(N7=0,0,IFERROR(((LOOKUP(2,1/(A14:A17=A27),H14:H17))/N3*N7),F26/N7*N7)),2)</f>
        <v>0</v>
      </c>
      <c r="G27" s="27">
        <f t="shared" ref="G27:G37" si="2">SUM(B27+C27+E27+F27)</f>
        <v>0</v>
      </c>
      <c r="H27" s="76">
        <f>ROUND(IF(SUM(B26:F26)&lt;(L41*1),IF((SUM(B26:F27))&gt;(L41*2),(((L41*2)-(SUM(B26:F27)-C26))*H25)+((SUM(B27:F27)-C26)*H25),SUM(B27:F27)*H25),IF(SUM(B26:F27)&gt;(L41*2),L41*H25,SUM(B27:F27)*H25)),2)</f>
        <v>0</v>
      </c>
      <c r="I27" s="76">
        <f>ROUND(IF(SUM(B26:F26)&lt;(L42*1),IF((SUM(B26:F27))&gt;(L42*2),(((L42*2)-(SUM(B26:F27)-C26))*I25)+((SUM(B27:F27)-C26)*I25),SUM(B27:F27)*I25),IF(SUM(B26:F27)&gt;(L42*2),L42*I25,SUM(B27:F27)*I25)),2)</f>
        <v>0</v>
      </c>
      <c r="J27" s="76">
        <f>ROUND(IF(SUM(B26:F26)&lt;(L42*1),IF((SUM(B26:F27))&gt;(L42*2),(((L42*2)-(SUM(B26:F27)-C26))*J25)+((SUM(B27:F27)-C26)*J25),SUM(B27:F27)*J25),IF(SUM(B26:F27)&gt;(L42*2),L42*J25,SUM(B27:F27)*J25)),2)</f>
        <v>0</v>
      </c>
      <c r="K27" s="76">
        <f>ROUND(IF(SUM(B26:F26)&lt;(L41*1),IF((SUM(B26:F27))&gt;(L41*2),(((L41*2)-(SUM(B26:F27)-C26))*K25)+((SUM(B27:F27)-C26)*K25),SUM(B27:F27)*K25),IF(SUM(B26:F27)&gt;(L41*2),L41*K25,SUM(B27:F27)*K25)),2)</f>
        <v>0</v>
      </c>
      <c r="L27" s="76">
        <f>ROUND(IF(SUM(B26:F26)&lt;(L42*1),IF((SUM(B26:F27))&gt;(L42*2),(((L42*2)-(SUM(B26:F27)-C27))*L25)+((SUM(B27:F27)-C27)*L25),(SUM(B27:F27)-C27)*L25),IF(SUM(B26:F27)&gt;(L42*2),L42*L25,SUM(B27:F27)*L25)),2)</f>
        <v>0</v>
      </c>
      <c r="M27" s="76">
        <f>ROUND(IF(SUM(B26:F26)&lt;(L42*1),IF((SUM(B26:F27))&gt;(L42*2),(((L42*2)-(SUM(B26:F27)-C27))*M25)+((SUM(B27:F27)-C27)*M25),(SUM(B27:F27)-C27)*M25),IF(SUM(B26:F27)&gt;(L42*2),L42*M25,SUM(B27:F27)*M25)),2)</f>
        <v>0</v>
      </c>
      <c r="N27" s="76">
        <f>ROUND(IF(SUM(B26:F26)&lt;(L42*1),IF((SUM(B26:F27))&gt;(L42*2),(((L42*2)-(SUM(B26:F27)-C26))*N25)+((SUM(B27:F27)-C26)*N25),SUM(B27:F27)*N25),IF(SUM(B26:F27)&gt;(L42*2),L42*N25,SUM(B27:F27)*N25)),2)</f>
        <v>0</v>
      </c>
      <c r="O27" s="23">
        <f>ROUND(SUM(B27+C27+F27)*O25,2)</f>
        <v>0</v>
      </c>
      <c r="P27" s="27">
        <f>SUM(G27:O27)</f>
        <v>0</v>
      </c>
    </row>
    <row r="28" spans="1:16" x14ac:dyDescent="0.2">
      <c r="A28" s="100" t="str">
        <f>'päd.Personal - Leitung'!$A$28</f>
        <v>Mrz 2022</v>
      </c>
      <c r="B28" s="24">
        <f>ROUND(IF(N8=0,0,IFERROR(((LOOKUP(2,1/(A14:A17=A28),G14:G17))*N8*4.348),B27/N8*N8)),2)</f>
        <v>0</v>
      </c>
      <c r="C28" s="23">
        <f>ROUND(IFERROR(((LOOKUP(2,1/(B19=A28),((SUM(B32:B34)+SUM(F32:F34))/3)*C19))),0)+IFERROR(((LOOKUP(2,1/(E19=A28),(B38+F38)*F19))),0),2)</f>
        <v>0</v>
      </c>
      <c r="D28" s="23">
        <f>ROUND(IF(B28=0,0,D25/L7*N8),2)</f>
        <v>0</v>
      </c>
      <c r="E28" s="23">
        <f>ROUND(IF(B28=0,0,E25/N3*N8),2)</f>
        <v>0</v>
      </c>
      <c r="F28" s="24">
        <f>ROUND(IF(N8=0,0,IFERROR(((LOOKUP(2,1/(A14:A17=A28),H14:H17))/N3*N8),F27/N8*N8)),2)</f>
        <v>0</v>
      </c>
      <c r="G28" s="27">
        <f t="shared" si="2"/>
        <v>0</v>
      </c>
      <c r="H28" s="76">
        <f>ROUND(IF(SUM(B26:F27)&lt;(L41*2),IF((SUM(B26:F28))&gt;(L41*3),(((L41*3)-(SUM(B26:F28)-C27))*H25)+((SUM(B28:F28)-C27)*H25),SUM(B28:F28)*H25),IF(SUM(B26:F28)&gt;(L41*3),L41*H25,SUM(B28:F28)*H25)),2)</f>
        <v>0</v>
      </c>
      <c r="I28" s="76">
        <f>ROUND(IF(SUM(B26:F27)&lt;(L42*2),IF((SUM(B26:F28))&gt;(L42*3),(((L42*3)-(SUM(B26:F28)-C27))*I25)+((SUM(B28:F28)-C27)*I25),SUM(B28:F28)*I25),IF(SUM(B26:F28)&gt;(L42*3),L42*I25,SUM(B28:F28)*I25)),2)</f>
        <v>0</v>
      </c>
      <c r="J28" s="76">
        <f>ROUND(IF(SUM(B26:F27)&lt;(L42*2),IF((SUM(B26:F28))&gt;(L42*3),(((L42*3)-(SUM(B26:F28)-C27))*J25)+((SUM(B28:F28)-C27)*J25),SUM(B28:F28)*J25),IF(SUM(B26:F28)&gt;(L42*3),L42*J25,SUM(B28:F28)*J25)),2)</f>
        <v>0</v>
      </c>
      <c r="K28" s="76">
        <f>ROUND(IF(SUM(B26:F27)&lt;(L41*2),IF((SUM(B26:F28))&gt;(L41*3),(((L41*3)-(SUM(B26:F28)-C27))*K25)+((SUM(B28:F28)-C27)*K25),SUM(B28:F28)*K25),IF(SUM(B26:F28)&gt;(L41*3),L41*K25,SUM(B28:F28)*K25)),2)</f>
        <v>0</v>
      </c>
      <c r="L28" s="76">
        <f>ROUND(IF(SUM(B26:F27)&lt;(L42*2),IF((SUM(B26:F28))&gt;(L42*3),(((L42*3)-(SUM(B26:F28)-C28))*L25)+((SUM(B28:F28)-C28)*L25),(SUM(B28:F28)-C28)*L25),IF(SUM(B26:F28)&gt;(L42*3),L42*L25,SUM(B28:F28)*L25)),2)</f>
        <v>0</v>
      </c>
      <c r="M28" s="76">
        <f>ROUND(IF(SUM(B26:F27)&lt;(L42*2),IF((SUM(B26:F28))&gt;(L42*3),(((L42*3)-(SUM(B26:F28)-C28))*M25)+((SUM(B28:F28)-C28)*M25),(SUM(B28:F28)-C28)*M25),IF(SUM(B26:F28)&gt;(L42*3),L42*M25,SUM(B28:F28)*M25)),2)</f>
        <v>0</v>
      </c>
      <c r="N28" s="76">
        <f>ROUND(IF(SUM(B26:F27)&lt;(L42*2),IF((SUM(B26:F28))&gt;(L42*3),(((L42*3)-(SUM(B26:F28)-C27))*N25)+((SUM(B28:F28)-C27)*N25),SUM(B28:F28)*N25),IF(SUM(B26:F28)&gt;(L42*3),L42*N25,SUM(B28:F28)*N25)),2)</f>
        <v>0</v>
      </c>
      <c r="O28" s="23">
        <f>ROUND(SUM(B28+C28+F28)*O25,2)</f>
        <v>0</v>
      </c>
      <c r="P28" s="27">
        <f t="shared" ref="P28:P37" si="3">SUM(G28:O28)</f>
        <v>0</v>
      </c>
    </row>
    <row r="29" spans="1:16" x14ac:dyDescent="0.2">
      <c r="A29" s="100" t="str">
        <f>'päd.Personal - Leitung'!$A$29</f>
        <v>Apr 2022</v>
      </c>
      <c r="B29" s="24">
        <f>ROUND(IF(N9=0,0,IFERROR(((LOOKUP(2,1/(A14:A17=A29),G14:G17))*N9*4.348),B28/N9*N9)),2)</f>
        <v>0</v>
      </c>
      <c r="C29" s="23">
        <f>ROUND(IFERROR(((LOOKUP(2,1/(B19=A29),((SUM(B32:B34)+SUM(F32:F34))/3)*C19))),0)+IFERROR(((LOOKUP(2,1/(E19=A29),(B38+F38)*F19))),0),2)</f>
        <v>0</v>
      </c>
      <c r="D29" s="23">
        <f>ROUND(IF(B29=0,0,D25/L7*N9),2)</f>
        <v>0</v>
      </c>
      <c r="E29" s="23">
        <f>ROUND(IF(B29=0,0,E25/N3*N9),2)</f>
        <v>0</v>
      </c>
      <c r="F29" s="24">
        <f>ROUND(IF(N9=0,0,IFERROR(((LOOKUP(2,1/(A14:A17=A29),H14:H17))/N3*N9),F28/N9*N9)),2)</f>
        <v>0</v>
      </c>
      <c r="G29" s="27">
        <f t="shared" si="2"/>
        <v>0</v>
      </c>
      <c r="H29" s="76">
        <f>ROUND(IF(SUM(B26:F28)&lt;(L41*3),IF((SUM(B26:F29))&gt;(L41*4),(((L41*4)-(SUM(B26:F29)-C28))*H25)+((SUM(B29:F29)-C28)*H25),SUM(B29:F29)*H25),IF(SUM(B26:F29)&gt;(L41*4),L41*H25,SUM(B29:F29)*H25)),2)</f>
        <v>0</v>
      </c>
      <c r="I29" s="76">
        <f>ROUND(IF(SUM(B26:F28)&lt;(L42*3),IF((SUM(B26:F29))&gt;(L42*4),(((L42*4)-(SUM(B26:F29)-C28))*I25)+((SUM(B29:F29)-C28)*I25),SUM(B29:F29)*I25),IF(SUM(B26:F29)&gt;(L42*4),L42*I25,SUM(B29:F29)*I25)),2)</f>
        <v>0</v>
      </c>
      <c r="J29" s="76">
        <f>ROUND(IF(SUM(B26:F28)&lt;(L42*3),IF((SUM(B26:F29))&gt;(L42*4),(((L42*4)-(SUM(B26:F29)-C28))*J25)+((SUM(B29:F29)-C28)*J25),SUM(B29:F29)*J25),IF(SUM(B26:F29)&gt;(L42*4),L42*J25,SUM(B29:F29)*J25)),2)</f>
        <v>0</v>
      </c>
      <c r="K29" s="76">
        <f>ROUND(IF(SUM(B26:F28)&lt;(L41*3),IF((SUM(B26:F29))&gt;(L41*4),(((L41*4)-(SUM(B26:F29)-C28))*K25)+((SUM(B29:F29)-C28)*K25),SUM(B29:F29)*K25),IF(SUM(B26:F29)&gt;(L41*4),L41*K25,SUM(B29:F29)*K25)),2)</f>
        <v>0</v>
      </c>
      <c r="L29" s="76">
        <f>ROUND(IF(SUM(B26:F28)&lt;(L42*3),IF((SUM(B26:F29))&gt;(L42*4),(((L42*4)-(SUM(B26:F29)-C29))*L25)+((SUM(B29:F29)-C29)*L25),(SUM(B29:F29)-C29)*L25),IF(SUM(B26:F29)&gt;(L42*4),L42*L25,SUM(B29:F29)*L25)),2)</f>
        <v>0</v>
      </c>
      <c r="M29" s="76">
        <f>ROUND(IF(SUM(B26:F28)&lt;(L42*3),IF((SUM(B26:F29))&gt;(L42*4),(((L42*4)-(SUM(B26:F29)-C29))*M25)+((SUM(B29:F29)-C29)*M25),(SUM(B29:F29)-C29)*M25),IF(SUM(B26:F29)&gt;(L42*4),L42*M25,SUM(B29:F29)*M25)),2)</f>
        <v>0</v>
      </c>
      <c r="N29" s="76">
        <f>ROUND(IF(SUM(B26:F28)&lt;(L42*3),IF((SUM(B26:F29))&gt;(L42*4),(((L42*4)-(SUM(B26:F29)-C28))*N25)+((SUM(B29:F29)-C28)*N25),SUM(B29:F29)*N25),IF(SUM(B26:F29)&gt;(L42*4),L42*N25,SUM(B29:F29)*N25)),2)</f>
        <v>0</v>
      </c>
      <c r="O29" s="23">
        <f>ROUND(SUM(B29+C29+F29)*O25,2)</f>
        <v>0</v>
      </c>
      <c r="P29" s="27">
        <f t="shared" si="3"/>
        <v>0</v>
      </c>
    </row>
    <row r="30" spans="1:16" x14ac:dyDescent="0.2">
      <c r="A30" s="100" t="str">
        <f>'päd.Personal - Leitung'!$A$30</f>
        <v>Mai 2022</v>
      </c>
      <c r="B30" s="24">
        <f>ROUND(IF(N10=0,0,IFERROR(((LOOKUP(2,1/(A14:A17=A30),G14:G17))*N10*4.348),B29/N10*N10)),2)</f>
        <v>0</v>
      </c>
      <c r="C30" s="23">
        <f>ROUND(IFERROR(((LOOKUP(2,1/(B19=A30),((SUM(B32:B34)+SUM(F32:F34))/3)*C19))),0)+IFERROR(((LOOKUP(2,1/(E19=A30),(B38+F38)*F19))),0),2)</f>
        <v>0</v>
      </c>
      <c r="D30" s="23">
        <f>ROUND(IF(B30=0,0,D25/L7*N10),2)</f>
        <v>0</v>
      </c>
      <c r="E30" s="23">
        <f>ROUND(IF(B30=0,0,E25/N3*N10),2)</f>
        <v>0</v>
      </c>
      <c r="F30" s="24">
        <f>ROUND(IF(N10=0,0,IFERROR(((LOOKUP(2,1/(A14:A17=A30),H14:H17))/N3*N10),F29/N10*N10)),2)</f>
        <v>0</v>
      </c>
      <c r="G30" s="27">
        <f t="shared" si="2"/>
        <v>0</v>
      </c>
      <c r="H30" s="76">
        <f>ROUND(IF(SUM(B26:F29)&lt;(L41*4),IF((SUM(B26:F30))&gt;(L41*5),(((L41*5)-(SUM(B26:F30)-C29))*H25)+((SUM(B30:F30)-C29)*H25),SUM(B30:F30)*H25),IF(SUM(B26:F30)&gt;(L41*5),L41*H25,SUM(B30:F30)*H25)),2)</f>
        <v>0</v>
      </c>
      <c r="I30" s="76">
        <f>ROUND(IF(SUM(B26:F29)&lt;(L42*4),IF((SUM(B26:F30))&gt;(L42*5),(((L42*5)-(SUM(B26:F30)-C29))*I25)+((SUM(B30:F30)-C29)*I25),SUM(B30:F30)*I25),IF(SUM(B26:F30)&gt;(L42*5),L42*I25,SUM(B30:F30)*I25)),2)</f>
        <v>0</v>
      </c>
      <c r="J30" s="76">
        <f>ROUND(IF(SUM(B26:F29)&lt;(L42*4),IF((SUM(B26:F30))&gt;(L42*5),(((L42*5)-(SUM(B26:F30)-C29))*J25)+((SUM(B30:F30)-C29)*J25),SUM(B30:F30)*J25),IF(SUM(B26:F30)&gt;(L42*5),L42*J25,SUM(B30:F30)*J25)),2)</f>
        <v>0</v>
      </c>
      <c r="K30" s="76">
        <f>ROUND(IF(SUM(B26:F29)&lt;(L41*4),IF((SUM(B26:F30))&gt;(L41*5),(((L41*5)-(SUM(B26:F30)-C29))*K25)+((SUM(B30:F30)-C29)*K25),SUM(B30:F30)*K25),IF(SUM(B26:F30)&gt;(L41*5),L41*K25,SUM(B30:F30)*K25)),2)</f>
        <v>0</v>
      </c>
      <c r="L30" s="76">
        <f>ROUND(IF(SUM(B26:F29)&lt;(L42*4),IF((SUM(B26:F30))&gt;(L42*5),(((L42*5)-(SUM(B26:F30)-C30))*L25)+((SUM(B30:F30)-C30)*L25),(SUM(B30:F30)-C30)*L25),IF(SUM(B26:F30)&gt;(L42*5),L42*L25,SUM(B30:F30)*L25)),2)</f>
        <v>0</v>
      </c>
      <c r="M30" s="76">
        <f>ROUND(IF(SUM(B26:F29)&lt;(L42*4),IF((SUM(B26:F30))&gt;(L42*5),(((L42*5)-(SUM(B26:F30)-C30))*M25)+((SUM(B30:F30)-C30)*M25),(SUM(B30:F30)-C30)*M25),IF(SUM(B26:F30)&gt;(L42*5),L42*M25,SUM(B30:F30)*M25)),2)</f>
        <v>0</v>
      </c>
      <c r="N30" s="76">
        <f>ROUND(IF(SUM(B26:F29)&lt;(L42*4),IF((SUM(B26:F30))&gt;(L42*5),(((L42*5)-(SUM(B26:F30)-C29))*N25)+((SUM(B30:F30)-C29)*N25),SUM(B30:F30)*N25),IF(SUM(B26:F30)&gt;(L42*5),L42*N25,SUM(B30:F30)*N25)),2)</f>
        <v>0</v>
      </c>
      <c r="O30" s="23">
        <f>ROUND(SUM(B30+C30+F30)*O25,2)</f>
        <v>0</v>
      </c>
      <c r="P30" s="27">
        <f t="shared" si="3"/>
        <v>0</v>
      </c>
    </row>
    <row r="31" spans="1:16" x14ac:dyDescent="0.2">
      <c r="A31" s="100" t="str">
        <f>'päd.Personal - Leitung'!$A$31</f>
        <v>Jun 2022</v>
      </c>
      <c r="B31" s="24">
        <f>ROUND(IF(N11=0,0,IFERROR(((LOOKUP(2,1/(A14:A17=A31),G14:G17))*N11*4.348),B30/N11*N11)),2)</f>
        <v>0</v>
      </c>
      <c r="C31" s="23">
        <f>ROUND(IFERROR(((LOOKUP(2,1/(B19=A31),((SUM(B32:B34)+SUM(F32:F34))/3)*C19))),0)+IFERROR(((LOOKUP(2,1/(E19=A31),(B38+F38)*F19))),0),2)</f>
        <v>0</v>
      </c>
      <c r="D31" s="23">
        <f>ROUND(IF(B31=0,0,D25/L7*N11),2)</f>
        <v>0</v>
      </c>
      <c r="E31" s="23">
        <f>ROUND(IF(B31=0,0,E25/N3*N11),2)</f>
        <v>0</v>
      </c>
      <c r="F31" s="24">
        <f>ROUND(IF(N11=0,0,IFERROR(((LOOKUP(2,1/(A14:A17=A31),H14:H17))/N3*N11),F30/N11*N11)),2)</f>
        <v>0</v>
      </c>
      <c r="G31" s="27">
        <f t="shared" si="2"/>
        <v>0</v>
      </c>
      <c r="H31" s="76">
        <f>ROUND(IF(SUM(B26:F30)&lt;(L41*5),IF((SUM(B26:F31))&gt;(L41*6),(((L41*6)-(SUM(B26:F31)-C30))*H25)+((SUM(B31:F31)-C30)*H25),SUM(B31:F31)*H25),IF(SUM(B26:F31)&gt;(L41*6),L41*H25,SUM(B31:F31)*H25)),2)</f>
        <v>0</v>
      </c>
      <c r="I31" s="76">
        <f>ROUND(IF(SUM(B26:F30)&lt;(L42*5),IF((SUM(B26:F31))&gt;(L42*6),(((L42*6)-(SUM(B26:F31)-C30))*I25)+((SUM(B31:F31)-C30)*I25),SUM(B31:F31)*I25),IF(SUM(B26:F31)&gt;(L42*6),L42*I25,SUM(B31:F31)*I25)),2)</f>
        <v>0</v>
      </c>
      <c r="J31" s="76">
        <f>ROUND(IF(SUM(B26:F30)&lt;(L42*5),IF((SUM(B26:F31))&gt;(L42*6),(((L42*6)-(SUM(B26:F31)-C30))*J25)+((SUM(B31:F31)-C30)*J25),SUM(B31:F31)*J25),IF(SUM(B26:F31)&gt;(L42*6),L42*J25,SUM(B31:F31)*J25)),2)</f>
        <v>0</v>
      </c>
      <c r="K31" s="76">
        <f>ROUND(IF(SUM(B26:F30)&lt;(L41*5),IF((SUM(B26:F31))&gt;(L41*6),(((L41*6)-(SUM(B26:F31)-C30))*K25)+((SUM(B31:F31)-C30)*K25),SUM(B31:F31)*K25),IF(SUM(B26:F31)&gt;(L41*6),L41*K25,SUM(B31:F31)*K25)),2)</f>
        <v>0</v>
      </c>
      <c r="L31" s="76">
        <f>ROUND(IF(SUM(B26:F30)&lt;(L42*5),IF((SUM(B26:F31))&gt;(L42*6),(((L42*6)-(SUM(B26:F31)-C31))*L25)+((SUM(B31:F31)-C31)*L25),(SUM(B31:F31)-C31)*L25),IF(SUM(B26:F31)&gt;(L42*6),L42*L25,SUM(B31:F31)*L25)),2)</f>
        <v>0</v>
      </c>
      <c r="M31" s="76">
        <f>ROUND(IF(SUM(B26:F30)&lt;(L42*5),IF((SUM(B26:F31))&gt;(L42*6),(((L42*6)-(SUM(B26:F31)-C31))*M25)+((SUM(B31:F31)-C31)*M25),(SUM(B31:F31)-C31)*M25),IF(SUM(B26:F31)&gt;(L42*6),L42*M25,SUM(B31:F31)*M25)),2)</f>
        <v>0</v>
      </c>
      <c r="N31" s="76">
        <f>ROUND(IF(SUM(B26:F30)&lt;(L42*5),IF((SUM(B26:F31))&gt;(L42*6),(((L42*6)-(SUM(B26:F31)-C30))*N25)+((SUM(B31:F31)-C30)*N25),SUM(B31:F31)*N25),IF(SUM(B26:F31)&gt;(L42*6),L42*N25,SUM(B31:F31)*N25)),2)</f>
        <v>0</v>
      </c>
      <c r="O31" s="23">
        <f>ROUND(SUM(B31+C31+F31)*O25,2)</f>
        <v>0</v>
      </c>
      <c r="P31" s="27">
        <f t="shared" si="3"/>
        <v>0</v>
      </c>
    </row>
    <row r="32" spans="1:16" x14ac:dyDescent="0.2">
      <c r="A32" s="100" t="str">
        <f>'päd.Personal - Leitung'!$A$32</f>
        <v>Jul 2022</v>
      </c>
      <c r="B32" s="24">
        <f>ROUND(IF(P6=0,0,IFERROR(((LOOKUP(2,1/(A14:A17=A32),G14:G17))*P6*4.348),B31/P6*P6)),2)</f>
        <v>0</v>
      </c>
      <c r="C32" s="23">
        <f>ROUND(IFERROR(((LOOKUP(2,1/(B19=A32),((SUM(B32:B34)+SUM(F32:F34))/3)*C19))),0)+IFERROR(((LOOKUP(2,1/(E19=A32),(B38+F38)*F19))),0),2)</f>
        <v>0</v>
      </c>
      <c r="D32" s="23">
        <f>ROUND(IF(B32=0,0,D25/L7*P6),2)</f>
        <v>0</v>
      </c>
      <c r="E32" s="23">
        <f>ROUND(IF(B32=0,0,E25/N3*P6),2)</f>
        <v>0</v>
      </c>
      <c r="F32" s="24">
        <f>ROUND(IF(P6=0,0,IFERROR(((LOOKUP(2,1/(A14:A17=A32),H14:H17))/N3*P6),F31/P6*P6)),2)</f>
        <v>0</v>
      </c>
      <c r="G32" s="27">
        <f t="shared" si="2"/>
        <v>0</v>
      </c>
      <c r="H32" s="76">
        <f>ROUND(IF(SUM(B26:F31)&lt;(L41*6),IF((SUM(B26:F32))&gt;(L41*7),(((L41*7)-(SUM(B26:F32)-C31))*H25)+((SUM(B32:F32)-C31)*H25),SUM(B32:F32)*H25),IF(SUM(B26:F32)&gt;(L41*7),L41*H25,SUM(B32:F32)*H25)),2)</f>
        <v>0</v>
      </c>
      <c r="I32" s="76">
        <f>ROUND(IF(SUM(B26:F31)&lt;(L42*6),IF((SUM(B26:F32))&gt;(L42*7),(((L42*7)-(SUM(B26:F32)-C31))*I25)+((SUM(B32:F32)-C31)*I25),SUM(B32:F32)*I25),IF(SUM(B26:F32)&gt;(L42*7),L42*I25,SUM(B32:F32)*I25)),2)</f>
        <v>0</v>
      </c>
      <c r="J32" s="76">
        <f>ROUND(IF(SUM(B26:F31)&lt;(L42*6),IF((SUM(B26:F32))&gt;(L42*7),(((L42*7)-(SUM(B26:F32)-C31))*J25)+((SUM(B32:F32)-C31)*J25),SUM(B32:F32)*J25),IF(SUM(B26:F32)&gt;(L42*7),L42*J25,SUM(B32:F32)*J25)),2)</f>
        <v>0</v>
      </c>
      <c r="K32" s="76">
        <f>ROUND(IF(SUM(B26:F31)&lt;(L41*6),IF((SUM(B26:F32))&gt;(L41*7),(((L41*7)-(SUM(B26:F32)-C31))*K25)+((SUM(B32:F32)-C31)*K25),SUM(B32:F32)*K25),IF(SUM(B26:F32)&gt;(L41*7),L41*K25,SUM(B32:F32)*K25)),2)</f>
        <v>0</v>
      </c>
      <c r="L32" s="76">
        <f>ROUND(IF(SUM(B26:F31)&lt;(L42*6),IF((SUM(B26:F32))&gt;(L42*7),(((L42*7)-(SUM(B26:F32)-C32))*L25)+((SUM(B32:F32)-C32)*L25),(SUM(B32:F32)-C32)*L25),IF(SUM(B26:F32)&gt;(L42*7),L42*L25,SUM(B32:F32)*L25)),2)</f>
        <v>0</v>
      </c>
      <c r="M32" s="76">
        <f>ROUND(IF(SUM(B26:F31)&lt;(L42*6),IF((SUM(B26:F32))&gt;(L42*7),(((L42*7)-(SUM(B26:F32)-C32))*M25)+((SUM(B32:F32)-C32)*M25),(SUM(B32:F32)-C32)*M25),IF(SUM(B26:F32)&gt;(L42*7),L42*M25,SUM(B32:F32)*M25)),2)</f>
        <v>0</v>
      </c>
      <c r="N32" s="76">
        <f>ROUND(IF(SUM(B26:F31)&lt;(L42*6),IF((SUM(B26:F32))&gt;(L42*7),(((L42*7)-(SUM(B26:F32)-C31))*N25)+((SUM(B32:F32)-C31)*N25),SUM(B32:F32)*N25),IF(SUM(B26:F32)&gt;(L42*7),L42*N25,SUM(B32:F32)*N25)),2)</f>
        <v>0</v>
      </c>
      <c r="O32" s="23">
        <f>ROUND(SUM(B32+C32+F32)*O25,2)</f>
        <v>0</v>
      </c>
      <c r="P32" s="27">
        <f t="shared" si="3"/>
        <v>0</v>
      </c>
    </row>
    <row r="33" spans="1:16" x14ac:dyDescent="0.2">
      <c r="A33" s="100" t="str">
        <f>'päd.Personal - Leitung'!$A$33</f>
        <v>Aug 2022</v>
      </c>
      <c r="B33" s="24">
        <f>ROUND(IF(P7=0,0,IFERROR(((LOOKUP(2,1/(A14:A17=A33),G14:G17))*P7*4.348),B32/P7*P7)),2)</f>
        <v>0</v>
      </c>
      <c r="C33" s="23">
        <f>ROUND(IFERROR(((LOOKUP(2,1/(B19=A33),((SUM(B32:B34)+SUM(F32:F34))/3)*C19))),0)+IFERROR(((LOOKUP(2,1/(E19=A33),(B38+F38)*F19))),0),2)</f>
        <v>0</v>
      </c>
      <c r="D33" s="23">
        <f>ROUND(IF(B33=0,0,D25/L7*P7),2)</f>
        <v>0</v>
      </c>
      <c r="E33" s="23">
        <f>ROUND(IF(B33=0,0,E25/N3*P7),2)</f>
        <v>0</v>
      </c>
      <c r="F33" s="24">
        <f>ROUND(IF(P7=0,0,IFERROR(((LOOKUP(2,1/(A14:A17=A33),H14:H17))/N3*P7),F32/P7*P7)),2)</f>
        <v>0</v>
      </c>
      <c r="G33" s="27">
        <f t="shared" si="2"/>
        <v>0</v>
      </c>
      <c r="H33" s="76">
        <f>ROUND(IF(SUM(B26:F32)&lt;(L41*7),IF((SUM(B26:F33))&gt;(L41*8),(((L41*8)-(SUM(B26:F33)-C32))*H25)+((SUM(B33:F33)-C32)*H25),SUM(B33:F33)*H25),IF(SUM(B26:F33)&gt;(L41*8),L41*H25,SUM(B33:F33)*H25)),2)</f>
        <v>0</v>
      </c>
      <c r="I33" s="76">
        <f>ROUND(IF(SUM(B26:F32)&lt;(L42*7),IF((SUM(B26:F33))&gt;(L42*8),(((L42*8)-(SUM(B26:F33)-C32))*I25)+((SUM(B33:F33)-C32)*I25),SUM(B33:F33)*I25),IF(SUM(B26:F33)&gt;(L42*8),L42*I25,SUM(B33:F33)*I25)),2)</f>
        <v>0</v>
      </c>
      <c r="J33" s="76">
        <f>ROUND(IF(SUM(B26:F32)&lt;(L42*7),IF((SUM(B26:F33))&gt;(L42*8),(((L42*8)-(SUM(B26:F33)-C32))*J25)+((SUM(B33:F33)-C32)*J25),SUM(B33:F33)*J25),IF(SUM(B26:F33)&gt;(L42*8),L42*J25,SUM(B33:F33)*J25)),2)</f>
        <v>0</v>
      </c>
      <c r="K33" s="76">
        <f>ROUND(IF(SUM(B26:F32)&lt;(L41*7),IF((SUM(B26:F33))&gt;(L41*8),(((L41*8)-(SUM(B26:F33)-C32))*K25)+((SUM(B33:F33)-C32)*K25),SUM(B33:F33)*K25),IF(SUM(B26:F33)&gt;(L41*8),L41*K25,SUM(B33:F33)*K25)),2)</f>
        <v>0</v>
      </c>
      <c r="L33" s="76">
        <f>ROUND(IF(SUM(B26:F32)&lt;(L42*7),IF((SUM(B26:F33))&gt;(L42*8),(((L42*8)-(SUM(B26:F33)-C33))*L25)+((SUM(B33:F33)-C33)*L25),(SUM(B33:F33)-C33)*L25),IF(SUM(B26:F33)&gt;(L42*8),L42*L25,SUM(B33:F33)*L25)),2)</f>
        <v>0</v>
      </c>
      <c r="M33" s="76">
        <f>ROUND(IF(SUM(B26:F32)&lt;(L42*7),IF((SUM(B26:F33))&gt;(L42*8),(((L42*8)-(SUM(B26:F33)-C33))*M25)+((SUM(B33:F33)-C33)*M25),(SUM(B33:F33)-C33)*M25),IF(SUM(B26:F33)&gt;(L42*8),L42*M25,SUM(B33:F33)*M25)),2)</f>
        <v>0</v>
      </c>
      <c r="N33" s="76">
        <f>ROUND(IF(SUM(B26:F32)&lt;(L42*7),IF((SUM(B26:F33))&gt;(L42*8),(((L42*8)-(SUM(B26:F33)-C32))*N25)+((SUM(B33:F33)-C32)*N25),SUM(B33:F33)*N25),IF(SUM(B26:F33)&gt;(L42*8),L42*N25,SUM(B33:F33)*N25)),2)</f>
        <v>0</v>
      </c>
      <c r="O33" s="23">
        <f>ROUND(SUM(B33+C33+F33)*O25,2)</f>
        <v>0</v>
      </c>
      <c r="P33" s="27">
        <f t="shared" si="3"/>
        <v>0</v>
      </c>
    </row>
    <row r="34" spans="1:16" x14ac:dyDescent="0.2">
      <c r="A34" s="100" t="str">
        <f>'päd.Personal - Leitung'!$A$34</f>
        <v>Sep 2022</v>
      </c>
      <c r="B34" s="24">
        <f>ROUND(IF(P8=0,0,IFERROR(((LOOKUP(2,1/(A14:A17=A34),G14:G17))*P8*4.348),B33/P8*P8)),2)</f>
        <v>0</v>
      </c>
      <c r="C34" s="23">
        <f>ROUND(IFERROR(((LOOKUP(2,1/(B19=A34),((SUM(B32:B34)+SUM(F32:F34))/3)*C19))),0)+IFERROR(((LOOKUP(2,1/(E19=A34),(B38+F38)*F19))),0),2)</f>
        <v>0</v>
      </c>
      <c r="D34" s="23">
        <f>ROUND(IF(B34=0,0,D25/L7*P8),2)</f>
        <v>0</v>
      </c>
      <c r="E34" s="23">
        <f>ROUND(IF(B34=0,0,E25/N3*P8),2)</f>
        <v>0</v>
      </c>
      <c r="F34" s="24">
        <f>ROUND(IF(P8=0,0,IFERROR(((LOOKUP(2,1/(A14:A17=A34),H14:H17))/N3*P8),F33/P8*P8)),2)</f>
        <v>0</v>
      </c>
      <c r="G34" s="27">
        <f t="shared" si="2"/>
        <v>0</v>
      </c>
      <c r="H34" s="76">
        <f>ROUND(IF(SUM(B26:F33)&lt;(L41*8),IF((SUM(B26:F34))&gt;(L41*9),(((L41*9)-(SUM(B26:F34)-C33))*H25)+((SUM(B34:F34)-C33)*H25),SUM(B34:F34)*H25),IF(SUM(B26:F34)&gt;(L41*9),L41*H25,SUM(B34:F34)*H25)),2)</f>
        <v>0</v>
      </c>
      <c r="I34" s="76">
        <f>ROUND(IF(SUM(B26:F33)&lt;(L42*8),IF((SUM(B26:F34))&gt;(L42*9),(((L42*9)-(SUM(B26:F34)-C33))*I25)+((SUM(B34:F34)-C33)*I25),SUM(B34:F34)*I25),IF(SUM(B26:F34)&gt;(L42*9),L42*I25,SUM(B34:F34)*I25)),2)</f>
        <v>0</v>
      </c>
      <c r="J34" s="76">
        <f>ROUND(IF(SUM(B26:F33)&lt;(L42*8),IF((SUM(B26:F34))&gt;(L42*9),(((L42*9)-(SUM(B26:F34)-C33))*J25)+((SUM(B34:F34)-C33)*J25),SUM(B34:F34)*J25),IF(SUM(B26:F34)&gt;(L42*9),L42*J25,SUM(B34:F34)*J25)),2)</f>
        <v>0</v>
      </c>
      <c r="K34" s="76">
        <f>ROUND(IF(SUM(B26:F33)&lt;(L41*8),IF((SUM(B26:F34))&gt;(L41*9),(((L41*9)-(SUM(B26:F34)-C33))*K25)+((SUM(B34:F34)-C33)*K25),SUM(B34:F34)*K25),IF(SUM(B26:F34)&gt;(L41*9),L41*K25,SUM(B34:F34)*K25)),2)</f>
        <v>0</v>
      </c>
      <c r="L34" s="76">
        <f>ROUND(IF(SUM(B26:F33)&lt;(L42*8),IF((SUM(B26:F34))&gt;(L42*9),(((L42*9)-(SUM(B26:F34)-C34))*L25)+((SUM(B34:F34)-C34)*L25),(SUM(B34:F34)-C34)*L25),IF(SUM(B26:F34)&gt;(L42*9),L42*L25,SUM(B34:F34)*L25)),2)</f>
        <v>0</v>
      </c>
      <c r="M34" s="76">
        <f>ROUND(IF(SUM(B26:F33)&lt;(L42*8),IF((SUM(B26:F34))&gt;(L42*9),(((L42*9)-(SUM(B26:F34)-C34))*M25)+((SUM(B34:F34)-C34)*M25),(SUM(B34:F34)-C34)*M25),IF(SUM(B26:F34)&gt;(L42*9),L42*M25,SUM(B34:F34)*M25)),2)</f>
        <v>0</v>
      </c>
      <c r="N34" s="76">
        <f>ROUND(IF(SUM(B26:F33)&lt;(L42*8),IF((SUM(B26:F34))&gt;(L42*9),(((L42*9)-(SUM(B26:F34)-C33))*N25)+((SUM(B34:F34)-C33)*N25),SUM(B34:F34)*N25),IF(SUM(B26:F34)&gt;(L42*9),L42*N25,SUM(B34:F34)*N25)),2)</f>
        <v>0</v>
      </c>
      <c r="O34" s="23">
        <f>ROUND(SUM(B34+C34+F34)*O25,2)</f>
        <v>0</v>
      </c>
      <c r="P34" s="27">
        <f t="shared" si="3"/>
        <v>0</v>
      </c>
    </row>
    <row r="35" spans="1:16" x14ac:dyDescent="0.2">
      <c r="A35" s="100" t="str">
        <f>'päd.Personal - Leitung'!$A$35</f>
        <v>Okt 2022</v>
      </c>
      <c r="B35" s="24">
        <f>ROUND(IF(P9=0,0,IFERROR(((LOOKUP(2,1/(A14:A17=A35),G14:G17))*P9*4.348),B34/P9*P9)),2)</f>
        <v>0</v>
      </c>
      <c r="C35" s="23">
        <f>ROUND(IFERROR(((LOOKUP(2,1/(B19=A35),((SUM(B32:B34)+SUM(F32:F34))/3)*C19))),0)+IFERROR(((LOOKUP(2,1/(E19=A35),(B38+F38)*F19))),0),2)</f>
        <v>0</v>
      </c>
      <c r="D35" s="23">
        <f>ROUND(IF(B35=0,0,D25/L7*P9),2)</f>
        <v>0</v>
      </c>
      <c r="E35" s="23">
        <f>ROUND(IF(B35=0,0,E25/N3*P9),2)</f>
        <v>0</v>
      </c>
      <c r="F35" s="24">
        <f>ROUND(IF(P9=0,0,IFERROR(((LOOKUP(2,1/(A14:A17=A35),H14:H17))/N3*P9),F34/P9*P9)),2)</f>
        <v>0</v>
      </c>
      <c r="G35" s="27">
        <f t="shared" si="2"/>
        <v>0</v>
      </c>
      <c r="H35" s="76">
        <f>ROUND(IF(SUM(B26:F34)&lt;(L41*9),IF((SUM(B26:F35))&gt;(L41*10),(((L41*10)-(SUM(B26:F35)-C34))*H25)+((SUM(B35:F35)-C34)*H25),SUM(B35:F35)*H25),IF(SUM(B26:F35)&gt;(L41*10),L41*H25,SUM(B35:F35)*H25)),2)</f>
        <v>0</v>
      </c>
      <c r="I35" s="76">
        <f>ROUND(IF(SUM(B26:F34)&lt;(L42*9),IF((SUM(B26:F35))&gt;(L42*10),(((L42*10)-(SUM(B26:F35)-C34))*I25)+((SUM(B35:F35)-C34)*I25),SUM(B35:F35)*I25),IF(SUM(B26:F35)&gt;(L42*10),L42*I25,SUM(B35:F35)*I25)),2)</f>
        <v>0</v>
      </c>
      <c r="J35" s="76">
        <f>ROUND(IF(SUM(B26:F34)&lt;(L42*9),IF((SUM(B26:F35))&gt;(L42*10),(((L42*10)-(SUM(B26:F35)-C34))*J25)+((SUM(B35:F35)-C34)*J25),SUM(B35:F35)*J25),IF(SUM(B26:F35)&gt;(L42*10),L42*J25,SUM(B35:F35)*J25)),2)</f>
        <v>0</v>
      </c>
      <c r="K35" s="76">
        <f>ROUND(IF(SUM(B26:F34)&lt;(L41*9),IF((SUM(B26:F35))&gt;(L41*10),(((L41*10)-(SUM(B26:F35)-C34))*K25)+((SUM(B35:F35)-C34)*K25),SUM(B35:F35)*K25),IF(SUM(B26:F35)&gt;(L41*10),L41*K25,SUM(B35:F35)*K25)),2)</f>
        <v>0</v>
      </c>
      <c r="L35" s="76">
        <f>ROUND(IF(SUM(B26:F34)&lt;(L42*9),IF((SUM(B26:F35))&gt;(L42*10),(((L42*10)-(SUM(B26:F35)-C35))*L25)+((SUM(B35:F35)-C35)*L25),(SUM(B35:F35)-C35)*L25),IF(SUM(B26:F35)&gt;(L42*10),L42*L25,SUM(B35:F35)*L25)),2)</f>
        <v>0</v>
      </c>
      <c r="M35" s="76">
        <f>ROUND(IF(SUM(B26:F34)&lt;(L42*9),IF((SUM(B26:F35))&gt;(L42*10),(((L42*10)-(SUM(B26:F35)-C35))*M25)+((SUM(B35:F35)-C35)*M25),(SUM(B35:F35)-C35)*M25),IF(SUM(B26:F35)&gt;(L42*10),L42*M25,SUM(B35:F35)*M25)),2)</f>
        <v>0</v>
      </c>
      <c r="N35" s="76">
        <f>ROUND(IF(SUM(B26:F34)&lt;(L42*9),IF((SUM(B26:F35))&gt;(L42*10),(((L42*10)-(SUM(B26:F35)-C34))*N25)+((SUM(B35:F35)-C34)*N25),SUM(B35:F35)*N25),IF(SUM(B26:F35)&gt;(L42*10),L42*N25,SUM(B35:F35)*N25)),2)</f>
        <v>0</v>
      </c>
      <c r="O35" s="23">
        <f>ROUND(SUM(B35+C35+F35)*O25,2)</f>
        <v>0</v>
      </c>
      <c r="P35" s="27">
        <f t="shared" si="3"/>
        <v>0</v>
      </c>
    </row>
    <row r="36" spans="1:16" x14ac:dyDescent="0.2">
      <c r="A36" s="100" t="str">
        <f>'päd.Personal - Leitung'!$A$36</f>
        <v>Nov 2022</v>
      </c>
      <c r="B36" s="24">
        <f>ROUND(IF(P10=0,0,IFERROR(((LOOKUP(2,1/(A14:A17=A36),G14:G17))*P10*4.348),B35/P10*P10)),2)</f>
        <v>0</v>
      </c>
      <c r="C36" s="23">
        <f>ROUND(IFERROR(((LOOKUP(2,1/(B19=A36),((SUM(B32:B34)+SUM(F32:F34))/3)*C19))),0)+IFERROR(((LOOKUP(2,1/(E19=A36),(B38+F38)*F19))),0),2)</f>
        <v>0</v>
      </c>
      <c r="D36" s="23">
        <f>ROUND(IF(B36=0,0,D25/L7*P10),2)</f>
        <v>0</v>
      </c>
      <c r="E36" s="23">
        <f>ROUND(IF(B36=0,0,E25/N3*P10),2)</f>
        <v>0</v>
      </c>
      <c r="F36" s="24">
        <f>ROUND(IF(P10=0,0,IFERROR(((LOOKUP(2,1/(A14:A17=A36),H14:H17))/N3*P10),F35/P10*P10)),2)</f>
        <v>0</v>
      </c>
      <c r="G36" s="27">
        <f t="shared" si="2"/>
        <v>0</v>
      </c>
      <c r="H36" s="76">
        <f>ROUND(IF(SUM(B26:F35)&lt;(L41*10),IF((SUM(B26:F36))&gt;(L41*11),(((L41*11)-(SUM(B26:F36)-C35))*H25)+((SUM(B36:F36)-C35)*H25),SUM(B36:F36)*H25),IF(SUM(B26:F36)&gt;(L41*11),L41*H25,SUM(B36:F36)*H25)),2)</f>
        <v>0</v>
      </c>
      <c r="I36" s="76">
        <f>ROUND(IF(SUM(B26:F35)&lt;(L42*10),IF((SUM(B26:F36))&gt;(L42*11),(((L42*11)-(SUM(B26:F36)-C35))*I25)+((SUM(B36:F36)-C35)*I25),SUM(B36:F36)*I25),IF(SUM(B26:F36)&gt;(L42*11),L42*I25,SUM(B36:F36)*I25)),2)</f>
        <v>0</v>
      </c>
      <c r="J36" s="76">
        <f>ROUND(IF(SUM(B26:F35)&lt;(L42*10),IF((SUM(B26:F36))&gt;(L42*11),(((L42*11)-(SUM(B26:F36)-C35))*J25)+((SUM(B36:F36)-C35)*J25),SUM(B36:F36)*J25),IF(SUM(B26:F36)&gt;(L42*11),L42*J25,SUM(B36:F36)*J25)),2)</f>
        <v>0</v>
      </c>
      <c r="K36" s="76">
        <f>ROUND(IF(SUM(B26:F35)&lt;(L41*10),IF((SUM(B26:F36))&gt;(L41*11),(((L41*11)-(SUM(B26:F36)-C35))*K25)+((SUM(B36:F36)-C35)*K25),SUM(B36:F36)*K25),IF(SUM(B26:F36)&gt;(L41*11),L41*K25,SUM(B36:F36)*K25)),2)</f>
        <v>0</v>
      </c>
      <c r="L36" s="76">
        <f>ROUND(IF(SUM(B26:F35)&lt;(L42*10),IF((SUM(B26:F36))&gt;(L42*11),(((L42*11)-(SUM(B26:F36)-C36))*L25)+((SUM(B36:F36)-C36)*L25),(SUM(B36:F36)-C36)*L25),IF(SUM(B26:F36)&gt;(L42*11),L42*L25,SUM(B36:F36)*L25)),2)</f>
        <v>0</v>
      </c>
      <c r="M36" s="76">
        <f>ROUND(IF(SUM(B26:F35)&lt;(L42*10),IF((SUM(B26:F36))&gt;(L42*11),(((L42*11)-(SUM(B26:F36)-C36))*M25)+((SUM(B36:F36)-C36)*M25),(SUM(B36:F36)-C36)*M25),IF(SUM(B26:F36)&gt;(L42*11),L42*M25,SUM(B36:F36)*M25)),2)</f>
        <v>0</v>
      </c>
      <c r="N36" s="76">
        <f>ROUND(IF(SUM(B26:F35)&lt;(L42*10),IF((SUM(B26:F36))&gt;(L42*11),(((L42*11)-(SUM(B26:F36)-C35))*N25)+((SUM(B36:F36)-C35)*N25),SUM(B36:F36)*N25),IF(SUM(B26:F36)&gt;(L42*11),L42*N25,SUM(B36:F36)*N25)),2)</f>
        <v>0</v>
      </c>
      <c r="O36" s="23">
        <f>ROUND(SUM(B36+C36+F36)*O25,2)</f>
        <v>0</v>
      </c>
      <c r="P36" s="27">
        <f t="shared" si="3"/>
        <v>0</v>
      </c>
    </row>
    <row r="37" spans="1:16" x14ac:dyDescent="0.2">
      <c r="A37" s="100" t="str">
        <f>'päd.Personal - Leitung'!$A$37</f>
        <v>Dez 2022</v>
      </c>
      <c r="B37" s="24">
        <f>ROUND(IF(P11=0,0,IFERROR(((LOOKUP(2,1/(A14:A17=A37),G14:G17))*P11*4.348),B36/P11*P11)),2)</f>
        <v>0</v>
      </c>
      <c r="C37" s="23">
        <f>ROUND(IFERROR(((LOOKUP(2,1/(B19=A37),((SUM(B32:B34)+SUM(F32:F34))/3)*C19))),0)+IFERROR(((LOOKUP(2,1/(E19=A37),(B38+F38)*F19))),0),2)</f>
        <v>0</v>
      </c>
      <c r="D37" s="23">
        <f>ROUND(IF(B37=0,0,D25/L7*P11),2)</f>
        <v>0</v>
      </c>
      <c r="E37" s="23">
        <f>ROUND(IF(B37=0,0,E25/N3*P11),2)</f>
        <v>0</v>
      </c>
      <c r="F37" s="24">
        <f>ROUND(IF(P11=0,0,IFERROR(((LOOKUP(2,1/(A14:A17=A37),H14:H17))/N3*P11),F36/P11*P11)),2)</f>
        <v>0</v>
      </c>
      <c r="G37" s="27">
        <f t="shared" si="2"/>
        <v>0</v>
      </c>
      <c r="H37" s="76">
        <f>ROUND(IF(SUM(B26:F36)&lt;(L41*11),IF((SUM(B26:F37))&gt;(L41*12),(((L41*12)-(SUM(B26:F37)-C36))*H25)+((SUM(B37:F37)-C36)*H25),SUM(B37:F37)*H25),IF(SUM(B26:F37)&gt;(L41*12),L41*H25,SUM(B37:F37)*H25)),2)</f>
        <v>0</v>
      </c>
      <c r="I37" s="76">
        <f>ROUND(IF(SUM(B26:F36)&lt;(L42*11),IF((SUM(B26:F37))&gt;(L42*12),(((L42*12)-(SUM(B26:F37)-C36))*I25)+((SUM(B37:F37)-C36)*I25),SUM(B37:F37)*I25),IF(SUM(B26:F37)&gt;(L42*12),L42*I25,SUM(B37:F37)*I25)),2)</f>
        <v>0</v>
      </c>
      <c r="J37" s="76">
        <f>ROUND(IF(SUM(B26:F36)&lt;(L42*11),IF((SUM(B26:F37))&gt;(L42*12),(((L42*12)-(SUM(B26:F37)-C36))*J25)+((SUM(B37:F37)-C36)*J25),SUM(B37:F37)*J25),IF(SUM(B26:F37)&gt;(L42*12),L42*J25,SUM(B37:F37)*J25)),2)</f>
        <v>0</v>
      </c>
      <c r="K37" s="76">
        <f>ROUND(IF(SUM(B26:F36)&lt;(L41*11),IF((SUM(B26:F37))&gt;(L41*12),(((L41*12)-(SUM(B26:F37)-C36))*K25)+((SUM(B37:F37)-C36)*K25),SUM(B37:F37)*K25),IF(SUM(B26:F37)&gt;(L41*12),L41*K25,SUM(B37:F37)*K25)),2)</f>
        <v>0</v>
      </c>
      <c r="L37" s="76">
        <f>ROUND(IF(SUM(B26:F36)&lt;(L42*11),IF((SUM(B26:F37))&gt;(L42*12),(((L42*12)-(SUM(B26:F37)-C37))*L25)+((SUM(B37:F37)-C37)*L25),(SUM(B37:F37)-C37)*L25),IF(SUM(B26:F37)&gt;(L42*12),L42*L25,SUM(B37:F37)*L25)),2)</f>
        <v>0</v>
      </c>
      <c r="M37" s="76">
        <f>ROUND(IF(SUM(B26:F36)&lt;(L42*11),IF((SUM(B26:F37))&gt;(L42*12),(((L42*12)-(SUM(B26:F37)-C37))*M25)+((SUM(B37:F37)-C37)*M25),(SUM(B37:F37)-C37)*M25),IF(SUM(B26:F37)&gt;(L42*12),L42*M25,SUM(B37:F37)*M25)),2)</f>
        <v>0</v>
      </c>
      <c r="N37" s="76">
        <f>ROUND(IF(SUM(B26:F36)&lt;(L42*11),IF((SUM(B26:F37))&gt;(L42*12),(((L42*12)-(SUM(B26:F37)-C36))*N25)+((SUM(B37:F37)-C36)*N25),SUM(B37:F37)*N25),IF(SUM(B26:F37)&gt;(L42*12),L42*N25,SUM(B37:F37)*N25)),2)</f>
        <v>0</v>
      </c>
      <c r="O37" s="23">
        <f>ROUND(SUM(B37+C37+F37)*O25,2)</f>
        <v>0</v>
      </c>
      <c r="P37" s="27">
        <f t="shared" si="3"/>
        <v>0</v>
      </c>
    </row>
    <row r="38" spans="1:16" s="14" customFormat="1" ht="15" x14ac:dyDescent="0.25">
      <c r="A38" s="4" t="s">
        <v>2</v>
      </c>
      <c r="B38" s="27">
        <f>SUM(B26:B37)</f>
        <v>0</v>
      </c>
      <c r="C38" s="27">
        <f t="shared" ref="C38:D38" si="4">SUM(C26:C37)</f>
        <v>0</v>
      </c>
      <c r="D38" s="27">
        <f t="shared" si="4"/>
        <v>0</v>
      </c>
      <c r="E38" s="27">
        <f>SUM(E26:E37)</f>
        <v>0</v>
      </c>
      <c r="F38" s="27">
        <f>SUM(F26:F37)</f>
        <v>0</v>
      </c>
      <c r="G38" s="27">
        <f>SUM(G26:G37)</f>
        <v>0</v>
      </c>
      <c r="H38" s="1133">
        <f>SUM(H26:N37)</f>
        <v>0</v>
      </c>
      <c r="I38" s="1134"/>
      <c r="J38" s="1134"/>
      <c r="K38" s="1134"/>
      <c r="L38" s="1134"/>
      <c r="M38" s="1134"/>
      <c r="N38" s="1135"/>
      <c r="O38" s="27">
        <f>SUM(O26:O37)</f>
        <v>0</v>
      </c>
      <c r="P38" s="27">
        <f>SUM(P26:P37)</f>
        <v>0</v>
      </c>
    </row>
    <row r="39" spans="1:16" s="13" customFormat="1" ht="11.25" x14ac:dyDescent="0.2">
      <c r="A39" s="3" t="s">
        <v>1</v>
      </c>
      <c r="B39" s="2"/>
      <c r="C39" s="2"/>
      <c r="D39" s="2"/>
      <c r="E39" s="2"/>
      <c r="F39" s="2"/>
      <c r="G39" s="2"/>
      <c r="H39" s="2"/>
      <c r="I39" s="2"/>
      <c r="J39" s="2"/>
      <c r="K39" s="2"/>
      <c r="L39" s="2"/>
      <c r="M39" s="2"/>
      <c r="N39" s="2"/>
      <c r="O39" s="2"/>
      <c r="P39" s="2"/>
    </row>
    <row r="40" spans="1:16" ht="14.25" customHeight="1" x14ac:dyDescent="0.2">
      <c r="A40" s="1136" t="s">
        <v>133</v>
      </c>
      <c r="B40" s="1137"/>
      <c r="C40" s="1137"/>
      <c r="D40" s="1137" t="s">
        <v>134</v>
      </c>
      <c r="E40" s="1137"/>
      <c r="F40" s="46"/>
      <c r="G40" s="77" t="s">
        <v>135</v>
      </c>
      <c r="H40" s="71"/>
      <c r="I40" s="73"/>
      <c r="J40" s="78" t="s">
        <v>160</v>
      </c>
      <c r="K40" s="78" t="str">
        <f>'päd.Personal - Leitung'!$K$40</f>
        <v>2021</v>
      </c>
      <c r="L40" s="78" t="str">
        <f>'päd.Personal - Leitung'!$L$40</f>
        <v>anteilig 2021</v>
      </c>
      <c r="M40" s="1138" t="s">
        <v>140</v>
      </c>
      <c r="N40" s="1138"/>
      <c r="O40" s="1139"/>
      <c r="P40" s="27">
        <f>ROUND(IF(F40="",IF(E44="",0,(E44*H44/K44)/L7*L8),G38*F40*H40/1000),2)</f>
        <v>0</v>
      </c>
    </row>
    <row r="41" spans="1:16" ht="15" customHeight="1" x14ac:dyDescent="0.2">
      <c r="A41" s="1140" t="s">
        <v>145</v>
      </c>
      <c r="B41" s="1141"/>
      <c r="C41" s="1141"/>
      <c r="D41" s="18"/>
      <c r="E41" s="107" t="s">
        <v>135</v>
      </c>
      <c r="F41" s="49"/>
      <c r="G41" s="48"/>
      <c r="H41" s="47"/>
      <c r="I41" s="48"/>
      <c r="J41" s="79" t="s">
        <v>158</v>
      </c>
      <c r="K41" s="80">
        <f>'päd.Personal - Leitung'!$K$41</f>
        <v>4837.5</v>
      </c>
      <c r="L41" s="81">
        <f>IF(L7="",K41,K41/L7*L8)</f>
        <v>4837.5</v>
      </c>
      <c r="M41" s="1138" t="s">
        <v>139</v>
      </c>
      <c r="N41" s="1138"/>
      <c r="O41" s="1139"/>
      <c r="P41" s="27">
        <f>ROUND(IF(F41="",0,G38*F41/1000),2)</f>
        <v>0</v>
      </c>
    </row>
    <row r="42" spans="1:16" ht="15.75" customHeight="1" x14ac:dyDescent="0.2">
      <c r="A42" s="1142" t="s">
        <v>141</v>
      </c>
      <c r="B42" s="1143"/>
      <c r="C42" s="1143"/>
      <c r="D42" s="1144" t="s">
        <v>143</v>
      </c>
      <c r="E42" s="1144"/>
      <c r="F42" s="1145"/>
      <c r="G42" s="1145"/>
      <c r="H42" s="72"/>
      <c r="I42" s="18"/>
      <c r="J42" s="79" t="s">
        <v>159</v>
      </c>
      <c r="K42" s="80">
        <f>'päd.Personal - Leitung'!$K$42</f>
        <v>6700</v>
      </c>
      <c r="L42" s="81">
        <f>IF(L7="",K42,K42/L7*L8)</f>
        <v>6700</v>
      </c>
      <c r="M42" s="1138" t="s">
        <v>141</v>
      </c>
      <c r="N42" s="1138"/>
      <c r="O42" s="1139"/>
      <c r="P42" s="23">
        <f>ROUND(IF(F42="",0,IF(G38=0,0,F42/L7*L8)),2)</f>
        <v>0</v>
      </c>
    </row>
    <row r="43" spans="1:16" ht="14.25" customHeight="1" x14ac:dyDescent="0.2">
      <c r="A43" s="18"/>
      <c r="B43" s="18"/>
      <c r="C43" s="18"/>
      <c r="D43" s="18"/>
      <c r="E43" s="18"/>
      <c r="F43" s="18"/>
      <c r="G43" s="18"/>
      <c r="H43" s="18"/>
      <c r="I43" s="18"/>
      <c r="J43" s="18"/>
      <c r="K43" s="74"/>
      <c r="L43" s="82"/>
      <c r="M43" s="1127" t="s">
        <v>146</v>
      </c>
      <c r="N43" s="1127"/>
      <c r="O43" s="1128"/>
      <c r="P43" s="23"/>
    </row>
    <row r="44" spans="1:16" ht="14.25" customHeight="1" x14ac:dyDescent="0.2">
      <c r="A44" s="1129" t="s">
        <v>142</v>
      </c>
      <c r="B44" s="1130"/>
      <c r="C44" s="148" t="s">
        <v>136</v>
      </c>
      <c r="D44" s="148" t="s">
        <v>137</v>
      </c>
      <c r="E44" s="1185"/>
      <c r="F44" s="1185"/>
      <c r="G44" s="83" t="s">
        <v>138</v>
      </c>
      <c r="H44" s="90"/>
      <c r="I44" s="1132" t="s">
        <v>144</v>
      </c>
      <c r="J44" s="1132"/>
      <c r="K44" s="91"/>
      <c r="L44" s="29"/>
      <c r="M44" s="29"/>
      <c r="N44" s="29"/>
      <c r="O44" s="28" t="s">
        <v>0</v>
      </c>
      <c r="P44" s="27">
        <f>P38+SUM(P40:P43)</f>
        <v>0</v>
      </c>
    </row>
    <row r="45" spans="1:16" s="12" customFormat="1" ht="13.5" customHeight="1" x14ac:dyDescent="0.2">
      <c r="A45" s="1178" t="s">
        <v>18</v>
      </c>
      <c r="B45" s="1178"/>
      <c r="C45" s="1178"/>
      <c r="D45" s="1179" t="str">
        <f>IF($D$1="","",$D$1)</f>
        <v/>
      </c>
      <c r="E45" s="1179"/>
      <c r="F45" s="1179"/>
      <c r="G45" s="1179"/>
      <c r="H45" s="1179"/>
      <c r="I45" s="1179"/>
      <c r="J45" s="1179"/>
      <c r="K45" s="1179"/>
      <c r="L45" s="1179"/>
      <c r="M45" s="1179"/>
      <c r="N45" s="1179"/>
    </row>
    <row r="46" spans="1:16" s="12" customFormat="1" ht="15" customHeight="1" x14ac:dyDescent="0.2">
      <c r="A46" s="1178" t="s">
        <v>17</v>
      </c>
      <c r="B46" s="1178"/>
      <c r="C46" s="1178" t="s">
        <v>15</v>
      </c>
      <c r="D46" s="1179" t="str">
        <f>IF($D$2="","",$D$2)</f>
        <v/>
      </c>
      <c r="E46" s="1179"/>
      <c r="F46" s="1179"/>
      <c r="G46" s="1179"/>
      <c r="H46" s="1179"/>
      <c r="I46" s="1179"/>
      <c r="J46" s="1179"/>
      <c r="K46" s="1179"/>
      <c r="L46" s="1179"/>
      <c r="M46" s="1179"/>
      <c r="N46" s="1179"/>
    </row>
    <row r="47" spans="1:16" s="12" customFormat="1" ht="15" customHeight="1" x14ac:dyDescent="0.2">
      <c r="A47" s="1178" t="s">
        <v>16</v>
      </c>
      <c r="B47" s="1178"/>
      <c r="C47" s="1178" t="s">
        <v>15</v>
      </c>
      <c r="D47" s="1179" t="str">
        <f>IF($D$3="","",$D$3)</f>
        <v/>
      </c>
      <c r="E47" s="1179"/>
      <c r="F47" s="1179"/>
      <c r="G47" s="1179"/>
      <c r="H47" s="1179"/>
      <c r="I47" s="1179"/>
      <c r="J47" s="1179"/>
      <c r="K47" s="1178" t="s">
        <v>103</v>
      </c>
      <c r="L47" s="1178"/>
      <c r="M47" s="1178"/>
      <c r="N47" s="41" t="str">
        <f>IF($N$3="","",$N$3)</f>
        <v/>
      </c>
    </row>
    <row r="48" spans="1:16" s="13" customFormat="1" ht="11.25" x14ac:dyDescent="0.2">
      <c r="A48" s="1182"/>
      <c r="B48" s="1182"/>
      <c r="C48" s="1182"/>
      <c r="D48" s="1183"/>
      <c r="E48" s="1183"/>
      <c r="F48" s="1183"/>
      <c r="G48" s="1183"/>
      <c r="H48" s="1183"/>
      <c r="I48" s="1183"/>
      <c r="J48" s="1183"/>
      <c r="K48" s="11"/>
      <c r="L48" s="11"/>
      <c r="M48" s="11"/>
      <c r="N48" s="11"/>
      <c r="O48" s="11"/>
      <c r="P48" s="11"/>
    </row>
    <row r="49" spans="1:16" s="15" customFormat="1" ht="13.5" customHeight="1" x14ac:dyDescent="0.2">
      <c r="A49" s="1177" t="s">
        <v>218</v>
      </c>
      <c r="B49" s="1177"/>
      <c r="C49" s="1177"/>
      <c r="D49" s="1177"/>
      <c r="E49" s="1177"/>
      <c r="F49" s="1177"/>
      <c r="G49" s="1177"/>
      <c r="H49" s="1177"/>
      <c r="I49" s="1177"/>
      <c r="J49" s="1177"/>
      <c r="K49" s="9"/>
      <c r="L49" s="9"/>
      <c r="M49" s="9"/>
      <c r="N49" s="59" t="s">
        <v>154</v>
      </c>
      <c r="O49" s="191">
        <f>$O$5</f>
        <v>2022</v>
      </c>
      <c r="P49" s="59" t="s">
        <v>154</v>
      </c>
    </row>
    <row r="50" spans="1:16" s="10" customFormat="1" ht="13.5" customHeight="1" x14ac:dyDescent="0.25">
      <c r="B50" s="32"/>
      <c r="C50" s="32"/>
      <c r="D50" s="5" t="s">
        <v>29</v>
      </c>
      <c r="E50" s="31"/>
      <c r="F50" s="31"/>
      <c r="G50" s="31"/>
      <c r="H50" s="31"/>
      <c r="I50" s="26"/>
      <c r="J50" s="1174" t="s">
        <v>14</v>
      </c>
      <c r="K50" s="1174"/>
      <c r="L50" s="180"/>
      <c r="N50" s="84">
        <f>IF(L52="","",L52)</f>
        <v>0</v>
      </c>
      <c r="O50" s="58" t="str">
        <f>$O$6</f>
        <v>Jan                Jul</v>
      </c>
      <c r="P50" s="85">
        <f>IF(N55="","",N55)</f>
        <v>0</v>
      </c>
    </row>
    <row r="51" spans="1:16" s="7" customFormat="1" ht="13.5" customHeight="1" x14ac:dyDescent="0.25">
      <c r="A51" s="1180" t="s">
        <v>71</v>
      </c>
      <c r="B51" s="1180"/>
      <c r="C51" s="1180"/>
      <c r="D51" s="1184"/>
      <c r="E51" s="1184"/>
      <c r="F51" s="1184"/>
      <c r="G51" s="1184"/>
      <c r="H51" s="1184"/>
      <c r="I51" s="1184"/>
      <c r="J51" s="1174" t="s">
        <v>104</v>
      </c>
      <c r="K51" s="1174"/>
      <c r="L51" s="145"/>
      <c r="N51" s="85">
        <f>IF(N50="","",N50)</f>
        <v>0</v>
      </c>
      <c r="O51" s="58" t="str">
        <f>$O$7</f>
        <v>Feb              Aug</v>
      </c>
      <c r="P51" s="85">
        <f>IF(P50="","",P50)</f>
        <v>0</v>
      </c>
    </row>
    <row r="52" spans="1:16" ht="13.5" customHeight="1" x14ac:dyDescent="0.2">
      <c r="A52" s="1180" t="s">
        <v>13</v>
      </c>
      <c r="B52" s="1180"/>
      <c r="C52" s="1180"/>
      <c r="D52" s="1181"/>
      <c r="E52" s="1181"/>
      <c r="F52" s="1181"/>
      <c r="G52" s="1181"/>
      <c r="H52" s="1181"/>
      <c r="I52" s="1181"/>
      <c r="J52" s="1174" t="s">
        <v>222</v>
      </c>
      <c r="K52" s="1174"/>
      <c r="L52" s="145">
        <f>IF(L53&gt;L51,0,L51-L53)</f>
        <v>0</v>
      </c>
      <c r="N52" s="85">
        <f>IF(N51="","",N51)</f>
        <v>0</v>
      </c>
      <c r="O52" s="58" t="str">
        <f>$O$8</f>
        <v>Mrz              Sep</v>
      </c>
      <c r="P52" s="85">
        <f>IF(P51="","",P51)</f>
        <v>0</v>
      </c>
    </row>
    <row r="53" spans="1:16" ht="13.5" customHeight="1" x14ac:dyDescent="0.2">
      <c r="A53" s="1180" t="s">
        <v>12</v>
      </c>
      <c r="B53" s="1180"/>
      <c r="C53" s="1180"/>
      <c r="D53" s="1181"/>
      <c r="E53" s="1181"/>
      <c r="F53" s="1181"/>
      <c r="G53" s="1181"/>
      <c r="H53" s="1181"/>
      <c r="I53" s="1181"/>
      <c r="J53" s="1174" t="s">
        <v>223</v>
      </c>
      <c r="K53" s="1174"/>
      <c r="L53" s="145"/>
      <c r="N53" s="85">
        <f>IF(N52="","",N52)</f>
        <v>0</v>
      </c>
      <c r="O53" s="58" t="str">
        <f>$O$9</f>
        <v>Apr               Okt</v>
      </c>
      <c r="P53" s="85">
        <f t="shared" ref="P53:P55" si="5">IF(P52="","",P52)</f>
        <v>0</v>
      </c>
    </row>
    <row r="54" spans="1:16" ht="13.5" customHeight="1" x14ac:dyDescent="0.2">
      <c r="A54" s="1180" t="s">
        <v>19</v>
      </c>
      <c r="B54" s="1180"/>
      <c r="C54" s="1180"/>
      <c r="D54" s="1181"/>
      <c r="E54" s="1181"/>
      <c r="F54" s="1181"/>
      <c r="G54" s="1181"/>
      <c r="H54" s="1181"/>
      <c r="I54" s="1181"/>
      <c r="J54" s="1174" t="s">
        <v>97</v>
      </c>
      <c r="K54" s="1174"/>
      <c r="L54" s="17" t="str">
        <f>IF(IF((COUNTIF(B70:B81,"&gt;0"))=0,0,(COUNTIF(B70:B81,"&gt;0")))&gt;Grundlagen!$C$24,Grundlagen!$C$24,IF((COUNTIF(B70:B81,"&gt;0"))=0,"",(COUNTIF(B70:B81,"&gt;0"))))</f>
        <v/>
      </c>
      <c r="M54" s="92"/>
      <c r="N54" s="85">
        <f>IF(N53="","",N53)</f>
        <v>0</v>
      </c>
      <c r="O54" s="58" t="str">
        <f>'päd.Personal - Leitung'!$O$10</f>
        <v>Mai               Nov</v>
      </c>
      <c r="P54" s="85">
        <f t="shared" si="5"/>
        <v>0</v>
      </c>
    </row>
    <row r="55" spans="1:16" ht="13.5" customHeight="1" x14ac:dyDescent="0.2">
      <c r="B55" s="8"/>
      <c r="C55" s="141" t="s">
        <v>162</v>
      </c>
      <c r="D55" s="1175"/>
      <c r="E55" s="1175"/>
      <c r="F55" s="1176" t="s">
        <v>106</v>
      </c>
      <c r="G55" s="1176"/>
      <c r="H55" s="1186"/>
      <c r="I55" s="1186"/>
      <c r="L55" s="147" t="str">
        <f>IF((SUM(F58:F61))=0,"",IF(P56&gt;L52,L52,IF(L52="","",IF(L54="","",P56))))</f>
        <v/>
      </c>
      <c r="N55" s="85">
        <f>IF(N54="","",N54)</f>
        <v>0</v>
      </c>
      <c r="O55" s="58" t="str">
        <f>'päd.Personal - Leitung'!$O$11</f>
        <v>Jun               Dez</v>
      </c>
      <c r="P55" s="85">
        <f t="shared" si="5"/>
        <v>0</v>
      </c>
    </row>
    <row r="56" spans="1:16" ht="13.5" customHeight="1" x14ac:dyDescent="0.2">
      <c r="I56" s="6"/>
      <c r="O56" s="174" t="s">
        <v>251</v>
      </c>
      <c r="P56" s="175">
        <f>IF(L54="",0,((IF(SUMIF(B70,"&gt;0"),N50,0))+(IF(SUMIF(B71,"&gt;0"),N51,0))+(IF(SUMIF(B72,"&gt;0"),N52,0))+(IF(SUMIF(B73,"&gt;0"),N53,0))+(IF(SUMIF(B74,"&gt;0"),N54,0))+(IF(SUMIF(B75,"&gt;0"),N55,0))+(IF(SUMIF(B76,"&gt;0"),P50,0))+(IF(SUMIF(B77,"&gt;0"),P51,0))+(IF(SUMIF(B78,"&gt;0"),P52,0))+(IF(SUMIF(B79,"&gt;0"),P53,0))+(IF(SUMIF(B80,"&gt;0"),P54,0))+(IF(SUMIF(B81,"&gt;0"),P55,0)))/Grundlagen!$C$24)</f>
        <v>0</v>
      </c>
    </row>
    <row r="57" spans="1:16" s="52" customFormat="1" ht="13.5" customHeight="1" x14ac:dyDescent="0.2">
      <c r="A57" s="61" t="s">
        <v>148</v>
      </c>
      <c r="B57" s="1168" t="s">
        <v>149</v>
      </c>
      <c r="C57" s="1168"/>
      <c r="D57" s="62" t="s">
        <v>150</v>
      </c>
      <c r="E57" s="63" t="s">
        <v>151</v>
      </c>
      <c r="F57" s="64" t="str">
        <f>CONCATENATE("Entg. ",N47," h/Wo")</f>
        <v>Entg.  h/Wo</v>
      </c>
      <c r="G57" s="65" t="s">
        <v>152</v>
      </c>
      <c r="H57" s="65" t="s">
        <v>153</v>
      </c>
      <c r="K57" s="1169" t="str">
        <f>CONCATENATE("Zuschläge / Zulagen für ",N47,"h/Wo")</f>
        <v>Zuschläge / Zulagen für h/Wo</v>
      </c>
      <c r="L57" s="1169"/>
      <c r="M57" s="66" t="str">
        <f>IF(A58="","",A58)</f>
        <v>Jan 2022</v>
      </c>
      <c r="N57" s="66" t="str">
        <f>IF(A59="","",A59)</f>
        <v/>
      </c>
      <c r="O57" s="66" t="str">
        <f>IF(A60="","",A60)</f>
        <v/>
      </c>
      <c r="P57" s="66" t="str">
        <f>IF(A61="","",A61)</f>
        <v/>
      </c>
    </row>
    <row r="58" spans="1:16" s="52" customFormat="1" ht="13.5" customHeight="1" x14ac:dyDescent="0.25">
      <c r="A58" s="55" t="str">
        <f>A70</f>
        <v>Jan 2022</v>
      </c>
      <c r="B58" s="1170" t="str">
        <f>IF($D$3="","",$D$3)</f>
        <v/>
      </c>
      <c r="C58" s="1171"/>
      <c r="D58" s="181"/>
      <c r="E58" s="181"/>
      <c r="F58" s="87"/>
      <c r="G58" s="56">
        <f>IF(N47="",0,F58/N47/4.348)</f>
        <v>0</v>
      </c>
      <c r="H58" s="53">
        <f>IF(G58=0,0,M63)</f>
        <v>0</v>
      </c>
      <c r="K58" s="1146"/>
      <c r="L58" s="1146"/>
      <c r="M58" s="86"/>
      <c r="N58" s="86"/>
      <c r="O58" s="86"/>
      <c r="P58" s="86"/>
    </row>
    <row r="59" spans="1:16" s="52" customFormat="1" ht="13.5" customHeight="1" x14ac:dyDescent="0.25">
      <c r="A59" s="55"/>
      <c r="B59" s="1172" t="str">
        <f>IF(A59="","",B58)</f>
        <v/>
      </c>
      <c r="C59" s="1173"/>
      <c r="D59" s="181"/>
      <c r="E59" s="181"/>
      <c r="F59" s="87"/>
      <c r="G59" s="56">
        <f>IF(N47="",0,F59/N47/4.348)</f>
        <v>0</v>
      </c>
      <c r="H59" s="53">
        <f>IF(G59=0,0,N63)</f>
        <v>0</v>
      </c>
      <c r="K59" s="1146"/>
      <c r="L59" s="1146"/>
      <c r="M59" s="86"/>
      <c r="N59" s="86"/>
      <c r="O59" s="86"/>
      <c r="P59" s="86"/>
    </row>
    <row r="60" spans="1:16" s="52" customFormat="1" ht="13.5" customHeight="1" x14ac:dyDescent="0.25">
      <c r="A60" s="55"/>
      <c r="B60" s="1172" t="str">
        <f>IF(A60="","",B59)</f>
        <v/>
      </c>
      <c r="C60" s="1173"/>
      <c r="D60" s="181"/>
      <c r="E60" s="181"/>
      <c r="F60" s="87"/>
      <c r="G60" s="56">
        <f>IF(N47="",0,F60/N47/4.348)</f>
        <v>0</v>
      </c>
      <c r="H60" s="53">
        <f>IF(G60=0,0,O63)</f>
        <v>0</v>
      </c>
      <c r="K60" s="1146"/>
      <c r="L60" s="1146"/>
      <c r="M60" s="86"/>
      <c r="N60" s="86"/>
      <c r="O60" s="86"/>
      <c r="P60" s="86"/>
    </row>
    <row r="61" spans="1:16" s="52" customFormat="1" ht="13.5" customHeight="1" x14ac:dyDescent="0.25">
      <c r="A61" s="55"/>
      <c r="B61" s="1172" t="str">
        <f>IF(A61="","",B60)</f>
        <v/>
      </c>
      <c r="C61" s="1173"/>
      <c r="D61" s="181"/>
      <c r="E61" s="181"/>
      <c r="F61" s="87"/>
      <c r="G61" s="56">
        <f>IF(N47="",0,F61/N47/4.348)</f>
        <v>0</v>
      </c>
      <c r="H61" s="53">
        <f>IF(G61=0,0,P63)</f>
        <v>0</v>
      </c>
      <c r="K61" s="1146"/>
      <c r="L61" s="1146"/>
      <c r="M61" s="86"/>
      <c r="N61" s="86"/>
      <c r="O61" s="86"/>
      <c r="P61" s="86"/>
    </row>
    <row r="62" spans="1:16" s="52" customFormat="1" ht="13.5" customHeight="1" x14ac:dyDescent="0.25">
      <c r="B62" s="1167" t="s">
        <v>157</v>
      </c>
      <c r="C62" s="1167"/>
      <c r="E62" s="1167" t="s">
        <v>156</v>
      </c>
      <c r="F62" s="1167"/>
      <c r="J62" s="69"/>
      <c r="K62" s="1146"/>
      <c r="L62" s="1146"/>
      <c r="M62" s="86"/>
      <c r="N62" s="86"/>
      <c r="O62" s="86"/>
      <c r="P62" s="86"/>
    </row>
    <row r="63" spans="1:16" s="52" customFormat="1" ht="13.5" customHeight="1" x14ac:dyDescent="0.25">
      <c r="A63" s="70" t="s">
        <v>167</v>
      </c>
      <c r="B63" s="67"/>
      <c r="C63" s="99" t="str">
        <f>IF(C19="","",C19)</f>
        <v/>
      </c>
      <c r="D63" s="70" t="s">
        <v>167</v>
      </c>
      <c r="E63" s="67"/>
      <c r="F63" s="99" t="str">
        <f>IF(F19="","",F19)</f>
        <v/>
      </c>
      <c r="J63" s="68"/>
      <c r="M63" s="57">
        <f>SUM(M58:M62)</f>
        <v>0</v>
      </c>
      <c r="N63" s="57">
        <f t="shared" ref="N63:P63" si="6">SUM(N58:N62)</f>
        <v>0</v>
      </c>
      <c r="O63" s="57">
        <f t="shared" si="6"/>
        <v>0</v>
      </c>
      <c r="P63" s="57">
        <f t="shared" si="6"/>
        <v>0</v>
      </c>
    </row>
    <row r="64" spans="1:16" s="52" customFormat="1" ht="13.5" customHeight="1" x14ac:dyDescent="0.2">
      <c r="A64" s="60" t="s">
        <v>155</v>
      </c>
    </row>
    <row r="65" spans="1:16" ht="14.25" customHeight="1" x14ac:dyDescent="0.2">
      <c r="A65" s="1147"/>
      <c r="B65" s="1149" t="s">
        <v>9</v>
      </c>
      <c r="C65" s="1150"/>
      <c r="D65" s="1150"/>
      <c r="E65" s="1150"/>
      <c r="F65" s="1150"/>
      <c r="G65" s="1151"/>
      <c r="H65" s="1152" t="s">
        <v>119</v>
      </c>
      <c r="I65" s="1153"/>
      <c r="J65" s="1153"/>
      <c r="K65" s="1153"/>
      <c r="L65" s="1153"/>
      <c r="M65" s="1153"/>
      <c r="N65" s="1153"/>
      <c r="O65" s="33"/>
      <c r="P65" s="1154" t="s">
        <v>0</v>
      </c>
    </row>
    <row r="66" spans="1:16" ht="14.25" customHeight="1" x14ac:dyDescent="0.2">
      <c r="A66" s="1148"/>
      <c r="B66" s="1157" t="s">
        <v>117</v>
      </c>
      <c r="C66" s="144" t="s">
        <v>115</v>
      </c>
      <c r="D66" s="1159" t="s">
        <v>277</v>
      </c>
      <c r="E66" s="1161" t="s">
        <v>147</v>
      </c>
      <c r="F66" s="149" t="s">
        <v>7</v>
      </c>
      <c r="G66" s="1162" t="s">
        <v>6</v>
      </c>
      <c r="H66" s="1161" t="s">
        <v>129</v>
      </c>
      <c r="I66" s="1161" t="s">
        <v>5</v>
      </c>
      <c r="J66" s="1161" t="s">
        <v>4</v>
      </c>
      <c r="K66" s="1161" t="s">
        <v>3</v>
      </c>
      <c r="L66" s="1161" t="s">
        <v>121</v>
      </c>
      <c r="M66" s="1161" t="s">
        <v>122</v>
      </c>
      <c r="N66" s="1161" t="s">
        <v>123</v>
      </c>
      <c r="O66" s="1160" t="s">
        <v>114</v>
      </c>
      <c r="P66" s="1155"/>
    </row>
    <row r="67" spans="1:16" ht="14.25" customHeight="1" x14ac:dyDescent="0.2">
      <c r="A67" s="1148"/>
      <c r="B67" s="1157"/>
      <c r="C67" s="21" t="str">
        <f>IF(C63="","",C63)</f>
        <v/>
      </c>
      <c r="D67" s="1160"/>
      <c r="E67" s="1161"/>
      <c r="F67" s="1165" t="str">
        <f>IF(H58=0,"","siehe Zuschläge / Zulagen")</f>
        <v/>
      </c>
      <c r="G67" s="1162"/>
      <c r="H67" s="1164" t="s">
        <v>127</v>
      </c>
      <c r="I67" s="1164"/>
      <c r="J67" s="1164"/>
      <c r="K67" s="1164"/>
      <c r="L67" s="1164"/>
      <c r="M67" s="1164"/>
      <c r="N67" s="1164"/>
      <c r="O67" s="1160"/>
      <c r="P67" s="1155"/>
    </row>
    <row r="68" spans="1:16" x14ac:dyDescent="0.2">
      <c r="A68" s="1148"/>
      <c r="B68" s="1157"/>
      <c r="C68" s="142" t="s">
        <v>70</v>
      </c>
      <c r="D68" s="1160"/>
      <c r="E68" s="1161"/>
      <c r="F68" s="1165"/>
      <c r="G68" s="1162"/>
      <c r="H68" s="43" t="s">
        <v>128</v>
      </c>
      <c r="I68" s="43" t="s">
        <v>255</v>
      </c>
      <c r="J68" s="43" t="s">
        <v>256</v>
      </c>
      <c r="K68" s="43" t="s">
        <v>257</v>
      </c>
      <c r="L68" s="43"/>
      <c r="M68" s="43"/>
      <c r="N68" s="43" t="s">
        <v>254</v>
      </c>
      <c r="O68" s="1160"/>
      <c r="P68" s="1155"/>
    </row>
    <row r="69" spans="1:16" x14ac:dyDescent="0.2">
      <c r="A69" s="1148"/>
      <c r="B69" s="1158"/>
      <c r="C69" s="21" t="str">
        <f>IF(F63="","",F63)</f>
        <v/>
      </c>
      <c r="D69" s="51"/>
      <c r="E69" s="51"/>
      <c r="F69" s="1166"/>
      <c r="G69" s="1163"/>
      <c r="H69" s="93"/>
      <c r="I69" s="139">
        <f>$I$25</f>
        <v>0</v>
      </c>
      <c r="J69" s="139">
        <f>$J$25</f>
        <v>0</v>
      </c>
      <c r="K69" s="44">
        <f>$K$25</f>
        <v>0</v>
      </c>
      <c r="L69" s="21"/>
      <c r="M69" s="21"/>
      <c r="N69" s="139">
        <f>$N$25</f>
        <v>0</v>
      </c>
      <c r="O69" s="21">
        <f>O25</f>
        <v>0</v>
      </c>
      <c r="P69" s="1156"/>
    </row>
    <row r="70" spans="1:16" x14ac:dyDescent="0.2">
      <c r="A70" s="100" t="str">
        <f>$A$26</f>
        <v>Jan 2022</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76">
        <f>ROUND(IF((SUM(B70:F70))&gt;L85,L85*H69,SUM(B70:F70)*H69),2)</f>
        <v>0</v>
      </c>
      <c r="I70" s="76">
        <f>ROUND(IF((SUM(B70:F70))&gt;L86,L86*I69,SUM(B70:F70)*I69),2)</f>
        <v>0</v>
      </c>
      <c r="J70" s="76">
        <f>ROUND(IF((SUM(B70:F70))&gt;L86,L86*J69,SUM(B70:F70)*J69),2)</f>
        <v>0</v>
      </c>
      <c r="K70" s="76">
        <f>ROUND(IF((SUM(B70:F70))&gt;L85,L85*K69,SUM(B70:F70)*K69),2)</f>
        <v>0</v>
      </c>
      <c r="L70" s="76">
        <f>ROUND(IF((SUM(B70:F70))&gt;L86,L86*L69,(SUM(B70:F70)-C70)*L69),2)</f>
        <v>0</v>
      </c>
      <c r="M70" s="76">
        <f>ROUND(IF((SUM(B70:F70))&gt;L86,L86*M69,(SUM(B70:F70)-C70)*M69),2)</f>
        <v>0</v>
      </c>
      <c r="N70" s="76">
        <f>ROUND(IF((SUM(B70:F70))&gt;L86,L86*N69,SUM(B70:F70)*N69),2)</f>
        <v>0</v>
      </c>
      <c r="O70" s="23">
        <f>ROUND(SUM(B70+C70+F70)*O69,2)</f>
        <v>0</v>
      </c>
      <c r="P70" s="27">
        <f>SUM(G70:O70)</f>
        <v>0</v>
      </c>
    </row>
    <row r="71" spans="1:16" x14ac:dyDescent="0.2">
      <c r="A71" s="100" t="str">
        <f>$A$27</f>
        <v>Feb 2022</v>
      </c>
      <c r="B71" s="24">
        <f>ROUND(IF(N51=0,0,IFERROR(((LOOKUP(2,1/(A58:A61=A71),G58:G61))*N51*4.348),B70/N51*N51)),2)</f>
        <v>0</v>
      </c>
      <c r="C71" s="23">
        <f>ROUND(IFERROR(((LOOKUP(2,1/(B63=A71),((SUM(B76:B78)+SUM(F76:F78))/3)*C63))),0)+IFERROR(((LOOKUP(2,1/(E63=A71),(B82+F82)*F63))),0),2)</f>
        <v>0</v>
      </c>
      <c r="D71" s="23">
        <f>ROUND(IF(B71=0,0,D69/L51*N51),2)</f>
        <v>0</v>
      </c>
      <c r="E71" s="23">
        <f>ROUND(IF(B71=0,0,E69/N47*N51),2)</f>
        <v>0</v>
      </c>
      <c r="F71" s="24">
        <f>ROUND(IF(N51=0,0,IFERROR(((LOOKUP(2,1/(A58:A61=A71),H58:H61))/N47*N51),F70/N51*N51)),2)</f>
        <v>0</v>
      </c>
      <c r="G71" s="27">
        <f t="shared" ref="G71:G81" si="7">SUM(B71+C71+E71+F71)</f>
        <v>0</v>
      </c>
      <c r="H71" s="76">
        <f>ROUND(IF(SUM(B70:F70)&lt;(L85*1),IF((SUM(B70:F71))&gt;(L85*2),(((L85*2)-(SUM(B70:F71)-C70))*H69)+((SUM(B71:F71)-C70)*H69),SUM(B71:F71)*H69),IF(SUM(B70:F71)&gt;(L85*2),L85*H69,SUM(B71:F71)*H69)),2)</f>
        <v>0</v>
      </c>
      <c r="I71" s="76">
        <f>ROUND(IF(SUM(B70:F70)&lt;(L86*1),IF((SUM(B70:F71))&gt;(L86*2),(((L86*2)-(SUM(B70:F71)-C70))*I69)+((SUM(B71:F71)-C70)*I69),SUM(B71:F71)*I69),IF(SUM(B70:F71)&gt;(L86*2),L86*I69,SUM(B71:F71)*I69)),2)</f>
        <v>0</v>
      </c>
      <c r="J71" s="76">
        <f>ROUND(IF(SUM(B70:F70)&lt;(L86*1),IF((SUM(B70:F71))&gt;(L86*2),(((L86*2)-(SUM(B70:F71)-C70))*J69)+((SUM(B71:F71)-C70)*J69),SUM(B71:F71)*J69),IF(SUM(B70:F71)&gt;(L86*2),L86*J69,SUM(B71:F71)*J69)),2)</f>
        <v>0</v>
      </c>
      <c r="K71" s="76">
        <f>ROUND(IF(SUM(B70:F70)&lt;(L85*1),IF((SUM(B70:F71))&gt;(L85*2),(((L85*2)-(SUM(B70:F71)-C70))*K69)+((SUM(B71:F71)-C70)*K69),SUM(B71:F71)*K69),IF(SUM(B70:F71)&gt;(L85*2),L85*K69,SUM(B71:F71)*K69)),2)</f>
        <v>0</v>
      </c>
      <c r="L71" s="76">
        <f>ROUND(IF(SUM(B70:F70)&lt;(L86*1),IF((SUM(B70:F71))&gt;(L86*2),(((L86*2)-(SUM(B70:F71)-C71))*L69)+((SUM(B71:F71)-C71)*L69),(SUM(B71:F71)-C71)*L69),IF(SUM(B70:F71)&gt;(L86*2),L86*L69,SUM(B71:F71)*L69)),2)</f>
        <v>0</v>
      </c>
      <c r="M71" s="76">
        <f>ROUND(IF(SUM(B70:F70)&lt;(L86*1),IF((SUM(B70:F71))&gt;(L86*2),(((L86*2)-(SUM(B70:F71)-C71))*M69)+((SUM(B71:F71)-C71)*M69),(SUM(B71:F71)-C71)*M69),IF(SUM(B70:F71)&gt;(L86*2),L86*M69,SUM(B71:F71)*M69)),2)</f>
        <v>0</v>
      </c>
      <c r="N71" s="76">
        <f>ROUND(IF(SUM(B70:F70)&lt;(L86*1),IF((SUM(B70:F71))&gt;(L86*2),(((L86*2)-(SUM(B70:F71)-C70))*N69)+((SUM(B71:F71)-C70)*N69),SUM(B71:F71)*N69),IF(SUM(B70:F71)&gt;(L86*2),L86*N69,SUM(B71:F71)*N69)),2)</f>
        <v>0</v>
      </c>
      <c r="O71" s="23">
        <f>ROUND(SUM(B71+C71+F71)*O69,2)</f>
        <v>0</v>
      </c>
      <c r="P71" s="27">
        <f>SUM(G71:O71)</f>
        <v>0</v>
      </c>
    </row>
    <row r="72" spans="1:16" x14ac:dyDescent="0.2">
      <c r="A72" s="100" t="str">
        <f>$A$28</f>
        <v>Mrz 2022</v>
      </c>
      <c r="B72" s="24">
        <f>ROUND(IF(N52=0,0,IFERROR(((LOOKUP(2,1/(A58:A61=A72),G58:G61))*N52*4.348),B71/N52*N52)),2)</f>
        <v>0</v>
      </c>
      <c r="C72" s="23">
        <f>ROUND(IFERROR(((LOOKUP(2,1/(B63=A72),((SUM(B76:B78)+SUM(F76:F78))/3)*C63))),0)+IFERROR(((LOOKUP(2,1/(E63=A72),(B82+F82)*F63))),0),2)</f>
        <v>0</v>
      </c>
      <c r="D72" s="23">
        <f>ROUND(IF(B72=0,0,D69/L51*N52),2)</f>
        <v>0</v>
      </c>
      <c r="E72" s="23">
        <f>ROUND(IF(B72=0,0,E69/N47*N52),2)</f>
        <v>0</v>
      </c>
      <c r="F72" s="24">
        <f>ROUND(IF(N52=0,0,IFERROR(((LOOKUP(2,1/(A58:A61=A72),H58:H61))/N47*N52),F71/N52*N52)),2)</f>
        <v>0</v>
      </c>
      <c r="G72" s="27">
        <f t="shared" si="7"/>
        <v>0</v>
      </c>
      <c r="H72" s="76">
        <f>ROUND(IF(SUM(B70:F71)&lt;(L85*2),IF((SUM(B70:F72))&gt;(L85*3),(((L85*3)-(SUM(B70:F72)-C71))*H69)+((SUM(B72:F72)-C71)*H69),SUM(B72:F72)*H69),IF(SUM(B70:F72)&gt;(L85*3),L85*H69,SUM(B72:F72)*H69)),2)</f>
        <v>0</v>
      </c>
      <c r="I72" s="76">
        <f>ROUND(IF(SUM(B70:F71)&lt;(L86*2),IF((SUM(B70:F72))&gt;(L86*3),(((L86*3)-(SUM(B70:F72)-C71))*I69)+((SUM(B72:F72)-C71)*I69),SUM(B72:F72)*I69),IF(SUM(B70:F72)&gt;(L86*3),L86*I69,SUM(B72:F72)*I69)),2)</f>
        <v>0</v>
      </c>
      <c r="J72" s="76">
        <f>ROUND(IF(SUM(B70:F71)&lt;(L86*2),IF((SUM(B70:F72))&gt;(L86*3),(((L86*3)-(SUM(B70:F72)-C71))*J69)+((SUM(B72:F72)-C71)*J69),SUM(B72:F72)*J69),IF(SUM(B70:F72)&gt;(L86*3),L86*J69,SUM(B72:F72)*J69)),2)</f>
        <v>0</v>
      </c>
      <c r="K72" s="76">
        <f>ROUND(IF(SUM(B70:F71)&lt;(L85*2),IF((SUM(B70:F72))&gt;(L85*3),(((L85*3)-(SUM(B70:F72)-C71))*K69)+((SUM(B72:F72)-C71)*K69),SUM(B72:F72)*K69),IF(SUM(B70:F72)&gt;(L85*3),L85*K69,SUM(B72:F72)*K69)),2)</f>
        <v>0</v>
      </c>
      <c r="L72" s="76">
        <f>ROUND(IF(SUM(B70:F71)&lt;(L86*2),IF((SUM(B70:F72))&gt;(L86*3),(((L86*3)-(SUM(B70:F72)-C72))*L69)+((SUM(B72:F72)-C72)*L69),(SUM(B72:F72)-C72)*L69),IF(SUM(B70:F72)&gt;(L86*3),L86*L69,SUM(B72:F72)*L69)),2)</f>
        <v>0</v>
      </c>
      <c r="M72" s="76">
        <f>ROUND(IF(SUM(B70:F71)&lt;(L86*2),IF((SUM(B70:F72))&gt;(L86*3),(((L86*3)-(SUM(B70:F72)-C72))*M69)+((SUM(B72:F72)-C72)*M69),(SUM(B72:F72)-C72)*M69),IF(SUM(B70:F72)&gt;(L86*3),L86*M69,SUM(B72:F72)*M69)),2)</f>
        <v>0</v>
      </c>
      <c r="N72" s="76">
        <f>ROUND(IF(SUM(B70:F71)&lt;(L86*2),IF((SUM(B70:F72))&gt;(L86*3),(((L86*3)-(SUM(B70:F72)-C71))*N69)+((SUM(B72:F72)-C71)*N69),SUM(B72:F72)*N69),IF(SUM(B70:F72)&gt;(L86*3),L86*N69,SUM(B72:F72)*N69)),2)</f>
        <v>0</v>
      </c>
      <c r="O72" s="23">
        <f>ROUND(SUM(B72+C72+F72)*O69,2)</f>
        <v>0</v>
      </c>
      <c r="P72" s="27">
        <f t="shared" ref="P72:P81" si="8">SUM(G72:O72)</f>
        <v>0</v>
      </c>
    </row>
    <row r="73" spans="1:16" x14ac:dyDescent="0.2">
      <c r="A73" s="100" t="str">
        <f>$A$29</f>
        <v>Apr 2022</v>
      </c>
      <c r="B73" s="24">
        <f>ROUND(IF(N53=0,0,IFERROR(((LOOKUP(2,1/(A58:A61=A73),G58:G61))*N53*4.348),B72/N53*N53)),2)</f>
        <v>0</v>
      </c>
      <c r="C73" s="23">
        <f>ROUND(IFERROR(((LOOKUP(2,1/(B63=A73),((SUM(B76:B78)+SUM(F76:F78))/3)*C63))),0)+IFERROR(((LOOKUP(2,1/(E63=A73),(B82+F82)*F63))),0),2)</f>
        <v>0</v>
      </c>
      <c r="D73" s="23">
        <f>ROUND(IF(B73=0,0,D69/L51*N53),2)</f>
        <v>0</v>
      </c>
      <c r="E73" s="23">
        <f>ROUND(IF(B73=0,0,E69/N47*N53),2)</f>
        <v>0</v>
      </c>
      <c r="F73" s="24">
        <f>ROUND(IF(N53=0,0,IFERROR(((LOOKUP(2,1/(A58:A61=A73),H58:H61))/N47*N53),F72/N53*N53)),2)</f>
        <v>0</v>
      </c>
      <c r="G73" s="27">
        <f t="shared" si="7"/>
        <v>0</v>
      </c>
      <c r="H73" s="76">
        <f>ROUND(IF(SUM(B70:F72)&lt;(L85*3),IF((SUM(B70:F73))&gt;(L85*4),(((L85*4)-(SUM(B70:F73)-C72))*H69)+((SUM(B73:F73)-C72)*H69),SUM(B73:F73)*H69),IF(SUM(B70:F73)&gt;(L85*4),L85*H69,SUM(B73:F73)*H69)),2)</f>
        <v>0</v>
      </c>
      <c r="I73" s="76">
        <f>ROUND(IF(SUM(B70:F72)&lt;(L86*3),IF((SUM(B70:F73))&gt;(L86*4),(((L86*4)-(SUM(B70:F73)-C72))*I69)+((SUM(B73:F73)-C72)*I69),SUM(B73:F73)*I69),IF(SUM(B70:F73)&gt;(L86*4),L86*I69,SUM(B73:F73)*I69)),2)</f>
        <v>0</v>
      </c>
      <c r="J73" s="76">
        <f>ROUND(IF(SUM(B70:F72)&lt;(L86*3),IF((SUM(B70:F73))&gt;(L86*4),(((L86*4)-(SUM(B70:F73)-C72))*J69)+((SUM(B73:F73)-C72)*J69),SUM(B73:F73)*J69),IF(SUM(B70:F73)&gt;(L86*4),L86*J69,SUM(B73:F73)*J69)),2)</f>
        <v>0</v>
      </c>
      <c r="K73" s="76">
        <f>ROUND(IF(SUM(B70:F72)&lt;(L85*3),IF((SUM(B70:F73))&gt;(L85*4),(((L85*4)-(SUM(B70:F73)-C72))*K69)+((SUM(B73:F73)-C72)*K69),SUM(B73:F73)*K69),IF(SUM(B70:F73)&gt;(L85*4),L85*K69,SUM(B73:F73)*K69)),2)</f>
        <v>0</v>
      </c>
      <c r="L73" s="76">
        <f>ROUND(IF(SUM(B70:F72)&lt;(L86*3),IF((SUM(B70:F73))&gt;(L86*4),(((L86*4)-(SUM(B70:F73)-C73))*L69)+((SUM(B73:F73)-C73)*L69),(SUM(B73:F73)-C73)*L69),IF(SUM(B70:F73)&gt;(L86*4),L86*L69,SUM(B73:F73)*L69)),2)</f>
        <v>0</v>
      </c>
      <c r="M73" s="76">
        <f>ROUND(IF(SUM(B70:F72)&lt;(L86*3),IF((SUM(B70:F73))&gt;(L86*4),(((L86*4)-(SUM(B70:F73)-C73))*M69)+((SUM(B73:F73)-C73)*M69),(SUM(B73:F73)-C73)*M69),IF(SUM(B70:F73)&gt;(L86*4),L86*M69,SUM(B73:F73)*M69)),2)</f>
        <v>0</v>
      </c>
      <c r="N73" s="76">
        <f>ROUND(IF(SUM(B70:F72)&lt;(L86*3),IF((SUM(B70:F73))&gt;(L86*4),(((L86*4)-(SUM(B70:F73)-C72))*N69)+((SUM(B73:F73)-C72)*N69),SUM(B73:F73)*N69),IF(SUM(B70:F73)&gt;(L86*4),L86*N69,SUM(B73:F73)*N69)),2)</f>
        <v>0</v>
      </c>
      <c r="O73" s="23">
        <f>ROUND(SUM(B73+C73+F73)*O69,2)</f>
        <v>0</v>
      </c>
      <c r="P73" s="27">
        <f t="shared" si="8"/>
        <v>0</v>
      </c>
    </row>
    <row r="74" spans="1:16" x14ac:dyDescent="0.2">
      <c r="A74" s="100" t="str">
        <f>$A$30</f>
        <v>Mai 2022</v>
      </c>
      <c r="B74" s="24">
        <f>ROUND(IF(N54=0,0,IFERROR(((LOOKUP(2,1/(A58:A61=A74),G58:G61))*N54*4.348),B73/N54*N54)),2)</f>
        <v>0</v>
      </c>
      <c r="C74" s="23">
        <f>ROUND(IFERROR(((LOOKUP(2,1/(B63=A74),((SUM(B76:B78)+SUM(F76:F78))/3)*C63))),0)+IFERROR(((LOOKUP(2,1/(E63=A74),(B82+F82)*F63))),0),2)</f>
        <v>0</v>
      </c>
      <c r="D74" s="23">
        <f>ROUND(IF(B74=0,0,D69/L51*N54),2)</f>
        <v>0</v>
      </c>
      <c r="E74" s="23">
        <f>ROUND(IF(B74=0,0,E69/N47*N54),2)</f>
        <v>0</v>
      </c>
      <c r="F74" s="24">
        <f>ROUND(IF(N54=0,0,IFERROR(((LOOKUP(2,1/(A58:A61=A74),H58:H61))/N47*N54),F73/N54*N54)),2)</f>
        <v>0</v>
      </c>
      <c r="G74" s="27">
        <f t="shared" si="7"/>
        <v>0</v>
      </c>
      <c r="H74" s="76">
        <f>ROUND(IF(SUM(B70:F73)&lt;(L85*4),IF((SUM(B70:F74))&gt;(L85*5),(((L85*5)-(SUM(B70:F74)-C73))*H69)+((SUM(B74:F74)-C73)*H69),SUM(B74:F74)*H69),IF(SUM(B70:F74)&gt;(L85*5),L85*H69,SUM(B74:F74)*H69)),2)</f>
        <v>0</v>
      </c>
      <c r="I74" s="76">
        <f>ROUND(IF(SUM(B70:F73)&lt;(L86*4),IF((SUM(B70:F74))&gt;(L86*5),(((L86*5)-(SUM(B70:F74)-C73))*I69)+((SUM(B74:F74)-C73)*I69),SUM(B74:F74)*I69),IF(SUM(B70:F74)&gt;(L86*5),L86*I69,SUM(B74:F74)*I69)),2)</f>
        <v>0</v>
      </c>
      <c r="J74" s="76">
        <f>ROUND(IF(SUM(B70:F73)&lt;(L86*4),IF((SUM(B70:F74))&gt;(L86*5),(((L86*5)-(SUM(B70:F74)-C73))*J69)+((SUM(B74:F74)-C73)*J69),SUM(B74:F74)*J69),IF(SUM(B70:F74)&gt;(L86*5),L86*J69,SUM(B74:F74)*J69)),2)</f>
        <v>0</v>
      </c>
      <c r="K74" s="76">
        <f>ROUND(IF(SUM(B70:F73)&lt;(L85*4),IF((SUM(B70:F74))&gt;(L85*5),(((L85*5)-(SUM(B70:F74)-C73))*K69)+((SUM(B74:F74)-C73)*K69),SUM(B74:F74)*K69),IF(SUM(B70:F74)&gt;(L85*5),L85*K69,SUM(B74:F74)*K69)),2)</f>
        <v>0</v>
      </c>
      <c r="L74" s="76">
        <f>ROUND(IF(SUM(B70:F73)&lt;(L86*4),IF((SUM(B70:F74))&gt;(L86*5),(((L86*5)-(SUM(B70:F74)-C74))*L69)+((SUM(B74:F74)-C74)*L69),(SUM(B74:F74)-C74)*L69),IF(SUM(B70:F74)&gt;(L86*5),L86*L69,SUM(B74:F74)*L69)),2)</f>
        <v>0</v>
      </c>
      <c r="M74" s="76">
        <f>ROUND(IF(SUM(B70:F73)&lt;(L86*4),IF((SUM(B70:F74))&gt;(L86*5),(((L86*5)-(SUM(B70:F74)-C74))*M69)+((SUM(B74:F74)-C74)*M69),(SUM(B74:F74)-C74)*M69),IF(SUM(B70:F74)&gt;(L86*5),L86*M69,SUM(B74:F74)*M69)),2)</f>
        <v>0</v>
      </c>
      <c r="N74" s="76">
        <f>ROUND(IF(SUM(B70:F73)&lt;(L86*4),IF((SUM(B70:F74))&gt;(L86*5),(((L86*5)-(SUM(B70:F74)-C73))*N69)+((SUM(B74:F74)-C73)*N69),SUM(B74:F74)*N69),IF(SUM(B70:F74)&gt;(L86*5),L86*N69,SUM(B74:F74)*N69)),2)</f>
        <v>0</v>
      </c>
      <c r="O74" s="23">
        <f>ROUND(SUM(B74+C74+F74)*O69,2)</f>
        <v>0</v>
      </c>
      <c r="P74" s="27">
        <f t="shared" si="8"/>
        <v>0</v>
      </c>
    </row>
    <row r="75" spans="1:16" x14ac:dyDescent="0.2">
      <c r="A75" s="100" t="str">
        <f>$A$31</f>
        <v>Jun 2022</v>
      </c>
      <c r="B75" s="24">
        <f>ROUND(IF(N55=0,0,IFERROR(((LOOKUP(2,1/(A58:A61=A75),G58:G61))*N55*4.348),B74/N55*N55)),2)</f>
        <v>0</v>
      </c>
      <c r="C75" s="23">
        <f>ROUND(IFERROR(((LOOKUP(2,1/(B63=A75),((SUM(B76:B78)+SUM(F76:F78))/3)*C63))),0)+IFERROR(((LOOKUP(2,1/(E63=A75),(B82+F82)*F63))),0),2)</f>
        <v>0</v>
      </c>
      <c r="D75" s="23">
        <f>ROUND(IF(B75=0,0,D69/L51*N55),2)</f>
        <v>0</v>
      </c>
      <c r="E75" s="23">
        <f>ROUND(IF(B75=0,0,E69/N47*N55),2)</f>
        <v>0</v>
      </c>
      <c r="F75" s="24">
        <f>ROUND(IF(N55=0,0,IFERROR(((LOOKUP(2,1/(A58:A61=A75),H58:H61))/N47*N55),F74/N55*N55)),2)</f>
        <v>0</v>
      </c>
      <c r="G75" s="27">
        <f t="shared" si="7"/>
        <v>0</v>
      </c>
      <c r="H75" s="76">
        <f>ROUND(IF(SUM(B70:F74)&lt;(L85*5),IF((SUM(B70:F75))&gt;(L85*6),(((L85*6)-(SUM(B70:F75)-C74))*H69)+((SUM(B75:F75)-C74)*H69),SUM(B75:F75)*H69),IF(SUM(B70:F75)&gt;(L85*6),L85*H69,SUM(B75:F75)*H69)),2)</f>
        <v>0</v>
      </c>
      <c r="I75" s="76">
        <f>ROUND(IF(SUM(B70:F74)&lt;(L86*5),IF((SUM(B70:F75))&gt;(L86*6),(((L86*6)-(SUM(B70:F75)-C74))*I69)+((SUM(B75:F75)-C74)*I69),SUM(B75:F75)*I69),IF(SUM(B70:F75)&gt;(L86*6),L86*I69,SUM(B75:F75)*I69)),2)</f>
        <v>0</v>
      </c>
      <c r="J75" s="76">
        <f>ROUND(IF(SUM(B70:F74)&lt;(L86*5),IF((SUM(B70:F75))&gt;(L86*6),(((L86*6)-(SUM(B70:F75)-C74))*J69)+((SUM(B75:F75)-C74)*J69),SUM(B75:F75)*J69),IF(SUM(B70:F75)&gt;(L86*6),L86*J69,SUM(B75:F75)*J69)),2)</f>
        <v>0</v>
      </c>
      <c r="K75" s="76">
        <f>ROUND(IF(SUM(B70:F74)&lt;(L85*5),IF((SUM(B70:F75))&gt;(L85*6),(((L85*6)-(SUM(B70:F75)-C74))*K69)+((SUM(B75:F75)-C74)*K69),SUM(B75:F75)*K69),IF(SUM(B70:F75)&gt;(L85*6),L85*K69,SUM(B75:F75)*K69)),2)</f>
        <v>0</v>
      </c>
      <c r="L75" s="76">
        <f>ROUND(IF(SUM(B70:F74)&lt;(L86*5),IF((SUM(B70:F75))&gt;(L86*6),(((L86*6)-(SUM(B70:F75)-C75))*L69)+((SUM(B75:F75)-C75)*L69),(SUM(B75:F75)-C75)*L69),IF(SUM(B70:F75)&gt;(L86*6),L86*L69,SUM(B75:F75)*L69)),2)</f>
        <v>0</v>
      </c>
      <c r="M75" s="76">
        <f>ROUND(IF(SUM(B70:F74)&lt;(L86*5),IF((SUM(B70:F75))&gt;(L86*6),(((L86*6)-(SUM(B70:F75)-C75))*M69)+((SUM(B75:F75)-C75)*M69),(SUM(B75:F75)-C75)*M69),IF(SUM(B70:F75)&gt;(L86*6),L86*M69,SUM(B75:F75)*M69)),2)</f>
        <v>0</v>
      </c>
      <c r="N75" s="76">
        <f>ROUND(IF(SUM(B70:F74)&lt;(L86*5),IF((SUM(B70:F75))&gt;(L86*6),(((L86*6)-(SUM(B70:F75)-C74))*N69)+((SUM(B75:F75)-C74)*N69),SUM(B75:F75)*N69),IF(SUM(B70:F75)&gt;(L86*6),L86*N69,SUM(B75:F75)*N69)),2)</f>
        <v>0</v>
      </c>
      <c r="O75" s="23">
        <f>ROUND(SUM(B75+C75+F75)*O69,2)</f>
        <v>0</v>
      </c>
      <c r="P75" s="27">
        <f t="shared" si="8"/>
        <v>0</v>
      </c>
    </row>
    <row r="76" spans="1:16" x14ac:dyDescent="0.2">
      <c r="A76" s="100" t="str">
        <f>$A$32</f>
        <v>Jul 2022</v>
      </c>
      <c r="B76" s="24">
        <f>ROUND(IF(P50=0,0,IFERROR(((LOOKUP(2,1/(A58:A61=A76),G58:G61))*P50*4.348),B75/P50*P50)),2)</f>
        <v>0</v>
      </c>
      <c r="C76" s="23">
        <f>ROUND(IFERROR(((LOOKUP(2,1/(B63=A76),((SUM(B76:B78)+SUM(F76:F78))/3)*C63))),0)+IFERROR(((LOOKUP(2,1/(E63=A76),(B82+F82)*F63))),0),2)</f>
        <v>0</v>
      </c>
      <c r="D76" s="23">
        <f>ROUND(IF(B76=0,0,D69/L51*P50),2)</f>
        <v>0</v>
      </c>
      <c r="E76" s="23">
        <f>ROUND(IF(B76=0,0,E69/N47*P50),2)</f>
        <v>0</v>
      </c>
      <c r="F76" s="24">
        <f>ROUND(IF(P50=0,0,IFERROR(((LOOKUP(2,1/(A58:A61=A76),H58:H61))/N47*P50),F75/P50*P50)),2)</f>
        <v>0</v>
      </c>
      <c r="G76" s="27">
        <f t="shared" si="7"/>
        <v>0</v>
      </c>
      <c r="H76" s="76">
        <f>ROUND(IF(SUM(B70:F75)&lt;(L85*6),IF((SUM(B70:F76))&gt;(L85*7),(((L85*7)-(SUM(B70:F76)-C75))*H69)+((SUM(B76:F76)-C75)*H69),SUM(B76:F76)*H69),IF(SUM(B70:F76)&gt;(L85*7),L85*H69,SUM(B76:F76)*H69)),2)</f>
        <v>0</v>
      </c>
      <c r="I76" s="76">
        <f>ROUND(IF(SUM(B70:F75)&lt;(L86*6),IF((SUM(B70:F76))&gt;(L86*7),(((L86*7)-(SUM(B70:F76)-C75))*I69)+((SUM(B76:F76)-C75)*I69),SUM(B76:F76)*I69),IF(SUM(B70:F76)&gt;(L86*7),L86*I69,SUM(B76:F76)*I69)),2)</f>
        <v>0</v>
      </c>
      <c r="J76" s="76">
        <f>ROUND(IF(SUM(B70:F75)&lt;(L86*6),IF((SUM(B70:F76))&gt;(L86*7),(((L86*7)-(SUM(B70:F76)-C75))*J69)+((SUM(B76:F76)-C75)*J69),SUM(B76:F76)*J69),IF(SUM(B70:F76)&gt;(L86*7),L86*J69,SUM(B76:F76)*J69)),2)</f>
        <v>0</v>
      </c>
      <c r="K76" s="76">
        <f>ROUND(IF(SUM(B70:F75)&lt;(L85*6),IF((SUM(B70:F76))&gt;(L85*7),(((L85*7)-(SUM(B70:F76)-C75))*K69)+((SUM(B76:F76)-C75)*K69),SUM(B76:F76)*K69),IF(SUM(B70:F76)&gt;(L85*7),L85*K69,SUM(B76:F76)*K69)),2)</f>
        <v>0</v>
      </c>
      <c r="L76" s="76">
        <f>ROUND(IF(SUM(B70:F75)&lt;(L86*6),IF((SUM(B70:F76))&gt;(L86*7),(((L86*7)-(SUM(B70:F76)-C76))*L69)+((SUM(B76:F76)-C76)*L69),(SUM(B76:F76)-C76)*L69),IF(SUM(B70:F76)&gt;(L86*7),L86*L69,SUM(B76:F76)*L69)),2)</f>
        <v>0</v>
      </c>
      <c r="M76" s="76">
        <f>ROUND(IF(SUM(B70:F75)&lt;(L86*6),IF((SUM(B70:F76))&gt;(L86*7),(((L86*7)-(SUM(B70:F76)-C76))*M69)+((SUM(B76:F76)-C76)*M69),(SUM(B76:F76)-C76)*M69),IF(SUM(B70:F76)&gt;(L86*7),L86*M69,SUM(B76:F76)*M69)),2)</f>
        <v>0</v>
      </c>
      <c r="N76" s="76">
        <f>ROUND(IF(SUM(B70:F75)&lt;(L86*6),IF((SUM(B70:F76))&gt;(L86*7),(((L86*7)-(SUM(B70:F76)-C75))*N69)+((SUM(B76:F76)-C75)*N69),SUM(B76:F76)*N69),IF(SUM(B70:F76)&gt;(L86*7),L86*N69,SUM(B76:F76)*N69)),2)</f>
        <v>0</v>
      </c>
      <c r="O76" s="23">
        <f>ROUND(SUM(B76+C76+F76)*O69,2)</f>
        <v>0</v>
      </c>
      <c r="P76" s="27">
        <f t="shared" si="8"/>
        <v>0</v>
      </c>
    </row>
    <row r="77" spans="1:16" x14ac:dyDescent="0.2">
      <c r="A77" s="100" t="str">
        <f>$A$33</f>
        <v>Aug 2022</v>
      </c>
      <c r="B77" s="24">
        <f>ROUND(IF(P51=0,0,IFERROR(((LOOKUP(2,1/(A58:A61=A77),G58:G61))*P51*4.348),B76/P51*P51)),2)</f>
        <v>0</v>
      </c>
      <c r="C77" s="23">
        <f>ROUND(IFERROR(((LOOKUP(2,1/(B63=A77),((SUM(B76:B78)+SUM(F76:F78))/3)*C63))),0)+IFERROR(((LOOKUP(2,1/(E63=A77),(B82+F82)*F63))),0),2)</f>
        <v>0</v>
      </c>
      <c r="D77" s="23">
        <f>ROUND(IF(B77=0,0,D69/L51*P51),2)</f>
        <v>0</v>
      </c>
      <c r="E77" s="23">
        <f>ROUND(IF(B77=0,0,E69/N47*P51),2)</f>
        <v>0</v>
      </c>
      <c r="F77" s="24">
        <f>ROUND(IF(P51=0,0,IFERROR(((LOOKUP(2,1/(A58:A61=A77),H58:H61))/N47*P51),F76/P51*P51)),2)</f>
        <v>0</v>
      </c>
      <c r="G77" s="27">
        <f t="shared" si="7"/>
        <v>0</v>
      </c>
      <c r="H77" s="76">
        <f>ROUND(IF(SUM(B70:F76)&lt;(L85*7),IF((SUM(B70:F77))&gt;(L85*8),(((L85*8)-(SUM(B70:F77)-C76))*H69)+((SUM(B77:F77)-C76)*H69),SUM(B77:F77)*H69),IF(SUM(B70:F77)&gt;(L85*8),L85*H69,SUM(B77:F77)*H69)),2)</f>
        <v>0</v>
      </c>
      <c r="I77" s="76">
        <f>ROUND(IF(SUM(B70:F76)&lt;(L86*7),IF((SUM(B70:F77))&gt;(L86*8),(((L86*8)-(SUM(B70:F77)-C76))*I69)+((SUM(B77:F77)-C76)*I69),SUM(B77:F77)*I69),IF(SUM(B70:F77)&gt;(L86*8),L86*I69,SUM(B77:F77)*I69)),2)</f>
        <v>0</v>
      </c>
      <c r="J77" s="76">
        <f>ROUND(IF(SUM(B70:F76)&lt;(L86*7),IF((SUM(B70:F77))&gt;(L86*8),(((L86*8)-(SUM(B70:F77)-C76))*J69)+((SUM(B77:F77)-C76)*J69),SUM(B77:F77)*J69),IF(SUM(B70:F77)&gt;(L86*8),L86*J69,SUM(B77:F77)*J69)),2)</f>
        <v>0</v>
      </c>
      <c r="K77" s="76">
        <f>ROUND(IF(SUM(B70:F76)&lt;(L85*7),IF((SUM(B70:F77))&gt;(L85*8),(((L85*8)-(SUM(B70:F77)-C76))*K69)+((SUM(B77:F77)-C76)*K69),SUM(B77:F77)*K69),IF(SUM(B70:F77)&gt;(L85*8),L85*K69,SUM(B77:F77)*K69)),2)</f>
        <v>0</v>
      </c>
      <c r="L77" s="76">
        <f>ROUND(IF(SUM(B70:F76)&lt;(L86*7),IF((SUM(B70:F77))&gt;(L86*8),(((L86*8)-(SUM(B70:F77)-C77))*L69)+((SUM(B77:F77)-C77)*L69),(SUM(B77:F77)-C77)*L69),IF(SUM(B70:F77)&gt;(L86*8),L86*L69,SUM(B77:F77)*L69)),2)</f>
        <v>0</v>
      </c>
      <c r="M77" s="76">
        <f>ROUND(IF(SUM(B70:F76)&lt;(L86*7),IF((SUM(B70:F77))&gt;(L86*8),(((L86*8)-(SUM(B70:F77)-C77))*M69)+((SUM(B77:F77)-C77)*M69),(SUM(B77:F77)-C77)*M69),IF(SUM(B70:F77)&gt;(L86*8),L86*M69,SUM(B77:F77)*M69)),2)</f>
        <v>0</v>
      </c>
      <c r="N77" s="76">
        <f>ROUND(IF(SUM(B70:F76)&lt;(L86*7),IF((SUM(B70:F77))&gt;(L86*8),(((L86*8)-(SUM(B70:F77)-C76))*N69)+((SUM(B77:F77)-C76)*N69),SUM(B77:F77)*N69),IF(SUM(B70:F77)&gt;(L86*8),L86*N69,SUM(B77:F77)*N69)),2)</f>
        <v>0</v>
      </c>
      <c r="O77" s="23">
        <f>ROUND(SUM(B77+C77+F77)*O69,2)</f>
        <v>0</v>
      </c>
      <c r="P77" s="27">
        <f t="shared" si="8"/>
        <v>0</v>
      </c>
    </row>
    <row r="78" spans="1:16" x14ac:dyDescent="0.2">
      <c r="A78" s="100" t="str">
        <f>$A$34</f>
        <v>Sep 2022</v>
      </c>
      <c r="B78" s="24">
        <f>ROUND(IF(P52=0,0,IFERROR(((LOOKUP(2,1/(A58:A61=A78),G58:G61))*P52*4.348),B77/P52*P52)),2)</f>
        <v>0</v>
      </c>
      <c r="C78" s="23">
        <f>ROUND(IFERROR(((LOOKUP(2,1/(B63=A78),((SUM(B76:B78)+SUM(F76:F78))/3)*C63))),0)+IFERROR(((LOOKUP(2,1/(E63=A78),(B82+F82)*F63))),0),2)</f>
        <v>0</v>
      </c>
      <c r="D78" s="23">
        <f>ROUND(IF(B78=0,0,D69/L51*P52),2)</f>
        <v>0</v>
      </c>
      <c r="E78" s="23">
        <f>ROUND(IF(B78=0,0,E69/N47*P52),2)</f>
        <v>0</v>
      </c>
      <c r="F78" s="24">
        <f>ROUND(IF(P52=0,0,IFERROR(((LOOKUP(2,1/(A58:A61=A78),H58:H61))/N47*P52),F77/P52*P52)),2)</f>
        <v>0</v>
      </c>
      <c r="G78" s="27">
        <f t="shared" si="7"/>
        <v>0</v>
      </c>
      <c r="H78" s="76">
        <f>ROUND(IF(SUM(B70:F77)&lt;(L85*8),IF((SUM(B70:F78))&gt;(L85*9),(((L85*9)-(SUM(B70:F78)-C77))*H69)+((SUM(B78:F78)-C77)*H69),SUM(B78:F78)*H69),IF(SUM(B70:F78)&gt;(L85*9),L85*H69,SUM(B78:F78)*H69)),2)</f>
        <v>0</v>
      </c>
      <c r="I78" s="76">
        <f>ROUND(IF(SUM(B70:F77)&lt;(L86*8),IF((SUM(B70:F78))&gt;(L86*9),(((L86*9)-(SUM(B70:F78)-C77))*I69)+((SUM(B78:F78)-C77)*I69),SUM(B78:F78)*I69),IF(SUM(B70:F78)&gt;(L86*9),L86*I69,SUM(B78:F78)*I69)),2)</f>
        <v>0</v>
      </c>
      <c r="J78" s="76">
        <f>ROUND(IF(SUM(B70:F77)&lt;(L86*8),IF((SUM(B70:F78))&gt;(L86*9),(((L86*9)-(SUM(B70:F78)-C77))*J69)+((SUM(B78:F78)-C77)*J69),SUM(B78:F78)*J69),IF(SUM(B70:F78)&gt;(L86*9),L86*J69,SUM(B78:F78)*J69)),2)</f>
        <v>0</v>
      </c>
      <c r="K78" s="76">
        <f>ROUND(IF(SUM(B70:F77)&lt;(L85*8),IF((SUM(B70:F78))&gt;(L85*9),(((L85*9)-(SUM(B70:F78)-C77))*K69)+((SUM(B78:F78)-C77)*K69),SUM(B78:F78)*K69),IF(SUM(B70:F78)&gt;(L85*9),L85*K69,SUM(B78:F78)*K69)),2)</f>
        <v>0</v>
      </c>
      <c r="L78" s="76">
        <f>ROUND(IF(SUM(B70:F77)&lt;(L86*8),IF((SUM(B70:F78))&gt;(L86*9),(((L86*9)-(SUM(B70:F78)-C78))*L69)+((SUM(B78:F78)-C78)*L69),(SUM(B78:F78)-C78)*L69),IF(SUM(B70:F78)&gt;(L86*9),L86*L69,SUM(B78:F78)*L69)),2)</f>
        <v>0</v>
      </c>
      <c r="M78" s="76">
        <f>ROUND(IF(SUM(B70:F77)&lt;(L86*8),IF((SUM(B70:F78))&gt;(L86*9),(((L86*9)-(SUM(B70:F78)-C78))*M69)+((SUM(B78:F78)-C78)*M69),(SUM(B78:F78)-C78)*M69),IF(SUM(B70:F78)&gt;(L86*9),L86*M69,SUM(B78:F78)*M69)),2)</f>
        <v>0</v>
      </c>
      <c r="N78" s="76">
        <f>ROUND(IF(SUM(B70:F77)&lt;(L86*8),IF((SUM(B70:F78))&gt;(L86*9),(((L86*9)-(SUM(B70:F78)-C77))*N69)+((SUM(B78:F78)-C77)*N69),SUM(B78:F78)*N69),IF(SUM(B70:F78)&gt;(L86*9),L86*N69,SUM(B78:F78)*N69)),2)</f>
        <v>0</v>
      </c>
      <c r="O78" s="23">
        <f>ROUND(SUM(B78+C78+F78)*O69,2)</f>
        <v>0</v>
      </c>
      <c r="P78" s="27">
        <f t="shared" si="8"/>
        <v>0</v>
      </c>
    </row>
    <row r="79" spans="1:16" x14ac:dyDescent="0.2">
      <c r="A79" s="100" t="str">
        <f>$A$35</f>
        <v>Okt 2022</v>
      </c>
      <c r="B79" s="24">
        <f>ROUND(IF(P53=0,0,IFERROR(((LOOKUP(2,1/(A58:A61=A79),G58:G61))*P53*4.348),B78/P53*P53)),2)</f>
        <v>0</v>
      </c>
      <c r="C79" s="23">
        <f>ROUND(IFERROR(((LOOKUP(2,1/(B63=A79),((SUM(B76:B78)+SUM(F76:F78))/3)*C63))),0)+IFERROR(((LOOKUP(2,1/(E63=A79),(B82+F82)*F63))),0),2)</f>
        <v>0</v>
      </c>
      <c r="D79" s="23">
        <f>ROUND(IF(B79=0,0,D69/L51*P53),2)</f>
        <v>0</v>
      </c>
      <c r="E79" s="23">
        <f>ROUND(IF(B79=0,0,E69/N47*P53),2)</f>
        <v>0</v>
      </c>
      <c r="F79" s="24">
        <f>ROUND(IF(P53=0,0,IFERROR(((LOOKUP(2,1/(A58:A61=A79),H58:H61))/N47*P53),F78/P53*P53)),2)</f>
        <v>0</v>
      </c>
      <c r="G79" s="27">
        <f t="shared" si="7"/>
        <v>0</v>
      </c>
      <c r="H79" s="76">
        <f>ROUND(IF(SUM(B70:F78)&lt;(L85*9),IF((SUM(B70:F79))&gt;(L85*10),(((L85*10)-(SUM(B70:F79)-C78))*H69)+((SUM(B79:F79)-C78)*H69),SUM(B79:F79)*H69),IF(SUM(B70:F79)&gt;(L85*10),L85*H69,SUM(B79:F79)*H69)),2)</f>
        <v>0</v>
      </c>
      <c r="I79" s="76">
        <f>ROUND(IF(SUM(B70:F78)&lt;(L86*9),IF((SUM(B70:F79))&gt;(L86*10),(((L86*10)-(SUM(B70:F79)-C78))*I69)+((SUM(B79:F79)-C78)*I69),SUM(B79:F79)*I69),IF(SUM(B70:F79)&gt;(L86*10),L86*I69,SUM(B79:F79)*I69)),2)</f>
        <v>0</v>
      </c>
      <c r="J79" s="76">
        <f>ROUND(IF(SUM(B70:F78)&lt;(L86*9),IF((SUM(B70:F79))&gt;(L86*10),(((L86*10)-(SUM(B70:F79)-C78))*J69)+((SUM(B79:F79)-C78)*J69),SUM(B79:F79)*J69),IF(SUM(B70:F79)&gt;(L86*10),L86*J69,SUM(B79:F79)*J69)),2)</f>
        <v>0</v>
      </c>
      <c r="K79" s="76">
        <f>ROUND(IF(SUM(B70:F78)&lt;(L85*9),IF((SUM(B70:F79))&gt;(L85*10),(((L85*10)-(SUM(B70:F79)-C78))*K69)+((SUM(B79:F79)-C78)*K69),SUM(B79:F79)*K69),IF(SUM(B70:F79)&gt;(L85*10),L85*K69,SUM(B79:F79)*K69)),2)</f>
        <v>0</v>
      </c>
      <c r="L79" s="76">
        <f>ROUND(IF(SUM(B70:F78)&lt;(L86*9),IF((SUM(B70:F79))&gt;(L86*10),(((L86*10)-(SUM(B70:F79)-C79))*L69)+((SUM(B79:F79)-C79)*L69),(SUM(B79:F79)-C79)*L69),IF(SUM(B70:F79)&gt;(L86*10),L86*L69,SUM(B79:F79)*L69)),2)</f>
        <v>0</v>
      </c>
      <c r="M79" s="76">
        <f>ROUND(IF(SUM(B70:F78)&lt;(L86*9),IF((SUM(B70:F79))&gt;(L86*10),(((L86*10)-(SUM(B70:F79)-C79))*M69)+((SUM(B79:F79)-C79)*M69),(SUM(B79:F79)-C79)*M69),IF(SUM(B70:F79)&gt;(L86*10),L86*M69,SUM(B79:F79)*M69)),2)</f>
        <v>0</v>
      </c>
      <c r="N79" s="76">
        <f>ROUND(IF(SUM(B70:F78)&lt;(L86*9),IF((SUM(B70:F79))&gt;(L86*10),(((L86*10)-(SUM(B70:F79)-C78))*N69)+((SUM(B79:F79)-C78)*N69),SUM(B79:F79)*N69),IF(SUM(B70:F79)&gt;(L86*10),L86*N69,SUM(B79:F79)*N69)),2)</f>
        <v>0</v>
      </c>
      <c r="O79" s="23">
        <f>ROUND(SUM(B79+C79+F79)*O69,2)</f>
        <v>0</v>
      </c>
      <c r="P79" s="27">
        <f t="shared" si="8"/>
        <v>0</v>
      </c>
    </row>
    <row r="80" spans="1:16" x14ac:dyDescent="0.2">
      <c r="A80" s="100" t="str">
        <f>$A$36</f>
        <v>Nov 2022</v>
      </c>
      <c r="B80" s="24">
        <f>ROUND(IF(P54=0,0,IFERROR(((LOOKUP(2,1/(A58:A61=A80),G58:G61))*P54*4.348),B79/P54*P54)),2)</f>
        <v>0</v>
      </c>
      <c r="C80" s="23">
        <f>ROUND(IFERROR(((LOOKUP(2,1/(B63=A80),((SUM(B76:B78)+SUM(F76:F78))/3)*C63))),0)+IFERROR(((LOOKUP(2,1/(E63=A80),(B82+F82)*F63))),0),2)</f>
        <v>0</v>
      </c>
      <c r="D80" s="23">
        <f>ROUND(IF(B80=0,0,D69/L51*P54),2)</f>
        <v>0</v>
      </c>
      <c r="E80" s="23">
        <f>ROUND(IF(B80=0,0,E69/N47*P54),2)</f>
        <v>0</v>
      </c>
      <c r="F80" s="24">
        <f>ROUND(IF(P54=0,0,IFERROR(((LOOKUP(2,1/(A58:A61=A80),H58:H61))/N47*P54),F79/P54*P54)),2)</f>
        <v>0</v>
      </c>
      <c r="G80" s="27">
        <f t="shared" si="7"/>
        <v>0</v>
      </c>
      <c r="H80" s="76">
        <f>ROUND(IF(SUM(B70:F79)&lt;(L85*10),IF((SUM(B70:F80))&gt;(L85*11),(((L85*11)-(SUM(B70:F80)-C79))*H69)+((SUM(B80:F80)-C79)*H69),SUM(B80:F80)*H69),IF(SUM(B70:F80)&gt;(L85*11),L85*H69,SUM(B80:F80)*H69)),2)</f>
        <v>0</v>
      </c>
      <c r="I80" s="76">
        <f>ROUND(IF(SUM(B70:F79)&lt;(L86*10),IF((SUM(B70:F80))&gt;(L86*11),(((L86*11)-(SUM(B70:F80)-C79))*I69)+((SUM(B80:F80)-C79)*I69),SUM(B80:F80)*I69),IF(SUM(B70:F80)&gt;(L86*11),L86*I69,SUM(B80:F80)*I69)),2)</f>
        <v>0</v>
      </c>
      <c r="J80" s="76">
        <f>ROUND(IF(SUM(B70:F79)&lt;(L86*10),IF((SUM(B70:F80))&gt;(L86*11),(((L86*11)-(SUM(B70:F80)-C79))*J69)+((SUM(B80:F80)-C79)*J69),SUM(B80:F80)*J69),IF(SUM(B70:F80)&gt;(L86*11),L86*J69,SUM(B80:F80)*J69)),2)</f>
        <v>0</v>
      </c>
      <c r="K80" s="76">
        <f>ROUND(IF(SUM(B70:F79)&lt;(L85*10),IF((SUM(B70:F80))&gt;(L85*11),(((L85*11)-(SUM(B70:F80)-C79))*K69)+((SUM(B80:F80)-C79)*K69),SUM(B80:F80)*K69),IF(SUM(B70:F80)&gt;(L85*11),L85*K69,SUM(B80:F80)*K69)),2)</f>
        <v>0</v>
      </c>
      <c r="L80" s="76">
        <f>ROUND(IF(SUM(B70:F79)&lt;(L86*10),IF((SUM(B70:F80))&gt;(L86*11),(((L86*11)-(SUM(B70:F80)-C80))*L69)+((SUM(B80:F80)-C80)*L69),(SUM(B80:F80)-C80)*L69),IF(SUM(B70:F80)&gt;(L86*11),L86*L69,SUM(B80:F80)*L69)),2)</f>
        <v>0</v>
      </c>
      <c r="M80" s="76">
        <f>ROUND(IF(SUM(B70:F79)&lt;(L86*10),IF((SUM(B70:F80))&gt;(L86*11),(((L86*11)-(SUM(B70:F80)-C80))*M69)+((SUM(B80:F80)-C80)*M69),(SUM(B80:F80)-C80)*M69),IF(SUM(B70:F80)&gt;(L86*11),L86*M69,SUM(B80:F80)*M69)),2)</f>
        <v>0</v>
      </c>
      <c r="N80" s="76">
        <f>ROUND(IF(SUM(B70:F79)&lt;(L86*10),IF((SUM(B70:F80))&gt;(L86*11),(((L86*11)-(SUM(B70:F80)-C79))*N69)+((SUM(B80:F80)-C79)*N69),SUM(B80:F80)*N69),IF(SUM(B70:F80)&gt;(L86*11),L86*N69,SUM(B80:F80)*N69)),2)</f>
        <v>0</v>
      </c>
      <c r="O80" s="23">
        <f>ROUND(SUM(B80+C80+F80)*O69,2)</f>
        <v>0</v>
      </c>
      <c r="P80" s="27">
        <f t="shared" si="8"/>
        <v>0</v>
      </c>
    </row>
    <row r="81" spans="1:16" x14ac:dyDescent="0.2">
      <c r="A81" s="100" t="str">
        <f>$A$37</f>
        <v>Dez 2022</v>
      </c>
      <c r="B81" s="24">
        <f>ROUND(IF(P55=0,0,IFERROR(((LOOKUP(2,1/(A58:A61=A81),G58:G61))*P55*4.348),B80/P55*P55)),2)</f>
        <v>0</v>
      </c>
      <c r="C81" s="23">
        <f>ROUND(IFERROR(((LOOKUP(2,1/(B63=A81),((SUM(B76:B78)+SUM(F76:F78))/3)*C63))),0)+IFERROR(((LOOKUP(2,1/(E63=A81),(B82+F82)*F63))),0),2)</f>
        <v>0</v>
      </c>
      <c r="D81" s="23">
        <f>ROUND(IF(B81=0,0,D69/L51*P55),2)</f>
        <v>0</v>
      </c>
      <c r="E81" s="23">
        <f>ROUND(IF(B81=0,0,E69/N47*P55),2)</f>
        <v>0</v>
      </c>
      <c r="F81" s="24">
        <f>ROUND(IF(P55=0,0,IFERROR(((LOOKUP(2,1/(A58:A61=A81),H58:H61))/N47*P55),F80/P55*P55)),2)</f>
        <v>0</v>
      </c>
      <c r="G81" s="27">
        <f t="shared" si="7"/>
        <v>0</v>
      </c>
      <c r="H81" s="76">
        <f>ROUND(IF(SUM(B70:F80)&lt;(L85*11),IF((SUM(B70:F81))&gt;(L85*12),(((L85*12)-(SUM(B70:F81)-C80))*H69)+((SUM(B81:F81)-C80)*H69),SUM(B81:F81)*H69),IF(SUM(B70:F81)&gt;(L85*12),L85*H69,SUM(B81:F81)*H69)),2)</f>
        <v>0</v>
      </c>
      <c r="I81" s="76">
        <f>ROUND(IF(SUM(B70:F80)&lt;(L86*11),IF((SUM(B70:F81))&gt;(L86*12),(((L86*12)-(SUM(B70:F81)-C80))*I69)+((SUM(B81:F81)-C80)*I69),SUM(B81:F81)*I69),IF(SUM(B70:F81)&gt;(L86*12),L86*I69,SUM(B81:F81)*I69)),2)</f>
        <v>0</v>
      </c>
      <c r="J81" s="76">
        <f>ROUND(IF(SUM(B70:F80)&lt;(L86*11),IF((SUM(B70:F81))&gt;(L86*12),(((L86*12)-(SUM(B70:F81)-C80))*J69)+((SUM(B81:F81)-C80)*J69),SUM(B81:F81)*J69),IF(SUM(B70:F81)&gt;(L86*12),L86*J69,SUM(B81:F81)*J69)),2)</f>
        <v>0</v>
      </c>
      <c r="K81" s="76">
        <f>ROUND(IF(SUM(B70:F80)&lt;(L85*11),IF((SUM(B70:F81))&gt;(L85*12),(((L85*12)-(SUM(B70:F81)-C80))*K69)+((SUM(B81:F81)-C80)*K69),SUM(B81:F81)*K69),IF(SUM(B70:F81)&gt;(L85*12),L85*K69,SUM(B81:F81)*K69)),2)</f>
        <v>0</v>
      </c>
      <c r="L81" s="76">
        <f>ROUND(IF(SUM(B70:F80)&lt;(L86*11),IF((SUM(B70:F81))&gt;(L86*12),(((L86*12)-(SUM(B70:F81)-C81))*L69)+((SUM(B81:F81)-C81)*L69),(SUM(B81:F81)-C81)*L69),IF(SUM(B70:F81)&gt;(L86*12),L86*L69,SUM(B81:F81)*L69)),2)</f>
        <v>0</v>
      </c>
      <c r="M81" s="76">
        <f>ROUND(IF(SUM(B70:F80)&lt;(L86*11),IF((SUM(B70:F81))&gt;(L86*12),(((L86*12)-(SUM(B70:F81)-C81))*M69)+((SUM(B81:F81)-C81)*M69),(SUM(B81:F81)-C81)*M69),IF(SUM(B70:F81)&gt;(L86*12),L86*M69,SUM(B81:F81)*M69)),2)</f>
        <v>0</v>
      </c>
      <c r="N81" s="76">
        <f>ROUND(IF(SUM(B70:F80)&lt;(L86*11),IF((SUM(B70:F81))&gt;(L86*12),(((L86*12)-(SUM(B70:F81)-C80))*N69)+((SUM(B81:F81)-C80)*N69),SUM(B81:F81)*N69),IF(SUM(B70:F81)&gt;(L86*12),L86*N69,SUM(B81:F81)*N69)),2)</f>
        <v>0</v>
      </c>
      <c r="O81" s="23">
        <f>ROUND(SUM(B81+C81+F81)*O69,2)</f>
        <v>0</v>
      </c>
      <c r="P81" s="27">
        <f t="shared" si="8"/>
        <v>0</v>
      </c>
    </row>
    <row r="82" spans="1:16" s="14" customFormat="1" ht="15" x14ac:dyDescent="0.25">
      <c r="A82" s="4" t="s">
        <v>2</v>
      </c>
      <c r="B82" s="27">
        <f>SUM(B70:B81)</f>
        <v>0</v>
      </c>
      <c r="C82" s="27">
        <f t="shared" ref="C82:D82" si="9">SUM(C70:C81)</f>
        <v>0</v>
      </c>
      <c r="D82" s="27">
        <f t="shared" si="9"/>
        <v>0</v>
      </c>
      <c r="E82" s="27">
        <f>SUM(E70:E81)</f>
        <v>0</v>
      </c>
      <c r="F82" s="27">
        <f>SUM(F70:F81)</f>
        <v>0</v>
      </c>
      <c r="G82" s="27">
        <f>SUM(G70:G81)</f>
        <v>0</v>
      </c>
      <c r="H82" s="1133">
        <f>SUM(H70:N81)</f>
        <v>0</v>
      </c>
      <c r="I82" s="1134"/>
      <c r="J82" s="1134"/>
      <c r="K82" s="1134"/>
      <c r="L82" s="1134"/>
      <c r="M82" s="1134"/>
      <c r="N82" s="1135"/>
      <c r="O82" s="27">
        <f>SUM(O70:O81)</f>
        <v>0</v>
      </c>
      <c r="P82" s="27">
        <f>SUM(P70:P81)</f>
        <v>0</v>
      </c>
    </row>
    <row r="83" spans="1:16" s="13" customFormat="1" ht="11.25" x14ac:dyDescent="0.2">
      <c r="A83" s="3" t="s">
        <v>1</v>
      </c>
      <c r="B83" s="2"/>
      <c r="C83" s="2"/>
      <c r="D83" s="2"/>
      <c r="E83" s="2"/>
      <c r="F83" s="2"/>
      <c r="G83" s="2"/>
      <c r="H83" s="2"/>
      <c r="I83" s="2"/>
      <c r="J83" s="2"/>
      <c r="K83" s="2"/>
      <c r="L83" s="2"/>
      <c r="M83" s="2"/>
      <c r="N83" s="2"/>
      <c r="O83" s="2"/>
      <c r="P83" s="2"/>
    </row>
    <row r="84" spans="1:16" ht="14.25" customHeight="1" x14ac:dyDescent="0.2">
      <c r="A84" s="1136" t="s">
        <v>133</v>
      </c>
      <c r="B84" s="1137"/>
      <c r="C84" s="1137"/>
      <c r="D84" s="1137" t="s">
        <v>134</v>
      </c>
      <c r="E84" s="1137"/>
      <c r="F84" s="94" t="str">
        <f>IF(IF(G82=0,"",$F$40)=0,"",IF(G82=0,"",$F$40))</f>
        <v/>
      </c>
      <c r="G84" s="77" t="s">
        <v>135</v>
      </c>
      <c r="H84" s="96" t="str">
        <f>IF(IF(G82=0,"",$H$40)=0,"",IF(G82=0,"",$H$40))</f>
        <v/>
      </c>
      <c r="I84" s="73"/>
      <c r="J84" s="78" t="s">
        <v>160</v>
      </c>
      <c r="K84" s="78" t="str">
        <f>$K$40</f>
        <v>2021</v>
      </c>
      <c r="L84" s="78" t="str">
        <f>$L$40</f>
        <v>anteilig 2021</v>
      </c>
      <c r="M84" s="1138" t="s">
        <v>140</v>
      </c>
      <c r="N84" s="1138"/>
      <c r="O84" s="1139"/>
      <c r="P84" s="27">
        <f>ROUND(IF(F84="",IF(E88="",0,(E88*H88/K88)/L51*L52),G82*F84*H84/1000),2)</f>
        <v>0</v>
      </c>
    </row>
    <row r="85" spans="1:16" ht="15" customHeight="1" x14ac:dyDescent="0.2">
      <c r="A85" s="1140" t="s">
        <v>145</v>
      </c>
      <c r="B85" s="1141"/>
      <c r="C85" s="1141"/>
      <c r="D85" s="18"/>
      <c r="E85" s="107" t="s">
        <v>135</v>
      </c>
      <c r="F85" s="95" t="str">
        <f>IF(IF(G82=0,"",$F$41)=0,"",IF(G82=0,"",$F$41))</f>
        <v/>
      </c>
      <c r="G85" s="48"/>
      <c r="H85" s="47"/>
      <c r="I85" s="48"/>
      <c r="J85" s="79" t="s">
        <v>158</v>
      </c>
      <c r="K85" s="81">
        <f>$K$41</f>
        <v>4837.5</v>
      </c>
      <c r="L85" s="81">
        <f>IF(L51="",K85,K85/L51*L52)</f>
        <v>4837.5</v>
      </c>
      <c r="M85" s="1138" t="s">
        <v>139</v>
      </c>
      <c r="N85" s="1138"/>
      <c r="O85" s="1139"/>
      <c r="P85" s="27">
        <f>ROUND(IF(F85="",0,G82*F85/1000),2)</f>
        <v>0</v>
      </c>
    </row>
    <row r="86" spans="1:16" ht="15.75" customHeight="1" x14ac:dyDescent="0.2">
      <c r="A86" s="1142" t="s">
        <v>141</v>
      </c>
      <c r="B86" s="1143"/>
      <c r="C86" s="1143"/>
      <c r="D86" s="1144" t="s">
        <v>143</v>
      </c>
      <c r="E86" s="1144"/>
      <c r="F86" s="1145" t="str">
        <f>IF(IF(G82=0,"",$F$42)=0,"",IF(G82=0,"",$F$42))</f>
        <v/>
      </c>
      <c r="G86" s="1145"/>
      <c r="H86" s="72"/>
      <c r="I86" s="18"/>
      <c r="J86" s="79" t="s">
        <v>159</v>
      </c>
      <c r="K86" s="81">
        <f>$K$42</f>
        <v>6700</v>
      </c>
      <c r="L86" s="81">
        <f>IF(L51="",K86,K86/L51*L52)</f>
        <v>6700</v>
      </c>
      <c r="M86" s="1138" t="s">
        <v>141</v>
      </c>
      <c r="N86" s="1138"/>
      <c r="O86" s="1139"/>
      <c r="P86" s="23">
        <f>ROUND(IF(F86="",0,IF(G82=0,0,F86/L51*L52)),2)</f>
        <v>0</v>
      </c>
    </row>
    <row r="87" spans="1:16" ht="14.25" customHeight="1" x14ac:dyDescent="0.2">
      <c r="A87" s="18"/>
      <c r="B87" s="18"/>
      <c r="C87" s="18"/>
      <c r="D87" s="18"/>
      <c r="E87" s="18"/>
      <c r="F87" s="18"/>
      <c r="G87" s="18"/>
      <c r="H87" s="18"/>
      <c r="I87" s="18"/>
      <c r="J87" s="18"/>
      <c r="K87" s="74"/>
      <c r="L87" s="82"/>
      <c r="M87" s="1127" t="s">
        <v>146</v>
      </c>
      <c r="N87" s="1127"/>
      <c r="O87" s="1128"/>
      <c r="P87" s="23">
        <f>ROUND(IF(G82=0,0,$P$43),2)</f>
        <v>0</v>
      </c>
    </row>
    <row r="88" spans="1:16" ht="14.25" customHeight="1" x14ac:dyDescent="0.2">
      <c r="A88" s="1129" t="s">
        <v>142</v>
      </c>
      <c r="B88" s="1130"/>
      <c r="C88" s="148" t="s">
        <v>136</v>
      </c>
      <c r="D88" s="148" t="s">
        <v>137</v>
      </c>
      <c r="E88" s="1131" t="str">
        <f>IF(IF(G82=0,"",$E$44)=0,"",IF(G82=0,"",$E$44))</f>
        <v/>
      </c>
      <c r="F88" s="1131"/>
      <c r="G88" s="83" t="s">
        <v>138</v>
      </c>
      <c r="H88" s="97" t="str">
        <f>IF(IF(G82=0,"",$H$44)=0,"",IF(G82=0,"",$H$44))</f>
        <v/>
      </c>
      <c r="I88" s="1132" t="s">
        <v>144</v>
      </c>
      <c r="J88" s="1132"/>
      <c r="K88" s="98" t="str">
        <f>IF(IF(G82=0,"",$K$44)=0,"",IF(G82=0,"",$K$44))</f>
        <v/>
      </c>
      <c r="L88" s="29"/>
      <c r="M88" s="29"/>
      <c r="N88" s="29"/>
      <c r="O88" s="28" t="s">
        <v>0</v>
      </c>
      <c r="P88" s="27">
        <f>P82+SUM(P84:P87)</f>
        <v>0</v>
      </c>
    </row>
    <row r="89" spans="1:16" s="12" customFormat="1" ht="13.5" customHeight="1" x14ac:dyDescent="0.2">
      <c r="A89" s="1178" t="s">
        <v>18</v>
      </c>
      <c r="B89" s="1178"/>
      <c r="C89" s="1178"/>
      <c r="D89" s="1179" t="str">
        <f>IF($D$1="","",$D$1)</f>
        <v/>
      </c>
      <c r="E89" s="1179"/>
      <c r="F89" s="1179"/>
      <c r="G89" s="1179"/>
      <c r="H89" s="1179"/>
      <c r="I89" s="1179"/>
      <c r="J89" s="1179"/>
      <c r="K89" s="1179"/>
      <c r="L89" s="1179"/>
      <c r="M89" s="1179"/>
      <c r="N89" s="1179"/>
    </row>
    <row r="90" spans="1:16" s="12" customFormat="1" ht="15" customHeight="1" x14ac:dyDescent="0.2">
      <c r="A90" s="1178" t="s">
        <v>17</v>
      </c>
      <c r="B90" s="1178"/>
      <c r="C90" s="1178" t="s">
        <v>15</v>
      </c>
      <c r="D90" s="1179" t="str">
        <f>IF($D$2="","",$D$2)</f>
        <v/>
      </c>
      <c r="E90" s="1179"/>
      <c r="F90" s="1179"/>
      <c r="G90" s="1179"/>
      <c r="H90" s="1179"/>
      <c r="I90" s="1179"/>
      <c r="J90" s="1179"/>
      <c r="K90" s="1179"/>
      <c r="L90" s="1179"/>
      <c r="M90" s="1179"/>
      <c r="N90" s="1179"/>
    </row>
    <row r="91" spans="1:16" s="12" customFormat="1" ht="15" customHeight="1" x14ac:dyDescent="0.2">
      <c r="A91" s="1178" t="s">
        <v>16</v>
      </c>
      <c r="B91" s="1178"/>
      <c r="C91" s="1178" t="s">
        <v>15</v>
      </c>
      <c r="D91" s="1179" t="str">
        <f>IF($D$3="","",$D$3)</f>
        <v/>
      </c>
      <c r="E91" s="1179"/>
      <c r="F91" s="1179"/>
      <c r="G91" s="1179"/>
      <c r="H91" s="1179"/>
      <c r="I91" s="1179"/>
      <c r="J91" s="1179"/>
      <c r="K91" s="1178" t="s">
        <v>103</v>
      </c>
      <c r="L91" s="1178"/>
      <c r="M91" s="1178"/>
      <c r="N91" s="41" t="str">
        <f>IF($N$3="","",$N$3)</f>
        <v/>
      </c>
    </row>
    <row r="92" spans="1:16" s="13" customFormat="1" ht="11.25" x14ac:dyDescent="0.2">
      <c r="A92" s="1182"/>
      <c r="B92" s="1182"/>
      <c r="C92" s="1182"/>
      <c r="D92" s="1183"/>
      <c r="E92" s="1183"/>
      <c r="F92" s="1183"/>
      <c r="G92" s="1183"/>
      <c r="H92" s="1183"/>
      <c r="I92" s="1183"/>
      <c r="J92" s="1183"/>
      <c r="K92" s="11"/>
      <c r="L92" s="11"/>
      <c r="M92" s="11"/>
      <c r="N92" s="11"/>
      <c r="O92" s="11"/>
      <c r="P92" s="11"/>
    </row>
    <row r="93" spans="1:16" s="15" customFormat="1" ht="13.5" customHeight="1" x14ac:dyDescent="0.2">
      <c r="A93" s="1177" t="s">
        <v>218</v>
      </c>
      <c r="B93" s="1177"/>
      <c r="C93" s="1177"/>
      <c r="D93" s="1177"/>
      <c r="E93" s="1177"/>
      <c r="F93" s="1177"/>
      <c r="G93" s="1177"/>
      <c r="H93" s="1177"/>
      <c r="I93" s="1177"/>
      <c r="J93" s="1177"/>
      <c r="K93" s="9"/>
      <c r="L93" s="9"/>
      <c r="M93" s="9"/>
      <c r="N93" s="59" t="s">
        <v>154</v>
      </c>
      <c r="O93" s="191">
        <f>$O$5</f>
        <v>2022</v>
      </c>
      <c r="P93" s="59" t="s">
        <v>154</v>
      </c>
    </row>
    <row r="94" spans="1:16" s="10" customFormat="1" ht="13.5" customHeight="1" x14ac:dyDescent="0.25">
      <c r="B94" s="32"/>
      <c r="C94" s="32"/>
      <c r="D94" s="5" t="s">
        <v>30</v>
      </c>
      <c r="E94" s="31"/>
      <c r="F94" s="31"/>
      <c r="G94" s="31"/>
      <c r="H94" s="31"/>
      <c r="I94" s="26"/>
      <c r="J94" s="1174" t="s">
        <v>14</v>
      </c>
      <c r="K94" s="1174"/>
      <c r="L94" s="180"/>
      <c r="N94" s="84">
        <f>IF(L96="","",L96)</f>
        <v>0</v>
      </c>
      <c r="O94" s="58" t="str">
        <f>$O$6</f>
        <v>Jan                Jul</v>
      </c>
      <c r="P94" s="85">
        <f>IF(N99="","",N99)</f>
        <v>0</v>
      </c>
    </row>
    <row r="95" spans="1:16" s="7" customFormat="1" ht="13.5" customHeight="1" x14ac:dyDescent="0.25">
      <c r="A95" s="1180" t="s">
        <v>71</v>
      </c>
      <c r="B95" s="1180"/>
      <c r="C95" s="1180"/>
      <c r="D95" s="1184"/>
      <c r="E95" s="1184"/>
      <c r="F95" s="1184"/>
      <c r="G95" s="1184"/>
      <c r="H95" s="1184"/>
      <c r="I95" s="1184"/>
      <c r="J95" s="1174" t="s">
        <v>104</v>
      </c>
      <c r="K95" s="1174"/>
      <c r="L95" s="145"/>
      <c r="N95" s="85">
        <f>IF(N94="","",N94)</f>
        <v>0</v>
      </c>
      <c r="O95" s="58" t="str">
        <f>$O$7</f>
        <v>Feb              Aug</v>
      </c>
      <c r="P95" s="85">
        <f>IF(P94="","",P94)</f>
        <v>0</v>
      </c>
    </row>
    <row r="96" spans="1:16" ht="13.5" customHeight="1" x14ac:dyDescent="0.2">
      <c r="A96" s="1180" t="s">
        <v>13</v>
      </c>
      <c r="B96" s="1180"/>
      <c r="C96" s="1180"/>
      <c r="D96" s="1181"/>
      <c r="E96" s="1181"/>
      <c r="F96" s="1181"/>
      <c r="G96" s="1181"/>
      <c r="H96" s="1181"/>
      <c r="I96" s="1181"/>
      <c r="J96" s="1174" t="s">
        <v>222</v>
      </c>
      <c r="K96" s="1174"/>
      <c r="L96" s="145">
        <f>IF(L97&gt;L95,0,L95-L97)</f>
        <v>0</v>
      </c>
      <c r="N96" s="85">
        <f>IF(N95="","",N95)</f>
        <v>0</v>
      </c>
      <c r="O96" s="58" t="str">
        <f>$O$8</f>
        <v>Mrz              Sep</v>
      </c>
      <c r="P96" s="85">
        <f>IF(P95="","",P95)</f>
        <v>0</v>
      </c>
    </row>
    <row r="97" spans="1:16" ht="13.5" customHeight="1" x14ac:dyDescent="0.2">
      <c r="A97" s="1180" t="s">
        <v>12</v>
      </c>
      <c r="B97" s="1180"/>
      <c r="C97" s="1180"/>
      <c r="D97" s="1181"/>
      <c r="E97" s="1181"/>
      <c r="F97" s="1181"/>
      <c r="G97" s="1181"/>
      <c r="H97" s="1181"/>
      <c r="I97" s="1181"/>
      <c r="J97" s="1174" t="s">
        <v>223</v>
      </c>
      <c r="K97" s="1174"/>
      <c r="L97" s="145"/>
      <c r="N97" s="85">
        <f>IF(N96="","",N96)</f>
        <v>0</v>
      </c>
      <c r="O97" s="58" t="str">
        <f>$O$9</f>
        <v>Apr               Okt</v>
      </c>
      <c r="P97" s="85">
        <f t="shared" ref="P97:P99" si="10">IF(P96="","",P96)</f>
        <v>0</v>
      </c>
    </row>
    <row r="98" spans="1:16" ht="13.5" customHeight="1" x14ac:dyDescent="0.2">
      <c r="A98" s="1180" t="s">
        <v>19</v>
      </c>
      <c r="B98" s="1180"/>
      <c r="C98" s="1180"/>
      <c r="D98" s="1181"/>
      <c r="E98" s="1181"/>
      <c r="F98" s="1181"/>
      <c r="G98" s="1181"/>
      <c r="H98" s="1181"/>
      <c r="I98" s="1181"/>
      <c r="J98" s="1174" t="s">
        <v>97</v>
      </c>
      <c r="K98" s="1174"/>
      <c r="L98" s="17" t="str">
        <f>IF(IF((COUNTIF(B114:B125,"&gt;0"))=0,0,(COUNTIF(B114:B125,"&gt;0")))&gt;Grundlagen!$C$24,Grundlagen!$C$24,IF((COUNTIF(B114:B125,"&gt;0"))=0,"",(COUNTIF(B114:B125,"&gt;0"))))</f>
        <v/>
      </c>
      <c r="M98" s="92"/>
      <c r="N98" s="85">
        <f>IF(N97="","",N97)</f>
        <v>0</v>
      </c>
      <c r="O98" s="58" t="str">
        <f>'päd.Personal - Leitung'!$O$10</f>
        <v>Mai               Nov</v>
      </c>
      <c r="P98" s="85">
        <f t="shared" si="10"/>
        <v>0</v>
      </c>
    </row>
    <row r="99" spans="1:16" ht="13.5" customHeight="1" x14ac:dyDescent="0.2">
      <c r="B99" s="8"/>
      <c r="C99" s="141" t="s">
        <v>162</v>
      </c>
      <c r="D99" s="1175"/>
      <c r="E99" s="1175"/>
      <c r="F99" s="1176" t="s">
        <v>106</v>
      </c>
      <c r="G99" s="1176"/>
      <c r="H99" s="1186"/>
      <c r="I99" s="1186"/>
      <c r="L99" s="147" t="str">
        <f>IF((SUM(F102:F105))=0,"",IF(P100&gt;L96,L96,IF(L96="","",IF(L98="","",P100))))</f>
        <v/>
      </c>
      <c r="N99" s="85">
        <f>IF(N98="","",N98)</f>
        <v>0</v>
      </c>
      <c r="O99" s="58" t="str">
        <f>'päd.Personal - Leitung'!$O$11</f>
        <v>Jun               Dez</v>
      </c>
      <c r="P99" s="85">
        <f t="shared" si="10"/>
        <v>0</v>
      </c>
    </row>
    <row r="100" spans="1:16" ht="13.5" customHeight="1" x14ac:dyDescent="0.2">
      <c r="I100" s="6"/>
      <c r="O100" s="174" t="s">
        <v>251</v>
      </c>
      <c r="P100" s="175">
        <f>IF(L98="",0,((IF(SUMIF(B114,"&gt;0"),N94,0))+(IF(SUMIF(B115,"&gt;0"),N95,0))+(IF(SUMIF(B116,"&gt;0"),N96,0))+(IF(SUMIF(B117,"&gt;0"),N97,0))+(IF(SUMIF(B118,"&gt;0"),N98,0))+(IF(SUMIF(B119,"&gt;0"),N99,0))+(IF(SUMIF(B120,"&gt;0"),P94,0))+(IF(SUMIF(B121,"&gt;0"),P95,0))+(IF(SUMIF(B122,"&gt;0"),P96,0))+(IF(SUMIF(B123,"&gt;0"),P97,0))+(IF(SUMIF(B124,"&gt;0"),P98,0))+(IF(SUMIF(B125,"&gt;0"),P99,0)))/Grundlagen!$C$24)</f>
        <v>0</v>
      </c>
    </row>
    <row r="101" spans="1:16" s="52" customFormat="1" ht="13.5" customHeight="1" x14ac:dyDescent="0.2">
      <c r="A101" s="61" t="s">
        <v>148</v>
      </c>
      <c r="B101" s="1168" t="s">
        <v>149</v>
      </c>
      <c r="C101" s="1168"/>
      <c r="D101" s="62" t="s">
        <v>150</v>
      </c>
      <c r="E101" s="63" t="s">
        <v>151</v>
      </c>
      <c r="F101" s="64" t="str">
        <f>CONCATENATE("Entg. ",N91," h/Wo")</f>
        <v>Entg.  h/Wo</v>
      </c>
      <c r="G101" s="65" t="s">
        <v>152</v>
      </c>
      <c r="H101" s="65" t="s">
        <v>153</v>
      </c>
      <c r="K101" s="1169" t="str">
        <f>CONCATENATE("Zuschläge / Zulagen für ",N91,"h/Wo")</f>
        <v>Zuschläge / Zulagen für h/Wo</v>
      </c>
      <c r="L101" s="1169"/>
      <c r="M101" s="66" t="str">
        <f>IF(A102="","",A102)</f>
        <v>Jan 2022</v>
      </c>
      <c r="N101" s="66" t="str">
        <f>IF(A103="","",A103)</f>
        <v/>
      </c>
      <c r="O101" s="66" t="str">
        <f>IF(A104="","",A104)</f>
        <v/>
      </c>
      <c r="P101" s="66" t="str">
        <f>IF(A105="","",A105)</f>
        <v/>
      </c>
    </row>
    <row r="102" spans="1:16" s="52" customFormat="1" ht="13.5" customHeight="1" x14ac:dyDescent="0.25">
      <c r="A102" s="55" t="str">
        <f>A114</f>
        <v>Jan 2022</v>
      </c>
      <c r="B102" s="1170" t="str">
        <f>IF($D$3="","",$D$3)</f>
        <v/>
      </c>
      <c r="C102" s="1171"/>
      <c r="D102" s="181"/>
      <c r="E102" s="181"/>
      <c r="F102" s="87"/>
      <c r="G102" s="56">
        <f>IF(N91="",0,F102/N91/4.348)</f>
        <v>0</v>
      </c>
      <c r="H102" s="53">
        <f>IF(G102=0,0,M107)</f>
        <v>0</v>
      </c>
      <c r="K102" s="1146"/>
      <c r="L102" s="1146"/>
      <c r="M102" s="86"/>
      <c r="N102" s="86"/>
      <c r="O102" s="86"/>
      <c r="P102" s="86"/>
    </row>
    <row r="103" spans="1:16" s="52" customFormat="1" ht="13.5" customHeight="1" x14ac:dyDescent="0.25">
      <c r="A103" s="55"/>
      <c r="B103" s="1172" t="str">
        <f>IF(A103="","",B102)</f>
        <v/>
      </c>
      <c r="C103" s="1173"/>
      <c r="D103" s="181"/>
      <c r="E103" s="181"/>
      <c r="F103" s="87"/>
      <c r="G103" s="56">
        <f>IF(N91="",0,F103/N91/4.348)</f>
        <v>0</v>
      </c>
      <c r="H103" s="53">
        <f>IF(G103=0,0,N107)</f>
        <v>0</v>
      </c>
      <c r="K103" s="1146"/>
      <c r="L103" s="1146"/>
      <c r="M103" s="86"/>
      <c r="N103" s="86"/>
      <c r="O103" s="86"/>
      <c r="P103" s="86"/>
    </row>
    <row r="104" spans="1:16" s="52" customFormat="1" ht="13.5" customHeight="1" x14ac:dyDescent="0.25">
      <c r="A104" s="55"/>
      <c r="B104" s="1172" t="str">
        <f>IF(A104="","",B103)</f>
        <v/>
      </c>
      <c r="C104" s="1173"/>
      <c r="D104" s="181"/>
      <c r="E104" s="181"/>
      <c r="F104" s="87"/>
      <c r="G104" s="56">
        <f>IF(N91="",0,F104/N91/4.348)</f>
        <v>0</v>
      </c>
      <c r="H104" s="53">
        <f>IF(G104=0,0,O107)</f>
        <v>0</v>
      </c>
      <c r="K104" s="1146"/>
      <c r="L104" s="1146"/>
      <c r="M104" s="86"/>
      <c r="N104" s="86"/>
      <c r="O104" s="86"/>
      <c r="P104" s="86"/>
    </row>
    <row r="105" spans="1:16" s="52" customFormat="1" ht="13.5" customHeight="1" x14ac:dyDescent="0.25">
      <c r="A105" s="55"/>
      <c r="B105" s="1172" t="str">
        <f>IF(A105="","",B104)</f>
        <v/>
      </c>
      <c r="C105" s="1173"/>
      <c r="D105" s="181"/>
      <c r="E105" s="181"/>
      <c r="F105" s="87"/>
      <c r="G105" s="56">
        <f>IF(N91="",0,F105/N91/4.348)</f>
        <v>0</v>
      </c>
      <c r="H105" s="53">
        <f>IF(G105=0,0,P107)</f>
        <v>0</v>
      </c>
      <c r="K105" s="1146"/>
      <c r="L105" s="1146"/>
      <c r="M105" s="86"/>
      <c r="N105" s="86"/>
      <c r="O105" s="86"/>
      <c r="P105" s="86"/>
    </row>
    <row r="106" spans="1:16" s="52" customFormat="1" ht="13.5" customHeight="1" x14ac:dyDescent="0.25">
      <c r="B106" s="1167" t="s">
        <v>157</v>
      </c>
      <c r="C106" s="1167"/>
      <c r="E106" s="1167" t="s">
        <v>156</v>
      </c>
      <c r="F106" s="1167"/>
      <c r="J106" s="69"/>
      <c r="K106" s="1146"/>
      <c r="L106" s="1146"/>
      <c r="M106" s="86"/>
      <c r="N106" s="86"/>
      <c r="O106" s="86"/>
      <c r="P106" s="86"/>
    </row>
    <row r="107" spans="1:16" s="52" customFormat="1" ht="13.5" customHeight="1" x14ac:dyDescent="0.25">
      <c r="A107" s="70" t="s">
        <v>167</v>
      </c>
      <c r="B107" s="67"/>
      <c r="C107" s="99" t="str">
        <f>IF(C63="","",C63)</f>
        <v/>
      </c>
      <c r="D107" s="70" t="s">
        <v>167</v>
      </c>
      <c r="E107" s="67"/>
      <c r="F107" s="99" t="str">
        <f>IF(F63="","",F63)</f>
        <v/>
      </c>
      <c r="J107" s="68"/>
      <c r="M107" s="57">
        <f>SUM(M102:M106)</f>
        <v>0</v>
      </c>
      <c r="N107" s="57">
        <f t="shared" ref="N107:P107" si="11">SUM(N102:N106)</f>
        <v>0</v>
      </c>
      <c r="O107" s="57">
        <f t="shared" si="11"/>
        <v>0</v>
      </c>
      <c r="P107" s="57">
        <f t="shared" si="11"/>
        <v>0</v>
      </c>
    </row>
    <row r="108" spans="1:16" s="52" customFormat="1" ht="13.5" customHeight="1" x14ac:dyDescent="0.2">
      <c r="A108" s="60" t="s">
        <v>155</v>
      </c>
    </row>
    <row r="109" spans="1:16" ht="14.25" customHeight="1" x14ac:dyDescent="0.2">
      <c r="A109" s="1147"/>
      <c r="B109" s="1149" t="s">
        <v>9</v>
      </c>
      <c r="C109" s="1150"/>
      <c r="D109" s="1150"/>
      <c r="E109" s="1150"/>
      <c r="F109" s="1150"/>
      <c r="G109" s="1151"/>
      <c r="H109" s="1152" t="s">
        <v>119</v>
      </c>
      <c r="I109" s="1153"/>
      <c r="J109" s="1153"/>
      <c r="K109" s="1153"/>
      <c r="L109" s="1153"/>
      <c r="M109" s="1153"/>
      <c r="N109" s="1153"/>
      <c r="O109" s="33"/>
      <c r="P109" s="1154" t="s">
        <v>0</v>
      </c>
    </row>
    <row r="110" spans="1:16" ht="14.25" customHeight="1" x14ac:dyDescent="0.2">
      <c r="A110" s="1148"/>
      <c r="B110" s="1157" t="s">
        <v>117</v>
      </c>
      <c r="C110" s="144" t="s">
        <v>115</v>
      </c>
      <c r="D110" s="1159" t="s">
        <v>277</v>
      </c>
      <c r="E110" s="1161" t="s">
        <v>147</v>
      </c>
      <c r="F110" s="149" t="s">
        <v>7</v>
      </c>
      <c r="G110" s="1162" t="s">
        <v>6</v>
      </c>
      <c r="H110" s="1161" t="s">
        <v>129</v>
      </c>
      <c r="I110" s="1161" t="s">
        <v>5</v>
      </c>
      <c r="J110" s="1161" t="s">
        <v>4</v>
      </c>
      <c r="K110" s="1161" t="s">
        <v>3</v>
      </c>
      <c r="L110" s="1161" t="s">
        <v>121</v>
      </c>
      <c r="M110" s="1161" t="s">
        <v>122</v>
      </c>
      <c r="N110" s="1161" t="s">
        <v>123</v>
      </c>
      <c r="O110" s="1160" t="s">
        <v>114</v>
      </c>
      <c r="P110" s="1155"/>
    </row>
    <row r="111" spans="1:16" ht="14.25" customHeight="1" x14ac:dyDescent="0.2">
      <c r="A111" s="1148"/>
      <c r="B111" s="1157"/>
      <c r="C111" s="21" t="str">
        <f>IF(C107="","",C107)</f>
        <v/>
      </c>
      <c r="D111" s="1160"/>
      <c r="E111" s="1161"/>
      <c r="F111" s="1165" t="str">
        <f>IF(H102=0,"","siehe Zuschläge / Zulagen")</f>
        <v/>
      </c>
      <c r="G111" s="1162"/>
      <c r="H111" s="1164" t="s">
        <v>127</v>
      </c>
      <c r="I111" s="1164"/>
      <c r="J111" s="1164"/>
      <c r="K111" s="1164"/>
      <c r="L111" s="1164"/>
      <c r="M111" s="1164"/>
      <c r="N111" s="1164"/>
      <c r="O111" s="1160"/>
      <c r="P111" s="1155"/>
    </row>
    <row r="112" spans="1:16" x14ac:dyDescent="0.2">
      <c r="A112" s="1148"/>
      <c r="B112" s="1157"/>
      <c r="C112" s="142" t="s">
        <v>70</v>
      </c>
      <c r="D112" s="1160"/>
      <c r="E112" s="1161"/>
      <c r="F112" s="1165"/>
      <c r="G112" s="1162"/>
      <c r="H112" s="43" t="s">
        <v>128</v>
      </c>
      <c r="I112" s="43" t="s">
        <v>255</v>
      </c>
      <c r="J112" s="43" t="s">
        <v>256</v>
      </c>
      <c r="K112" s="43" t="s">
        <v>257</v>
      </c>
      <c r="L112" s="43"/>
      <c r="M112" s="43"/>
      <c r="N112" s="43" t="s">
        <v>254</v>
      </c>
      <c r="O112" s="1160"/>
      <c r="P112" s="1155"/>
    </row>
    <row r="113" spans="1:16" x14ac:dyDescent="0.2">
      <c r="A113" s="1148"/>
      <c r="B113" s="1158"/>
      <c r="C113" s="21" t="str">
        <f>IF(F107="","",F107)</f>
        <v/>
      </c>
      <c r="D113" s="51"/>
      <c r="E113" s="51"/>
      <c r="F113" s="1166"/>
      <c r="G113" s="1163"/>
      <c r="H113" s="93"/>
      <c r="I113" s="139">
        <f>$I$25</f>
        <v>0</v>
      </c>
      <c r="J113" s="139">
        <f>$J$25</f>
        <v>0</v>
      </c>
      <c r="K113" s="44">
        <f>$K$25</f>
        <v>0</v>
      </c>
      <c r="L113" s="21"/>
      <c r="M113" s="21"/>
      <c r="N113" s="139">
        <f>$N$25</f>
        <v>0</v>
      </c>
      <c r="O113" s="21">
        <f>O69</f>
        <v>0</v>
      </c>
      <c r="P113" s="1156"/>
    </row>
    <row r="114" spans="1:16" x14ac:dyDescent="0.2">
      <c r="A114" s="100" t="str">
        <f>$A$26</f>
        <v>Jan 2022</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76">
        <f>ROUND(IF((SUM(B114:F114))&gt;L129,L129*H113,SUM(B114:F114)*H113),2)</f>
        <v>0</v>
      </c>
      <c r="I114" s="76">
        <f>ROUND(IF((SUM(B114:F114))&gt;L130,L130*I113,SUM(B114:F114)*I113),2)</f>
        <v>0</v>
      </c>
      <c r="J114" s="76">
        <f>ROUND(IF((SUM(B114:F114))&gt;L130,L130*J113,SUM(B114:F114)*J113),2)</f>
        <v>0</v>
      </c>
      <c r="K114" s="76">
        <f>ROUND(IF((SUM(B114:F114))&gt;L129,L129*K113,SUM(B114:F114)*K113),2)</f>
        <v>0</v>
      </c>
      <c r="L114" s="76">
        <f>ROUND(IF((SUM(B114:F114))&gt;L130,L130*L113,(SUM(B114:F114)-C114)*L113),2)</f>
        <v>0</v>
      </c>
      <c r="M114" s="76">
        <f>ROUND(IF((SUM(B114:F114))&gt;L130,L130*M113,(SUM(B114:F114)-C114)*M113),2)</f>
        <v>0</v>
      </c>
      <c r="N114" s="76">
        <f>ROUND(IF((SUM(B114:F114))&gt;L130,L130*N113,SUM(B114:F114)*N113),2)</f>
        <v>0</v>
      </c>
      <c r="O114" s="23">
        <f>ROUND(SUM(B114+C114+F114)*O113,2)</f>
        <v>0</v>
      </c>
      <c r="P114" s="27">
        <f>SUM(G114:O114)</f>
        <v>0</v>
      </c>
    </row>
    <row r="115" spans="1:16" x14ac:dyDescent="0.2">
      <c r="A115" s="100" t="str">
        <f>$A$27</f>
        <v>Feb 2022</v>
      </c>
      <c r="B115" s="24">
        <f>ROUND(IF(N95=0,0,IFERROR(((LOOKUP(2,1/(A102:A105=A115),G102:G105))*N95*4.348),B114/N95*N95)),2)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ROUND(IF(N95=0,0,IFERROR(((LOOKUP(2,1/(A102:A105=A115),H102:H105))/N91*N95),F114/N95*N95)),2)</f>
        <v>0</v>
      </c>
      <c r="G115" s="27">
        <f t="shared" ref="G115:G125" si="12">SUM(B115+C115+E115+F115)</f>
        <v>0</v>
      </c>
      <c r="H115" s="76">
        <f>ROUND(IF(SUM(B114:F114)&lt;(L129*1),IF((SUM(B114:F115))&gt;(L129*2),(((L129*2)-(SUM(B114:F115)-C114))*H113)+((SUM(B115:F115)-C114)*H113),SUM(B115:F115)*H113),IF(SUM(B114:F115)&gt;(L129*2),L129*H113,SUM(B115:F115)*H113)),2)</f>
        <v>0</v>
      </c>
      <c r="I115" s="76">
        <f>ROUND(IF(SUM(B114:F114)&lt;(L130*1),IF((SUM(B114:F115))&gt;(L130*2),(((L130*2)-(SUM(B114:F115)-C114))*I113)+((SUM(B115:F115)-C114)*I113),SUM(B115:F115)*I113),IF(SUM(B114:F115)&gt;(L130*2),L130*I113,SUM(B115:F115)*I113)),2)</f>
        <v>0</v>
      </c>
      <c r="J115" s="76">
        <f>ROUND(IF(SUM(B114:F114)&lt;(L130*1),IF((SUM(B114:F115))&gt;(L130*2),(((L130*2)-(SUM(B114:F115)-C114))*J113)+((SUM(B115:F115)-C114)*J113),SUM(B115:F115)*J113),IF(SUM(B114:F115)&gt;(L130*2),L130*J113,SUM(B115:F115)*J113)),2)</f>
        <v>0</v>
      </c>
      <c r="K115" s="76">
        <f>ROUND(IF(SUM(B114:F114)&lt;(L129*1),IF((SUM(B114:F115))&gt;(L129*2),(((L129*2)-(SUM(B114:F115)-C114))*K113)+((SUM(B115:F115)-C114)*K113),SUM(B115:F115)*K113),IF(SUM(B114:F115)&gt;(L129*2),L129*K113,SUM(B115:F115)*K113)),2)</f>
        <v>0</v>
      </c>
      <c r="L115" s="76">
        <f>ROUND(IF(SUM(B114:F114)&lt;(L130*1),IF((SUM(B114:F115))&gt;(L130*2),(((L130*2)-(SUM(B114:F115)-C115))*L113)+((SUM(B115:F115)-C115)*L113),(SUM(B115:F115)-C115)*L113),IF(SUM(B114:F115)&gt;(L130*2),L130*L113,SUM(B115:F115)*L113)),2)</f>
        <v>0</v>
      </c>
      <c r="M115" s="76">
        <f>ROUND(IF(SUM(B114:F114)&lt;(L130*1),IF((SUM(B114:F115))&gt;(L130*2),(((L130*2)-(SUM(B114:F115)-C115))*M113)+((SUM(B115:F115)-C115)*M113),(SUM(B115:F115)-C115)*M113),IF(SUM(B114:F115)&gt;(L130*2),L130*M113,SUM(B115:F115)*M113)),2)</f>
        <v>0</v>
      </c>
      <c r="N115" s="76">
        <f>ROUND(IF(SUM(B114:F114)&lt;(L130*1),IF((SUM(B114:F115))&gt;(L130*2),(((L130*2)-(SUM(B114:F115)-C114))*N113)+((SUM(B115:F115)-C114)*N113),SUM(B115:F115)*N113),IF(SUM(B114:F115)&gt;(L130*2),L130*N113,SUM(B115:F115)*N113)),2)</f>
        <v>0</v>
      </c>
      <c r="O115" s="23">
        <f>ROUND(SUM(B115+C115+F115)*O113,2)</f>
        <v>0</v>
      </c>
      <c r="P115" s="27">
        <f>SUM(G115:O115)</f>
        <v>0</v>
      </c>
    </row>
    <row r="116" spans="1:16" x14ac:dyDescent="0.2">
      <c r="A116" s="100" t="str">
        <f>$A$28</f>
        <v>Mrz 2022</v>
      </c>
      <c r="B116" s="24">
        <f>ROUND(IF(N96=0,0,IFERROR(((LOOKUP(2,1/(A102:A105=A116),G102:G105))*N96*4.348),B115/N96*N96)),2)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ROUND(IF(N96=0,0,IFERROR(((LOOKUP(2,1/(A102:A105=A116),H102:H105))/N91*N96),F115/N96*N96)),2)</f>
        <v>0</v>
      </c>
      <c r="G116" s="27">
        <f t="shared" si="12"/>
        <v>0</v>
      </c>
      <c r="H116" s="76">
        <f>ROUND(IF(SUM(B114:F115)&lt;(L129*2),IF((SUM(B114:F116))&gt;(L129*3),(((L129*3)-(SUM(B114:F116)-C115))*H113)+((SUM(B116:F116)-C115)*H113),SUM(B116:F116)*H113),IF(SUM(B114:F116)&gt;(L129*3),L129*H113,SUM(B116:F116)*H113)),2)</f>
        <v>0</v>
      </c>
      <c r="I116" s="76">
        <f>ROUND(IF(SUM(B114:F115)&lt;(L130*2),IF((SUM(B114:F116))&gt;(L130*3),(((L130*3)-(SUM(B114:F116)-C115))*I113)+((SUM(B116:F116)-C115)*I113),SUM(B116:F116)*I113),IF(SUM(B114:F116)&gt;(L130*3),L130*I113,SUM(B116:F116)*I113)),2)</f>
        <v>0</v>
      </c>
      <c r="J116" s="76">
        <f>ROUND(IF(SUM(B114:F115)&lt;(L130*2),IF((SUM(B114:F116))&gt;(L130*3),(((L130*3)-(SUM(B114:F116)-C115))*J113)+((SUM(B116:F116)-C115)*J113),SUM(B116:F116)*J113),IF(SUM(B114:F116)&gt;(L130*3),L130*J113,SUM(B116:F116)*J113)),2)</f>
        <v>0</v>
      </c>
      <c r="K116" s="76">
        <f>ROUND(IF(SUM(B114:F115)&lt;(L129*2),IF((SUM(B114:F116))&gt;(L129*3),(((L129*3)-(SUM(B114:F116)-C115))*K113)+((SUM(B116:F116)-C115)*K113),SUM(B116:F116)*K113),IF(SUM(B114:F116)&gt;(L129*3),L129*K113,SUM(B116:F116)*K113)),2)</f>
        <v>0</v>
      </c>
      <c r="L116" s="76">
        <f>ROUND(IF(SUM(B114:F115)&lt;(L130*2),IF((SUM(B114:F116))&gt;(L130*3),(((L130*3)-(SUM(B114:F116)-C116))*L113)+((SUM(B116:F116)-C116)*L113),(SUM(B116:F116)-C116)*L113),IF(SUM(B114:F116)&gt;(L130*3),L130*L113,SUM(B116:F116)*L113)),2)</f>
        <v>0</v>
      </c>
      <c r="M116" s="76">
        <f>ROUND(IF(SUM(B114:F115)&lt;(L130*2),IF((SUM(B114:F116))&gt;(L130*3),(((L130*3)-(SUM(B114:F116)-C116))*M113)+((SUM(B116:F116)-C116)*M113),(SUM(B116:F116)-C116)*M113),IF(SUM(B114:F116)&gt;(L130*3),L130*M113,SUM(B116:F116)*M113)),2)</f>
        <v>0</v>
      </c>
      <c r="N116" s="76">
        <f>ROUND(IF(SUM(B114:F115)&lt;(L130*2),IF((SUM(B114:F116))&gt;(L130*3),(((L130*3)-(SUM(B114:F116)-C115))*N113)+((SUM(B116:F116)-C115)*N113),SUM(B116:F116)*N113),IF(SUM(B114:F116)&gt;(L130*3),L130*N113,SUM(B116:F116)*N113)),2)</f>
        <v>0</v>
      </c>
      <c r="O116" s="23">
        <f>ROUND(SUM(B116+C116+F116)*O113,2)</f>
        <v>0</v>
      </c>
      <c r="P116" s="27">
        <f t="shared" ref="P116:P125" si="13">SUM(G116:O116)</f>
        <v>0</v>
      </c>
    </row>
    <row r="117" spans="1:16" x14ac:dyDescent="0.2">
      <c r="A117" s="100" t="str">
        <f>$A$29</f>
        <v>Apr 2022</v>
      </c>
      <c r="B117" s="24">
        <f>ROUND(IF(N97=0,0,IFERROR(((LOOKUP(2,1/(A102:A105=A117),G102:G105))*N97*4.348),B116/N97*N97)),2)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ROUND(IF(N97=0,0,IFERROR(((LOOKUP(2,1/(A102:A105=A117),H102:H105))/N91*N97),F116/N97*N97)),2)</f>
        <v>0</v>
      </c>
      <c r="G117" s="27">
        <f t="shared" si="12"/>
        <v>0</v>
      </c>
      <c r="H117" s="76">
        <f>ROUND(IF(SUM(B114:F116)&lt;(L129*3),IF((SUM(B114:F117))&gt;(L129*4),(((L129*4)-(SUM(B114:F117)-C116))*H113)+((SUM(B117:F117)-C116)*H113),SUM(B117:F117)*H113),IF(SUM(B114:F117)&gt;(L129*4),L129*H113,SUM(B117:F117)*H113)),2)</f>
        <v>0</v>
      </c>
      <c r="I117" s="76">
        <f>ROUND(IF(SUM(B114:F116)&lt;(L130*3),IF((SUM(B114:F117))&gt;(L130*4),(((L130*4)-(SUM(B114:F117)-C116))*I113)+((SUM(B117:F117)-C116)*I113),SUM(B117:F117)*I113),IF(SUM(B114:F117)&gt;(L130*4),L130*I113,SUM(B117:F117)*I113)),2)</f>
        <v>0</v>
      </c>
      <c r="J117" s="76">
        <f>ROUND(IF(SUM(B114:F116)&lt;(L130*3),IF((SUM(B114:F117))&gt;(L130*4),(((L130*4)-(SUM(B114:F117)-C116))*J113)+((SUM(B117:F117)-C116)*J113),SUM(B117:F117)*J113),IF(SUM(B114:F117)&gt;(L130*4),L130*J113,SUM(B117:F117)*J113)),2)</f>
        <v>0</v>
      </c>
      <c r="K117" s="76">
        <f>ROUND(IF(SUM(B114:F116)&lt;(L129*3),IF((SUM(B114:F117))&gt;(L129*4),(((L129*4)-(SUM(B114:F117)-C116))*K113)+((SUM(B117:F117)-C116)*K113),SUM(B117:F117)*K113),IF(SUM(B114:F117)&gt;(L129*4),L129*K113,SUM(B117:F117)*K113)),2)</f>
        <v>0</v>
      </c>
      <c r="L117" s="76">
        <f>ROUND(IF(SUM(B114:F116)&lt;(L130*3),IF((SUM(B114:F117))&gt;(L130*4),(((L130*4)-(SUM(B114:F117)-C117))*L113)+((SUM(B117:F117)-C117)*L113),(SUM(B117:F117)-C117)*L113),IF(SUM(B114:F117)&gt;(L130*4),L130*L113,SUM(B117:F117)*L113)),2)</f>
        <v>0</v>
      </c>
      <c r="M117" s="76">
        <f>ROUND(IF(SUM(B114:F116)&lt;(L130*3),IF((SUM(B114:F117))&gt;(L130*4),(((L130*4)-(SUM(B114:F117)-C117))*M113)+((SUM(B117:F117)-C117)*M113),(SUM(B117:F117)-C117)*M113),IF(SUM(B114:F117)&gt;(L130*4),L130*M113,SUM(B117:F117)*M113)),2)</f>
        <v>0</v>
      </c>
      <c r="N117" s="76">
        <f>ROUND(IF(SUM(B114:F116)&lt;(L130*3),IF((SUM(B114:F117))&gt;(L130*4),(((L130*4)-(SUM(B114:F117)-C116))*N113)+((SUM(B117:F117)-C116)*N113),SUM(B117:F117)*N113),IF(SUM(B114:F117)&gt;(L130*4),L130*N113,SUM(B117:F117)*N113)),2)</f>
        <v>0</v>
      </c>
      <c r="O117" s="23">
        <f>ROUND(SUM(B117+C117+F117)*O113,2)</f>
        <v>0</v>
      </c>
      <c r="P117" s="27">
        <f t="shared" si="13"/>
        <v>0</v>
      </c>
    </row>
    <row r="118" spans="1:16" x14ac:dyDescent="0.2">
      <c r="A118" s="100" t="str">
        <f>$A$30</f>
        <v>Mai 2022</v>
      </c>
      <c r="B118" s="24">
        <f>ROUND(IF(N98=0,0,IFERROR(((LOOKUP(2,1/(A102:A105=A118),G102:G105))*N98*4.348),B117/N98*N98)),2)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ROUND(IF(N98=0,0,IFERROR(((LOOKUP(2,1/(A102:A105=A118),H102:H105))/N91*N98),F117/N98*N98)),2)</f>
        <v>0</v>
      </c>
      <c r="G118" s="27">
        <f t="shared" si="12"/>
        <v>0</v>
      </c>
      <c r="H118" s="76">
        <f>ROUND(IF(SUM(B114:F117)&lt;(L129*4),IF((SUM(B114:F118))&gt;(L129*5),(((L129*5)-(SUM(B114:F118)-C117))*H113)+((SUM(B118:F118)-C117)*H113),SUM(B118:F118)*H113),IF(SUM(B114:F118)&gt;(L129*5),L129*H113,SUM(B118:F118)*H113)),2)</f>
        <v>0</v>
      </c>
      <c r="I118" s="76">
        <f>ROUND(IF(SUM(B114:F117)&lt;(L130*4),IF((SUM(B114:F118))&gt;(L130*5),(((L130*5)-(SUM(B114:F118)-C117))*I113)+((SUM(B118:F118)-C117)*I113),SUM(B118:F118)*I113),IF(SUM(B114:F118)&gt;(L130*5),L130*I113,SUM(B118:F118)*I113)),2)</f>
        <v>0</v>
      </c>
      <c r="J118" s="76">
        <f>ROUND(IF(SUM(B114:F117)&lt;(L130*4),IF((SUM(B114:F118))&gt;(L130*5),(((L130*5)-(SUM(B114:F118)-C117))*J113)+((SUM(B118:F118)-C117)*J113),SUM(B118:F118)*J113),IF(SUM(B114:F118)&gt;(L130*5),L130*J113,SUM(B118:F118)*J113)),2)</f>
        <v>0</v>
      </c>
      <c r="K118" s="76">
        <f>ROUND(IF(SUM(B114:F117)&lt;(L129*4),IF((SUM(B114:F118))&gt;(L129*5),(((L129*5)-(SUM(B114:F118)-C117))*K113)+((SUM(B118:F118)-C117)*K113),SUM(B118:F118)*K113),IF(SUM(B114:F118)&gt;(L129*5),L129*K113,SUM(B118:F118)*K113)),2)</f>
        <v>0</v>
      </c>
      <c r="L118" s="76">
        <f>ROUND(IF(SUM(B114:F117)&lt;(L130*4),IF((SUM(B114:F118))&gt;(L130*5),(((L130*5)-(SUM(B114:F118)-C118))*L113)+((SUM(B118:F118)-C118)*L113),(SUM(B118:F118)-C118)*L113),IF(SUM(B114:F118)&gt;(L130*5),L130*L113,SUM(B118:F118)*L113)),2)</f>
        <v>0</v>
      </c>
      <c r="M118" s="76">
        <f>ROUND(IF(SUM(B114:F117)&lt;(L130*4),IF((SUM(B114:F118))&gt;(L130*5),(((L130*5)-(SUM(B114:F118)-C118))*M113)+((SUM(B118:F118)-C118)*M113),(SUM(B118:F118)-C118)*M113),IF(SUM(B114:F118)&gt;(L130*5),L130*M113,SUM(B118:F118)*M113)),2)</f>
        <v>0</v>
      </c>
      <c r="N118" s="76">
        <f>ROUND(IF(SUM(B114:F117)&lt;(L130*4),IF((SUM(B114:F118))&gt;(L130*5),(((L130*5)-(SUM(B114:F118)-C117))*N113)+((SUM(B118:F118)-C117)*N113),SUM(B118:F118)*N113),IF(SUM(B114:F118)&gt;(L130*5),L130*N113,SUM(B118:F118)*N113)),2)</f>
        <v>0</v>
      </c>
      <c r="O118" s="23">
        <f>ROUND(SUM(B118+C118+F118)*O113,2)</f>
        <v>0</v>
      </c>
      <c r="P118" s="27">
        <f t="shared" si="13"/>
        <v>0</v>
      </c>
    </row>
    <row r="119" spans="1:16" x14ac:dyDescent="0.2">
      <c r="A119" s="100" t="str">
        <f>$A$31</f>
        <v>Jun 2022</v>
      </c>
      <c r="B119" s="24">
        <f>ROUND(IF(N99=0,0,IFERROR(((LOOKUP(2,1/(A102:A105=A119),G102:G105))*N99*4.348),B118/N99*N99)),2)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ROUND(IF(N99=0,0,IFERROR(((LOOKUP(2,1/(A102:A105=A119),H102:H105))/N91*N99),F118/N99*N99)),2)</f>
        <v>0</v>
      </c>
      <c r="G119" s="27">
        <f t="shared" si="12"/>
        <v>0</v>
      </c>
      <c r="H119" s="76">
        <f>ROUND(IF(SUM(B114:F118)&lt;(L129*5),IF((SUM(B114:F119))&gt;(L129*6),(((L129*6)-(SUM(B114:F119)-C118))*H113)+((SUM(B119:F119)-C118)*H113),SUM(B119:F119)*H113),IF(SUM(B114:F119)&gt;(L129*6),L129*H113,SUM(B119:F119)*H113)),2)</f>
        <v>0</v>
      </c>
      <c r="I119" s="76">
        <f>ROUND(IF(SUM(B114:F118)&lt;(L130*5),IF((SUM(B114:F119))&gt;(L130*6),(((L130*6)-(SUM(B114:F119)-C118))*I113)+((SUM(B119:F119)-C118)*I113),SUM(B119:F119)*I113),IF(SUM(B114:F119)&gt;(L130*6),L130*I113,SUM(B119:F119)*I113)),2)</f>
        <v>0</v>
      </c>
      <c r="J119" s="76">
        <f>ROUND(IF(SUM(B114:F118)&lt;(L130*5),IF((SUM(B114:F119))&gt;(L130*6),(((L130*6)-(SUM(B114:F119)-C118))*J113)+((SUM(B119:F119)-C118)*J113),SUM(B119:F119)*J113),IF(SUM(B114:F119)&gt;(L130*6),L130*J113,SUM(B119:F119)*J113)),2)</f>
        <v>0</v>
      </c>
      <c r="K119" s="76">
        <f>ROUND(IF(SUM(B114:F118)&lt;(L129*5),IF((SUM(B114:F119))&gt;(L129*6),(((L129*6)-(SUM(B114:F119)-C118))*K113)+((SUM(B119:F119)-C118)*K113),SUM(B119:F119)*K113),IF(SUM(B114:F119)&gt;(L129*6),L129*K113,SUM(B119:F119)*K113)),2)</f>
        <v>0</v>
      </c>
      <c r="L119" s="76">
        <f>ROUND(IF(SUM(B114:F118)&lt;(L130*5),IF((SUM(B114:F119))&gt;(L130*6),(((L130*6)-(SUM(B114:F119)-C119))*L113)+((SUM(B119:F119)-C119)*L113),(SUM(B119:F119)-C119)*L113),IF(SUM(B114:F119)&gt;(L130*6),L130*L113,SUM(B119:F119)*L113)),2)</f>
        <v>0</v>
      </c>
      <c r="M119" s="76">
        <f>ROUND(IF(SUM(B114:F118)&lt;(L130*5),IF((SUM(B114:F119))&gt;(L130*6),(((L130*6)-(SUM(B114:F119)-C119))*M113)+((SUM(B119:F119)-C119)*M113),(SUM(B119:F119)-C119)*M113),IF(SUM(B114:F119)&gt;(L130*6),L130*M113,SUM(B119:F119)*M113)),2)</f>
        <v>0</v>
      </c>
      <c r="N119" s="76">
        <f>ROUND(IF(SUM(B114:F118)&lt;(L130*5),IF((SUM(B114:F119))&gt;(L130*6),(((L130*6)-(SUM(B114:F119)-C118))*N113)+((SUM(B119:F119)-C118)*N113),SUM(B119:F119)*N113),IF(SUM(B114:F119)&gt;(L130*6),L130*N113,SUM(B119:F119)*N113)),2)</f>
        <v>0</v>
      </c>
      <c r="O119" s="23">
        <f>ROUND(SUM(B119+C119+F119)*O113,2)</f>
        <v>0</v>
      </c>
      <c r="P119" s="27">
        <f t="shared" si="13"/>
        <v>0</v>
      </c>
    </row>
    <row r="120" spans="1:16" x14ac:dyDescent="0.2">
      <c r="A120" s="100" t="str">
        <f>$A$32</f>
        <v>Jul 2022</v>
      </c>
      <c r="B120" s="24">
        <f>ROUND(IF(P94=0,0,IFERROR(((LOOKUP(2,1/(A102:A105=A120),G102:G105))*P94*4.348),B119/P94*P94)),2)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ROUND(IF(P94=0,0,IFERROR(((LOOKUP(2,1/(A102:A105=A120),H102:H105))/N91*P94),F119/P94*P94)),2)</f>
        <v>0</v>
      </c>
      <c r="G120" s="27">
        <f t="shared" si="12"/>
        <v>0</v>
      </c>
      <c r="H120" s="76">
        <f>ROUND(IF(SUM(B114:F119)&lt;(L129*6),IF((SUM(B114:F120))&gt;(L129*7),(((L129*7)-(SUM(B114:F120)-C119))*H113)+((SUM(B120:F120)-C119)*H113),SUM(B120:F120)*H113),IF(SUM(B114:F120)&gt;(L129*7),L129*H113,SUM(B120:F120)*H113)),2)</f>
        <v>0</v>
      </c>
      <c r="I120" s="76">
        <f>ROUND(IF(SUM(B114:F119)&lt;(L130*6),IF((SUM(B114:F120))&gt;(L130*7),(((L130*7)-(SUM(B114:F120)-C119))*I113)+((SUM(B120:F120)-C119)*I113),SUM(B120:F120)*I113),IF(SUM(B114:F120)&gt;(L130*7),L130*I113,SUM(B120:F120)*I113)),2)</f>
        <v>0</v>
      </c>
      <c r="J120" s="76">
        <f>ROUND(IF(SUM(B114:F119)&lt;(L130*6),IF((SUM(B114:F120))&gt;(L130*7),(((L130*7)-(SUM(B114:F120)-C119))*J113)+((SUM(B120:F120)-C119)*J113),SUM(B120:F120)*J113),IF(SUM(B114:F120)&gt;(L130*7),L130*J113,SUM(B120:F120)*J113)),2)</f>
        <v>0</v>
      </c>
      <c r="K120" s="76">
        <f>ROUND(IF(SUM(B114:F119)&lt;(L129*6),IF((SUM(B114:F120))&gt;(L129*7),(((L129*7)-(SUM(B114:F120)-C119))*K113)+((SUM(B120:F120)-C119)*K113),SUM(B120:F120)*K113),IF(SUM(B114:F120)&gt;(L129*7),L129*K113,SUM(B120:F120)*K113)),2)</f>
        <v>0</v>
      </c>
      <c r="L120" s="76">
        <f>ROUND(IF(SUM(B114:F119)&lt;(L130*6),IF((SUM(B114:F120))&gt;(L130*7),(((L130*7)-(SUM(B114:F120)-C120))*L113)+((SUM(B120:F120)-C120)*L113),(SUM(B120:F120)-C120)*L113),IF(SUM(B114:F120)&gt;(L130*7),L130*L113,SUM(B120:F120)*L113)),2)</f>
        <v>0</v>
      </c>
      <c r="M120" s="76">
        <f>ROUND(IF(SUM(B114:F119)&lt;(L130*6),IF((SUM(B114:F120))&gt;(L130*7),(((L130*7)-(SUM(B114:F120)-C120))*M113)+((SUM(B120:F120)-C120)*M113),(SUM(B120:F120)-C120)*M113),IF(SUM(B114:F120)&gt;(L130*7),L130*M113,SUM(B120:F120)*M113)),2)</f>
        <v>0</v>
      </c>
      <c r="N120" s="76">
        <f>ROUND(IF(SUM(B114:F119)&lt;(L130*6),IF((SUM(B114:F120))&gt;(L130*7),(((L130*7)-(SUM(B114:F120)-C119))*N113)+((SUM(B120:F120)-C119)*N113),SUM(B120:F120)*N113),IF(SUM(B114:F120)&gt;(L130*7),L130*N113,SUM(B120:F120)*N113)),2)</f>
        <v>0</v>
      </c>
      <c r="O120" s="23">
        <f>ROUND(SUM(B120+C120+F120)*O113,2)</f>
        <v>0</v>
      </c>
      <c r="P120" s="27">
        <f t="shared" si="13"/>
        <v>0</v>
      </c>
    </row>
    <row r="121" spans="1:16" x14ac:dyDescent="0.2">
      <c r="A121" s="100" t="str">
        <f>$A$33</f>
        <v>Aug 2022</v>
      </c>
      <c r="B121" s="24">
        <f>ROUND(IF(P95=0,0,IFERROR(((LOOKUP(2,1/(A102:A105=A121),G102:G105))*P95*4.348),B120/P95*P95)),2)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ROUND(IF(P95=0,0,IFERROR(((LOOKUP(2,1/(A102:A105=A121),H102:H105))/N91*P95),F120/P95*P95)),2)</f>
        <v>0</v>
      </c>
      <c r="G121" s="27">
        <f t="shared" si="12"/>
        <v>0</v>
      </c>
      <c r="H121" s="76">
        <f>ROUND(IF(SUM(B114:F120)&lt;(L129*7),IF((SUM(B114:F121))&gt;(L129*8),(((L129*8)-(SUM(B114:F121)-C120))*H113)+((SUM(B121:F121)-C120)*H113),SUM(B121:F121)*H113),IF(SUM(B114:F121)&gt;(L129*8),L129*H113,SUM(B121:F121)*H113)),2)</f>
        <v>0</v>
      </c>
      <c r="I121" s="76">
        <f>ROUND(IF(SUM(B114:F120)&lt;(L130*7),IF((SUM(B114:F121))&gt;(L130*8),(((L130*8)-(SUM(B114:F121)-C120))*I113)+((SUM(B121:F121)-C120)*I113),SUM(B121:F121)*I113),IF(SUM(B114:F121)&gt;(L130*8),L130*I113,SUM(B121:F121)*I113)),2)</f>
        <v>0</v>
      </c>
      <c r="J121" s="76">
        <f>ROUND(IF(SUM(B114:F120)&lt;(L130*7),IF((SUM(B114:F121))&gt;(L130*8),(((L130*8)-(SUM(B114:F121)-C120))*J113)+((SUM(B121:F121)-C120)*J113),SUM(B121:F121)*J113),IF(SUM(B114:F121)&gt;(L130*8),L130*J113,SUM(B121:F121)*J113)),2)</f>
        <v>0</v>
      </c>
      <c r="K121" s="76">
        <f>ROUND(IF(SUM(B114:F120)&lt;(L129*7),IF((SUM(B114:F121))&gt;(L129*8),(((L129*8)-(SUM(B114:F121)-C120))*K113)+((SUM(B121:F121)-C120)*K113),SUM(B121:F121)*K113),IF(SUM(B114:F121)&gt;(L129*8),L129*K113,SUM(B121:F121)*K113)),2)</f>
        <v>0</v>
      </c>
      <c r="L121" s="76">
        <f>ROUND(IF(SUM(B114:F120)&lt;(L130*7),IF((SUM(B114:F121))&gt;(L130*8),(((L130*8)-(SUM(B114:F121)-C121))*L113)+((SUM(B121:F121)-C121)*L113),(SUM(B121:F121)-C121)*L113),IF(SUM(B114:F121)&gt;(L130*8),L130*L113,SUM(B121:F121)*L113)),2)</f>
        <v>0</v>
      </c>
      <c r="M121" s="76">
        <f>ROUND(IF(SUM(B114:F120)&lt;(L130*7),IF((SUM(B114:F121))&gt;(L130*8),(((L130*8)-(SUM(B114:F121)-C121))*M113)+((SUM(B121:F121)-C121)*M113),(SUM(B121:F121)-C121)*M113),IF(SUM(B114:F121)&gt;(L130*8),L130*M113,SUM(B121:F121)*M113)),2)</f>
        <v>0</v>
      </c>
      <c r="N121" s="76">
        <f>ROUND(IF(SUM(B114:F120)&lt;(L130*7),IF((SUM(B114:F121))&gt;(L130*8),(((L130*8)-(SUM(B114:F121)-C120))*N113)+((SUM(B121:F121)-C120)*N113),SUM(B121:F121)*N113),IF(SUM(B114:F121)&gt;(L130*8),L130*N113,SUM(B121:F121)*N113)),2)</f>
        <v>0</v>
      </c>
      <c r="O121" s="23">
        <f>ROUND(SUM(B121+C121+F121)*O113,2)</f>
        <v>0</v>
      </c>
      <c r="P121" s="27">
        <f t="shared" si="13"/>
        <v>0</v>
      </c>
    </row>
    <row r="122" spans="1:16" x14ac:dyDescent="0.2">
      <c r="A122" s="100" t="str">
        <f>$A$34</f>
        <v>Sep 2022</v>
      </c>
      <c r="B122" s="24">
        <f>ROUND(IF(P96=0,0,IFERROR(((LOOKUP(2,1/(A102:A105=A122),G102:G105))*P96*4.348),B121/P96*P96)),2)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ROUND(IF(P96=0,0,IFERROR(((LOOKUP(2,1/(A102:A105=A122),H102:H105))/N91*P96),F121/P96*P96)),2)</f>
        <v>0</v>
      </c>
      <c r="G122" s="27">
        <f t="shared" si="12"/>
        <v>0</v>
      </c>
      <c r="H122" s="76">
        <f>ROUND(IF(SUM(B114:F121)&lt;(L129*8),IF((SUM(B114:F122))&gt;(L129*9),(((L129*9)-(SUM(B114:F122)-C121))*H113)+((SUM(B122:F122)-C121)*H113),SUM(B122:F122)*H113),IF(SUM(B114:F122)&gt;(L129*9),L129*H113,SUM(B122:F122)*H113)),2)</f>
        <v>0</v>
      </c>
      <c r="I122" s="76">
        <f>ROUND(IF(SUM(B114:F121)&lt;(L130*8),IF((SUM(B114:F122))&gt;(L130*9),(((L130*9)-(SUM(B114:F122)-C121))*I113)+((SUM(B122:F122)-C121)*I113),SUM(B122:F122)*I113),IF(SUM(B114:F122)&gt;(L130*9),L130*I113,SUM(B122:F122)*I113)),2)</f>
        <v>0</v>
      </c>
      <c r="J122" s="76">
        <f>ROUND(IF(SUM(B114:F121)&lt;(L130*8),IF((SUM(B114:F122))&gt;(L130*9),(((L130*9)-(SUM(B114:F122)-C121))*J113)+((SUM(B122:F122)-C121)*J113),SUM(B122:F122)*J113),IF(SUM(B114:F122)&gt;(L130*9),L130*J113,SUM(B122:F122)*J113)),2)</f>
        <v>0</v>
      </c>
      <c r="K122" s="76">
        <f>ROUND(IF(SUM(B114:F121)&lt;(L129*8),IF((SUM(B114:F122))&gt;(L129*9),(((L129*9)-(SUM(B114:F122)-C121))*K113)+((SUM(B122:F122)-C121)*K113),SUM(B122:F122)*K113),IF(SUM(B114:F122)&gt;(L129*9),L129*K113,SUM(B122:F122)*K113)),2)</f>
        <v>0</v>
      </c>
      <c r="L122" s="76">
        <f>ROUND(IF(SUM(B114:F121)&lt;(L130*8),IF((SUM(B114:F122))&gt;(L130*9),(((L130*9)-(SUM(B114:F122)-C122))*L113)+((SUM(B122:F122)-C122)*L113),(SUM(B122:F122)-C122)*L113),IF(SUM(B114:F122)&gt;(L130*9),L130*L113,SUM(B122:F122)*L113)),2)</f>
        <v>0</v>
      </c>
      <c r="M122" s="76">
        <f>ROUND(IF(SUM(B114:F121)&lt;(L130*8),IF((SUM(B114:F122))&gt;(L130*9),(((L130*9)-(SUM(B114:F122)-C122))*M113)+((SUM(B122:F122)-C122)*M113),(SUM(B122:F122)-C122)*M113),IF(SUM(B114:F122)&gt;(L130*9),L130*M113,SUM(B122:F122)*M113)),2)</f>
        <v>0</v>
      </c>
      <c r="N122" s="76">
        <f>ROUND(IF(SUM(B114:F121)&lt;(L130*8),IF((SUM(B114:F122))&gt;(L130*9),(((L130*9)-(SUM(B114:F122)-C121))*N113)+((SUM(B122:F122)-C121)*N113),SUM(B122:F122)*N113),IF(SUM(B114:F122)&gt;(L130*9),L130*N113,SUM(B122:F122)*N113)),2)</f>
        <v>0</v>
      </c>
      <c r="O122" s="23">
        <f>ROUND(SUM(B122+C122+F122)*O113,2)</f>
        <v>0</v>
      </c>
      <c r="P122" s="27">
        <f t="shared" si="13"/>
        <v>0</v>
      </c>
    </row>
    <row r="123" spans="1:16" x14ac:dyDescent="0.2">
      <c r="A123" s="100" t="str">
        <f>$A$35</f>
        <v>Okt 2022</v>
      </c>
      <c r="B123" s="24">
        <f>ROUND(IF(P97=0,0,IFERROR(((LOOKUP(2,1/(A102:A105=A123),G102:G105))*P97*4.348),B122/P97*P97)),2)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ROUND(IF(P97=0,0,IFERROR(((LOOKUP(2,1/(A102:A105=A123),H102:H105))/N91*P97),F122/P97*P97)),2)</f>
        <v>0</v>
      </c>
      <c r="G123" s="27">
        <f t="shared" si="12"/>
        <v>0</v>
      </c>
      <c r="H123" s="76">
        <f>ROUND(IF(SUM(B114:F122)&lt;(L129*9),IF((SUM(B114:F123))&gt;(L129*10),(((L129*10)-(SUM(B114:F123)-C122))*H113)+((SUM(B123:F123)-C122)*H113),SUM(B123:F123)*H113),IF(SUM(B114:F123)&gt;(L129*10),L129*H113,SUM(B123:F123)*H113)),2)</f>
        <v>0</v>
      </c>
      <c r="I123" s="76">
        <f>ROUND(IF(SUM(B114:F122)&lt;(L130*9),IF((SUM(B114:F123))&gt;(L130*10),(((L130*10)-(SUM(B114:F123)-C122))*I113)+((SUM(B123:F123)-C122)*I113),SUM(B123:F123)*I113),IF(SUM(B114:F123)&gt;(L130*10),L130*I113,SUM(B123:F123)*I113)),2)</f>
        <v>0</v>
      </c>
      <c r="J123" s="76">
        <f>ROUND(IF(SUM(B114:F122)&lt;(L130*9),IF((SUM(B114:F123))&gt;(L130*10),(((L130*10)-(SUM(B114:F123)-C122))*J113)+((SUM(B123:F123)-C122)*J113),SUM(B123:F123)*J113),IF(SUM(B114:F123)&gt;(L130*10),L130*J113,SUM(B123:F123)*J113)),2)</f>
        <v>0</v>
      </c>
      <c r="K123" s="76">
        <f>ROUND(IF(SUM(B114:F122)&lt;(L129*9),IF((SUM(B114:F123))&gt;(L129*10),(((L129*10)-(SUM(B114:F123)-C122))*K113)+((SUM(B123:F123)-C122)*K113),SUM(B123:F123)*K113),IF(SUM(B114:F123)&gt;(L129*10),L129*K113,SUM(B123:F123)*K113)),2)</f>
        <v>0</v>
      </c>
      <c r="L123" s="76">
        <f>ROUND(IF(SUM(B114:F122)&lt;(L130*9),IF((SUM(B114:F123))&gt;(L130*10),(((L130*10)-(SUM(B114:F123)-C123))*L113)+((SUM(B123:F123)-C123)*L113),(SUM(B123:F123)-C123)*L113),IF(SUM(B114:F123)&gt;(L130*10),L130*L113,SUM(B123:F123)*L113)),2)</f>
        <v>0</v>
      </c>
      <c r="M123" s="76">
        <f>ROUND(IF(SUM(B114:F122)&lt;(L130*9),IF((SUM(B114:F123))&gt;(L130*10),(((L130*10)-(SUM(B114:F123)-C123))*M113)+((SUM(B123:F123)-C123)*M113),(SUM(B123:F123)-C123)*M113),IF(SUM(B114:F123)&gt;(L130*10),L130*M113,SUM(B123:F123)*M113)),2)</f>
        <v>0</v>
      </c>
      <c r="N123" s="76">
        <f>ROUND(IF(SUM(B114:F122)&lt;(L130*9),IF((SUM(B114:F123))&gt;(L130*10),(((L130*10)-(SUM(B114:F123)-C122))*N113)+((SUM(B123:F123)-C122)*N113),SUM(B123:F123)*N113),IF(SUM(B114:F123)&gt;(L130*10),L130*N113,SUM(B123:F123)*N113)),2)</f>
        <v>0</v>
      </c>
      <c r="O123" s="23">
        <f>ROUND(SUM(B123+C123+F123)*O113,2)</f>
        <v>0</v>
      </c>
      <c r="P123" s="27">
        <f t="shared" si="13"/>
        <v>0</v>
      </c>
    </row>
    <row r="124" spans="1:16" x14ac:dyDescent="0.2">
      <c r="A124" s="100" t="str">
        <f>$A$36</f>
        <v>Nov 2022</v>
      </c>
      <c r="B124" s="24">
        <f>ROUND(IF(P98=0,0,IFERROR(((LOOKUP(2,1/(A102:A105=A124),G102:G105))*P98*4.348),B123/P98*P98)),2)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ROUND(IF(P98=0,0,IFERROR(((LOOKUP(2,1/(A102:A105=A124),H102:H105))/N91*P98),F123/P98*P98)),2)</f>
        <v>0</v>
      </c>
      <c r="G124" s="27">
        <f t="shared" si="12"/>
        <v>0</v>
      </c>
      <c r="H124" s="76">
        <f>ROUND(IF(SUM(B114:F123)&lt;(L129*10),IF((SUM(B114:F124))&gt;(L129*11),(((L129*11)-(SUM(B114:F124)-C123))*H113)+((SUM(B124:F124)-C123)*H113),SUM(B124:F124)*H113),IF(SUM(B114:F124)&gt;(L129*11),L129*H113,SUM(B124:F124)*H113)),2)</f>
        <v>0</v>
      </c>
      <c r="I124" s="76">
        <f>ROUND(IF(SUM(B114:F123)&lt;(L130*10),IF((SUM(B114:F124))&gt;(L130*11),(((L130*11)-(SUM(B114:F124)-C123))*I113)+((SUM(B124:F124)-C123)*I113),SUM(B124:F124)*I113),IF(SUM(B114:F124)&gt;(L130*11),L130*I113,SUM(B124:F124)*I113)),2)</f>
        <v>0</v>
      </c>
      <c r="J124" s="76">
        <f>ROUND(IF(SUM(B114:F123)&lt;(L130*10),IF((SUM(B114:F124))&gt;(L130*11),(((L130*11)-(SUM(B114:F124)-C123))*J113)+((SUM(B124:F124)-C123)*J113),SUM(B124:F124)*J113),IF(SUM(B114:F124)&gt;(L130*11),L130*J113,SUM(B124:F124)*J113)),2)</f>
        <v>0</v>
      </c>
      <c r="K124" s="76">
        <f>ROUND(IF(SUM(B114:F123)&lt;(L129*10),IF((SUM(B114:F124))&gt;(L129*11),(((L129*11)-(SUM(B114:F124)-C123))*K113)+((SUM(B124:F124)-C123)*K113),SUM(B124:F124)*K113),IF(SUM(B114:F124)&gt;(L129*11),L129*K113,SUM(B124:F124)*K113)),2)</f>
        <v>0</v>
      </c>
      <c r="L124" s="76">
        <f>ROUND(IF(SUM(B114:F123)&lt;(L130*10),IF((SUM(B114:F124))&gt;(L130*11),(((L130*11)-(SUM(B114:F124)-C124))*L113)+((SUM(B124:F124)-C124)*L113),(SUM(B124:F124)-C124)*L113),IF(SUM(B114:F124)&gt;(L130*11),L130*L113,SUM(B124:F124)*L113)),2)</f>
        <v>0</v>
      </c>
      <c r="M124" s="76">
        <f>ROUND(IF(SUM(B114:F123)&lt;(L130*10),IF((SUM(B114:F124))&gt;(L130*11),(((L130*11)-(SUM(B114:F124)-C124))*M113)+((SUM(B124:F124)-C124)*M113),(SUM(B124:F124)-C124)*M113),IF(SUM(B114:F124)&gt;(L130*11),L130*M113,SUM(B124:F124)*M113)),2)</f>
        <v>0</v>
      </c>
      <c r="N124" s="76">
        <f>ROUND(IF(SUM(B114:F123)&lt;(L130*10),IF((SUM(B114:F124))&gt;(L130*11),(((L130*11)-(SUM(B114:F124)-C123))*N113)+((SUM(B124:F124)-C123)*N113),SUM(B124:F124)*N113),IF(SUM(B114:F124)&gt;(L130*11),L130*N113,SUM(B124:F124)*N113)),2)</f>
        <v>0</v>
      </c>
      <c r="O124" s="23">
        <f>ROUND(SUM(B124+C124+F124)*O113,2)</f>
        <v>0</v>
      </c>
      <c r="P124" s="27">
        <f t="shared" si="13"/>
        <v>0</v>
      </c>
    </row>
    <row r="125" spans="1:16" x14ac:dyDescent="0.2">
      <c r="A125" s="100" t="str">
        <f>$A$37</f>
        <v>Dez 2022</v>
      </c>
      <c r="B125" s="24">
        <f>ROUND(IF(P99=0,0,IFERROR(((LOOKUP(2,1/(A102:A105=A125),G102:G105))*P99*4.348),B124/P99*P99)),2)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ROUND(IF(P99=0,0,IFERROR(((LOOKUP(2,1/(A102:A105=A125),H102:H105))/N91*P99),F124/P99*P99)),2)</f>
        <v>0</v>
      </c>
      <c r="G125" s="27">
        <f t="shared" si="12"/>
        <v>0</v>
      </c>
      <c r="H125" s="76">
        <f>ROUND(IF(SUM(B114:F124)&lt;(L129*11),IF((SUM(B114:F125))&gt;(L129*12),(((L129*12)-(SUM(B114:F125)-C124))*H113)+((SUM(B125:F125)-C124)*H113),SUM(B125:F125)*H113),IF(SUM(B114:F125)&gt;(L129*12),L129*H113,SUM(B125:F125)*H113)),2)</f>
        <v>0</v>
      </c>
      <c r="I125" s="76">
        <f>ROUND(IF(SUM(B114:F124)&lt;(L130*11),IF((SUM(B114:F125))&gt;(L130*12),(((L130*12)-(SUM(B114:F125)-C124))*I113)+((SUM(B125:F125)-C124)*I113),SUM(B125:F125)*I113),IF(SUM(B114:F125)&gt;(L130*12),L130*I113,SUM(B125:F125)*I113)),2)</f>
        <v>0</v>
      </c>
      <c r="J125" s="76">
        <f>ROUND(IF(SUM(B114:F124)&lt;(L130*11),IF((SUM(B114:F125))&gt;(L130*12),(((L130*12)-(SUM(B114:F125)-C124))*J113)+((SUM(B125:F125)-C124)*J113),SUM(B125:F125)*J113),IF(SUM(B114:F125)&gt;(L130*12),L130*J113,SUM(B125:F125)*J113)),2)</f>
        <v>0</v>
      </c>
      <c r="K125" s="76">
        <f>ROUND(IF(SUM(B114:F124)&lt;(L129*11),IF((SUM(B114:F125))&gt;(L129*12),(((L129*12)-(SUM(B114:F125)-C124))*K113)+((SUM(B125:F125)-C124)*K113),SUM(B125:F125)*K113),IF(SUM(B114:F125)&gt;(L129*12),L129*K113,SUM(B125:F125)*K113)),2)</f>
        <v>0</v>
      </c>
      <c r="L125" s="76">
        <f>ROUND(IF(SUM(B114:F124)&lt;(L130*11),IF((SUM(B114:F125))&gt;(L130*12),(((L130*12)-(SUM(B114:F125)-C125))*L113)+((SUM(B125:F125)-C125)*L113),(SUM(B125:F125)-C125)*L113),IF(SUM(B114:F125)&gt;(L130*12),L130*L113,SUM(B125:F125)*L113)),2)</f>
        <v>0</v>
      </c>
      <c r="M125" s="76">
        <f>ROUND(IF(SUM(B114:F124)&lt;(L130*11),IF((SUM(B114:F125))&gt;(L130*12),(((L130*12)-(SUM(B114:F125)-C125))*M113)+((SUM(B125:F125)-C125)*M113),(SUM(B125:F125)-C125)*M113),IF(SUM(B114:F125)&gt;(L130*12),L130*M113,SUM(B125:F125)*M113)),2)</f>
        <v>0</v>
      </c>
      <c r="N125" s="76">
        <f>ROUND(IF(SUM(B114:F124)&lt;(L130*11),IF((SUM(B114:F125))&gt;(L130*12),(((L130*12)-(SUM(B114:F125)-C124))*N113)+((SUM(B125:F125)-C124)*N113),SUM(B125:F125)*N113),IF(SUM(B114:F125)&gt;(L130*12),L130*N113,SUM(B125:F125)*N113)),2)</f>
        <v>0</v>
      </c>
      <c r="O125" s="23">
        <f>ROUND(SUM(B125+C125+F125)*O113,2)</f>
        <v>0</v>
      </c>
      <c r="P125" s="27">
        <f t="shared" si="13"/>
        <v>0</v>
      </c>
    </row>
    <row r="126" spans="1:16"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133">
        <f>SUM(H114:N125)</f>
        <v>0</v>
      </c>
      <c r="I126" s="1134"/>
      <c r="J126" s="1134"/>
      <c r="K126" s="1134"/>
      <c r="L126" s="1134"/>
      <c r="M126" s="1134"/>
      <c r="N126" s="1135"/>
      <c r="O126" s="27">
        <f>SUM(O114:O125)</f>
        <v>0</v>
      </c>
      <c r="P126" s="27">
        <f>SUM(P114:P125)</f>
        <v>0</v>
      </c>
    </row>
    <row r="127" spans="1:16" s="13" customFormat="1" ht="11.25" x14ac:dyDescent="0.2">
      <c r="A127" s="3" t="s">
        <v>1</v>
      </c>
      <c r="B127" s="2"/>
      <c r="C127" s="2"/>
      <c r="D127" s="2"/>
      <c r="E127" s="2"/>
      <c r="F127" s="2"/>
      <c r="G127" s="2"/>
      <c r="H127" s="2"/>
      <c r="I127" s="2"/>
      <c r="J127" s="2"/>
      <c r="K127" s="2"/>
      <c r="L127" s="2"/>
      <c r="M127" s="2"/>
      <c r="N127" s="2"/>
      <c r="O127" s="2"/>
      <c r="P127" s="2"/>
    </row>
    <row r="128" spans="1:16" ht="14.25" customHeight="1" x14ac:dyDescent="0.2">
      <c r="A128" s="1136" t="s">
        <v>133</v>
      </c>
      <c r="B128" s="1137"/>
      <c r="C128" s="1137"/>
      <c r="D128" s="1137" t="s">
        <v>134</v>
      </c>
      <c r="E128" s="1137"/>
      <c r="F128" s="94" t="str">
        <f>IF(IF(G126=0,"",$F$40)=0,"",IF(G126=0,"",$F$40))</f>
        <v/>
      </c>
      <c r="G128" s="77" t="s">
        <v>135</v>
      </c>
      <c r="H128" s="96" t="str">
        <f>IF(IF(G126=0,"",$H$40)=0,"",IF(G126=0,"",$H$40))</f>
        <v/>
      </c>
      <c r="I128" s="73"/>
      <c r="J128" s="78" t="s">
        <v>160</v>
      </c>
      <c r="K128" s="78" t="str">
        <f>$K$40</f>
        <v>2021</v>
      </c>
      <c r="L128" s="78" t="str">
        <f>$L$40</f>
        <v>anteilig 2021</v>
      </c>
      <c r="M128" s="1138" t="s">
        <v>140</v>
      </c>
      <c r="N128" s="1138"/>
      <c r="O128" s="1139"/>
      <c r="P128" s="27">
        <f>ROUND(IF(F128="",IF(E132="",0,(E132*H132/K132)/L95*L96),G126*F128*H128/1000),2)</f>
        <v>0</v>
      </c>
    </row>
    <row r="129" spans="1:16" ht="15" customHeight="1" x14ac:dyDescent="0.2">
      <c r="A129" s="1140" t="s">
        <v>145</v>
      </c>
      <c r="B129" s="1141"/>
      <c r="C129" s="1141"/>
      <c r="D129" s="18"/>
      <c r="E129" s="107" t="s">
        <v>135</v>
      </c>
      <c r="F129" s="95" t="str">
        <f>IF(IF(G126=0,"",$F$41)=0,"",IF(G126=0,"",$F$41))</f>
        <v/>
      </c>
      <c r="G129" s="48"/>
      <c r="H129" s="47"/>
      <c r="I129" s="48"/>
      <c r="J129" s="79" t="s">
        <v>158</v>
      </c>
      <c r="K129" s="81">
        <f>$K$41</f>
        <v>4837.5</v>
      </c>
      <c r="L129" s="81">
        <f>IF(L95="",K129,K129/L95*L96)</f>
        <v>4837.5</v>
      </c>
      <c r="M129" s="1138" t="s">
        <v>139</v>
      </c>
      <c r="N129" s="1138"/>
      <c r="O129" s="1139"/>
      <c r="P129" s="27">
        <f>ROUND(IF(F129="",0,G126*F129/1000),2)</f>
        <v>0</v>
      </c>
    </row>
    <row r="130" spans="1:16" ht="15.75" customHeight="1" x14ac:dyDescent="0.2">
      <c r="A130" s="1142" t="s">
        <v>141</v>
      </c>
      <c r="B130" s="1143"/>
      <c r="C130" s="1143"/>
      <c r="D130" s="1144" t="s">
        <v>143</v>
      </c>
      <c r="E130" s="1144"/>
      <c r="F130" s="1145" t="str">
        <f>IF(IF(G126=0,"",$F$42)=0,"",IF(G126=0,"",$F$42))</f>
        <v/>
      </c>
      <c r="G130" s="1145"/>
      <c r="H130" s="72"/>
      <c r="I130" s="18"/>
      <c r="J130" s="79" t="s">
        <v>159</v>
      </c>
      <c r="K130" s="81">
        <f>$K$42</f>
        <v>6700</v>
      </c>
      <c r="L130" s="81">
        <f>IF(L95="",K130,K130/L95*L96)</f>
        <v>6700</v>
      </c>
      <c r="M130" s="1138" t="s">
        <v>141</v>
      </c>
      <c r="N130" s="1138"/>
      <c r="O130" s="1139"/>
      <c r="P130" s="23">
        <f>ROUND(IF(F130="",0,IF(G126=0,0,F130/L95*L96)),2)</f>
        <v>0</v>
      </c>
    </row>
    <row r="131" spans="1:16" ht="14.25" customHeight="1" x14ac:dyDescent="0.2">
      <c r="A131" s="18"/>
      <c r="B131" s="18"/>
      <c r="C131" s="18"/>
      <c r="D131" s="18"/>
      <c r="E131" s="18"/>
      <c r="F131" s="18"/>
      <c r="G131" s="18"/>
      <c r="H131" s="18"/>
      <c r="I131" s="18"/>
      <c r="J131" s="18"/>
      <c r="K131" s="74"/>
      <c r="L131" s="82"/>
      <c r="M131" s="1127" t="s">
        <v>146</v>
      </c>
      <c r="N131" s="1127"/>
      <c r="O131" s="1128"/>
      <c r="P131" s="23">
        <f>ROUND(IF(G126=0,0,$P$43),2)</f>
        <v>0</v>
      </c>
    </row>
    <row r="132" spans="1:16" ht="14.25" customHeight="1" x14ac:dyDescent="0.2">
      <c r="A132" s="1129" t="s">
        <v>142</v>
      </c>
      <c r="B132" s="1130"/>
      <c r="C132" s="148" t="s">
        <v>136</v>
      </c>
      <c r="D132" s="148" t="s">
        <v>137</v>
      </c>
      <c r="E132" s="1131" t="str">
        <f>IF(IF(G126=0,"",$E$44)=0,"",IF(G126=0,"",$E$44))</f>
        <v/>
      </c>
      <c r="F132" s="1131"/>
      <c r="G132" s="83" t="s">
        <v>138</v>
      </c>
      <c r="H132" s="97" t="str">
        <f>IF(IF(G126=0,"",$H$44)=0,"",IF(G126=0,"",$H$44))</f>
        <v/>
      </c>
      <c r="I132" s="1132" t="s">
        <v>144</v>
      </c>
      <c r="J132" s="1132"/>
      <c r="K132" s="98" t="str">
        <f>IF(IF(G126=0,"",$K$44)=0,"",IF(G126=0,"",$K$44))</f>
        <v/>
      </c>
      <c r="L132" s="29"/>
      <c r="M132" s="29"/>
      <c r="N132" s="29"/>
      <c r="O132" s="28" t="s">
        <v>0</v>
      </c>
      <c r="P132" s="27">
        <f>P126+SUM(P128:P131)</f>
        <v>0</v>
      </c>
    </row>
    <row r="133" spans="1:16" s="12" customFormat="1" ht="13.5" customHeight="1" x14ac:dyDescent="0.2">
      <c r="A133" s="1178" t="s">
        <v>18</v>
      </c>
      <c r="B133" s="1178"/>
      <c r="C133" s="1178"/>
      <c r="D133" s="1179" t="str">
        <f>IF($D$1="","",$D$1)</f>
        <v/>
      </c>
      <c r="E133" s="1179"/>
      <c r="F133" s="1179"/>
      <c r="G133" s="1179"/>
      <c r="H133" s="1179"/>
      <c r="I133" s="1179"/>
      <c r="J133" s="1179"/>
      <c r="K133" s="1179"/>
      <c r="L133" s="1179"/>
      <c r="M133" s="1179"/>
      <c r="N133" s="1179"/>
    </row>
    <row r="134" spans="1:16" s="12" customFormat="1" ht="15" customHeight="1" x14ac:dyDescent="0.2">
      <c r="A134" s="1178" t="s">
        <v>17</v>
      </c>
      <c r="B134" s="1178"/>
      <c r="C134" s="1178" t="s">
        <v>15</v>
      </c>
      <c r="D134" s="1179" t="str">
        <f>IF($D$2="","",$D$2)</f>
        <v/>
      </c>
      <c r="E134" s="1179"/>
      <c r="F134" s="1179"/>
      <c r="G134" s="1179"/>
      <c r="H134" s="1179"/>
      <c r="I134" s="1179"/>
      <c r="J134" s="1179"/>
      <c r="K134" s="1179"/>
      <c r="L134" s="1179"/>
      <c r="M134" s="1179"/>
      <c r="N134" s="1179"/>
    </row>
    <row r="135" spans="1:16" s="12" customFormat="1" ht="15" customHeight="1" x14ac:dyDescent="0.2">
      <c r="A135" s="1178" t="s">
        <v>16</v>
      </c>
      <c r="B135" s="1178"/>
      <c r="C135" s="1178" t="s">
        <v>15</v>
      </c>
      <c r="D135" s="1179" t="str">
        <f>IF($D$3="","",$D$3)</f>
        <v/>
      </c>
      <c r="E135" s="1179"/>
      <c r="F135" s="1179"/>
      <c r="G135" s="1179"/>
      <c r="H135" s="1179"/>
      <c r="I135" s="1179"/>
      <c r="J135" s="1179"/>
      <c r="K135" s="1178" t="s">
        <v>103</v>
      </c>
      <c r="L135" s="1178"/>
      <c r="M135" s="1178"/>
      <c r="N135" s="41" t="str">
        <f>IF($N$3="","",$N$3)</f>
        <v/>
      </c>
    </row>
    <row r="136" spans="1:16" s="13" customFormat="1" ht="11.25" x14ac:dyDescent="0.2">
      <c r="A136" s="1182"/>
      <c r="B136" s="1182"/>
      <c r="C136" s="1182"/>
      <c r="D136" s="1183"/>
      <c r="E136" s="1183"/>
      <c r="F136" s="1183"/>
      <c r="G136" s="1183"/>
      <c r="H136" s="1183"/>
      <c r="I136" s="1183"/>
      <c r="J136" s="1183"/>
      <c r="K136" s="11"/>
      <c r="L136" s="11"/>
      <c r="M136" s="11"/>
      <c r="N136" s="11"/>
      <c r="O136" s="11"/>
      <c r="P136" s="11"/>
    </row>
    <row r="137" spans="1:16" s="20" customFormat="1" x14ac:dyDescent="0.2">
      <c r="A137" s="1177" t="s">
        <v>221</v>
      </c>
      <c r="B137" s="1177"/>
      <c r="C137" s="1177"/>
      <c r="D137" s="1177"/>
      <c r="E137" s="1177"/>
      <c r="F137" s="1177"/>
      <c r="G137" s="1177"/>
      <c r="H137" s="1177"/>
      <c r="I137" s="1177"/>
      <c r="J137" s="1177"/>
      <c r="K137" s="1177"/>
      <c r="L137" s="1177"/>
      <c r="M137" s="1177"/>
      <c r="N137" s="59" t="s">
        <v>154</v>
      </c>
      <c r="O137" s="191">
        <f>'päd.Personal - Leitung'!$O$5</f>
        <v>2022</v>
      </c>
      <c r="P137" s="59" t="s">
        <v>154</v>
      </c>
    </row>
    <row r="138" spans="1:16" s="10" customFormat="1" ht="13.5" customHeight="1" x14ac:dyDescent="0.25">
      <c r="B138" s="32"/>
      <c r="C138" s="32"/>
      <c r="D138" s="5" t="s">
        <v>99</v>
      </c>
      <c r="E138" s="31"/>
      <c r="F138" s="31"/>
      <c r="G138" s="31"/>
      <c r="H138" s="31"/>
      <c r="I138" s="26"/>
      <c r="J138" s="1174" t="s">
        <v>14</v>
      </c>
      <c r="K138" s="1174"/>
      <c r="L138" s="180"/>
      <c r="N138" s="84">
        <f>IF(L140="","",L140)</f>
        <v>0</v>
      </c>
      <c r="O138" s="58" t="str">
        <f>'päd.Personal - Leitung'!$O$6</f>
        <v>Jan                Jul</v>
      </c>
      <c r="P138" s="85">
        <f>IF(N143="","",N143)</f>
        <v>0</v>
      </c>
    </row>
    <row r="139" spans="1:16" s="7" customFormat="1" ht="13.5" customHeight="1" x14ac:dyDescent="0.25">
      <c r="A139" s="1180" t="s">
        <v>71</v>
      </c>
      <c r="B139" s="1180"/>
      <c r="C139" s="1180"/>
      <c r="D139" s="1184"/>
      <c r="E139" s="1184"/>
      <c r="F139" s="1184"/>
      <c r="G139" s="1184"/>
      <c r="H139" s="1184"/>
      <c r="I139" s="1184"/>
      <c r="J139" s="1174" t="s">
        <v>104</v>
      </c>
      <c r="K139" s="1174"/>
      <c r="L139" s="145"/>
      <c r="N139" s="85">
        <f>IF(N138="","",N138)</f>
        <v>0</v>
      </c>
      <c r="O139" s="58" t="str">
        <f>'päd.Personal - Leitung'!$O$7</f>
        <v>Feb              Aug</v>
      </c>
      <c r="P139" s="85">
        <f>IF(P138="","",P138)</f>
        <v>0</v>
      </c>
    </row>
    <row r="140" spans="1:16" ht="13.5" customHeight="1" x14ac:dyDescent="0.2">
      <c r="A140" s="1180" t="s">
        <v>13</v>
      </c>
      <c r="B140" s="1180"/>
      <c r="C140" s="1180"/>
      <c r="D140" s="1181"/>
      <c r="E140" s="1181"/>
      <c r="F140" s="1181"/>
      <c r="G140" s="1181"/>
      <c r="H140" s="1181"/>
      <c r="I140" s="1181"/>
      <c r="J140" s="1174" t="s">
        <v>222</v>
      </c>
      <c r="K140" s="1174"/>
      <c r="L140" s="145">
        <f>IF(L141&gt;L139,0,L139-L141)</f>
        <v>0</v>
      </c>
      <c r="N140" s="85">
        <f>IF(N139="","",N139)</f>
        <v>0</v>
      </c>
      <c r="O140" s="58" t="str">
        <f>'päd.Personal - Leitung'!$O$8</f>
        <v>Mrz              Sep</v>
      </c>
      <c r="P140" s="85">
        <f>IF(P139="","",P139)</f>
        <v>0</v>
      </c>
    </row>
    <row r="141" spans="1:16" ht="13.5" customHeight="1" x14ac:dyDescent="0.2">
      <c r="A141" s="1180" t="s">
        <v>12</v>
      </c>
      <c r="B141" s="1180"/>
      <c r="C141" s="1180"/>
      <c r="D141" s="1181"/>
      <c r="E141" s="1181"/>
      <c r="F141" s="1181"/>
      <c r="G141" s="1181"/>
      <c r="H141" s="1181"/>
      <c r="I141" s="1181"/>
      <c r="J141" s="1174" t="s">
        <v>223</v>
      </c>
      <c r="K141" s="1174"/>
      <c r="L141" s="145"/>
      <c r="N141" s="85">
        <f>IF(N140="","",N140)</f>
        <v>0</v>
      </c>
      <c r="O141" s="58" t="str">
        <f>'päd.Personal - Leitung'!$O$9</f>
        <v>Apr               Okt</v>
      </c>
      <c r="P141" s="85">
        <f t="shared" ref="P141:P143" si="15">IF(P140="","",P140)</f>
        <v>0</v>
      </c>
    </row>
    <row r="142" spans="1:16" ht="13.5" customHeight="1" x14ac:dyDescent="0.2">
      <c r="A142" s="1180" t="s">
        <v>19</v>
      </c>
      <c r="B142" s="1180"/>
      <c r="C142" s="1180"/>
      <c r="D142" s="1181"/>
      <c r="E142" s="1181"/>
      <c r="F142" s="1181"/>
      <c r="G142" s="1181"/>
      <c r="H142" s="1181"/>
      <c r="I142" s="1181"/>
      <c r="J142" s="1174" t="s">
        <v>97</v>
      </c>
      <c r="K142" s="1174"/>
      <c r="L142" s="17" t="str">
        <f>IF(IF((COUNTIF(B158:B169,"&gt;0"))=0,0,(COUNTIF(B158:B169,"&gt;0")))&gt;Grundlagen!$C$24,Grundlagen!$C$24,IF((COUNTIF(B158:B169,"&gt;0"))=0,"",(COUNTIF(B158:B169,"&gt;0"))))</f>
        <v/>
      </c>
      <c r="M142" s="92"/>
      <c r="N142" s="85">
        <f>IF(N141="","",N141)</f>
        <v>0</v>
      </c>
      <c r="O142" s="58" t="str">
        <f>'päd.Personal - Leitung'!$O$10</f>
        <v>Mai               Nov</v>
      </c>
      <c r="P142" s="85">
        <f t="shared" si="15"/>
        <v>0</v>
      </c>
    </row>
    <row r="143" spans="1:16" ht="13.5" customHeight="1" x14ac:dyDescent="0.2">
      <c r="B143" s="8"/>
      <c r="C143" s="141" t="s">
        <v>162</v>
      </c>
      <c r="D143" s="1175"/>
      <c r="E143" s="1175"/>
      <c r="F143" s="1176" t="s">
        <v>110</v>
      </c>
      <c r="G143" s="1176"/>
      <c r="H143" s="1186"/>
      <c r="I143" s="1186"/>
      <c r="L143" s="147" t="str">
        <f>IF((SUM(F146:F149))=0,"",IF(P144&gt;L140,L140,IF(L140="","",IF(L142="","",P144))))</f>
        <v/>
      </c>
      <c r="N143" s="85">
        <f>IF(N142="","",N142)</f>
        <v>0</v>
      </c>
      <c r="O143" s="58" t="str">
        <f>'päd.Personal - Leitung'!$O$11</f>
        <v>Jun               Dez</v>
      </c>
      <c r="P143" s="85">
        <f t="shared" si="15"/>
        <v>0</v>
      </c>
    </row>
    <row r="144" spans="1:16" ht="13.5" customHeight="1" x14ac:dyDescent="0.2">
      <c r="F144" s="1176" t="s">
        <v>180</v>
      </c>
      <c r="G144" s="1176"/>
      <c r="H144" s="1186"/>
      <c r="I144" s="1186"/>
      <c r="O144" s="174" t="s">
        <v>251</v>
      </c>
      <c r="P144" s="175">
        <f>IF(L142="",0,((IF(SUMIF(B158,"&gt;0"),N138,0))+(IF(SUMIF(B159,"&gt;0"),N139,0))+(IF(SUMIF(B160,"&gt;0"),N140,0))+(IF(SUMIF(B161,"&gt;0"),N141,0))+(IF(SUMIF(B162,"&gt;0"),N142,0))+(IF(SUMIF(B163,"&gt;0"),N143,0))+(IF(SUMIF(B164,"&gt;0"),P138,0))+(IF(SUMIF(B165,"&gt;0"),P139,0))+(IF(SUMIF(B166,"&gt;0"),P140,0))+(IF(SUMIF(B167,"&gt;0"),P141,0))+(IF(SUMIF(B168,"&gt;0"),P142,0))+(IF(SUMIF(B169,"&gt;0"),P143,0)))/Grundlagen!$C$24)</f>
        <v>0</v>
      </c>
    </row>
    <row r="145" spans="1:16" s="52" customFormat="1" ht="13.5" customHeight="1" x14ac:dyDescent="0.2">
      <c r="A145" s="61" t="s">
        <v>148</v>
      </c>
      <c r="B145" s="1168" t="s">
        <v>149</v>
      </c>
      <c r="C145" s="1168"/>
      <c r="D145" s="62" t="s">
        <v>150</v>
      </c>
      <c r="E145" s="63" t="s">
        <v>151</v>
      </c>
      <c r="F145" s="64" t="str">
        <f>CONCATENATE("Entg. ",N135," h/Wo")</f>
        <v>Entg.  h/Wo</v>
      </c>
      <c r="G145" s="65" t="s">
        <v>152</v>
      </c>
      <c r="H145" s="65" t="s">
        <v>153</v>
      </c>
      <c r="K145" s="1169" t="str">
        <f>CONCATENATE("Zuschläge / Zulagen für ",N135,"h/Wo")</f>
        <v>Zuschläge / Zulagen für h/Wo</v>
      </c>
      <c r="L145" s="1169"/>
      <c r="M145" s="66" t="str">
        <f>IF(A146="","",A146)</f>
        <v>Jan 2022</v>
      </c>
      <c r="N145" s="66" t="str">
        <f>IF(A147="","",A147)</f>
        <v/>
      </c>
      <c r="O145" s="66" t="str">
        <f>IF(A148="","",A148)</f>
        <v/>
      </c>
      <c r="P145" s="66" t="str">
        <f>IF(A149="","",A149)</f>
        <v/>
      </c>
    </row>
    <row r="146" spans="1:16" s="52" customFormat="1" ht="13.5" customHeight="1" x14ac:dyDescent="0.25">
      <c r="A146" s="55" t="str">
        <f>A158</f>
        <v>Jan 2022</v>
      </c>
      <c r="B146" s="1170" t="str">
        <f>IF($D$3="","",$D$3)</f>
        <v/>
      </c>
      <c r="C146" s="1171"/>
      <c r="D146" s="181"/>
      <c r="E146" s="181"/>
      <c r="F146" s="87"/>
      <c r="G146" s="56">
        <f>IF(N135="",0,F146/N135/4.348)</f>
        <v>0</v>
      </c>
      <c r="H146" s="53">
        <f>IF(G146=0,0,M151)</f>
        <v>0</v>
      </c>
      <c r="K146" s="1146"/>
      <c r="L146" s="1146"/>
      <c r="M146" s="86"/>
      <c r="N146" s="86"/>
      <c r="O146" s="86"/>
      <c r="P146" s="86"/>
    </row>
    <row r="147" spans="1:16" s="52" customFormat="1" ht="13.5" customHeight="1" x14ac:dyDescent="0.25">
      <c r="A147" s="55"/>
      <c r="B147" s="1172" t="str">
        <f>IF(A147="","",B146)</f>
        <v/>
      </c>
      <c r="C147" s="1173"/>
      <c r="D147" s="181"/>
      <c r="E147" s="181"/>
      <c r="F147" s="87"/>
      <c r="G147" s="56">
        <f>IF(N135="",0,F147/N135/4.348)</f>
        <v>0</v>
      </c>
      <c r="H147" s="53">
        <f>IF(G147=0,0,N151)</f>
        <v>0</v>
      </c>
      <c r="K147" s="1146"/>
      <c r="L147" s="1146"/>
      <c r="M147" s="86"/>
      <c r="N147" s="86"/>
      <c r="O147" s="86"/>
      <c r="P147" s="86"/>
    </row>
    <row r="148" spans="1:16" s="52" customFormat="1" ht="13.5" customHeight="1" x14ac:dyDescent="0.25">
      <c r="A148" s="55"/>
      <c r="B148" s="1172" t="str">
        <f>IF(A148="","",B147)</f>
        <v/>
      </c>
      <c r="C148" s="1173"/>
      <c r="D148" s="181"/>
      <c r="E148" s="181"/>
      <c r="F148" s="87"/>
      <c r="G148" s="56">
        <f>IF(N135="",0,F148/N135/4.348)</f>
        <v>0</v>
      </c>
      <c r="H148" s="53">
        <f>IF(G148=0,0,O151)</f>
        <v>0</v>
      </c>
      <c r="K148" s="1146"/>
      <c r="L148" s="1146"/>
      <c r="M148" s="86"/>
      <c r="N148" s="86"/>
      <c r="O148" s="86"/>
      <c r="P148" s="86"/>
    </row>
    <row r="149" spans="1:16" s="52" customFormat="1" ht="13.5" customHeight="1" x14ac:dyDescent="0.25">
      <c r="A149" s="55"/>
      <c r="B149" s="1172" t="str">
        <f>IF(A149="","",B148)</f>
        <v/>
      </c>
      <c r="C149" s="1173"/>
      <c r="D149" s="181"/>
      <c r="E149" s="181"/>
      <c r="F149" s="87"/>
      <c r="G149" s="56">
        <f>IF(N135="",0,F149/N135/4.348)</f>
        <v>0</v>
      </c>
      <c r="H149" s="53">
        <f>IF(G149=0,0,P151)</f>
        <v>0</v>
      </c>
      <c r="K149" s="1146"/>
      <c r="L149" s="1146"/>
      <c r="M149" s="86"/>
      <c r="N149" s="86"/>
      <c r="O149" s="86"/>
      <c r="P149" s="86"/>
    </row>
    <row r="150" spans="1:16" s="52" customFormat="1" ht="13.5" customHeight="1" x14ac:dyDescent="0.25">
      <c r="B150" s="1167" t="s">
        <v>157</v>
      </c>
      <c r="C150" s="1167"/>
      <c r="E150" s="1167" t="s">
        <v>156</v>
      </c>
      <c r="F150" s="1167"/>
      <c r="J150" s="69"/>
      <c r="K150" s="1146"/>
      <c r="L150" s="1146"/>
      <c r="M150" s="86"/>
      <c r="N150" s="86"/>
      <c r="O150" s="86"/>
      <c r="P150" s="86"/>
    </row>
    <row r="151" spans="1:16" s="52" customFormat="1" ht="13.5" customHeight="1" x14ac:dyDescent="0.25">
      <c r="A151" s="70" t="s">
        <v>167</v>
      </c>
      <c r="B151" s="67"/>
      <c r="C151" s="99" t="str">
        <f>IF(C107="","",C107)</f>
        <v/>
      </c>
      <c r="D151" s="70" t="s">
        <v>167</v>
      </c>
      <c r="E151" s="67"/>
      <c r="F151" s="99" t="str">
        <f>IF(F107="","",F107)</f>
        <v/>
      </c>
      <c r="J151" s="68"/>
      <c r="M151" s="57">
        <f>SUM(M146:M150)</f>
        <v>0</v>
      </c>
      <c r="N151" s="57">
        <f t="shared" ref="N151:P151" si="16">SUM(N146:N150)</f>
        <v>0</v>
      </c>
      <c r="O151" s="57">
        <f t="shared" si="16"/>
        <v>0</v>
      </c>
      <c r="P151" s="57">
        <f t="shared" si="16"/>
        <v>0</v>
      </c>
    </row>
    <row r="152" spans="1:16" s="52" customFormat="1" ht="13.5" customHeight="1" x14ac:dyDescent="0.2">
      <c r="A152" s="60" t="s">
        <v>155</v>
      </c>
    </row>
    <row r="153" spans="1:16" s="20" customFormat="1" ht="14.25" customHeight="1" x14ac:dyDescent="0.2">
      <c r="A153" s="1147"/>
      <c r="B153" s="1149" t="s">
        <v>9</v>
      </c>
      <c r="C153" s="1150"/>
      <c r="D153" s="1150"/>
      <c r="E153" s="1150"/>
      <c r="F153" s="1150"/>
      <c r="G153" s="1151"/>
      <c r="H153" s="1152" t="s">
        <v>119</v>
      </c>
      <c r="I153" s="1153"/>
      <c r="J153" s="1153"/>
      <c r="K153" s="1153"/>
      <c r="L153" s="1153"/>
      <c r="M153" s="1153"/>
      <c r="N153" s="1195" t="s">
        <v>112</v>
      </c>
      <c r="O153" s="33"/>
      <c r="P153" s="1154" t="s">
        <v>0</v>
      </c>
    </row>
    <row r="154" spans="1:16" s="20" customFormat="1" ht="14.25" customHeight="1" x14ac:dyDescent="0.2">
      <c r="A154" s="1148"/>
      <c r="B154" s="1157" t="s">
        <v>117</v>
      </c>
      <c r="C154" s="144" t="s">
        <v>115</v>
      </c>
      <c r="D154" s="1159" t="s">
        <v>277</v>
      </c>
      <c r="E154" s="1161" t="s">
        <v>147</v>
      </c>
      <c r="F154" s="149" t="s">
        <v>7</v>
      </c>
      <c r="G154" s="1162" t="s">
        <v>6</v>
      </c>
      <c r="H154" s="1161" t="s">
        <v>129</v>
      </c>
      <c r="I154" s="1161" t="s">
        <v>111</v>
      </c>
      <c r="J154" s="1161" t="s">
        <v>5</v>
      </c>
      <c r="K154" s="1161" t="s">
        <v>4</v>
      </c>
      <c r="L154" s="1161" t="s">
        <v>3</v>
      </c>
      <c r="M154" s="1161" t="s">
        <v>98</v>
      </c>
      <c r="N154" s="1196"/>
      <c r="O154" s="1160" t="s">
        <v>114</v>
      </c>
      <c r="P154" s="1155"/>
    </row>
    <row r="155" spans="1:16" s="20" customFormat="1" ht="14.25" customHeight="1" x14ac:dyDescent="0.2">
      <c r="A155" s="1148"/>
      <c r="B155" s="1157"/>
      <c r="C155" s="21" t="str">
        <f>IF(C151="","",C151)</f>
        <v/>
      </c>
      <c r="D155" s="1160"/>
      <c r="E155" s="1161"/>
      <c r="F155" s="1165" t="str">
        <f>IF(H146=0,"","siehe Zuschläge / Zulagen")</f>
        <v/>
      </c>
      <c r="G155" s="1162"/>
      <c r="H155" s="1164" t="s">
        <v>127</v>
      </c>
      <c r="I155" s="1161"/>
      <c r="J155" s="1164"/>
      <c r="K155" s="1164"/>
      <c r="L155" s="1164"/>
      <c r="M155" s="1161"/>
      <c r="N155" s="1196"/>
      <c r="O155" s="1160"/>
      <c r="P155" s="1155"/>
    </row>
    <row r="156" spans="1:16" s="20" customFormat="1" x14ac:dyDescent="0.2">
      <c r="A156" s="1148"/>
      <c r="B156" s="1157"/>
      <c r="C156" s="142" t="s">
        <v>70</v>
      </c>
      <c r="D156" s="1160"/>
      <c r="E156" s="1161"/>
      <c r="F156" s="1165"/>
      <c r="G156" s="1162"/>
      <c r="H156" s="43" t="s">
        <v>128</v>
      </c>
      <c r="I156" s="1161"/>
      <c r="J156" s="43" t="s">
        <v>255</v>
      </c>
      <c r="K156" s="43" t="s">
        <v>256</v>
      </c>
      <c r="L156" s="43" t="s">
        <v>257</v>
      </c>
      <c r="M156" s="1161"/>
      <c r="N156" s="1196"/>
      <c r="O156" s="1160"/>
      <c r="P156" s="1155"/>
    </row>
    <row r="157" spans="1:16" s="20" customFormat="1" x14ac:dyDescent="0.2">
      <c r="A157" s="1148"/>
      <c r="B157" s="1158"/>
      <c r="C157" s="21" t="str">
        <f>IF(F151="","",F151)</f>
        <v/>
      </c>
      <c r="D157" s="51"/>
      <c r="E157" s="51"/>
      <c r="F157" s="1166"/>
      <c r="G157" s="1163"/>
      <c r="H157" s="93"/>
      <c r="I157" s="21"/>
      <c r="J157" s="139">
        <f>'päd.Personal - Leitung'!$I$69</f>
        <v>0</v>
      </c>
      <c r="K157" s="139">
        <f>'päd.Personal - Leitung'!$J$69</f>
        <v>0</v>
      </c>
      <c r="L157" s="44">
        <f>'päd.Personal - Leitung'!$K$69</f>
        <v>0</v>
      </c>
      <c r="M157" s="21"/>
      <c r="N157" s="21"/>
      <c r="O157" s="21">
        <f>'päd.Personal - Leitung'!$O$69</f>
        <v>0</v>
      </c>
      <c r="P157" s="1156"/>
    </row>
    <row r="158" spans="1:16" s="20" customFormat="1" x14ac:dyDescent="0.2">
      <c r="A158" s="100" t="str">
        <f>'päd.Personal - Leitung'!$A$26</f>
        <v>Jan 2022</v>
      </c>
      <c r="B158" s="24">
        <f>ROUND(IF(N138=0,0,(LOOKUP(2,1/(A146:A149=A158),G146:G149))*N138*4.348*50%),2)</f>
        <v>0</v>
      </c>
      <c r="C158" s="23">
        <f>ROUND(IFERROR(((LOOKUP(2,1/(B151=A158),((SUM(B164:B166)+SUM(F164:F166))/3)*C151))),0)+IFERROR(((LOOKUP(2,1/(E151=A158),(B170+F170)*F151))),0),2)</f>
        <v>0</v>
      </c>
      <c r="D158" s="23">
        <f>ROUND(IF(B158=0,0,D157/L139*N138*50%),2)</f>
        <v>0</v>
      </c>
      <c r="E158" s="23">
        <f>ROUND(IF(B158=0,0,E157/N135*N138*50%),2)</f>
        <v>0</v>
      </c>
      <c r="F158" s="24">
        <f>ROUND(IF(N138=0,0,(LOOKUP(2,1/(A146:A149=A158),H146:H149))/N135*N138*50%),2)</f>
        <v>0</v>
      </c>
      <c r="G158" s="27">
        <f>SUM(B158+C158+E158+F158)</f>
        <v>0</v>
      </c>
      <c r="H158" s="76">
        <f>ROUND(IF((SUM(B158:F158))&gt;L173,L173*H157,SUM(B158:F158)*H157),2)</f>
        <v>0</v>
      </c>
      <c r="I158" s="76">
        <f>ROUND(IF((SUM(B158:F158)*80%)&gt;((L174*1)*90%),((((L174*1)*90%)-((SUM(B158:F158)-C158))*I157)+((SUM(B158:F158)-C158)*I157)*80%),((SUM(B158:F158)-C158)*I157)*80%),2)</f>
        <v>0</v>
      </c>
      <c r="J158" s="76">
        <f>ROUND(IF((SUM(B158:F158))&gt;L174,L174*J157,SUM(B158:F158)*J157),2)</f>
        <v>0</v>
      </c>
      <c r="K158" s="76">
        <f>ROUND(IF((SUM(B158:F158))&gt;L174,L174*K157,SUM(B158:F158)*K157),2)</f>
        <v>0</v>
      </c>
      <c r="L158" s="76">
        <f>ROUND(IF((SUM(B158:F158))&gt;L173,L173*L157,SUM(B158:F158)*L157),2)</f>
        <v>0</v>
      </c>
      <c r="M158" s="76">
        <f>ROUND(IF((SUM(B158:F158))&gt;L174,L174*M157,(SUM(B158:F158)-C158)*M157),2)</f>
        <v>0</v>
      </c>
      <c r="N158" s="23">
        <f>ROUND((B158+E158+F158)*N157,2)</f>
        <v>0</v>
      </c>
      <c r="O158" s="23">
        <f>ROUND(SUM(B158+C158+F158)*O157,2)</f>
        <v>0</v>
      </c>
      <c r="P158" s="27">
        <f>SUM(G158:O158)</f>
        <v>0</v>
      </c>
    </row>
    <row r="159" spans="1:16" s="20" customFormat="1" x14ac:dyDescent="0.2">
      <c r="A159" s="100" t="str">
        <f>'päd.Personal - Leitung'!$A$27</f>
        <v>Feb 2022</v>
      </c>
      <c r="B159" s="24">
        <f>ROUND(IF(N139=0,0,IFERROR(((LOOKUP(2,1/(A146:A149=A159),G146:G149))*N139*4.348*50%),B158/N139*N139)),2)</f>
        <v>0</v>
      </c>
      <c r="C159" s="23">
        <f>ROUND(IFERROR(((LOOKUP(2,1/(B151=A159),((SUM(B164:B166)+SUM(F164:F166))/3)*C151))),0)+IFERROR(((LOOKUP(2,1/(E151=A159),(B170+F170)*F151))),0),2)</f>
        <v>0</v>
      </c>
      <c r="D159" s="23">
        <f>ROUND(IF(B159=0,0,D157/L139*N139*50%),2)</f>
        <v>0</v>
      </c>
      <c r="E159" s="23">
        <f>ROUND(IF(B159=0,0,E157/N135*N139*50%),2)</f>
        <v>0</v>
      </c>
      <c r="F159" s="24">
        <f>ROUND(IF(N139=0,0,IFERROR(((LOOKUP(2,1/(A146:A149=A159),H146:H149))/N135*N139),F158/N139*N139*50%)),2)</f>
        <v>0</v>
      </c>
      <c r="G159" s="27">
        <f t="shared" ref="G159:G169" si="17">SUM(B159+C159+E159+F159)</f>
        <v>0</v>
      </c>
      <c r="H159" s="76">
        <f>ROUND(IF(SUM(B158:F158)&lt;(L173*1),IF((SUM(B158:F159))&gt;(L173*2),(((L173*2)-(SUM(B158:F159)-C158))*H157)+((SUM(B159:F159)-C158)*H157),SUM(B159:F159)*H157),IF(SUM(B158:F159)&gt;(L173*2),L173*H157,SUM(B159:F159)*H157)),2)</f>
        <v>0</v>
      </c>
      <c r="I159" s="76">
        <f>ROUND(IF((SUM(B158:F159)*80%)&gt;((L174*2)*90%),((((L174*2)*90%)-((SUM(B158:F159)-C159))*I157)+((SUM(B159:F159)-C159)*I157)*80%),((SUM(B159:F159)-C159)*I157)*80%),2)</f>
        <v>0</v>
      </c>
      <c r="J159" s="76">
        <f>ROUND(IF(SUM(B158:F158)&lt;(L174*1),IF((SUM(B158:F159))&gt;(L174*2),(((L174*2)-(SUM(B158:F159)-C158))*J157)+((SUM(B159:F159)-C158)*J157),SUM(B159:F159)*J157),IF(SUM(B158:F159)&gt;(L174*2),L174*J157,SUM(B159:F159)*J157)),2)</f>
        <v>0</v>
      </c>
      <c r="K159" s="76">
        <f>ROUND(IF(SUM(B158:F158)&lt;(L174*1),IF((SUM(B158:F159))&gt;(L174*2),(((L174*2)-(SUM(B158:F159)-C158))*K157)+((SUM(B159:F159)-C158)*K157),SUM(B159:F159)*K157),IF(SUM(B158:F159)&gt;(L174*2),L174*K157,SUM(B159:F159)*K157)),2)</f>
        <v>0</v>
      </c>
      <c r="L159" s="76">
        <f>ROUND(IF(SUM(B158:F158)&lt;(L173*1),IF((SUM(B158:F159))&gt;(L173*2),(((L173*2)-(SUM(B158:F159)-C158))*L157)+((SUM(B159:F159)-C158)*L157),SUM(B159:F159)*L157),IF(SUM(B158:F159)&gt;(L173*2),L173*L157,SUM(B159:F159)*L157)),2)</f>
        <v>0</v>
      </c>
      <c r="M159" s="76">
        <f>ROUND(IF(SUM(B158:F158)&lt;(L174*1),IF((SUM(B158:F159))&gt;(L174*2),(((L174*2)-(SUM(B158:F159)-C159))*M157)+((SUM(B159:F159)-C159)*M157),(SUM(B159:F159)-C159)*M157),IF(SUM(B158:F159)&gt;(L174*2),L174*M157,SUM(B159:F159)*M157)),2)</f>
        <v>0</v>
      </c>
      <c r="N159" s="23">
        <f>ROUND((B159+E159+F159)*N157,2)</f>
        <v>0</v>
      </c>
      <c r="O159" s="23">
        <f>ROUND(SUM(B159+C159+F159)*O157,2)</f>
        <v>0</v>
      </c>
      <c r="P159" s="27">
        <f t="shared" ref="P159:P168" si="18">SUM(G159:O159)</f>
        <v>0</v>
      </c>
    </row>
    <row r="160" spans="1:16" s="20" customFormat="1" x14ac:dyDescent="0.2">
      <c r="A160" s="100" t="str">
        <f>'päd.Personal - Leitung'!$A$28</f>
        <v>Mrz 2022</v>
      </c>
      <c r="B160" s="24">
        <f>ROUND(IF(N140=0,0,IFERROR(((LOOKUP(2,1/(A146:A149=A160),G146:G149))*N140*4.348*50%),B159/N140*N140)),2)</f>
        <v>0</v>
      </c>
      <c r="C160" s="23">
        <f>ROUND(IFERROR(((LOOKUP(2,1/(B151=A160),((SUM(B164:B166)+SUM(F164:F166))/3)*C151))),0)+IFERROR(((LOOKUP(2,1/(E151=A160),(B170+F170)*F151))),0),2)</f>
        <v>0</v>
      </c>
      <c r="D160" s="23">
        <f>ROUND(IF(B160=0,0,D157/L139*N140*50%),2)</f>
        <v>0</v>
      </c>
      <c r="E160" s="23">
        <f>ROUND(IF(B160=0,0,E157/N135*N140*50%),2)</f>
        <v>0</v>
      </c>
      <c r="F160" s="24">
        <f>ROUND(IF(N140=0,0,IFERROR(((LOOKUP(2,1/(A146:A149=A160),H146:H149))/N135*N140),F159/N140*N140*50%)),2)</f>
        <v>0</v>
      </c>
      <c r="G160" s="27">
        <f t="shared" si="17"/>
        <v>0</v>
      </c>
      <c r="H160" s="76">
        <f>ROUND(IF(SUM(B158:F159)&lt;(L173*2),IF((SUM(B158:F160))&gt;(L173*3),(((L173*3)-(SUM(B158:F160)-C159))*H157)+((SUM(B160:F160)-C159)*H157),SUM(B160:F160)*H157),IF(SUM(B158:F160)&gt;(L173*3),L173*H157,SUM(B160:F160)*H157)),2)</f>
        <v>0</v>
      </c>
      <c r="I160" s="76">
        <f>ROUND(IF((SUM(B158:F160)*80%)&gt;((L174*3)*90%),((((L174*3)*90%)-((SUM(B158:F160)-C160))*I157)+((SUM(B160:F160)-C160)*I157)*80%),((SUM(B160:F160)-C160)*I157)*80%),2)</f>
        <v>0</v>
      </c>
      <c r="J160" s="76">
        <f>ROUND(IF(SUM(B158:F159)&lt;(L174*2),IF((SUM(B158:F160))&gt;(L174*3),(((L174*3)-(SUM(B158:F160)-C159))*J157)+((SUM(B160:F160)-C159)*J157),SUM(B160:F160)*J157),IF(SUM(B158:F160)&gt;(L174*3),L174*J157,SUM(B160:F160)*J157)),2)</f>
        <v>0</v>
      </c>
      <c r="K160" s="76">
        <f>ROUND(IF(SUM(B158:F159)&lt;(L174*2),IF((SUM(B158:F160))&gt;(L174*3),(((L174*3)-(SUM(B158:F160)-C159))*K157)+((SUM(B160:F160)-C159)*K157),SUM(B160:F160)*K157),IF(SUM(B158:F160)&gt;(L174*3),L174*K157,SUM(B160:F160)*K157)),2)</f>
        <v>0</v>
      </c>
      <c r="L160" s="76">
        <f>ROUND(IF(SUM(B158:F159)&lt;(L173*2),IF((SUM(B158:F160))&gt;(L173*3),(((L173*3)-(SUM(B158:F160)-C159))*L157)+((SUM(B160:F160)-C159)*L157),SUM(B160:F160)*L157),IF(SUM(B158:F160)&gt;(L173*3),L173*L157,SUM(B160:F160)*L157)),2)</f>
        <v>0</v>
      </c>
      <c r="M160" s="76">
        <f>ROUND(IF(SUM(B158:F159)&lt;(L174*2),IF((SUM(B158:F160))&gt;(L174*3),(((L174*3)-(SUM(B158:F160)-C160))*M157)+((SUM(B160:F160)-C160)*M157),(SUM(B160:F160)-C160)*M157),IF(SUM(B158:F160)&gt;(L174*3),L174*M157,SUM(B160:F160)*M157)),2)</f>
        <v>0</v>
      </c>
      <c r="N160" s="23">
        <f>ROUND((B160+E160+F160)*N157,2)</f>
        <v>0</v>
      </c>
      <c r="O160" s="23">
        <f>ROUND(SUM(B160+C160+F160)*O157,2)</f>
        <v>0</v>
      </c>
      <c r="P160" s="27">
        <f t="shared" si="18"/>
        <v>0</v>
      </c>
    </row>
    <row r="161" spans="1:16" s="20" customFormat="1" x14ac:dyDescent="0.2">
      <c r="A161" s="100" t="str">
        <f>'päd.Personal - Leitung'!$A$29</f>
        <v>Apr 2022</v>
      </c>
      <c r="B161" s="24">
        <f>ROUND(IF(N141=0,0,IFERROR(((LOOKUP(2,1/(A146:A149=A161),G146:G149))*N141*4.348*50%),B160/N141*N141)),2)</f>
        <v>0</v>
      </c>
      <c r="C161" s="23">
        <f>ROUND(IFERROR(((LOOKUP(2,1/(B151=A161),((SUM(B164:B166)+SUM(F164:F166))/3)*C151))),0)+IFERROR(((LOOKUP(2,1/(E151=A161),(B170+F170)*F151))),0),2)</f>
        <v>0</v>
      </c>
      <c r="D161" s="23">
        <f>ROUND(IF(B161=0,0,D157/L139*N141*50%),2)</f>
        <v>0</v>
      </c>
      <c r="E161" s="23">
        <f>ROUND(IF(B161=0,0,E157/N135*N141*50%),2)</f>
        <v>0</v>
      </c>
      <c r="F161" s="24">
        <f>ROUND(IF(N141=0,0,IFERROR(((LOOKUP(2,1/(A146:A149=A161),H146:H149))/N135*N141),F160/N141*N141*50%)),2)</f>
        <v>0</v>
      </c>
      <c r="G161" s="27">
        <f t="shared" si="17"/>
        <v>0</v>
      </c>
      <c r="H161" s="76">
        <f>ROUND(IF(SUM(B158:F160)&lt;(L173*3),IF((SUM(B158:F161))&gt;(L173*4),(((L173*4)-(SUM(B158:F161)-C160))*H157)+((SUM(B161:F161)-C160)*H157),SUM(B161:F161)*H157),IF(SUM(B158:F161)&gt;(L173*4),L173*H157,SUM(B161:F161)*H157)),2)</f>
        <v>0</v>
      </c>
      <c r="I161" s="76">
        <f>ROUND(IF((SUM(B158:F161)*80%)&gt;((L174*4)*90%),((((L174*4)*90%)-((SUM(B158:F161)-C161))*I157)+((SUM(B161:F161)-C161)*I157)*80%),((SUM(B161:F161)-C161)*I157)*80%),2)</f>
        <v>0</v>
      </c>
      <c r="J161" s="76">
        <f>ROUND(IF(SUM(B158:F160)&lt;(L174*3),IF((SUM(B158:F161))&gt;(L174*4),(((L174*4)-(SUM(B158:F161)-C160))*J157)+((SUM(B161:F161)-C160)*J157),SUM(B161:F161)*J157),IF(SUM(B158:F161)&gt;(L174*4),L174*J157,SUM(B161:F161)*J157)),2)</f>
        <v>0</v>
      </c>
      <c r="K161" s="76">
        <f>ROUND(IF(SUM(B158:F160)&lt;(L174*3),IF((SUM(B158:F161))&gt;(L174*4),(((L174*4)-(SUM(B158:F161)-C160))*K157)+((SUM(B161:F161)-C160)*K157),SUM(B161:F161)*K157),IF(SUM(B158:F161)&gt;(L174*4),L174*K157,SUM(B161:F161)*K157)),2)</f>
        <v>0</v>
      </c>
      <c r="L161" s="76">
        <f>ROUND(IF(SUM(B158:F160)&lt;(L173*3),IF((SUM(B158:F161))&gt;(L173*4),(((L173*4)-(SUM(B158:F161)-C160))*L157)+((SUM(B161:F161)-C160)*L157),SUM(B161:F161)*L157),IF(SUM(B158:F161)&gt;(L173*4),L173*L157,SUM(B161:F161)*L157)),2)</f>
        <v>0</v>
      </c>
      <c r="M161" s="76">
        <f>ROUND(IF(SUM(B158:F160)&lt;(L174*3),IF((SUM(B158:F161))&gt;(L174*4),(((L174*4)-(SUM(B158:F161)-C161))*M157)+((SUM(B161:F161)-C161)*M157),(SUM(B161:F161)-C161)*M157),IF(SUM(B158:F161)&gt;(L174*4),L174*M157,SUM(B161:F161)*M157)),2)</f>
        <v>0</v>
      </c>
      <c r="N161" s="23">
        <f>ROUND((B161+E161+F161)*N157,2)</f>
        <v>0</v>
      </c>
      <c r="O161" s="23">
        <f>ROUND(SUM(B161+C161+F161)*O157,2)</f>
        <v>0</v>
      </c>
      <c r="P161" s="27">
        <f t="shared" si="18"/>
        <v>0</v>
      </c>
    </row>
    <row r="162" spans="1:16" s="20" customFormat="1" x14ac:dyDescent="0.2">
      <c r="A162" s="100" t="str">
        <f>'päd.Personal - Leitung'!$A$30</f>
        <v>Mai 2022</v>
      </c>
      <c r="B162" s="24">
        <f>ROUND(IF(N142=0,0,IFERROR(((LOOKUP(2,1/(A146:A149=A162),G146:G149))*N142*4.348*50%),B161/N142*N142)),2)</f>
        <v>0</v>
      </c>
      <c r="C162" s="23">
        <f>ROUND(IFERROR(((LOOKUP(2,1/(B151=A162),((SUM(B164:B166)+SUM(F164:F166))/3)*C151))),0)+IFERROR(((LOOKUP(2,1/(E151=A162),(B170+F170)*F151))),0),2)</f>
        <v>0</v>
      </c>
      <c r="D162" s="23">
        <f>ROUND(IF(B162=0,0,D157/L139*N142*50%),2)</f>
        <v>0</v>
      </c>
      <c r="E162" s="23">
        <f>ROUND(IF(B162=0,0,E157/N135*N142*50%),2)</f>
        <v>0</v>
      </c>
      <c r="F162" s="24">
        <f>ROUND(IF(N142=0,0,IFERROR(((LOOKUP(2,1/(A146:A149=A162),H146:H149))/N135*N142),F161/N142*N142*50%)),2)</f>
        <v>0</v>
      </c>
      <c r="G162" s="27">
        <f t="shared" si="17"/>
        <v>0</v>
      </c>
      <c r="H162" s="76">
        <f>ROUND(IF(SUM(B158:F161)&lt;(L173*4),IF((SUM(B158:F162))&gt;(L173*5),(((L173*5)-(SUM(B158:F162)-C161))*H157)+((SUM(B162:F162)-C161)*H157),SUM(B162:F162)*H157),IF(SUM(B158:F162)&gt;(L173*5),L173*H157,SUM(B162:F162)*H157)),2)</f>
        <v>0</v>
      </c>
      <c r="I162" s="76">
        <f>ROUND(IF((SUM(B158:F162)*80%)&gt;((L174*5)*90%),((((L174*5)*90%)-((SUM(B158:F162)-C162))*I157)+((SUM(B162:F162)-C162)*I157)*80%),((SUM(B162:F162)-C162)*I157)*80%),2)</f>
        <v>0</v>
      </c>
      <c r="J162" s="76">
        <f>ROUND(IF(SUM(B158:F161)&lt;(L174*4),IF((SUM(B158:F162))&gt;(L174*5),(((L174*5)-(SUM(B158:F162)-C161))*J157)+((SUM(B162:F162)-C161)*J157),SUM(B162:F162)*J157),IF(SUM(B158:F162)&gt;(L174*5),L174*J157,SUM(B162:F162)*J157)),2)</f>
        <v>0</v>
      </c>
      <c r="K162" s="76">
        <f>ROUND(IF(SUM(B158:F161)&lt;(L174*4),IF((SUM(B158:F162))&gt;(L174*5),(((L174*5)-(SUM(B158:F162)-C161))*K157)+((SUM(B162:F162)-C161)*K157),SUM(B162:F162)*K157),IF(SUM(B158:F162)&gt;(L174*5),L174*K157,SUM(B162:F162)*K157)),2)</f>
        <v>0</v>
      </c>
      <c r="L162" s="76">
        <f>ROUND(IF(SUM(B158:F161)&lt;(L173*4),IF((SUM(B158:F162))&gt;(L173*5),(((L173*5)-(SUM(B158:F162)-C161))*L157)+((SUM(B162:F162)-C161)*L157),SUM(B162:F162)*L157),IF(SUM(B158:F162)&gt;(L173*5),L173*L157,SUM(B162:F162)*L157)),2)</f>
        <v>0</v>
      </c>
      <c r="M162" s="76">
        <f>ROUND(IF(SUM(B158:F161)&lt;(L174*4),IF((SUM(B158:F162))&gt;(L174*5),(((L174*5)-(SUM(B158:F162)-C162))*M157)+((SUM(B162:F162)-C162)*M157),(SUM(B162:F162)-C162)*M157),IF(SUM(B158:F162)&gt;(L174*5),L174*M157,SUM(B162:F162)*M157)),2)</f>
        <v>0</v>
      </c>
      <c r="N162" s="23">
        <f>ROUND((B162+E162+F162)*N157,2)</f>
        <v>0</v>
      </c>
      <c r="O162" s="23">
        <f>ROUND(SUM(B162+C162+F162)*O157,2)</f>
        <v>0</v>
      </c>
      <c r="P162" s="27">
        <f t="shared" si="18"/>
        <v>0</v>
      </c>
    </row>
    <row r="163" spans="1:16" s="20" customFormat="1" x14ac:dyDescent="0.2">
      <c r="A163" s="100" t="str">
        <f>'päd.Personal - Leitung'!$A$31</f>
        <v>Jun 2022</v>
      </c>
      <c r="B163" s="24">
        <f>ROUND(IF(N143=0,0,IFERROR(((LOOKUP(2,1/(A146:A149=A163),G146:G149))*N143*4.348*50%),B162/N143*N143)),2)</f>
        <v>0</v>
      </c>
      <c r="C163" s="23">
        <f>ROUND(IFERROR(((LOOKUP(2,1/(B151=A163),((SUM(B164:B166)+SUM(F164:F166))/3)*C151))),0)+IFERROR(((LOOKUP(2,1/(E151=A163),(B170+F170)*F151))),0),2)</f>
        <v>0</v>
      </c>
      <c r="D163" s="23">
        <f>ROUND(IF(B163=0,0,D157/L139*N143*50%),2)</f>
        <v>0</v>
      </c>
      <c r="E163" s="23">
        <f>ROUND(IF(B163=0,0,E157/N135*N143*50%),2)</f>
        <v>0</v>
      </c>
      <c r="F163" s="24">
        <f>ROUND(IF(N143=0,0,IFERROR(((LOOKUP(2,1/(A146:A149=A163),H146:H149))/N135*N143),F162/N143*N143*50%)),2)</f>
        <v>0</v>
      </c>
      <c r="G163" s="27">
        <f t="shared" si="17"/>
        <v>0</v>
      </c>
      <c r="H163" s="76">
        <f>ROUND(IF(SUM(B158:F162)&lt;(L173*5),IF((SUM(B158:F163))&gt;(L173*6),(((L173*6)-(SUM(B158:F163)-C162))*H157)+((SUM(B163:F163)-C162)*H157),SUM(B163:F163)*H157),IF(SUM(B158:F163)&gt;(L173*6),L173*H157,SUM(B163:F163)*H157)),2)</f>
        <v>0</v>
      </c>
      <c r="I163" s="76">
        <f>ROUND(IF((SUM(B158:F163)*80%)&gt;((L174*6)*90%),((((L174*6)*90%)-((SUM(B158:F163)-C163))*I157)+((SUM(B163:F163)-C163)*I157)*80%),((SUM(B163:F163)-C163)*I157)*80%),2)</f>
        <v>0</v>
      </c>
      <c r="J163" s="76">
        <f>ROUND(IF(SUM(B158:F162)&lt;(L174*5),IF((SUM(B158:F163))&gt;(L174*6),(((L174*6)-(SUM(B158:F163)-C162))*J157)+((SUM(B163:F163)-C162)*J157),SUM(B163:F163)*J157),IF(SUM(B158:F163)&gt;(L174*6),L174*J157,SUM(B163:F163)*J157)),2)</f>
        <v>0</v>
      </c>
      <c r="K163" s="76">
        <f>ROUND(IF(SUM(B158:F162)&lt;(L174*5),IF((SUM(B158:F163))&gt;(L174*6),(((L174*6)-(SUM(B158:F163)-C162))*K157)+((SUM(B163:F163)-C162)*K157),SUM(B163:F163)*K157),IF(SUM(B158:F163)&gt;(L174*6),L174*K157,SUM(B163:F163)*K157)),2)</f>
        <v>0</v>
      </c>
      <c r="L163" s="76">
        <f>ROUND(IF(SUM(B158:F162)&lt;(L173*5),IF((SUM(B158:F163))&gt;(L173*6),(((L173*6)-(SUM(B158:F163)-C162))*L157)+((SUM(B163:F163)-C162)*L157),SUM(B163:F163)*L157),IF(SUM(B158:F163)&gt;(L173*6),L173*L157,SUM(B163:F163)*L157)),2)</f>
        <v>0</v>
      </c>
      <c r="M163" s="76">
        <f>ROUND(IF(SUM(B158:F162)&lt;(L174*5),IF((SUM(B158:F163))&gt;(L174*6),(((L174*6)-(SUM(B158:F163)-C163))*M157)+((SUM(B163:F163)-C163)*M157),(SUM(B163:F163)-C163)*M157),IF(SUM(B158:F163)&gt;(L174*6),L174*M157,SUM(B163:F163)*M157)),2)</f>
        <v>0</v>
      </c>
      <c r="N163" s="23">
        <f>ROUND((B163+E163+F163)*N157,2)</f>
        <v>0</v>
      </c>
      <c r="O163" s="23">
        <f>ROUND(SUM(B163+C163+F163)*O157,2)</f>
        <v>0</v>
      </c>
      <c r="P163" s="27">
        <f t="shared" si="18"/>
        <v>0</v>
      </c>
    </row>
    <row r="164" spans="1:16" s="20" customFormat="1" x14ac:dyDescent="0.2">
      <c r="A164" s="100" t="str">
        <f>'päd.Personal - Leitung'!$A$32</f>
        <v>Jul 2022</v>
      </c>
      <c r="B164" s="24">
        <f>ROUND(IF(P138=0,0,IFERROR(((LOOKUP(2,1/(A146:A149=A164),G146:G149))*P138*4.348*50%),B163/P138*P138)),2)</f>
        <v>0</v>
      </c>
      <c r="C164" s="23">
        <f>ROUND(IFERROR(((LOOKUP(2,1/(B151=A164),((SUM(B164:B166)+SUM(F164:F166))/3)*C151))),0)+IFERROR(((LOOKUP(2,1/(E151=A164),(B170+F170)*F151))),0),2)</f>
        <v>0</v>
      </c>
      <c r="D164" s="23">
        <f>ROUND(IF(B164=0,0,D157/L139*P138*50%),2)</f>
        <v>0</v>
      </c>
      <c r="E164" s="23">
        <f>ROUND(IF(B164=0,0,E157/N135*P138*50%),2)</f>
        <v>0</v>
      </c>
      <c r="F164" s="24">
        <f>ROUND(IF(P138=0,0,IFERROR(((LOOKUP(2,1/(A146:A149=A164),H146:H149))/N135*P138),F163/P138*P138*50%)),2)</f>
        <v>0</v>
      </c>
      <c r="G164" s="27">
        <f t="shared" si="17"/>
        <v>0</v>
      </c>
      <c r="H164" s="76">
        <f>ROUND(IF(SUM(B158:F163)&lt;(L173*6),IF((SUM(B158:F164))&gt;(L173*7),(((L173*7)-(SUM(B158:F164)-C163))*H157)+((SUM(B164:F164)-C163)*H157),SUM(B164:F164)*H157),IF(SUM(B158:F164)&gt;(L173*7),L173*H157,SUM(B164:F164)*H157)),2)</f>
        <v>0</v>
      </c>
      <c r="I164" s="76">
        <f>ROUND(IF((SUM(B158:F164)*80%)&gt;((L174*7)*90%),((((L174*7)*90%)-((SUM(B158:F164)-C164))*I157)+((SUM(B164:F164)-C164)*I157)*80%),((SUM(B164:F164)-C164)*I157)*80%),2)</f>
        <v>0</v>
      </c>
      <c r="J164" s="76">
        <f>ROUND(IF(SUM(B158:F163)&lt;(L174*6),IF((SUM(B158:F164))&gt;(L174*7),(((L174*7)-(SUM(B158:F164)-C163))*J157)+((SUM(B164:F164)-C163)*J157),SUM(B164:F164)*J157),IF(SUM(B158:F164)&gt;(L174*7),L174*J157,SUM(B164:F164)*J157)),2)</f>
        <v>0</v>
      </c>
      <c r="K164" s="76">
        <f>ROUND(IF(SUM(B158:F163)&lt;(L174*6),IF((SUM(B158:F164))&gt;(L174*7),(((L174*7)-(SUM(B158:F164)-C163))*K157)+((SUM(B164:F164)-C163)*K157),SUM(B164:F164)*K157),IF(SUM(B158:F164)&gt;(L174*7),L174*K157,SUM(B164:F164)*K157)),2)</f>
        <v>0</v>
      </c>
      <c r="L164" s="76">
        <f>ROUND(IF(SUM(B158:F163)&lt;(L173*6),IF((SUM(B158:F164))&gt;(L173*7),(((L173*7)-(SUM(B158:F164)-C163))*L157)+((SUM(B164:F164)-C163)*L157),SUM(B164:F164)*L157),IF(SUM(B158:F164)&gt;(L173*7),L173*L157,SUM(B164:F164)*L157)),2)</f>
        <v>0</v>
      </c>
      <c r="M164" s="76">
        <f>ROUND(IF(SUM(B158:F163)&lt;(L174*6),IF((SUM(B158:F164))&gt;(L174*7),(((L174*7)-(SUM(B158:F164)-C164))*M157)+((SUM(B164:F164)-C164)*M157),(SUM(B164:F164)-C164)*M157),IF(SUM(B158:F164)&gt;(L174*7),L174*M157,SUM(B164:F164)*M157)),2)</f>
        <v>0</v>
      </c>
      <c r="N164" s="23">
        <f>ROUND((B164+E164+F164)*N157,2)</f>
        <v>0</v>
      </c>
      <c r="O164" s="23">
        <f>ROUND(SUM(B164+C164+F164)*O157,2)</f>
        <v>0</v>
      </c>
      <c r="P164" s="27">
        <f t="shared" si="18"/>
        <v>0</v>
      </c>
    </row>
    <row r="165" spans="1:16" s="20" customFormat="1" x14ac:dyDescent="0.2">
      <c r="A165" s="100" t="str">
        <f>'päd.Personal - Leitung'!$A$33</f>
        <v>Aug 2022</v>
      </c>
      <c r="B165" s="24">
        <f>ROUND(IF(P139=0,0,IFERROR(((LOOKUP(2,1/(A146:A149=A165),G146:G149))*P139*4.348*50%),B164/P139*P139)),2)</f>
        <v>0</v>
      </c>
      <c r="C165" s="23">
        <f>ROUND(IFERROR(((LOOKUP(2,1/(B151=A165),((SUM(B164:B166)+SUM(F164:F166))/3)*C151))),0)+IFERROR(((LOOKUP(2,1/(E151=A165),(B170+F170)*F151))),0),2)</f>
        <v>0</v>
      </c>
      <c r="D165" s="23">
        <f>ROUND(IF(B165=0,0,D157/L139*P139*50%),2)</f>
        <v>0</v>
      </c>
      <c r="E165" s="23">
        <f>ROUND(IF(B165=0,0,E157/N135*P139*50%),2)</f>
        <v>0</v>
      </c>
      <c r="F165" s="24">
        <f>ROUND(IF(P139=0,0,IFERROR(((LOOKUP(2,1/(A146:A149=A165),H146:H149))/N135*P139),F164/P139*P139*50%)),2)</f>
        <v>0</v>
      </c>
      <c r="G165" s="27">
        <f t="shared" si="17"/>
        <v>0</v>
      </c>
      <c r="H165" s="76">
        <f>ROUND(IF(SUM(B158:F164)&lt;(L173*7),IF((SUM(B158:F165))&gt;(L173*8),(((L173*8)-(SUM(B158:F165)-C164))*H157)+((SUM(B165:F165)-C164)*H157),SUM(B165:F165)*H157),IF(SUM(B158:F165)&gt;(L173*8),L173*H157,SUM(B165:F165)*H157)),2)</f>
        <v>0</v>
      </c>
      <c r="I165" s="76">
        <f>ROUND(IF((SUM(B158:F165)*80%)&gt;((L174*8)*90%),((((L174*8)*90%)-((SUM(B158:F165)-C165))*I157)+((SUM(B165:F165)-C165)*I157)*80%),((SUM(B165:F165)-C165)*I157)*80%),2)</f>
        <v>0</v>
      </c>
      <c r="J165" s="76">
        <f>ROUND(IF(SUM(B158:F164)&lt;(L174*7),IF((SUM(B158:F165))&gt;(L174*8),(((L174*8)-(SUM(B158:F165)-C164))*J157)+((SUM(B165:F165)-C164)*J157),SUM(B165:F165)*J157),IF(SUM(B158:F165)&gt;(L174*8),L174*J157,SUM(B165:F165)*J157)),2)</f>
        <v>0</v>
      </c>
      <c r="K165" s="76">
        <f>ROUND(IF(SUM(B158:F164)&lt;(L174*7),IF((SUM(B158:F165))&gt;(L174*8),(((L174*8)-(SUM(B158:F165)-C164))*K157)+((SUM(B165:F165)-C164)*K157),SUM(B165:F165)*K157),IF(SUM(B158:F165)&gt;(L174*8),L174*K157,SUM(B165:F165)*K157)),2)</f>
        <v>0</v>
      </c>
      <c r="L165" s="76">
        <f>ROUND(IF(SUM(B158:F164)&lt;(L173*7),IF((SUM(B158:F165))&gt;(L173*8),(((L173*8)-(SUM(B158:F165)-C164))*L157)+((SUM(B165:F165)-C164)*L157),SUM(B165:F165)*L157),IF(SUM(B158:F165)&gt;(L173*8),L173*L157,SUM(B165:F165)*L157)),2)</f>
        <v>0</v>
      </c>
      <c r="M165" s="76">
        <f>ROUND(IF(SUM(B158:F164)&lt;(L174*7),IF((SUM(B158:F165))&gt;(L174*8),(((L174*8)-(SUM(B158:F165)-C165))*M157)+((SUM(B165:F165)-C165)*M157),(SUM(B165:F165)-C165)*M157),IF(SUM(B158:F165)&gt;(L174*8),L174*M157,SUM(B165:F165)*M157)),2)</f>
        <v>0</v>
      </c>
      <c r="N165" s="23">
        <f>ROUND((B165+E165+F165)*N157,2)</f>
        <v>0</v>
      </c>
      <c r="O165" s="23">
        <f>ROUND(SUM(B165+C165+F165)*O157,2)</f>
        <v>0</v>
      </c>
      <c r="P165" s="27">
        <f t="shared" si="18"/>
        <v>0</v>
      </c>
    </row>
    <row r="166" spans="1:16" s="20" customFormat="1" x14ac:dyDescent="0.2">
      <c r="A166" s="100" t="str">
        <f>'päd.Personal - Leitung'!$A$34</f>
        <v>Sep 2022</v>
      </c>
      <c r="B166" s="24">
        <f>ROUND(IF(P140=0,0,IFERROR(((LOOKUP(2,1/(A146:A149=A166),G146:G149))*P140*4.348*50%),B165/P140*P140)),2)</f>
        <v>0</v>
      </c>
      <c r="C166" s="23">
        <f>ROUND(IFERROR(((LOOKUP(2,1/(B151=A166),((SUM(B164:B166)+SUM(F164:F166))/3)*C151))),0)+IFERROR(((LOOKUP(2,1/(E151=A166),(B170+F170)*F151))),0),2)</f>
        <v>0</v>
      </c>
      <c r="D166" s="23">
        <f>ROUND(IF(B166=0,0,D157/L139*P140*50%),2)</f>
        <v>0</v>
      </c>
      <c r="E166" s="23">
        <f>ROUND(IF(B166=0,0,E157/N135*P140*50),2)</f>
        <v>0</v>
      </c>
      <c r="F166" s="24">
        <f>ROUND(IF(P140=0,0,IFERROR(((LOOKUP(2,1/(A146:A149=A166),H146:H149))/N135*P140),F165/P140*P140*50%)),2)</f>
        <v>0</v>
      </c>
      <c r="G166" s="27">
        <f t="shared" si="17"/>
        <v>0</v>
      </c>
      <c r="H166" s="76">
        <f>ROUND(IF(SUM(B158:F165)&lt;(L173*8),IF((SUM(B158:F166))&gt;(L173*9),(((L173*9)-(SUM(B158:F166)-C165))*H157)+((SUM(B166:F166)-C165)*H157),SUM(B166:F166)*H157),IF(SUM(B158:F166)&gt;(L173*9),L173*H157,SUM(B166:F166)*H157)),2)</f>
        <v>0</v>
      </c>
      <c r="I166" s="76">
        <f>ROUND(IF((SUM(B158:F166)*80%)&gt;((L174*9)*90%),((((L174*9)*90%)-((SUM(B158:F166)-C166))*I157)+((SUM(B166:F166)-C166)*I157)*80%),((SUM(B166:F166)-C166)*I157)*80%),2)</f>
        <v>0</v>
      </c>
      <c r="J166" s="76">
        <f>ROUND(IF(SUM(B158:F165)&lt;(L174*8),IF((SUM(B158:F166))&gt;(L174*9),(((L174*9)-(SUM(B158:F166)-C165))*J157)+((SUM(B166:F166)-C165)*J157),SUM(B166:F166)*J157),IF(SUM(B158:F166)&gt;(L174*9),L174*J157,SUM(B166:F166)*J157)),2)</f>
        <v>0</v>
      </c>
      <c r="K166" s="76">
        <f>ROUND(IF(SUM(B158:F165)&lt;(L174*8),IF((SUM(B158:F166))&gt;(L174*9),(((L174*9)-(SUM(B158:F166)-C165))*K157)+((SUM(B166:F166)-C165)*K157),SUM(B166:F166)*K157),IF(SUM(B158:F166)&gt;(L174*9),L174*K157,SUM(B166:F166)*K157)),2)</f>
        <v>0</v>
      </c>
      <c r="L166" s="76">
        <f>ROUND(IF(SUM(B158:F165)&lt;(L173*8),IF((SUM(B158:F166))&gt;(L173*9),(((L173*9)-(SUM(B158:F166)-C165))*L157)+((SUM(B166:F166)-C165)*L157),SUM(B166:F166)*L157),IF(SUM(B158:F166)&gt;(L173*9),L173*L157,SUM(B166:F166)*L157)),2)</f>
        <v>0</v>
      </c>
      <c r="M166" s="76">
        <f>ROUND(IF(SUM(B158:F165)&lt;(L174*8),IF((SUM(B158:F166))&gt;(L174*9),(((L174*9)-(SUM(B158:F166)-C166))*M157)+((SUM(B166:F166)-C166)*M157),(SUM(B166:F166)-C166)*M157),IF(SUM(B158:F166)&gt;(L174*9),L174*M157,SUM(B166:F166)*M157)),2)</f>
        <v>0</v>
      </c>
      <c r="N166" s="23">
        <f>ROUND((B166+E166+F166)*N157,2)</f>
        <v>0</v>
      </c>
      <c r="O166" s="23">
        <f>ROUND(SUM(B166+C166+F166)*O157,2)</f>
        <v>0</v>
      </c>
      <c r="P166" s="27">
        <f t="shared" si="18"/>
        <v>0</v>
      </c>
    </row>
    <row r="167" spans="1:16" s="20" customFormat="1" x14ac:dyDescent="0.2">
      <c r="A167" s="100" t="str">
        <f>'päd.Personal - Leitung'!$A$35</f>
        <v>Okt 2022</v>
      </c>
      <c r="B167" s="24">
        <f>ROUND(IF(P141=0,0,IFERROR(((LOOKUP(2,1/(A146:A149=A167),G146:G149))*P141*4.348*50%),B166/P141*P141)),2)</f>
        <v>0</v>
      </c>
      <c r="C167" s="23">
        <f>ROUND(IFERROR(((LOOKUP(2,1/(B151=A167),((SUM(B164:B166)+SUM(F164:F166))/3)*C151))),0)+IFERROR(((LOOKUP(2,1/(E151=A167),(B170+F170)*F151))),0),2)</f>
        <v>0</v>
      </c>
      <c r="D167" s="23">
        <f>ROUND(IF(B167=0,0,D157/L139*P141*50%),2)</f>
        <v>0</v>
      </c>
      <c r="E167" s="23">
        <f>ROUND(IF(B167=0,0,E157/N135*P141*50%),2)</f>
        <v>0</v>
      </c>
      <c r="F167" s="24">
        <f>ROUND(IF(P141=0,0,IFERROR(((LOOKUP(2,1/(A146:A149=A167),H146:H149))/N135*P141),F166/P141*P141*50%)),2)</f>
        <v>0</v>
      </c>
      <c r="G167" s="27">
        <f t="shared" si="17"/>
        <v>0</v>
      </c>
      <c r="H167" s="76">
        <f>ROUND(IF(SUM(B158:F166)&lt;(L173*9),IF((SUM(B158:F167))&gt;(L173*10),(((L173*10)-(SUM(B158:F167)-C166))*H157)+((SUM(B167:F167)-C166)*H157),SUM(B167:F167)*H157),IF(SUM(B158:F167)&gt;(L173*10),L173*H157,SUM(B167:F167)*H157)),2)</f>
        <v>0</v>
      </c>
      <c r="I167" s="76">
        <f>ROUND(IF((SUM(B158:F167)*80%)&gt;((L174*10)*90%),((((L174*10)*90%)-((SUM(B158:F167)-C167))*I157)+((SUM(B167:F167)-C167)*I157)*80%),((SUM(B167:F167)-C167)*I157)*80%),2)</f>
        <v>0</v>
      </c>
      <c r="J167" s="76">
        <f>ROUND(IF(SUM(B158:F166)&lt;(L174*9),IF((SUM(B158:F167))&gt;(L174*10),(((L174*10)-(SUM(B158:F167)-C166))*J157)+((SUM(B167:F167)-C166)*J157),SUM(B167:F167)*J157),IF(SUM(B158:F167)&gt;(L174*10),L174*J157,SUM(B167:F167)*J157)),2)</f>
        <v>0</v>
      </c>
      <c r="K167" s="76">
        <f>ROUND(IF(SUM(B158:F166)&lt;(L174*9),IF((SUM(B158:F167))&gt;(L174*10),(((L174*10)-(SUM(B158:F167)-C166))*K157)+((SUM(B167:F167)-C166)*K157),SUM(B167:F167)*K157),IF(SUM(B158:F167)&gt;(L174*10),L174*K157,SUM(B167:F167)*K157)),2)</f>
        <v>0</v>
      </c>
      <c r="L167" s="76">
        <f>ROUND(IF(SUM(B158:F166)&lt;(L173*9),IF((SUM(B158:F167))&gt;(L173*10),(((L173*10)-(SUM(B158:F167)-C166))*L157)+((SUM(B167:F167)-C166)*L157),SUM(B167:F167)*L157),IF(SUM(B158:F167)&gt;(L173*10),L173*L157,SUM(B167:F167)*L157)),2)</f>
        <v>0</v>
      </c>
      <c r="M167" s="76">
        <f>ROUND(IF(SUM(B158:F166)&lt;(L174*9),IF((SUM(B158:F167))&gt;(L174*10),(((L174*10)-(SUM(B158:F167)-C167))*M157)+((SUM(B167:F167)-C167)*M157),(SUM(B167:F167)-C167)*M157),IF(SUM(B158:F167)&gt;(L174*10),L174*M157,SUM(B167:F167)*M157)),2)</f>
        <v>0</v>
      </c>
      <c r="N167" s="23">
        <f>ROUND((B167+E167+F167)*N157,2)</f>
        <v>0</v>
      </c>
      <c r="O167" s="23">
        <f>ROUND(SUM(B167+C167+F167)*O157,2)</f>
        <v>0</v>
      </c>
      <c r="P167" s="27">
        <f t="shared" si="18"/>
        <v>0</v>
      </c>
    </row>
    <row r="168" spans="1:16" s="20" customFormat="1" x14ac:dyDescent="0.2">
      <c r="A168" s="100" t="str">
        <f>'päd.Personal - Leitung'!$A$36</f>
        <v>Nov 2022</v>
      </c>
      <c r="B168" s="24">
        <f>ROUND(IF(P142=0,0,IFERROR(((LOOKUP(2,1/(A146:A149=A168),G146:G149))*P142*4.348*50%),B167/P142*P142)),2)</f>
        <v>0</v>
      </c>
      <c r="C168" s="23">
        <f>ROUND(IFERROR(((LOOKUP(2,1/(B151=A168),((SUM(B164:B166)+SUM(F164:F166))/3)*C151))),0)+IFERROR(((LOOKUP(2,1/(E151=A168),(B170+F170)*F151))),0),2)</f>
        <v>0</v>
      </c>
      <c r="D168" s="23">
        <f>ROUND(IF(B168=0,0,D157/L139*P142*50%),2)</f>
        <v>0</v>
      </c>
      <c r="E168" s="23">
        <f>ROUND(IF(B168=0,0,E157/N135*P142*50%),2)</f>
        <v>0</v>
      </c>
      <c r="F168" s="24">
        <f>ROUND(IF(P142=0,0,IFERROR(((LOOKUP(2,1/(A146:A149=A168),H146:H149))/N135*P142),F167/P142*P142*50%)),2)</f>
        <v>0</v>
      </c>
      <c r="G168" s="27">
        <f t="shared" si="17"/>
        <v>0</v>
      </c>
      <c r="H168" s="76">
        <f>ROUND(IF(SUM(B158:F167)&lt;(L173*10),IF((SUM(B158:F168))&gt;(L173*11),(((L173*11)-(SUM(B158:F168)-C167))*H157)+((SUM(B168:F168)-C167)*H157),SUM(B168:F168)*H157),IF(SUM(B158:F168)&gt;(L173*11),L173*H157,SUM(B168:F168)*H157)),2)</f>
        <v>0</v>
      </c>
      <c r="I168" s="76">
        <f>ROUND(IF((SUM(B158:F168)*80%)&gt;((L174*11)*90%),((((L174*11)*90%)-((SUM(B158:F168)-C168))*I157)+((SUM(B168:F168)-C168)*I157)*80%),((SUM(B168:F168)-C168)*I157)*80%),2)</f>
        <v>0</v>
      </c>
      <c r="J168" s="76">
        <f>ROUND(IF(SUM(B158:F167)&lt;(L174*10),IF((SUM(B158:F168))&gt;(L174*11),(((L174*11)-(SUM(B158:F168)-C167))*J157)+((SUM(B168:F168)-C167)*J157),SUM(B168:F168)*J157),IF(SUM(B158:F168)&gt;(L174*11),L174*J157,SUM(B168:F168)*J157)),2)</f>
        <v>0</v>
      </c>
      <c r="K168" s="76">
        <f>ROUND(IF(SUM(B158:F167)&lt;(L174*10),IF((SUM(B158:F168))&gt;(L174*11),(((L174*11)-(SUM(B158:F168)-C167))*K157)+((SUM(B168:F168)-C167)*K157),SUM(B168:F168)*K157),IF(SUM(B158:F168)&gt;(L174*11),L174*K157,SUM(B168:F168)*K157)),2)</f>
        <v>0</v>
      </c>
      <c r="L168" s="76">
        <f>ROUND(IF(SUM(B158:F167)&lt;(L173*10),IF((SUM(B158:F168))&gt;(L173*11),(((L173*11)-(SUM(B158:F168)-C167))*L157)+((SUM(B168:F168)-C167)*L157),SUM(B168:F168)*L157),IF(SUM(B158:F168)&gt;(L173*11),L173*L157,SUM(B168:F168)*L157)),2)</f>
        <v>0</v>
      </c>
      <c r="M168" s="76">
        <f>ROUND(IF(SUM(B158:F167)&lt;(L174*10),IF((SUM(B158:F168))&gt;(L174*11),(((L174*11)-(SUM(B158:F168)-C168))*M157)+((SUM(B168:F168)-C168)*M157),(SUM(B168:F168)-C168)*M157),IF(SUM(B158:F168)&gt;(L174*11),L174*M157,SUM(B168:F168)*M157)),2)</f>
        <v>0</v>
      </c>
      <c r="N168" s="23">
        <f>ROUND((B168+E168+F168)*N157,2)</f>
        <v>0</v>
      </c>
      <c r="O168" s="23">
        <f>ROUND(SUM(B168+C168+F168)*O157,2)</f>
        <v>0</v>
      </c>
      <c r="P168" s="27">
        <f t="shared" si="18"/>
        <v>0</v>
      </c>
    </row>
    <row r="169" spans="1:16" s="20" customFormat="1" x14ac:dyDescent="0.2">
      <c r="A169" s="100" t="str">
        <f>'päd.Personal - Leitung'!$A$37</f>
        <v>Dez 2022</v>
      </c>
      <c r="B169" s="24">
        <f>ROUND(IF(P143=0,0,IFERROR(((LOOKUP(2,1/(A146:A149=A169),G146:G149))*P143*4.348*50%),B168/P143*P143)),2)</f>
        <v>0</v>
      </c>
      <c r="C169" s="23">
        <f>ROUND(IFERROR(((LOOKUP(2,1/(B151=A169),((SUM(B164:B166)+SUM(F164:F166))/3)*C151))),0)+IFERROR(((LOOKUP(2,1/(E151=A169),(B170+F170)*F151))),0),2)</f>
        <v>0</v>
      </c>
      <c r="D169" s="23">
        <f>ROUND(IF(B169=0,0,D157/L139*P143*50%),2)</f>
        <v>0</v>
      </c>
      <c r="E169" s="23">
        <f>ROUND(IF(B169=0,0,E157/N135*P143*50%),2)</f>
        <v>0</v>
      </c>
      <c r="F169" s="24">
        <f>ROUND(IF(P143=0,0,IFERROR(((LOOKUP(2,1/(A146:A149=A169),H146:H149))/N135*P143),F168/P143*P143*50%)),2)</f>
        <v>0</v>
      </c>
      <c r="G169" s="27">
        <f t="shared" si="17"/>
        <v>0</v>
      </c>
      <c r="H169" s="76">
        <f>ROUND(IF(SUM(B158:F168)&lt;(L173*11),IF((SUM(B158:F169))&gt;(L173*12),(((L173*12)-(SUM(B158:F169)-C168))*H157)+((SUM(B169:F169)-C168)*H157),SUM(B169:F169)*H157),IF(SUM(B158:F169)&gt;(L173*12),L173*H157,SUM(B169:F169)*H157)),2)</f>
        <v>0</v>
      </c>
      <c r="I169" s="76">
        <f>ROUND(IF((SUM(B158:F169)*80%)&gt;((L174*12)*90%),((((L174*12)*90%)-((SUM(B158:F169)-C169))*I157)+((SUM(B169:F169)-C169)*I157)*80%),((SUM(B169:F169)-C169)*I157)*80%),2)</f>
        <v>0</v>
      </c>
      <c r="J169" s="76">
        <f>ROUND(IF(SUM(B158:F168)&lt;(L174*11),IF((SUM(B158:F169))&gt;(L174*12),(((L174*12)-(SUM(B158:F169)-C168))*J157)+((SUM(B169:F169)-C168)*J157),SUM(B169:F169)*J157),IF(SUM(B158:F169)&gt;(L174*12),L174*J157,SUM(B169:F169)*J157)),2)</f>
        <v>0</v>
      </c>
      <c r="K169" s="76">
        <f>ROUND(IF(SUM(B158:F168)&lt;(L174*11),IF((SUM(B158:F169))&gt;(L174*12),(((L174*12)-(SUM(B158:F169)-C168))*K157)+((SUM(B169:F169)-C168)*K157),SUM(B169:F169)*K157),IF(SUM(B158:F169)&gt;(L174*12),L174*K157,SUM(B169:F169)*K157)),2)</f>
        <v>0</v>
      </c>
      <c r="L169" s="76">
        <f>ROUND(IF(SUM(B158:F168)&lt;(L173*11),IF((SUM(B158:F169))&gt;(L173*12),(((L173*12)-(SUM(B158:F169)-C168))*L157)+((SUM(B169:F169)-C168)*L157),SUM(B169:F169)*L157),IF(SUM(B158:F169)&gt;(L173*12),L173*L157,SUM(B169:F169)*L157)),2)</f>
        <v>0</v>
      </c>
      <c r="M169" s="76">
        <f>ROUND(IF(SUM(B158:F168)&lt;(L174*11),IF((SUM(B158:F169))&gt;(L174*12),(((L174*12)-(SUM(B158:F169)-C169))*M157)+((SUM(B169:F169)-C169)*M157),(SUM(B169:F169)-C169)*M157),IF(SUM(B158:F169)&gt;(L174*12),L174*M157,SUM(B169:F169)*M157)),2)</f>
        <v>0</v>
      </c>
      <c r="N169" s="23">
        <f>ROUND((B169+E169+F169)*N157,2)</f>
        <v>0</v>
      </c>
      <c r="O169" s="23">
        <f>ROUND(SUM(B169+C169+F169)*O157,2)</f>
        <v>0</v>
      </c>
      <c r="P169" s="27">
        <f>SUM(G169:O169)</f>
        <v>0</v>
      </c>
    </row>
    <row r="170" spans="1:16" s="20" customFormat="1" x14ac:dyDescent="0.2">
      <c r="A170" s="4" t="s">
        <v>2</v>
      </c>
      <c r="B170" s="27">
        <f>SUM(B158:B169)</f>
        <v>0</v>
      </c>
      <c r="C170" s="27">
        <f t="shared" ref="C170:G170" si="19">SUM(C158:C169)</f>
        <v>0</v>
      </c>
      <c r="D170" s="27">
        <f>SUM(D158:D169)</f>
        <v>0</v>
      </c>
      <c r="E170" s="27">
        <f t="shared" si="19"/>
        <v>0</v>
      </c>
      <c r="F170" s="27">
        <f t="shared" si="19"/>
        <v>0</v>
      </c>
      <c r="G170" s="27">
        <f t="shared" si="19"/>
        <v>0</v>
      </c>
      <c r="H170" s="1133">
        <f>SUM(H158:M169)</f>
        <v>0</v>
      </c>
      <c r="I170" s="1134"/>
      <c r="J170" s="1134"/>
      <c r="K170" s="1134"/>
      <c r="L170" s="1134"/>
      <c r="M170" s="1134"/>
      <c r="N170" s="27">
        <f>SUM(N158:N169)</f>
        <v>0</v>
      </c>
      <c r="O170" s="27">
        <f>SUM(O158:O169)</f>
        <v>0</v>
      </c>
      <c r="P170" s="27">
        <f>SUM(P158:P169)</f>
        <v>0</v>
      </c>
    </row>
    <row r="171" spans="1:16" s="13" customFormat="1" ht="11.25" x14ac:dyDescent="0.2">
      <c r="A171" s="3" t="s">
        <v>1</v>
      </c>
      <c r="B171" s="2"/>
      <c r="C171" s="2"/>
      <c r="D171" s="2"/>
      <c r="E171" s="2"/>
      <c r="F171" s="2"/>
      <c r="G171" s="2"/>
      <c r="H171" s="2"/>
      <c r="I171" s="2"/>
      <c r="J171" s="2"/>
      <c r="K171" s="2"/>
      <c r="L171" s="2"/>
      <c r="M171" s="2"/>
      <c r="N171" s="2"/>
      <c r="O171" s="2"/>
      <c r="P171" s="2"/>
    </row>
    <row r="172" spans="1:16" ht="14.25" customHeight="1" x14ac:dyDescent="0.2">
      <c r="A172" s="1136" t="s">
        <v>133</v>
      </c>
      <c r="B172" s="1137"/>
      <c r="C172" s="1137"/>
      <c r="D172" s="1137" t="s">
        <v>134</v>
      </c>
      <c r="E172" s="1137"/>
      <c r="F172" s="94" t="str">
        <f>IF(IF(G170=0,"",$F$40)=0,"",IF(G170=0,"",$F$40))</f>
        <v/>
      </c>
      <c r="G172" s="77" t="s">
        <v>135</v>
      </c>
      <c r="H172" s="96" t="str">
        <f>IF(IF(G170=0,"",$H$40)=0,"",IF(G170=0,"",$H$40))</f>
        <v/>
      </c>
      <c r="I172" s="73"/>
      <c r="J172" s="78" t="s">
        <v>160</v>
      </c>
      <c r="K172" s="78" t="str">
        <f>'päd.Personal - Leitung'!$K$40</f>
        <v>2021</v>
      </c>
      <c r="L172" s="78" t="str">
        <f>'päd.Personal - Leitung'!$L$40</f>
        <v>anteilig 2021</v>
      </c>
      <c r="M172" s="1138" t="s">
        <v>140</v>
      </c>
      <c r="N172" s="1138"/>
      <c r="O172" s="1139"/>
      <c r="P172" s="27">
        <f>ROUND(IF(F172="",IF(E176="",0,(E176*H176/K176)/L139*L140),G170*F172*H172/1000),2)</f>
        <v>0</v>
      </c>
    </row>
    <row r="173" spans="1:16" ht="15" customHeight="1" x14ac:dyDescent="0.2">
      <c r="A173" s="1140" t="s">
        <v>145</v>
      </c>
      <c r="B173" s="1141"/>
      <c r="C173" s="1141"/>
      <c r="D173" s="18"/>
      <c r="E173" s="107" t="s">
        <v>135</v>
      </c>
      <c r="F173" s="95" t="str">
        <f>IF(IF(G170=0,"",$F$41)=0,"",IF(G170=0,"",$F$41))</f>
        <v/>
      </c>
      <c r="G173" s="48"/>
      <c r="H173" s="47"/>
      <c r="I173" s="48"/>
      <c r="J173" s="79" t="s">
        <v>158</v>
      </c>
      <c r="K173" s="80">
        <f>'päd.Personal - Leitung'!$K$41</f>
        <v>4837.5</v>
      </c>
      <c r="L173" s="81">
        <f>IF(L139="",K173,K173/L139*L140)</f>
        <v>4837.5</v>
      </c>
      <c r="M173" s="1138" t="s">
        <v>139</v>
      </c>
      <c r="N173" s="1138"/>
      <c r="O173" s="1139"/>
      <c r="P173" s="27">
        <f>ROUND(IF(F173="",0,G170*F173/1000),2)</f>
        <v>0</v>
      </c>
    </row>
    <row r="174" spans="1:16" ht="15.75" customHeight="1" x14ac:dyDescent="0.2">
      <c r="A174" s="1142" t="s">
        <v>141</v>
      </c>
      <c r="B174" s="1143"/>
      <c r="C174" s="1143"/>
      <c r="D174" s="1144" t="s">
        <v>143</v>
      </c>
      <c r="E174" s="1144"/>
      <c r="F174" s="1145" t="str">
        <f>IF(IF(G170=0,"",$F$42)=0,"",IF(G170=0,"",$F$42))</f>
        <v/>
      </c>
      <c r="G174" s="1145"/>
      <c r="H174" s="72"/>
      <c r="I174" s="18"/>
      <c r="J174" s="79" t="s">
        <v>159</v>
      </c>
      <c r="K174" s="80">
        <f>'päd.Personal - Leitung'!$K$42</f>
        <v>6700</v>
      </c>
      <c r="L174" s="81">
        <f>IF(L139="",K174,K174/L139*L140)</f>
        <v>6700</v>
      </c>
      <c r="M174" s="1138" t="s">
        <v>141</v>
      </c>
      <c r="N174" s="1138"/>
      <c r="O174" s="1139"/>
      <c r="P174" s="23">
        <f>ROUND(IF(F174="",0,IF(G170=0,0,F174/L139*L140)),2)</f>
        <v>0</v>
      </c>
    </row>
    <row r="175" spans="1:16" ht="14.25" customHeight="1" x14ac:dyDescent="0.2">
      <c r="A175" s="18"/>
      <c r="B175" s="18"/>
      <c r="C175" s="18"/>
      <c r="D175" s="18"/>
      <c r="E175" s="18"/>
      <c r="F175" s="18"/>
      <c r="G175" s="18"/>
      <c r="H175" s="18"/>
      <c r="I175" s="18"/>
      <c r="J175" s="18"/>
      <c r="K175" s="74"/>
      <c r="L175" s="82"/>
      <c r="M175" s="1127" t="s">
        <v>146</v>
      </c>
      <c r="N175" s="1127"/>
      <c r="O175" s="1128"/>
      <c r="P175" s="23">
        <f>ROUND(IF(G170=0,0,$P$43),2)</f>
        <v>0</v>
      </c>
    </row>
    <row r="176" spans="1:16" ht="14.25" customHeight="1" x14ac:dyDescent="0.2">
      <c r="A176" s="1129" t="s">
        <v>142</v>
      </c>
      <c r="B176" s="1130"/>
      <c r="C176" s="148" t="s">
        <v>136</v>
      </c>
      <c r="D176" s="184" t="s">
        <v>137</v>
      </c>
      <c r="E176" s="1131" t="str">
        <f>IF(IF(G170=0,"",$E$44)=0,"",IF(G170=0,"",$E$44))</f>
        <v/>
      </c>
      <c r="F176" s="1131"/>
      <c r="G176" s="83" t="s">
        <v>138</v>
      </c>
      <c r="H176" s="97" t="str">
        <f>IF(IF(G170=0,"",$H$44)=0,"",IF(G170=0,"",$H$44))</f>
        <v/>
      </c>
      <c r="I176" s="1132" t="s">
        <v>144</v>
      </c>
      <c r="J176" s="1132"/>
      <c r="K176" s="98" t="str">
        <f>IF(IF(G170=0,"",$K$44)=0,"",IF(G170=0,"",$K$44))</f>
        <v/>
      </c>
      <c r="L176" s="29"/>
      <c r="M176" s="29"/>
      <c r="N176" s="29"/>
      <c r="O176" s="28" t="s">
        <v>0</v>
      </c>
      <c r="P176" s="27">
        <f>P170+SUM(P172:P175)</f>
        <v>0</v>
      </c>
    </row>
    <row r="177" spans="1:16" s="12" customFormat="1" ht="13.5" customHeight="1" x14ac:dyDescent="0.2">
      <c r="A177" s="1178" t="s">
        <v>18</v>
      </c>
      <c r="B177" s="1178"/>
      <c r="C177" s="1178"/>
      <c r="D177" s="1179" t="str">
        <f>IF($D$1="","",$D$1)</f>
        <v/>
      </c>
      <c r="E177" s="1179"/>
      <c r="F177" s="1179"/>
      <c r="G177" s="1179"/>
      <c r="H177" s="1179"/>
      <c r="I177" s="1179"/>
      <c r="J177" s="1179"/>
      <c r="K177" s="1179"/>
      <c r="L177" s="1179"/>
      <c r="M177" s="1179"/>
      <c r="N177" s="1179"/>
    </row>
    <row r="178" spans="1:16" s="12" customFormat="1" ht="15" customHeight="1" x14ac:dyDescent="0.2">
      <c r="A178" s="1178" t="s">
        <v>17</v>
      </c>
      <c r="B178" s="1178"/>
      <c r="C178" s="1178" t="s">
        <v>15</v>
      </c>
      <c r="D178" s="1179" t="str">
        <f>IF($D$2="","",$D$2)</f>
        <v/>
      </c>
      <c r="E178" s="1179"/>
      <c r="F178" s="1179"/>
      <c r="G178" s="1179"/>
      <c r="H178" s="1179"/>
      <c r="I178" s="1179"/>
      <c r="J178" s="1179"/>
      <c r="K178" s="1179"/>
      <c r="L178" s="1179"/>
      <c r="M178" s="1179"/>
      <c r="N178" s="1179"/>
    </row>
    <row r="179" spans="1:16" s="12" customFormat="1" ht="15" customHeight="1" x14ac:dyDescent="0.2">
      <c r="A179" s="1178" t="s">
        <v>16</v>
      </c>
      <c r="B179" s="1178"/>
      <c r="C179" s="1178" t="s">
        <v>15</v>
      </c>
      <c r="D179" s="1179" t="str">
        <f>IF($D$3="","",$D$3)</f>
        <v/>
      </c>
      <c r="E179" s="1179"/>
      <c r="F179" s="1179"/>
      <c r="G179" s="1179"/>
      <c r="H179" s="1179"/>
      <c r="I179" s="1179"/>
      <c r="J179" s="1179"/>
      <c r="K179" s="1178" t="s">
        <v>103</v>
      </c>
      <c r="L179" s="1178"/>
      <c r="M179" s="1178"/>
      <c r="N179" s="41" t="str">
        <f>IF($N$3="","",$N$3)</f>
        <v/>
      </c>
    </row>
    <row r="180" spans="1:16" s="13" customFormat="1" ht="11.25" x14ac:dyDescent="0.2">
      <c r="A180" s="1182"/>
      <c r="B180" s="1182"/>
      <c r="C180" s="1182"/>
      <c r="D180" s="1183"/>
      <c r="E180" s="1183"/>
      <c r="F180" s="1183"/>
      <c r="G180" s="1183"/>
      <c r="H180" s="1183"/>
      <c r="I180" s="1183"/>
      <c r="J180" s="1183"/>
      <c r="K180" s="11"/>
      <c r="L180" s="11"/>
      <c r="M180" s="11"/>
      <c r="N180" s="11"/>
      <c r="O180" s="11"/>
      <c r="P180" s="11"/>
    </row>
    <row r="181" spans="1:16" s="15" customFormat="1" ht="13.5" customHeight="1" x14ac:dyDescent="0.2">
      <c r="A181" s="1177" t="s">
        <v>221</v>
      </c>
      <c r="B181" s="1177"/>
      <c r="C181" s="1177"/>
      <c r="D181" s="1177"/>
      <c r="E181" s="1177"/>
      <c r="F181" s="1177"/>
      <c r="G181" s="1177"/>
      <c r="H181" s="1177"/>
      <c r="I181" s="1177"/>
      <c r="J181" s="1177"/>
      <c r="K181" s="1177"/>
      <c r="L181" s="1177"/>
      <c r="M181" s="1177"/>
      <c r="N181" s="59" t="s">
        <v>154</v>
      </c>
      <c r="O181" s="191">
        <f>$O$5</f>
        <v>2022</v>
      </c>
      <c r="P181" s="59" t="s">
        <v>154</v>
      </c>
    </row>
    <row r="182" spans="1:16" s="10" customFormat="1" ht="13.5" customHeight="1" x14ac:dyDescent="0.25">
      <c r="B182" s="32"/>
      <c r="C182" s="32"/>
      <c r="D182" s="5" t="s">
        <v>100</v>
      </c>
      <c r="E182" s="31"/>
      <c r="F182" s="31"/>
      <c r="G182" s="31"/>
      <c r="H182" s="31"/>
      <c r="I182" s="26"/>
      <c r="J182" s="1174" t="s">
        <v>14</v>
      </c>
      <c r="K182" s="1174"/>
      <c r="L182" s="180"/>
      <c r="N182" s="84">
        <f>IF(L184="","",L184)</f>
        <v>0</v>
      </c>
      <c r="O182" s="58" t="str">
        <f>$O$6</f>
        <v>Jan                Jul</v>
      </c>
      <c r="P182" s="85">
        <f>IF(N187="","",N187)</f>
        <v>0</v>
      </c>
    </row>
    <row r="183" spans="1:16" s="7" customFormat="1" ht="13.5" customHeight="1" x14ac:dyDescent="0.25">
      <c r="A183" s="1180" t="s">
        <v>71</v>
      </c>
      <c r="B183" s="1180"/>
      <c r="C183" s="1180"/>
      <c r="D183" s="1184"/>
      <c r="E183" s="1184"/>
      <c r="F183" s="1184"/>
      <c r="G183" s="1184"/>
      <c r="H183" s="1184"/>
      <c r="I183" s="1184"/>
      <c r="J183" s="1174" t="s">
        <v>104</v>
      </c>
      <c r="K183" s="1174"/>
      <c r="L183" s="145"/>
      <c r="N183" s="85">
        <f>IF(N182="","",N182)</f>
        <v>0</v>
      </c>
      <c r="O183" s="58" t="str">
        <f>$O$7</f>
        <v>Feb              Aug</v>
      </c>
      <c r="P183" s="85">
        <f>IF(P182="","",P182)</f>
        <v>0</v>
      </c>
    </row>
    <row r="184" spans="1:16" ht="13.5" customHeight="1" x14ac:dyDescent="0.2">
      <c r="A184" s="1180" t="s">
        <v>13</v>
      </c>
      <c r="B184" s="1180"/>
      <c r="C184" s="1180"/>
      <c r="D184" s="1181"/>
      <c r="E184" s="1181"/>
      <c r="F184" s="1181"/>
      <c r="G184" s="1181"/>
      <c r="H184" s="1181"/>
      <c r="I184" s="1181"/>
      <c r="J184" s="1174" t="s">
        <v>222</v>
      </c>
      <c r="K184" s="1174"/>
      <c r="L184" s="145">
        <f>IF(L185&gt;L183,0,L183-L185)</f>
        <v>0</v>
      </c>
      <c r="N184" s="85">
        <f>IF(N183="","",N183)</f>
        <v>0</v>
      </c>
      <c r="O184" s="58" t="str">
        <f>$O$8</f>
        <v>Mrz              Sep</v>
      </c>
      <c r="P184" s="85">
        <f>IF(P183="","",P183)</f>
        <v>0</v>
      </c>
    </row>
    <row r="185" spans="1:16" ht="13.5" customHeight="1" x14ac:dyDescent="0.2">
      <c r="A185" s="1180" t="s">
        <v>12</v>
      </c>
      <c r="B185" s="1180"/>
      <c r="C185" s="1180"/>
      <c r="D185" s="1181"/>
      <c r="E185" s="1181"/>
      <c r="F185" s="1181"/>
      <c r="G185" s="1181"/>
      <c r="H185" s="1181"/>
      <c r="I185" s="1181"/>
      <c r="J185" s="1174" t="s">
        <v>223</v>
      </c>
      <c r="K185" s="1174"/>
      <c r="L185" s="145"/>
      <c r="N185" s="85">
        <f>IF(N184="","",N184)</f>
        <v>0</v>
      </c>
      <c r="O185" s="58" t="str">
        <f>$O$9</f>
        <v>Apr               Okt</v>
      </c>
      <c r="P185" s="85">
        <f t="shared" ref="P185:P187" si="20">IF(P184="","",P184)</f>
        <v>0</v>
      </c>
    </row>
    <row r="186" spans="1:16" ht="13.5" customHeight="1" x14ac:dyDescent="0.2">
      <c r="A186" s="1180" t="s">
        <v>19</v>
      </c>
      <c r="B186" s="1180"/>
      <c r="C186" s="1180"/>
      <c r="D186" s="1181"/>
      <c r="E186" s="1181"/>
      <c r="F186" s="1181"/>
      <c r="G186" s="1181"/>
      <c r="H186" s="1181"/>
      <c r="I186" s="1181"/>
      <c r="J186" s="1174" t="s">
        <v>97</v>
      </c>
      <c r="K186" s="1174"/>
      <c r="L186" s="17" t="str">
        <f>IF(IF((COUNTIF(B202:B213,"&gt;0"))=0,0,(COUNTIF(B202:B213,"&gt;0")))&gt;Grundlagen!$C$24,Grundlagen!$C$24,IF((COUNTIF(B202:B213,"&gt;0"))=0,"",(COUNTIF(B202:B213,"&gt;0"))))</f>
        <v/>
      </c>
      <c r="M186" s="92"/>
      <c r="N186" s="85">
        <f>IF(N185="","",N185)</f>
        <v>0</v>
      </c>
      <c r="O186" s="58" t="str">
        <f>'päd.Personal - Leitung'!$O$10</f>
        <v>Mai               Nov</v>
      </c>
      <c r="P186" s="85">
        <f t="shared" si="20"/>
        <v>0</v>
      </c>
    </row>
    <row r="187" spans="1:16" ht="13.5" customHeight="1" x14ac:dyDescent="0.2">
      <c r="B187" s="8"/>
      <c r="C187" s="141" t="s">
        <v>162</v>
      </c>
      <c r="D187" s="1175"/>
      <c r="E187" s="1175"/>
      <c r="F187" s="1176" t="s">
        <v>110</v>
      </c>
      <c r="G187" s="1176"/>
      <c r="H187" s="1186"/>
      <c r="I187" s="1186"/>
      <c r="L187" s="147" t="str">
        <f>IF((SUM(F190:F193))=0,"",IF(P188&gt;L184,L184,IF(L184="","",IF(L186="","",P188))))</f>
        <v/>
      </c>
      <c r="N187" s="85">
        <f>IF(N186="","",N186)</f>
        <v>0</v>
      </c>
      <c r="O187" s="58" t="str">
        <f>'päd.Personal - Leitung'!$O$11</f>
        <v>Jun               Dez</v>
      </c>
      <c r="P187" s="85">
        <f t="shared" si="20"/>
        <v>0</v>
      </c>
    </row>
    <row r="188" spans="1:16" ht="13.5" customHeight="1" x14ac:dyDescent="0.2">
      <c r="F188" s="1176" t="s">
        <v>180</v>
      </c>
      <c r="G188" s="1176"/>
      <c r="H188" s="1186"/>
      <c r="I188" s="1186"/>
      <c r="O188" s="174" t="s">
        <v>251</v>
      </c>
      <c r="P188" s="175">
        <f>IF(L186="",0,((IF(SUMIF(B202,"&gt;0"),N182,0))+(IF(SUMIF(B203,"&gt;0"),N183,0))+(IF(SUMIF(B204,"&gt;0"),N184,0))+(IF(SUMIF(B205,"&gt;0"),N185,0))+(IF(SUMIF(B206,"&gt;0"),N186,0))+(IF(SUMIF(B207,"&gt;0"),N187,0))+(IF(SUMIF(B208,"&gt;0"),P182,0))+(IF(SUMIF(B209,"&gt;0"),P183,0))+(IF(SUMIF(B210,"&gt;0"),P184,0))+(IF(SUMIF(B211,"&gt;0"),P185,0))+(IF(SUMIF(B212,"&gt;0"),P186,0))+(IF(SUMIF(B213,"&gt;0"),P187,0)))/Grundlagen!$C$24)</f>
        <v>0</v>
      </c>
    </row>
    <row r="189" spans="1:16" s="52" customFormat="1" ht="13.5" customHeight="1" x14ac:dyDescent="0.2">
      <c r="A189" s="61" t="s">
        <v>148</v>
      </c>
      <c r="B189" s="1168" t="s">
        <v>149</v>
      </c>
      <c r="C189" s="1168"/>
      <c r="D189" s="62" t="s">
        <v>150</v>
      </c>
      <c r="E189" s="63" t="s">
        <v>151</v>
      </c>
      <c r="F189" s="64" t="str">
        <f>CONCATENATE("Entg. ",N179," h/Wo")</f>
        <v>Entg.  h/Wo</v>
      </c>
      <c r="G189" s="65" t="s">
        <v>152</v>
      </c>
      <c r="H189" s="65" t="s">
        <v>153</v>
      </c>
      <c r="K189" s="1169" t="str">
        <f>CONCATENATE("Zuschläge / Zulagen für ",N179,"h/Wo")</f>
        <v>Zuschläge / Zulagen für h/Wo</v>
      </c>
      <c r="L189" s="1169"/>
      <c r="M189" s="66" t="str">
        <f>IF(A190="","",A190)</f>
        <v>Jan 2022</v>
      </c>
      <c r="N189" s="66" t="str">
        <f>IF(A191="","",A191)</f>
        <v/>
      </c>
      <c r="O189" s="66" t="str">
        <f>IF(A192="","",A192)</f>
        <v/>
      </c>
      <c r="P189" s="66" t="str">
        <f>IF(A193="","",A193)</f>
        <v/>
      </c>
    </row>
    <row r="190" spans="1:16" s="52" customFormat="1" ht="13.5" customHeight="1" x14ac:dyDescent="0.25">
      <c r="A190" s="55" t="str">
        <f>A202</f>
        <v>Jan 2022</v>
      </c>
      <c r="B190" s="1170" t="str">
        <f>IF($D$3="","",$D$3)</f>
        <v/>
      </c>
      <c r="C190" s="1171"/>
      <c r="D190" s="181"/>
      <c r="E190" s="181"/>
      <c r="F190" s="87"/>
      <c r="G190" s="56">
        <f>IF(N179="",0,F190/N179/4.348)</f>
        <v>0</v>
      </c>
      <c r="H190" s="53">
        <f>IF(G190=0,0,M195)</f>
        <v>0</v>
      </c>
      <c r="K190" s="1146"/>
      <c r="L190" s="1146"/>
      <c r="M190" s="86"/>
      <c r="N190" s="86"/>
      <c r="O190" s="86"/>
      <c r="P190" s="86"/>
    </row>
    <row r="191" spans="1:16" s="52" customFormat="1" ht="13.5" customHeight="1" x14ac:dyDescent="0.25">
      <c r="A191" s="55"/>
      <c r="B191" s="1172" t="str">
        <f>IF(A191="","",B190)</f>
        <v/>
      </c>
      <c r="C191" s="1173"/>
      <c r="D191" s="181"/>
      <c r="E191" s="181"/>
      <c r="F191" s="87"/>
      <c r="G191" s="56">
        <f>IF(N179="",0,F191/N179/4.348)</f>
        <v>0</v>
      </c>
      <c r="H191" s="53">
        <f>IF(G191=0,0,N195)</f>
        <v>0</v>
      </c>
      <c r="K191" s="1146"/>
      <c r="L191" s="1146"/>
      <c r="M191" s="86"/>
      <c r="N191" s="86"/>
      <c r="O191" s="86"/>
      <c r="P191" s="86"/>
    </row>
    <row r="192" spans="1:16" s="52" customFormat="1" ht="13.5" customHeight="1" x14ac:dyDescent="0.25">
      <c r="A192" s="55"/>
      <c r="B192" s="1172" t="str">
        <f>IF(A192="","",B191)</f>
        <v/>
      </c>
      <c r="C192" s="1173"/>
      <c r="D192" s="181"/>
      <c r="E192" s="181"/>
      <c r="F192" s="87"/>
      <c r="G192" s="56">
        <f>IF(N179="",0,F192/N179/4.348)</f>
        <v>0</v>
      </c>
      <c r="H192" s="53">
        <f>IF(G192=0,0,O195)</f>
        <v>0</v>
      </c>
      <c r="K192" s="1146"/>
      <c r="L192" s="1146"/>
      <c r="M192" s="86"/>
      <c r="N192" s="86"/>
      <c r="O192" s="86"/>
      <c r="P192" s="86"/>
    </row>
    <row r="193" spans="1:16" s="52" customFormat="1" ht="13.5" customHeight="1" x14ac:dyDescent="0.25">
      <c r="A193" s="55"/>
      <c r="B193" s="1172" t="str">
        <f>IF(A193="","",B192)</f>
        <v/>
      </c>
      <c r="C193" s="1173"/>
      <c r="D193" s="181"/>
      <c r="E193" s="181"/>
      <c r="F193" s="87"/>
      <c r="G193" s="56">
        <f>IF(N179="",0,F193/N179/4.348)</f>
        <v>0</v>
      </c>
      <c r="H193" s="53">
        <f>IF(G193=0,0,P195)</f>
        <v>0</v>
      </c>
      <c r="K193" s="1146"/>
      <c r="L193" s="1146"/>
      <c r="M193" s="86"/>
      <c r="N193" s="86"/>
      <c r="O193" s="86"/>
      <c r="P193" s="86"/>
    </row>
    <row r="194" spans="1:16" s="52" customFormat="1" ht="13.5" customHeight="1" x14ac:dyDescent="0.25">
      <c r="B194" s="1167" t="s">
        <v>157</v>
      </c>
      <c r="C194" s="1167"/>
      <c r="E194" s="1167" t="s">
        <v>156</v>
      </c>
      <c r="F194" s="1167"/>
      <c r="J194" s="69"/>
      <c r="K194" s="1146"/>
      <c r="L194" s="1146"/>
      <c r="M194" s="86"/>
      <c r="N194" s="86"/>
      <c r="O194" s="86"/>
      <c r="P194" s="86"/>
    </row>
    <row r="195" spans="1:16" s="52" customFormat="1" ht="13.5" customHeight="1" x14ac:dyDescent="0.25">
      <c r="A195" s="70" t="s">
        <v>167</v>
      </c>
      <c r="B195" s="67"/>
      <c r="C195" s="99" t="str">
        <f>IF(C151="","",C151)</f>
        <v/>
      </c>
      <c r="D195" s="70" t="s">
        <v>167</v>
      </c>
      <c r="E195" s="67"/>
      <c r="F195" s="99" t="str">
        <f>IF(F151="","",F151)</f>
        <v/>
      </c>
      <c r="J195" s="68"/>
      <c r="M195" s="57">
        <f>SUM(M190:M194)</f>
        <v>0</v>
      </c>
      <c r="N195" s="57">
        <f t="shared" ref="N195:P195" si="21">SUM(N190:N194)</f>
        <v>0</v>
      </c>
      <c r="O195" s="57">
        <f t="shared" si="21"/>
        <v>0</v>
      </c>
      <c r="P195" s="57">
        <f t="shared" si="21"/>
        <v>0</v>
      </c>
    </row>
    <row r="196" spans="1:16" s="52" customFormat="1" ht="13.5" customHeight="1" x14ac:dyDescent="0.2">
      <c r="A196" s="60" t="s">
        <v>155</v>
      </c>
    </row>
    <row r="197" spans="1:16" s="20" customFormat="1" ht="14.25" customHeight="1" x14ac:dyDescent="0.2">
      <c r="A197" s="1147"/>
      <c r="B197" s="1149" t="s">
        <v>9</v>
      </c>
      <c r="C197" s="1150"/>
      <c r="D197" s="1150"/>
      <c r="E197" s="1150"/>
      <c r="F197" s="1150"/>
      <c r="G197" s="1151"/>
      <c r="H197" s="1152" t="s">
        <v>119</v>
      </c>
      <c r="I197" s="1153"/>
      <c r="J197" s="1153"/>
      <c r="K197" s="1153"/>
      <c r="L197" s="1153"/>
      <c r="M197" s="1153"/>
      <c r="N197" s="1195" t="s">
        <v>112</v>
      </c>
      <c r="O197" s="33"/>
      <c r="P197" s="1154" t="s">
        <v>0</v>
      </c>
    </row>
    <row r="198" spans="1:16" s="20" customFormat="1" ht="14.25" customHeight="1" x14ac:dyDescent="0.2">
      <c r="A198" s="1148"/>
      <c r="B198" s="1157" t="s">
        <v>117</v>
      </c>
      <c r="C198" s="144" t="s">
        <v>115</v>
      </c>
      <c r="D198" s="1159" t="s">
        <v>277</v>
      </c>
      <c r="E198" s="1161" t="s">
        <v>147</v>
      </c>
      <c r="F198" s="149" t="s">
        <v>7</v>
      </c>
      <c r="G198" s="1162" t="s">
        <v>6</v>
      </c>
      <c r="H198" s="1161" t="s">
        <v>129</v>
      </c>
      <c r="I198" s="1161" t="s">
        <v>111</v>
      </c>
      <c r="J198" s="1161" t="s">
        <v>5</v>
      </c>
      <c r="K198" s="1161" t="s">
        <v>4</v>
      </c>
      <c r="L198" s="1161" t="s">
        <v>3</v>
      </c>
      <c r="M198" s="1161" t="s">
        <v>98</v>
      </c>
      <c r="N198" s="1196"/>
      <c r="O198" s="1160" t="s">
        <v>114</v>
      </c>
      <c r="P198" s="1155"/>
    </row>
    <row r="199" spans="1:16" s="20" customFormat="1" ht="14.25" customHeight="1" x14ac:dyDescent="0.2">
      <c r="A199" s="1148"/>
      <c r="B199" s="1157"/>
      <c r="C199" s="21" t="str">
        <f>IF(C195="","",C195)</f>
        <v/>
      </c>
      <c r="D199" s="1160"/>
      <c r="E199" s="1161"/>
      <c r="F199" s="1165" t="str">
        <f>IF(H190=0,"","siehe Zuschläge / Zulagen")</f>
        <v/>
      </c>
      <c r="G199" s="1162"/>
      <c r="H199" s="1164" t="s">
        <v>127</v>
      </c>
      <c r="I199" s="1161"/>
      <c r="J199" s="1164"/>
      <c r="K199" s="1164"/>
      <c r="L199" s="1164"/>
      <c r="M199" s="1161"/>
      <c r="N199" s="1196"/>
      <c r="O199" s="1160"/>
      <c r="P199" s="1155"/>
    </row>
    <row r="200" spans="1:16" s="20" customFormat="1" x14ac:dyDescent="0.2">
      <c r="A200" s="1148"/>
      <c r="B200" s="1157"/>
      <c r="C200" s="142" t="s">
        <v>70</v>
      </c>
      <c r="D200" s="1160"/>
      <c r="E200" s="1161"/>
      <c r="F200" s="1165"/>
      <c r="G200" s="1162"/>
      <c r="H200" s="43" t="s">
        <v>128</v>
      </c>
      <c r="I200" s="1161"/>
      <c r="J200" s="43" t="s">
        <v>255</v>
      </c>
      <c r="K200" s="43" t="s">
        <v>256</v>
      </c>
      <c r="L200" s="43" t="s">
        <v>257</v>
      </c>
      <c r="M200" s="1161"/>
      <c r="N200" s="1196"/>
      <c r="O200" s="1160"/>
      <c r="P200" s="1155"/>
    </row>
    <row r="201" spans="1:16" s="20" customFormat="1" x14ac:dyDescent="0.2">
      <c r="A201" s="1148"/>
      <c r="B201" s="1158"/>
      <c r="C201" s="21" t="str">
        <f>IF(F195="","",F195)</f>
        <v/>
      </c>
      <c r="D201" s="51"/>
      <c r="E201" s="51"/>
      <c r="F201" s="1166"/>
      <c r="G201" s="1163"/>
      <c r="H201" s="93"/>
      <c r="I201" s="21"/>
      <c r="J201" s="139">
        <f>$I$25</f>
        <v>0</v>
      </c>
      <c r="K201" s="139">
        <f>$J$25</f>
        <v>0</v>
      </c>
      <c r="L201" s="44">
        <f>$K$25</f>
        <v>0</v>
      </c>
      <c r="M201" s="21"/>
      <c r="N201" s="21"/>
      <c r="O201" s="21">
        <f>O157</f>
        <v>0</v>
      </c>
      <c r="P201" s="1156"/>
    </row>
    <row r="202" spans="1:16" s="20" customFormat="1" x14ac:dyDescent="0.2">
      <c r="A202" s="100" t="str">
        <f>$A$26</f>
        <v>Jan 2022</v>
      </c>
      <c r="B202" s="24">
        <f>ROUND(IF(N182=0,0,(LOOKUP(2,1/(A190:A193=A202),G190:G193))*N182*4.348*50%),2)</f>
        <v>0</v>
      </c>
      <c r="C202" s="23">
        <f>ROUND(IFERROR(((LOOKUP(2,1/(B195=A202),((SUM(B208:B210)+SUM(F208:F210))/3)*C195))),0)+IFERROR(((LOOKUP(2,1/(E195=A202),(B214+F214)*F195))),0),2)</f>
        <v>0</v>
      </c>
      <c r="D202" s="23">
        <f>ROUND(IF(B202=0,0,D201/L183*N182*50%),2)</f>
        <v>0</v>
      </c>
      <c r="E202" s="23">
        <f>ROUND(IF(B202=0,0,E201/N179*N182*50%),2)</f>
        <v>0</v>
      </c>
      <c r="F202" s="24">
        <f>ROUND(IF(N182=0,0,(LOOKUP(2,1/(A190:A193=A202),H190:H193))/N179*N182*50%),2)</f>
        <v>0</v>
      </c>
      <c r="G202" s="27">
        <f>SUM(B202+C202+E202+F202)</f>
        <v>0</v>
      </c>
      <c r="H202" s="76">
        <f>ROUND(IF((SUM(B202:F202))&gt;L217,L217*H201,SUM(B202:F202)*H201),2)</f>
        <v>0</v>
      </c>
      <c r="I202" s="76">
        <f>ROUND(IF((SUM(B202:F202)*80%)&gt;((L218*1)*90%),((((L218*1)*90%)-((SUM(B202:F202)-C202))*I201)+((SUM(B202:F202)-C202)*I201)*80%),((SUM(B202:F202)-C202)*I201)*80%),2)</f>
        <v>0</v>
      </c>
      <c r="J202" s="76">
        <f>ROUND(IF((SUM(B202:F202))&gt;L218,L218*J201,SUM(B202:F202)*J201),2)</f>
        <v>0</v>
      </c>
      <c r="K202" s="76">
        <f>ROUND(IF((SUM(B202:F202))&gt;L218,L218*K201,SUM(B202:F202)*K201),2)</f>
        <v>0</v>
      </c>
      <c r="L202" s="76">
        <f>ROUND(IF((SUM(B202:F202))&gt;L217,L217*L201,SUM(B202:F202)*L201),2)</f>
        <v>0</v>
      </c>
      <c r="M202" s="76">
        <f>ROUND(IF((SUM(B202:F202))&gt;L218,L218*M201,(SUM(B202:F202)-C202)*M201),2)</f>
        <v>0</v>
      </c>
      <c r="N202" s="23">
        <f>ROUND((B202+E202+F202)*N201,2)</f>
        <v>0</v>
      </c>
      <c r="O202" s="23">
        <f>ROUND(SUM(B202+C202+F202)*O201,2)</f>
        <v>0</v>
      </c>
      <c r="P202" s="27">
        <f>SUM(G202:O202)</f>
        <v>0</v>
      </c>
    </row>
    <row r="203" spans="1:16" s="20" customFormat="1" x14ac:dyDescent="0.2">
      <c r="A203" s="100" t="str">
        <f>$A$27</f>
        <v>Feb 2022</v>
      </c>
      <c r="B203" s="24">
        <f>ROUND(IF(N183=0,0,IFERROR(((LOOKUP(2,1/(A190:A193=A203),G190:G193))*N183*4.348*50%),B202/N183*N183)),2)</f>
        <v>0</v>
      </c>
      <c r="C203" s="23">
        <f>ROUND(IFERROR(((LOOKUP(2,1/(B195=A203),((SUM(B208:B210)+SUM(F208:F210))/3)*C195))),0)+IFERROR(((LOOKUP(2,1/(E195=A203),(B214+F214)*F195))),0),2)</f>
        <v>0</v>
      </c>
      <c r="D203" s="23">
        <f>ROUND(IF(B203=0,0,D201/L183*N183*50%),2)</f>
        <v>0</v>
      </c>
      <c r="E203" s="23">
        <f>ROUND(IF(B203=0,0,E201/N179*N183*50%),2)</f>
        <v>0</v>
      </c>
      <c r="F203" s="24">
        <f>ROUND(IF(N183=0,0,IFERROR(((LOOKUP(2,1/(A190:A193=A203),H190:H193))/N179*N183),F202/N183*N183*50%)),2)</f>
        <v>0</v>
      </c>
      <c r="G203" s="27">
        <f t="shared" ref="G203:G213" si="22">SUM(B203+C203+E203+F203)</f>
        <v>0</v>
      </c>
      <c r="H203" s="76">
        <f>ROUND(IF(SUM(B202:F202)&lt;(L217*1),IF((SUM(B202:F203))&gt;(L217*2),(((L217*2)-(SUM(B202:F203)-C202))*H201)+((SUM(B203:F203)-C202)*H201),SUM(B203:F203)*H201),IF(SUM(B202:F203)&gt;(L217*2),L217*H201,SUM(B203:F203)*H201)),2)</f>
        <v>0</v>
      </c>
      <c r="I203" s="76">
        <f>ROUND(IF((SUM(B202:F203)*80%)&gt;((L218*2)*90%),((((L218*2)*90%)-((SUM(B202:F203)-C203))*I201)+((SUM(B203:F203)-C203)*I201)*80%),((SUM(B203:F203)-C203)*I201)*80%),2)</f>
        <v>0</v>
      </c>
      <c r="J203" s="76">
        <f>ROUND(IF(SUM(B202:F202)&lt;(L218*1),IF((SUM(B202:F203))&gt;(L218*2),(((L218*2)-(SUM(B202:F203)-C202))*J201)+((SUM(B203:F203)-C202)*J201),SUM(B203:F203)*J201),IF(SUM(B202:F203)&gt;(L218*2),L218*J201,SUM(B203:F203)*J201)),2)</f>
        <v>0</v>
      </c>
      <c r="K203" s="76">
        <f>ROUND(IF(SUM(B202:F202)&lt;(L218*1),IF((SUM(B202:F203))&gt;(L218*2),(((L218*2)-(SUM(B202:F203)-C202))*K201)+((SUM(B203:F203)-C202)*K201),SUM(B203:F203)*K201),IF(SUM(B202:F203)&gt;(L218*2),L218*K201,SUM(B203:F203)*K201)),2)</f>
        <v>0</v>
      </c>
      <c r="L203" s="76">
        <f>ROUND(IF(SUM(B202:F202)&lt;(L217*1),IF((SUM(B202:F203))&gt;(L217*2),(((L217*2)-(SUM(B202:F203)-C202))*L201)+((SUM(B203:F203)-C202)*L201),SUM(B203:F203)*L201),IF(SUM(B202:F203)&gt;(L217*2),L217*L201,SUM(B203:F203)*L201)),2)</f>
        <v>0</v>
      </c>
      <c r="M203" s="76">
        <f>ROUND(IF(SUM(B202:F202)&lt;(L218*1),IF((SUM(B202:F203))&gt;(L218*2),(((L218*2)-(SUM(B202:F203)-C203))*M201)+((SUM(B203:F203)-C203)*M201),(SUM(B203:F203)-C203)*M201),IF(SUM(B202:F203)&gt;(L218*2),L218*M201,SUM(B203:F203)*M201)),2)</f>
        <v>0</v>
      </c>
      <c r="N203" s="23">
        <f>ROUND((B203+E203+F203)*N201,2)</f>
        <v>0</v>
      </c>
      <c r="O203" s="23">
        <f>ROUND(SUM(B203+C203+F203)*O201,2)</f>
        <v>0</v>
      </c>
      <c r="P203" s="27">
        <f t="shared" ref="P203:P212" si="23">SUM(G203:O203)</f>
        <v>0</v>
      </c>
    </row>
    <row r="204" spans="1:16" s="20" customFormat="1" x14ac:dyDescent="0.2">
      <c r="A204" s="100" t="str">
        <f>$A$28</f>
        <v>Mrz 2022</v>
      </c>
      <c r="B204" s="24">
        <f>ROUND(IF(N184=0,0,IFERROR(((LOOKUP(2,1/(A190:A193=A204),G190:G193))*N184*4.348*50%),B203/N184*N184)),2)</f>
        <v>0</v>
      </c>
      <c r="C204" s="23">
        <f>ROUND(IFERROR(((LOOKUP(2,1/(B195=A204),((SUM(B208:B210)+SUM(F208:F210))/3)*C195))),0)+IFERROR(((LOOKUP(2,1/(E195=A204),(B214+F214)*F195))),0),2)</f>
        <v>0</v>
      </c>
      <c r="D204" s="23">
        <f>ROUND(IF(B204=0,0,D201/L183*N184*50%),2)</f>
        <v>0</v>
      </c>
      <c r="E204" s="23">
        <f>ROUND(IF(B204=0,0,E201/N179*N184*50%),2)</f>
        <v>0</v>
      </c>
      <c r="F204" s="24">
        <f>ROUND(IF(N184=0,0,IFERROR(((LOOKUP(2,1/(A190:A193=A204),H190:H193))/N179*N184),F203/N184*N184*50%)),2)</f>
        <v>0</v>
      </c>
      <c r="G204" s="27">
        <f t="shared" si="22"/>
        <v>0</v>
      </c>
      <c r="H204" s="76">
        <f>ROUND(IF(SUM(B202:F203)&lt;(L217*2),IF((SUM(B202:F204))&gt;(L217*3),(((L217*3)-(SUM(B202:F204)-C203))*H201)+((SUM(B204:F204)-C203)*H201),SUM(B204:F204)*H201),IF(SUM(B202:F204)&gt;(L217*3),L217*H201,SUM(B204:F204)*H201)),2)</f>
        <v>0</v>
      </c>
      <c r="I204" s="76">
        <f>ROUND(IF((SUM(B202:F204)*80%)&gt;((L218*3)*90%),((((L218*3)*90%)-((SUM(B202:F204)-C204))*I201)+((SUM(B204:F204)-C204)*I201)*80%),((SUM(B204:F204)-C204)*I201)*80%),2)</f>
        <v>0</v>
      </c>
      <c r="J204" s="76">
        <f>ROUND(IF(SUM(B202:F203)&lt;(L218*2),IF((SUM(B202:F204))&gt;(L218*3),(((L218*3)-(SUM(B202:F204)-C203))*J201)+((SUM(B204:F204)-C203)*J201),SUM(B204:F204)*J201),IF(SUM(B202:F204)&gt;(L218*3),L218*J201,SUM(B204:F204)*J201)),2)</f>
        <v>0</v>
      </c>
      <c r="K204" s="76">
        <f>ROUND(IF(SUM(B202:F203)&lt;(L218*2),IF((SUM(B202:F204))&gt;(L218*3),(((L218*3)-(SUM(B202:F204)-C203))*K201)+((SUM(B204:F204)-C203)*K201),SUM(B204:F204)*K201),IF(SUM(B202:F204)&gt;(L218*3),L218*K201,SUM(B204:F204)*K201)),2)</f>
        <v>0</v>
      </c>
      <c r="L204" s="76">
        <f>ROUND(IF(SUM(B202:F203)&lt;(L217*2),IF((SUM(B202:F204))&gt;(L217*3),(((L217*3)-(SUM(B202:F204)-C203))*L201)+((SUM(B204:F204)-C203)*L201),SUM(B204:F204)*L201),IF(SUM(B202:F204)&gt;(L217*3),L217*L201,SUM(B204:F204)*L201)),2)</f>
        <v>0</v>
      </c>
      <c r="M204" s="76">
        <f>ROUND(IF(SUM(B202:F203)&lt;(L218*2),IF((SUM(B202:F204))&gt;(L218*3),(((L218*3)-(SUM(B202:F204)-C204))*M201)+((SUM(B204:F204)-C204)*M201),(SUM(B204:F204)-C204)*M201),IF(SUM(B202:F204)&gt;(L218*3),L218*M201,SUM(B204:F204)*M201)),2)</f>
        <v>0</v>
      </c>
      <c r="N204" s="23">
        <f>ROUND((B204+E204+F204)*N201,2)</f>
        <v>0</v>
      </c>
      <c r="O204" s="23">
        <f>ROUND(SUM(B204+C204+F204)*O201,2)</f>
        <v>0</v>
      </c>
      <c r="P204" s="27">
        <f t="shared" si="23"/>
        <v>0</v>
      </c>
    </row>
    <row r="205" spans="1:16" s="20" customFormat="1" ht="14.25" customHeight="1" x14ac:dyDescent="0.2">
      <c r="A205" s="100" t="str">
        <f>$A$29</f>
        <v>Apr 2022</v>
      </c>
      <c r="B205" s="24">
        <f>ROUND(IF(N185=0,0,IFERROR(((LOOKUP(2,1/(A190:A193=A205),G190:G193))*N185*4.348*50%),B204/N185*N185)),2)</f>
        <v>0</v>
      </c>
      <c r="C205" s="23">
        <f>ROUND(IFERROR(((LOOKUP(2,1/(B195=A205),((SUM(B208:B210)+SUM(F208:F210))/3)*C195))),0)+IFERROR(((LOOKUP(2,1/(E195=A205),(B214+F214)*F195))),0),2)</f>
        <v>0</v>
      </c>
      <c r="D205" s="23">
        <f>ROUND(IF(B205=0,0,D201/L183*N185*50%),2)</f>
        <v>0</v>
      </c>
      <c r="E205" s="23">
        <f>ROUND(IF(B205=0,0,E201/N179*N185*50%),2)</f>
        <v>0</v>
      </c>
      <c r="F205" s="24">
        <f>ROUND(IF(N185=0,0,IFERROR(((LOOKUP(2,1/(A190:A193=A205),H190:H193))/N179*N185),F204/N185*N185*50%)),2)</f>
        <v>0</v>
      </c>
      <c r="G205" s="27">
        <f t="shared" si="22"/>
        <v>0</v>
      </c>
      <c r="H205" s="76">
        <f>ROUND(IF(SUM(B202:F204)&lt;(L217*3),IF((SUM(B202:F205))&gt;(L217*4),(((L217*4)-(SUM(B202:F205)-C204))*H201)+((SUM(B205:F205)-C204)*H201),SUM(B205:F205)*H201),IF(SUM(B202:F205)&gt;(L217*4),L217*H201,SUM(B205:F205)*H201)),2)</f>
        <v>0</v>
      </c>
      <c r="I205" s="76">
        <f>ROUND(IF((SUM(B202:F205)*80%)&gt;((L218*4)*90%),((((L218*4)*90%)-((SUM(B202:F205)-C205))*I201)+((SUM(B205:F205)-C205)*I201)*80%),((SUM(B205:F205)-C205)*I201)*80%),2)</f>
        <v>0</v>
      </c>
      <c r="J205" s="76">
        <f>ROUND(IF(SUM(B202:F204)&lt;(L218*3),IF((SUM(B202:F205))&gt;(L218*4),(((L218*4)-(SUM(B202:F205)-C204))*J201)+((SUM(B205:F205)-C204)*J201),SUM(B205:F205)*J201),IF(SUM(B202:F205)&gt;(L218*4),L218*J201,SUM(B205:F205)*J201)),2)</f>
        <v>0</v>
      </c>
      <c r="K205" s="76">
        <f>ROUND(IF(SUM(B202:F204)&lt;(L218*3),IF((SUM(B202:F205))&gt;(L218*4),(((L218*4)-(SUM(B202:F205)-C204))*K201)+((SUM(B205:F205)-C204)*K201),SUM(B205:F205)*K201),IF(SUM(B202:F205)&gt;(L218*4),L218*K201,SUM(B205:F205)*K201)),2)</f>
        <v>0</v>
      </c>
      <c r="L205" s="76">
        <f>ROUND(IF(SUM(B202:F204)&lt;(L217*3),IF((SUM(B202:F205))&gt;(L217*4),(((L217*4)-(SUM(B202:F205)-C204))*L201)+((SUM(B205:F205)-C204)*L201),SUM(B205:F205)*L201),IF(SUM(B202:F205)&gt;(L217*4),L217*L201,SUM(B205:F205)*L201)),2)</f>
        <v>0</v>
      </c>
      <c r="M205" s="76">
        <f>ROUND(IF(SUM(B202:F204)&lt;(L218*3),IF((SUM(B202:F205))&gt;(L218*4),(((L218*4)-(SUM(B202:F205)-C205))*M201)+((SUM(B205:F205)-C205)*M201),(SUM(B205:F205)-C205)*M201),IF(SUM(B202:F205)&gt;(L218*4),L218*M201,SUM(B205:F205)*M201)),2)</f>
        <v>0</v>
      </c>
      <c r="N205" s="23">
        <f>ROUND((B205+E205+F205)*N201,2)</f>
        <v>0</v>
      </c>
      <c r="O205" s="23">
        <f>ROUND(SUM(B205+C205+F205)*O201,2)</f>
        <v>0</v>
      </c>
      <c r="P205" s="27">
        <f t="shared" si="23"/>
        <v>0</v>
      </c>
    </row>
    <row r="206" spans="1:16" s="20" customFormat="1" x14ac:dyDescent="0.2">
      <c r="A206" s="100" t="str">
        <f>$A$30</f>
        <v>Mai 2022</v>
      </c>
      <c r="B206" s="24">
        <f>ROUND(IF(N186=0,0,IFERROR(((LOOKUP(2,1/(A190:A193=A206),G190:G193))*N186*4.348*50%),B205/N186*N186)),2)</f>
        <v>0</v>
      </c>
      <c r="C206" s="23">
        <f>ROUND(IFERROR(((LOOKUP(2,1/(B195=A206),((SUM(B208:B210)+SUM(F208:F210))/3)*C195))),0)+IFERROR(((LOOKUP(2,1/(E195=A206),(B214+F214)*F195))),0),2)</f>
        <v>0</v>
      </c>
      <c r="D206" s="23">
        <f>ROUND(IF(B206=0,0,D201/L183*N186*50%),2)</f>
        <v>0</v>
      </c>
      <c r="E206" s="23">
        <f>ROUND(IF(B206=0,0,E201/N179*N186*50%),2)</f>
        <v>0</v>
      </c>
      <c r="F206" s="24">
        <f>ROUND(IF(N186=0,0,IFERROR(((LOOKUP(2,1/(A190:A193=A206),H190:H193))/N179*N186),F205/N186*N186*50%)),2)</f>
        <v>0</v>
      </c>
      <c r="G206" s="27">
        <f t="shared" si="22"/>
        <v>0</v>
      </c>
      <c r="H206" s="76">
        <f>ROUND(IF(SUM(B202:F205)&lt;(L217*4),IF((SUM(B202:F206))&gt;(L217*5),(((L217*5)-(SUM(B202:F206)-C205))*H201)+((SUM(B206:F206)-C205)*H201),SUM(B206:F206)*H201),IF(SUM(B202:F206)&gt;(L217*5),L217*H201,SUM(B206:F206)*H201)),2)</f>
        <v>0</v>
      </c>
      <c r="I206" s="76">
        <f>ROUND(IF((SUM(B202:F206)*80%)&gt;((L218*5)*90%),((((L218*5)*90%)-((SUM(B202:F206)-C206))*I201)+((SUM(B206:F206)-C206)*I201)*80%),((SUM(B206:F206)-C206)*I201)*80%),2)</f>
        <v>0</v>
      </c>
      <c r="J206" s="76">
        <f>ROUND(IF(SUM(B202:F205)&lt;(L218*4),IF((SUM(B202:F206))&gt;(L218*5),(((L218*5)-(SUM(B202:F206)-C205))*J201)+((SUM(B206:F206)-C205)*J201),SUM(B206:F206)*J201),IF(SUM(B202:F206)&gt;(L218*5),L218*J201,SUM(B206:F206)*J201)),2)</f>
        <v>0</v>
      </c>
      <c r="K206" s="76">
        <f>ROUND(IF(SUM(B202:F205)&lt;(L218*4),IF((SUM(B202:F206))&gt;(L218*5),(((L218*5)-(SUM(B202:F206)-C205))*K201)+((SUM(B206:F206)-C205)*K201),SUM(B206:F206)*K201),IF(SUM(B202:F206)&gt;(L218*5),L218*K201,SUM(B206:F206)*K201)),2)</f>
        <v>0</v>
      </c>
      <c r="L206" s="76">
        <f>ROUND(IF(SUM(B202:F205)&lt;(L217*4),IF((SUM(B202:F206))&gt;(L217*5),(((L217*5)-(SUM(B202:F206)-C205))*L201)+((SUM(B206:F206)-C205)*L201),SUM(B206:F206)*L201),IF(SUM(B202:F206)&gt;(L217*5),L217*L201,SUM(B206:F206)*L201)),2)</f>
        <v>0</v>
      </c>
      <c r="M206" s="76">
        <f>ROUND(IF(SUM(B202:F205)&lt;(L218*4),IF((SUM(B202:F206))&gt;(L218*5),(((L218*5)-(SUM(B202:F206)-C206))*M201)+((SUM(B206:F206)-C206)*M201),(SUM(B206:F206)-C206)*M201),IF(SUM(B202:F206)&gt;(L218*5),L218*M201,SUM(B206:F206)*M201)),2)</f>
        <v>0</v>
      </c>
      <c r="N206" s="23">
        <f>ROUND((B206+E206+F206)*N201,2)</f>
        <v>0</v>
      </c>
      <c r="O206" s="23">
        <f>ROUND(SUM(B206+C206+F206)*O201,2)</f>
        <v>0</v>
      </c>
      <c r="P206" s="27">
        <f t="shared" si="23"/>
        <v>0</v>
      </c>
    </row>
    <row r="207" spans="1:16" s="20" customFormat="1" x14ac:dyDescent="0.2">
      <c r="A207" s="100" t="str">
        <f>$A$31</f>
        <v>Jun 2022</v>
      </c>
      <c r="B207" s="24">
        <f>ROUND(IF(N187=0,0,IFERROR(((LOOKUP(2,1/(A190:A193=A207),G190:G193))*N187*4.348*50%),B206/N187*N187)),2)</f>
        <v>0</v>
      </c>
      <c r="C207" s="23">
        <f>ROUND(IFERROR(((LOOKUP(2,1/(B195=A207),((SUM(B208:B210)+SUM(F208:F210))/3)*C195))),0)+IFERROR(((LOOKUP(2,1/(E195=A207),(B214+F214)*F195))),0),2)</f>
        <v>0</v>
      </c>
      <c r="D207" s="23">
        <f>ROUND(IF(B207=0,0,D201/L183*N187*50%),2)</f>
        <v>0</v>
      </c>
      <c r="E207" s="23">
        <f>ROUND(IF(B207=0,0,E201/N179*N187*50%),2)</f>
        <v>0</v>
      </c>
      <c r="F207" s="24">
        <f>ROUND(IF(N187=0,0,IFERROR(((LOOKUP(2,1/(A190:A193=A207),H190:H193))/N179*N187),F206/N187*N187*50%)),2)</f>
        <v>0</v>
      </c>
      <c r="G207" s="27">
        <f t="shared" si="22"/>
        <v>0</v>
      </c>
      <c r="H207" s="76">
        <f>ROUND(IF(SUM(B202:F206)&lt;(L217*5),IF((SUM(B202:F207))&gt;(L217*6),(((L217*6)-(SUM(B202:F207)-C206))*H201)+((SUM(B207:F207)-C206)*H201),SUM(B207:F207)*H201),IF(SUM(B202:F207)&gt;(L217*6),L217*H201,SUM(B207:F207)*H201)),2)</f>
        <v>0</v>
      </c>
      <c r="I207" s="76">
        <f>ROUND(IF((SUM(B202:F207)*80%)&gt;((L218*6)*90%),((((L218*6)*90%)-((SUM(B202:F207)-C207))*I201)+((SUM(B207:F207)-C207)*I201)*80%),((SUM(B207:F207)-C207)*I201)*80%),2)</f>
        <v>0</v>
      </c>
      <c r="J207" s="76">
        <f>ROUND(IF(SUM(B202:F206)&lt;(L218*5),IF((SUM(B202:F207))&gt;(L218*6),(((L218*6)-(SUM(B202:F207)-C206))*J201)+((SUM(B207:F207)-C206)*J201),SUM(B207:F207)*J201),IF(SUM(B202:F207)&gt;(L218*6),L218*J201,SUM(B207:F207)*J201)),2)</f>
        <v>0</v>
      </c>
      <c r="K207" s="76">
        <f>ROUND(IF(SUM(B202:F206)&lt;(L218*5),IF((SUM(B202:F207))&gt;(L218*6),(((L218*6)-(SUM(B202:F207)-C206))*K201)+((SUM(B207:F207)-C206)*K201),SUM(B207:F207)*K201),IF(SUM(B202:F207)&gt;(L218*6),L218*K201,SUM(B207:F207)*K201)),2)</f>
        <v>0</v>
      </c>
      <c r="L207" s="76">
        <f>ROUND(IF(SUM(B202:F206)&lt;(L217*5),IF((SUM(B202:F207))&gt;(L217*6),(((L217*6)-(SUM(B202:F207)-C206))*L201)+((SUM(B207:F207)-C206)*L201),SUM(B207:F207)*L201),IF(SUM(B202:F207)&gt;(L217*6),L217*L201,SUM(B207:F207)*L201)),2)</f>
        <v>0</v>
      </c>
      <c r="M207" s="76">
        <f>ROUND(IF(SUM(B202:F206)&lt;(L218*5),IF((SUM(B202:F207))&gt;(L218*6),(((L218*6)-(SUM(B202:F207)-C207))*M201)+((SUM(B207:F207)-C207)*M201),(SUM(B207:F207)-C207)*M201),IF(SUM(B202:F207)&gt;(L218*6),L218*M201,SUM(B207:F207)*M201)),2)</f>
        <v>0</v>
      </c>
      <c r="N207" s="23">
        <f>ROUND((B207+E207+F207)*N201,2)</f>
        <v>0</v>
      </c>
      <c r="O207" s="23">
        <f>ROUND(SUM(B207+C207+F207)*O201,2)</f>
        <v>0</v>
      </c>
      <c r="P207" s="27">
        <f t="shared" si="23"/>
        <v>0</v>
      </c>
    </row>
    <row r="208" spans="1:16" s="20" customFormat="1" x14ac:dyDescent="0.2">
      <c r="A208" s="100" t="str">
        <f>$A$32</f>
        <v>Jul 2022</v>
      </c>
      <c r="B208" s="24">
        <f>ROUND(IF(P182=0,0,IFERROR(((LOOKUP(2,1/(A190:A193=A208),G190:G193))*P182*4.348*50%),B207/P182*P182)),2)</f>
        <v>0</v>
      </c>
      <c r="C208" s="23">
        <f>ROUND(IFERROR(((LOOKUP(2,1/(B195=A208),((SUM(B208:B210)+SUM(F208:F210))/3)*C195))),0)+IFERROR(((LOOKUP(2,1/(E195=A208),(B214+F214)*F195))),0),2)</f>
        <v>0</v>
      </c>
      <c r="D208" s="23">
        <f>ROUND(IF(B208=0,0,D201/L183*P182*50%),2)</f>
        <v>0</v>
      </c>
      <c r="E208" s="23">
        <f>ROUND(IF(B208=0,0,E201/N179*P182*50%),2)</f>
        <v>0</v>
      </c>
      <c r="F208" s="24">
        <f>ROUND(IF(P182=0,0,IFERROR(((LOOKUP(2,1/(A190:A193=A208),H190:H193))/N179*P182),F207/P182*P182*50%)),2)</f>
        <v>0</v>
      </c>
      <c r="G208" s="27">
        <f t="shared" si="22"/>
        <v>0</v>
      </c>
      <c r="H208" s="76">
        <f>ROUND(IF(SUM(B202:F207)&lt;(L217*6),IF((SUM(B202:F208))&gt;(L217*7),(((L217*7)-(SUM(B202:F208)-C207))*H201)+((SUM(B208:F208)-C207)*H201),SUM(B208:F208)*H201),IF(SUM(B202:F208)&gt;(L217*7),L217*H201,SUM(B208:F208)*H201)),2)</f>
        <v>0</v>
      </c>
      <c r="I208" s="76">
        <f>ROUND(IF((SUM(B202:F208)*80%)&gt;((L218*7)*90%),((((L218*7)*90%)-((SUM(B202:F208)-C208))*I201)+((SUM(B208:F208)-C208)*I201)*80%),((SUM(B208:F208)-C208)*I201)*80%),2)</f>
        <v>0</v>
      </c>
      <c r="J208" s="76">
        <f>ROUND(IF(SUM(B202:F207)&lt;(L218*6),IF((SUM(B202:F208))&gt;(L218*7),(((L218*7)-(SUM(B202:F208)-C207))*J201)+((SUM(B208:F208)-C207)*J201),SUM(B208:F208)*J201),IF(SUM(B202:F208)&gt;(L218*7),L218*J201,SUM(B208:F208)*J201)),2)</f>
        <v>0</v>
      </c>
      <c r="K208" s="76">
        <f>ROUND(IF(SUM(B202:F207)&lt;(L218*6),IF((SUM(B202:F208))&gt;(L218*7),(((L218*7)-(SUM(B202:F208)-C207))*K201)+((SUM(B208:F208)-C207)*K201),SUM(B208:F208)*K201),IF(SUM(B202:F208)&gt;(L218*7),L218*K201,SUM(B208:F208)*K201)),2)</f>
        <v>0</v>
      </c>
      <c r="L208" s="76">
        <f>ROUND(IF(SUM(B202:F207)&lt;(L217*6),IF((SUM(B202:F208))&gt;(L217*7),(((L217*7)-(SUM(B202:F208)-C207))*L201)+((SUM(B208:F208)-C207)*L201),SUM(B208:F208)*L201),IF(SUM(B202:F208)&gt;(L217*7),L217*L201,SUM(B208:F208)*L201)),2)</f>
        <v>0</v>
      </c>
      <c r="M208" s="76">
        <f>ROUND(IF(SUM(B202:F207)&lt;(L218*6),IF((SUM(B202:F208))&gt;(L218*7),(((L218*7)-(SUM(B202:F208)-C208))*M201)+((SUM(B208:F208)-C208)*M201),(SUM(B208:F208)-C208)*M201),IF(SUM(B202:F208)&gt;(L218*7),L218*M201,SUM(B208:F208)*M201)),2)</f>
        <v>0</v>
      </c>
      <c r="N208" s="23">
        <f>ROUND((B208+E208+F208)*N201,2)</f>
        <v>0</v>
      </c>
      <c r="O208" s="23">
        <f>ROUND(SUM(B208+C208+F208)*O201,2)</f>
        <v>0</v>
      </c>
      <c r="P208" s="27">
        <f t="shared" si="23"/>
        <v>0</v>
      </c>
    </row>
    <row r="209" spans="1:16" s="20" customFormat="1" x14ac:dyDescent="0.2">
      <c r="A209" s="100" t="str">
        <f>$A$33</f>
        <v>Aug 2022</v>
      </c>
      <c r="B209" s="24">
        <f>ROUND(IF(P183=0,0,IFERROR(((LOOKUP(2,1/(A190:A193=A209),G190:G193))*P183*4.348*50%),B208/P183*P183)),2)</f>
        <v>0</v>
      </c>
      <c r="C209" s="23">
        <f>ROUND(IFERROR(((LOOKUP(2,1/(B195=A209),((SUM(B208:B210)+SUM(F208:F210))/3)*C195))),0)+IFERROR(((LOOKUP(2,1/(E195=A209),(B214+F214)*F195))),0),2)</f>
        <v>0</v>
      </c>
      <c r="D209" s="23">
        <f>ROUND(IF(B209=0,0,D201/L183*P183*50%),2)</f>
        <v>0</v>
      </c>
      <c r="E209" s="23">
        <f>ROUND(IF(B209=0,0,E201/N179*P183*50%),2)</f>
        <v>0</v>
      </c>
      <c r="F209" s="24">
        <f>ROUND(IF(P183=0,0,IFERROR(((LOOKUP(2,1/(A190:A193=A209),H190:H193))/N179*P183),F208/P183*P183*50%)),2)</f>
        <v>0</v>
      </c>
      <c r="G209" s="27">
        <f t="shared" si="22"/>
        <v>0</v>
      </c>
      <c r="H209" s="76">
        <f>ROUND(IF(SUM(B202:F208)&lt;(L217*7),IF((SUM(B202:F209))&gt;(L217*8),(((L217*8)-(SUM(B202:F209)-C208))*H201)+((SUM(B209:F209)-C208)*H201),SUM(B209:F209)*H201),IF(SUM(B202:F209)&gt;(L217*8),L217*H201,SUM(B209:F209)*H201)),2)</f>
        <v>0</v>
      </c>
      <c r="I209" s="76">
        <f>ROUND(IF((SUM(B202:F209)*80%)&gt;((L218*8)*90%),((((L218*8)*90%)-((SUM(B202:F209)-C209))*I201)+((SUM(B209:F209)-C209)*I201)*80%),((SUM(B209:F209)-C209)*I201)*80%),2)</f>
        <v>0</v>
      </c>
      <c r="J209" s="76">
        <f>ROUND(IF(SUM(B202:F208)&lt;(L218*7),IF((SUM(B202:F209))&gt;(L218*8),(((L218*8)-(SUM(B202:F209)-C208))*J201)+((SUM(B209:F209)-C208)*J201),SUM(B209:F209)*J201),IF(SUM(B202:F209)&gt;(L218*8),L218*J201,SUM(B209:F209)*J201)),2)</f>
        <v>0</v>
      </c>
      <c r="K209" s="76">
        <f>ROUND(IF(SUM(B202:F208)&lt;(L218*7),IF((SUM(B202:F209))&gt;(L218*8),(((L218*8)-(SUM(B202:F209)-C208))*K201)+((SUM(B209:F209)-C208)*K201),SUM(B209:F209)*K201),IF(SUM(B202:F209)&gt;(L218*8),L218*K201,SUM(B209:F209)*K201)),2)</f>
        <v>0</v>
      </c>
      <c r="L209" s="76">
        <f>ROUND(IF(SUM(B202:F208)&lt;(L217*7),IF((SUM(B202:F209))&gt;(L217*8),(((L217*8)-(SUM(B202:F209)-C208))*L201)+((SUM(B209:F209)-C208)*L201),SUM(B209:F209)*L201),IF(SUM(B202:F209)&gt;(L217*8),L217*L201,SUM(B209:F209)*L201)),2)</f>
        <v>0</v>
      </c>
      <c r="M209" s="76">
        <f>ROUND(IF(SUM(B202:F208)&lt;(L218*7),IF((SUM(B202:F209))&gt;(L218*8),(((L218*8)-(SUM(B202:F209)-C209))*M201)+((SUM(B209:F209)-C209)*M201),(SUM(B209:F209)-C209)*M201),IF(SUM(B202:F209)&gt;(L218*8),L218*M201,SUM(B209:F209)*M201)),2)</f>
        <v>0</v>
      </c>
      <c r="N209" s="23">
        <f>ROUND((B209+E209+F209)*N201,2)</f>
        <v>0</v>
      </c>
      <c r="O209" s="23">
        <f>ROUND(SUM(B209+C209+F209)*O201,2)</f>
        <v>0</v>
      </c>
      <c r="P209" s="27">
        <f t="shared" si="23"/>
        <v>0</v>
      </c>
    </row>
    <row r="210" spans="1:16" s="20" customFormat="1" x14ac:dyDescent="0.2">
      <c r="A210" s="100" t="str">
        <f>$A$34</f>
        <v>Sep 2022</v>
      </c>
      <c r="B210" s="24">
        <f>ROUND(IF(P184=0,0,IFERROR(((LOOKUP(2,1/(A190:A193=A210),G190:G193))*P184*4.348*50%),B209/P184*P184)),2)</f>
        <v>0</v>
      </c>
      <c r="C210" s="23">
        <f>ROUND(IFERROR(((LOOKUP(2,1/(B195=A210),((SUM(B208:B210)+SUM(F208:F210))/3)*C195))),0)+IFERROR(((LOOKUP(2,1/(E195=A210),(B214+F214)*F195))),0),2)</f>
        <v>0</v>
      </c>
      <c r="D210" s="23">
        <f>ROUND(IF(B210=0,0,D201/L183*P184*50%),2)</f>
        <v>0</v>
      </c>
      <c r="E210" s="23">
        <f>ROUND(IF(B210=0,0,E201/N179*P184*50),2)</f>
        <v>0</v>
      </c>
      <c r="F210" s="24">
        <f>ROUND(IF(P184=0,0,IFERROR(((LOOKUP(2,1/(A190:A193=A210),H190:H193))/N179*P184),F209/P184*P184*50%)),2)</f>
        <v>0</v>
      </c>
      <c r="G210" s="27">
        <f t="shared" si="22"/>
        <v>0</v>
      </c>
      <c r="H210" s="76">
        <f>ROUND(IF(SUM(B202:F209)&lt;(L217*8),IF((SUM(B202:F210))&gt;(L217*9),(((L217*9)-(SUM(B202:F210)-C209))*H201)+((SUM(B210:F210)-C209)*H201),SUM(B210:F210)*H201),IF(SUM(B202:F210)&gt;(L217*9),L217*H201,SUM(B210:F210)*H201)),2)</f>
        <v>0</v>
      </c>
      <c r="I210" s="76">
        <f>ROUND(IF((SUM(B202:F210)*80%)&gt;((L218*9)*90%),((((L218*9)*90%)-((SUM(B202:F210)-C210))*I201)+((SUM(B210:F210)-C210)*I201)*80%),((SUM(B210:F210)-C210)*I201)*80%),2)</f>
        <v>0</v>
      </c>
      <c r="J210" s="76">
        <f>ROUND(IF(SUM(B202:F209)&lt;(L218*8),IF((SUM(B202:F210))&gt;(L218*9),(((L218*9)-(SUM(B202:F210)-C209))*J201)+((SUM(B210:F210)-C209)*J201),SUM(B210:F210)*J201),IF(SUM(B202:F210)&gt;(L218*9),L218*J201,SUM(B210:F210)*J201)),2)</f>
        <v>0</v>
      </c>
      <c r="K210" s="76">
        <f>ROUND(IF(SUM(B202:F209)&lt;(L218*8),IF((SUM(B202:F210))&gt;(L218*9),(((L218*9)-(SUM(B202:F210)-C209))*K201)+((SUM(B210:F210)-C209)*K201),SUM(B210:F210)*K201),IF(SUM(B202:F210)&gt;(L218*9),L218*K201,SUM(B210:F210)*K201)),2)</f>
        <v>0</v>
      </c>
      <c r="L210" s="76">
        <f>ROUND(IF(SUM(B202:F209)&lt;(L217*8),IF((SUM(B202:F210))&gt;(L217*9),(((L217*9)-(SUM(B202:F210)-C209))*L201)+((SUM(B210:F210)-C209)*L201),SUM(B210:F210)*L201),IF(SUM(B202:F210)&gt;(L217*9),L217*L201,SUM(B210:F210)*L201)),2)</f>
        <v>0</v>
      </c>
      <c r="M210" s="76">
        <f>ROUND(IF(SUM(B202:F209)&lt;(L218*8),IF((SUM(B202:F210))&gt;(L218*9),(((L218*9)-(SUM(B202:F210)-C210))*M201)+((SUM(B210:F210)-C210)*M201),(SUM(B210:F210)-C210)*M201),IF(SUM(B202:F210)&gt;(L218*9),L218*M201,SUM(B210:F210)*M201)),2)</f>
        <v>0</v>
      </c>
      <c r="N210" s="23">
        <f>ROUND((B210+E210+F210)*N201,2)</f>
        <v>0</v>
      </c>
      <c r="O210" s="23">
        <f>ROUND(SUM(B210+C210+F210)*O201,2)</f>
        <v>0</v>
      </c>
      <c r="P210" s="27">
        <f t="shared" si="23"/>
        <v>0</v>
      </c>
    </row>
    <row r="211" spans="1:16" s="20" customFormat="1" x14ac:dyDescent="0.2">
      <c r="A211" s="100" t="str">
        <f>$A$35</f>
        <v>Okt 2022</v>
      </c>
      <c r="B211" s="24">
        <f>ROUND(IF(P185=0,0,IFERROR(((LOOKUP(2,1/(A190:A193=A211),G190:G193))*P185*4.348*50%),B210/P185*P185)),2)</f>
        <v>0</v>
      </c>
      <c r="C211" s="23">
        <f>ROUND(IFERROR(((LOOKUP(2,1/(B195=A211),((SUM(B208:B210)+SUM(F208:F210))/3)*C195))),0)+IFERROR(((LOOKUP(2,1/(E195=A211),(B214+F214)*F195))),0),2)</f>
        <v>0</v>
      </c>
      <c r="D211" s="23">
        <f>ROUND(IF(B211=0,0,D201/L183*P185*50%),2)</f>
        <v>0</v>
      </c>
      <c r="E211" s="23">
        <f>ROUND(IF(B211=0,0,E201/N179*P185*50%),2)</f>
        <v>0</v>
      </c>
      <c r="F211" s="24">
        <f>ROUND(IF(P185=0,0,IFERROR(((LOOKUP(2,1/(A190:A193=A211),H190:H193))/N179*P185),F210/P185*P185*50%)),2)</f>
        <v>0</v>
      </c>
      <c r="G211" s="27">
        <f t="shared" si="22"/>
        <v>0</v>
      </c>
      <c r="H211" s="76">
        <f>ROUND(IF(SUM(B202:F210)&lt;(L217*9),IF((SUM(B202:F211))&gt;(L217*10),(((L217*10)-(SUM(B202:F211)-C210))*H201)+((SUM(B211:F211)-C210)*H201),SUM(B211:F211)*H201),IF(SUM(B202:F211)&gt;(L217*10),L217*H201,SUM(B211:F211)*H201)),2)</f>
        <v>0</v>
      </c>
      <c r="I211" s="76">
        <f>ROUND(IF((SUM(B202:F211)*80%)&gt;((L218*10)*90%),((((L218*10)*90%)-((SUM(B202:F211)-C211))*I201)+((SUM(B211:F211)-C211)*I201)*80%),((SUM(B211:F211)-C211)*I201)*80%),2)</f>
        <v>0</v>
      </c>
      <c r="J211" s="76">
        <f>ROUND(IF(SUM(B202:F210)&lt;(L218*9),IF((SUM(B202:F211))&gt;(L218*10),(((L218*10)-(SUM(B202:F211)-C210))*J201)+((SUM(B211:F211)-C210)*J201),SUM(B211:F211)*J201),IF(SUM(B202:F211)&gt;(L218*10),L218*J201,SUM(B211:F211)*J201)),2)</f>
        <v>0</v>
      </c>
      <c r="K211" s="76">
        <f>ROUND(IF(SUM(B202:F210)&lt;(L218*9),IF((SUM(B202:F211))&gt;(L218*10),(((L218*10)-(SUM(B202:F211)-C210))*K201)+((SUM(B211:F211)-C210)*K201),SUM(B211:F211)*K201),IF(SUM(B202:F211)&gt;(L218*10),L218*K201,SUM(B211:F211)*K201)),2)</f>
        <v>0</v>
      </c>
      <c r="L211" s="76">
        <f>ROUND(IF(SUM(B202:F210)&lt;(L217*9),IF((SUM(B202:F211))&gt;(L217*10),(((L217*10)-(SUM(B202:F211)-C210))*L201)+((SUM(B211:F211)-C210)*L201),SUM(B211:F211)*L201),IF(SUM(B202:F211)&gt;(L217*10),L217*L201,SUM(B211:F211)*L201)),2)</f>
        <v>0</v>
      </c>
      <c r="M211" s="76">
        <f>ROUND(IF(SUM(B202:F210)&lt;(L218*9),IF((SUM(B202:F211))&gt;(L218*10),(((L218*10)-(SUM(B202:F211)-C211))*M201)+((SUM(B211:F211)-C211)*M201),(SUM(B211:F211)-C211)*M201),IF(SUM(B202:F211)&gt;(L218*10),L218*M201,SUM(B211:F211)*M201)),2)</f>
        <v>0</v>
      </c>
      <c r="N211" s="23">
        <f>ROUND((B211+E211+F211)*N201,2)</f>
        <v>0</v>
      </c>
      <c r="O211" s="23">
        <f>ROUND(SUM(B211+C211+F211)*O201,2)</f>
        <v>0</v>
      </c>
      <c r="P211" s="27">
        <f t="shared" si="23"/>
        <v>0</v>
      </c>
    </row>
    <row r="212" spans="1:16" s="20" customFormat="1" x14ac:dyDescent="0.2">
      <c r="A212" s="100" t="str">
        <f>$A$36</f>
        <v>Nov 2022</v>
      </c>
      <c r="B212" s="24">
        <f>ROUND(IF(P186=0,0,IFERROR(((LOOKUP(2,1/(A190:A193=A212),G190:G193))*P186*4.348*50%),B211/P186*P186)),2)</f>
        <v>0</v>
      </c>
      <c r="C212" s="23">
        <f>ROUND(IFERROR(((LOOKUP(2,1/(B195=A212),((SUM(B208:B210)+SUM(F208:F210))/3)*C195))),0)+IFERROR(((LOOKUP(2,1/(E195=A212),(B214+F214)*F195))),0),2)</f>
        <v>0</v>
      </c>
      <c r="D212" s="23">
        <f>ROUND(IF(B212=0,0,D201/L183*P186*50%),2)</f>
        <v>0</v>
      </c>
      <c r="E212" s="23">
        <f>ROUND(IF(B212=0,0,E201/N179*P186*50%),2)</f>
        <v>0</v>
      </c>
      <c r="F212" s="24">
        <f>ROUND(IF(P186=0,0,IFERROR(((LOOKUP(2,1/(A190:A193=A212),H190:H193))/N179*P186),F211/P186*P186*50%)),2)</f>
        <v>0</v>
      </c>
      <c r="G212" s="27">
        <f t="shared" si="22"/>
        <v>0</v>
      </c>
      <c r="H212" s="76">
        <f>ROUND(IF(SUM(B202:F211)&lt;(L217*10),IF((SUM(B202:F212))&gt;(L217*11),(((L217*11)-(SUM(B202:F212)-C211))*H201)+((SUM(B212:F212)-C211)*H201),SUM(B212:F212)*H201),IF(SUM(B202:F212)&gt;(L217*11),L217*H201,SUM(B212:F212)*H201)),2)</f>
        <v>0</v>
      </c>
      <c r="I212" s="76">
        <f>ROUND(IF((SUM(B202:F212)*80%)&gt;((L218*11)*90%),((((L218*11)*90%)-((SUM(B202:F212)-C212))*I201)+((SUM(B212:F212)-C212)*I201)*80%),((SUM(B212:F212)-C212)*I201)*80%),2)</f>
        <v>0</v>
      </c>
      <c r="J212" s="76">
        <f>ROUND(IF(SUM(B202:F211)&lt;(L218*10),IF((SUM(B202:F212))&gt;(L218*11),(((L218*11)-(SUM(B202:F212)-C211))*J201)+((SUM(B212:F212)-C211)*J201),SUM(B212:F212)*J201),IF(SUM(B202:F212)&gt;(L218*11),L218*J201,SUM(B212:F212)*J201)),2)</f>
        <v>0</v>
      </c>
      <c r="K212" s="76">
        <f>ROUND(IF(SUM(B202:F211)&lt;(L218*10),IF((SUM(B202:F212))&gt;(L218*11),(((L218*11)-(SUM(B202:F212)-C211))*K201)+((SUM(B212:F212)-C211)*K201),SUM(B212:F212)*K201),IF(SUM(B202:F212)&gt;(L218*11),L218*K201,SUM(B212:F212)*K201)),2)</f>
        <v>0</v>
      </c>
      <c r="L212" s="76">
        <f>ROUND(IF(SUM(B202:F211)&lt;(L217*10),IF((SUM(B202:F212))&gt;(L217*11),(((L217*11)-(SUM(B202:F212)-C211))*L201)+((SUM(B212:F212)-C211)*L201),SUM(B212:F212)*L201),IF(SUM(B202:F212)&gt;(L217*11),L217*L201,SUM(B212:F212)*L201)),2)</f>
        <v>0</v>
      </c>
      <c r="M212" s="76">
        <f>ROUND(IF(SUM(B202:F211)&lt;(L218*10),IF((SUM(B202:F212))&gt;(L218*11),(((L218*11)-(SUM(B202:F212)-C212))*M201)+((SUM(B212:F212)-C212)*M201),(SUM(B212:F212)-C212)*M201),IF(SUM(B202:F212)&gt;(L218*11),L218*M201,SUM(B212:F212)*M201)),2)</f>
        <v>0</v>
      </c>
      <c r="N212" s="23">
        <f>ROUND((B212+E212+F212)*N201,2)</f>
        <v>0</v>
      </c>
      <c r="O212" s="23">
        <f>ROUND(SUM(B212+C212+F212)*O201,2)</f>
        <v>0</v>
      </c>
      <c r="P212" s="27">
        <f t="shared" si="23"/>
        <v>0</v>
      </c>
    </row>
    <row r="213" spans="1:16" s="20" customFormat="1" x14ac:dyDescent="0.2">
      <c r="A213" s="100" t="str">
        <f>$A$37</f>
        <v>Dez 2022</v>
      </c>
      <c r="B213" s="24">
        <f>ROUND(IF(P187=0,0,IFERROR(((LOOKUP(2,1/(A190:A193=A213),G190:G193))*P187*4.348*50%),B212/P187*P187)),2)</f>
        <v>0</v>
      </c>
      <c r="C213" s="23">
        <f>ROUND(IFERROR(((LOOKUP(2,1/(B195=A213),((SUM(B208:B210)+SUM(F208:F210))/3)*C195))),0)+IFERROR(((LOOKUP(2,1/(E195=A213),(B214+F214)*F195))),0),2)</f>
        <v>0</v>
      </c>
      <c r="D213" s="23">
        <f>ROUND(IF(B213=0,0,D201/L183*P187*50%),2)</f>
        <v>0</v>
      </c>
      <c r="E213" s="23">
        <f>ROUND(IF(B213=0,0,E201/N179*P187*50%),2)</f>
        <v>0</v>
      </c>
      <c r="F213" s="24">
        <f>ROUND(IF(P187=0,0,IFERROR(((LOOKUP(2,1/(A190:A193=A213),H190:H193))/N179*P187),F212/P187*P187*50%)),2)</f>
        <v>0</v>
      </c>
      <c r="G213" s="27">
        <f t="shared" si="22"/>
        <v>0</v>
      </c>
      <c r="H213" s="76">
        <f>ROUND(IF(SUM(B202:F212)&lt;(L217*11),IF((SUM(B202:F213))&gt;(L217*12),(((L217*12)-(SUM(B202:F213)-C212))*H201)+((SUM(B213:F213)-C212)*H201),SUM(B213:F213)*H201),IF(SUM(B202:F213)&gt;(L217*12),L217*H201,SUM(B213:F213)*H201)),2)</f>
        <v>0</v>
      </c>
      <c r="I213" s="76">
        <f>ROUND(IF((SUM(B202:F213)*80%)&gt;((L218*12)*90%),((((L218*12)*90%)-((SUM(B202:F213)-C213))*I201)+((SUM(B213:F213)-C213)*I201)*80%),((SUM(B213:F213)-C213)*I201)*80%),2)</f>
        <v>0</v>
      </c>
      <c r="J213" s="76">
        <f>ROUND(IF(SUM(B202:F212)&lt;(L218*11),IF((SUM(B202:F213))&gt;(L218*12),(((L218*12)-(SUM(B202:F213)-C212))*J201)+((SUM(B213:F213)-C212)*J201),SUM(B213:F213)*J201),IF(SUM(B202:F213)&gt;(L218*12),L218*J201,SUM(B213:F213)*J201)),2)</f>
        <v>0</v>
      </c>
      <c r="K213" s="76">
        <f>ROUND(IF(SUM(B202:F212)&lt;(L218*11),IF((SUM(B202:F213))&gt;(L218*12),(((L218*12)-(SUM(B202:F213)-C212))*K201)+((SUM(B213:F213)-C212)*K201),SUM(B213:F213)*K201),IF(SUM(B202:F213)&gt;(L218*12),L218*K201,SUM(B213:F213)*K201)),2)</f>
        <v>0</v>
      </c>
      <c r="L213" s="76">
        <f>ROUND(IF(SUM(B202:F212)&lt;(L217*11),IF((SUM(B202:F213))&gt;(L217*12),(((L217*12)-(SUM(B202:F213)-C212))*L201)+((SUM(B213:F213)-C212)*L201),SUM(B213:F213)*L201),IF(SUM(B202:F213)&gt;(L217*12),L217*L201,SUM(B213:F213)*L201)),2)</f>
        <v>0</v>
      </c>
      <c r="M213" s="76">
        <f>ROUND(IF(SUM(B202:F212)&lt;(L218*11),IF((SUM(B202:F213))&gt;(L218*12),(((L218*12)-(SUM(B202:F213)-C213))*M201)+((SUM(B213:F213)-C213)*M201),(SUM(B213:F213)-C213)*M201),IF(SUM(B202:F213)&gt;(L218*12),L218*M201,SUM(B213:F213)*M201)),2)</f>
        <v>0</v>
      </c>
      <c r="N213" s="23">
        <f>ROUND((B213+E213+F213)*N201,2)</f>
        <v>0</v>
      </c>
      <c r="O213" s="23">
        <f>ROUND(SUM(B213+C213+F213)*O201,2)</f>
        <v>0</v>
      </c>
      <c r="P213" s="27">
        <f>SUM(G213:O213)</f>
        <v>0</v>
      </c>
    </row>
    <row r="214" spans="1:16" s="20" customFormat="1" x14ac:dyDescent="0.2">
      <c r="A214" s="4" t="s">
        <v>2</v>
      </c>
      <c r="B214" s="27">
        <f>SUM(B202:B213)</f>
        <v>0</v>
      </c>
      <c r="C214" s="27">
        <f t="shared" ref="C214" si="24">SUM(C202:C213)</f>
        <v>0</v>
      </c>
      <c r="D214" s="27">
        <f>SUM(D202:D213)</f>
        <v>0</v>
      </c>
      <c r="E214" s="27">
        <f t="shared" ref="E214:G214" si="25">SUM(E202:E213)</f>
        <v>0</v>
      </c>
      <c r="F214" s="27">
        <f t="shared" si="25"/>
        <v>0</v>
      </c>
      <c r="G214" s="27">
        <f t="shared" si="25"/>
        <v>0</v>
      </c>
      <c r="H214" s="1133">
        <f>SUM(H202:M213)</f>
        <v>0</v>
      </c>
      <c r="I214" s="1134"/>
      <c r="J214" s="1134"/>
      <c r="K214" s="1134"/>
      <c r="L214" s="1134"/>
      <c r="M214" s="1134"/>
      <c r="N214" s="27">
        <f>SUM(N202:N213)</f>
        <v>0</v>
      </c>
      <c r="O214" s="27">
        <f>SUM(O202:O213)</f>
        <v>0</v>
      </c>
      <c r="P214" s="27">
        <f>SUM(P202:P213)</f>
        <v>0</v>
      </c>
    </row>
    <row r="215" spans="1:16" s="13" customFormat="1" ht="11.25" x14ac:dyDescent="0.2">
      <c r="A215" s="3" t="s">
        <v>1</v>
      </c>
      <c r="B215" s="2"/>
      <c r="C215" s="2"/>
      <c r="D215" s="2"/>
      <c r="E215" s="2"/>
      <c r="F215" s="2"/>
      <c r="G215" s="2"/>
      <c r="H215" s="2"/>
      <c r="I215" s="2"/>
      <c r="J215" s="2"/>
      <c r="K215" s="2"/>
      <c r="L215" s="2"/>
      <c r="M215" s="2"/>
      <c r="N215" s="2"/>
      <c r="O215" s="2"/>
      <c r="P215" s="2"/>
    </row>
    <row r="216" spans="1:16" ht="14.25" customHeight="1" x14ac:dyDescent="0.2">
      <c r="A216" s="1136" t="s">
        <v>133</v>
      </c>
      <c r="B216" s="1137"/>
      <c r="C216" s="1137"/>
      <c r="D216" s="1137" t="s">
        <v>134</v>
      </c>
      <c r="E216" s="1137"/>
      <c r="F216" s="94" t="str">
        <f>IF(IF(G214=0,"",$F$40)=0,"",IF(G214=0,"",$F$40))</f>
        <v/>
      </c>
      <c r="G216" s="77" t="s">
        <v>135</v>
      </c>
      <c r="H216" s="96" t="str">
        <f>IF(IF(G214=0,"",$H$40)=0,"",IF(G214=0,"",$H$40))</f>
        <v/>
      </c>
      <c r="I216" s="73"/>
      <c r="J216" s="78" t="s">
        <v>160</v>
      </c>
      <c r="K216" s="78" t="str">
        <f>$K$40</f>
        <v>2021</v>
      </c>
      <c r="L216" s="78" t="str">
        <f>$L$40</f>
        <v>anteilig 2021</v>
      </c>
      <c r="M216" s="1138" t="s">
        <v>140</v>
      </c>
      <c r="N216" s="1138"/>
      <c r="O216" s="1139"/>
      <c r="P216" s="27">
        <f>ROUND(IF(F216="",IF(E220="",0,(E220*H220/K220)/L183*L184),G214*F216*H216/1000),2)</f>
        <v>0</v>
      </c>
    </row>
    <row r="217" spans="1:16" ht="15" customHeight="1" x14ac:dyDescent="0.2">
      <c r="A217" s="1140" t="s">
        <v>145</v>
      </c>
      <c r="B217" s="1141"/>
      <c r="C217" s="1141"/>
      <c r="D217" s="18"/>
      <c r="E217" s="107" t="s">
        <v>135</v>
      </c>
      <c r="F217" s="95" t="str">
        <f>IF(IF(G214=0,"",$F$41)=0,"",IF(G214=0,"",$F$41))</f>
        <v/>
      </c>
      <c r="G217" s="48"/>
      <c r="H217" s="47"/>
      <c r="I217" s="48"/>
      <c r="J217" s="79" t="s">
        <v>158</v>
      </c>
      <c r="K217" s="81">
        <f>$K$41</f>
        <v>4837.5</v>
      </c>
      <c r="L217" s="81">
        <f>IF(L183="",K217,K217/L183*L184)</f>
        <v>4837.5</v>
      </c>
      <c r="M217" s="1138" t="s">
        <v>139</v>
      </c>
      <c r="N217" s="1138"/>
      <c r="O217" s="1139"/>
      <c r="P217" s="27">
        <f>ROUND(IF(F217="",0,G214*F217/1000),2)</f>
        <v>0</v>
      </c>
    </row>
    <row r="218" spans="1:16" ht="15.75" customHeight="1" x14ac:dyDescent="0.2">
      <c r="A218" s="1142" t="s">
        <v>141</v>
      </c>
      <c r="B218" s="1143"/>
      <c r="C218" s="1143"/>
      <c r="D218" s="1144" t="s">
        <v>143</v>
      </c>
      <c r="E218" s="1144"/>
      <c r="F218" s="1145" t="str">
        <f>IF(IF(G214=0,"",$F$42)=0,"",IF(G214=0,"",$F$42))</f>
        <v/>
      </c>
      <c r="G218" s="1145"/>
      <c r="H218" s="72"/>
      <c r="I218" s="18"/>
      <c r="J218" s="79" t="s">
        <v>159</v>
      </c>
      <c r="K218" s="81">
        <f>$K$42</f>
        <v>6700</v>
      </c>
      <c r="L218" s="81">
        <f>IF(L183="",K218,K218/L183*L184)</f>
        <v>6700</v>
      </c>
      <c r="M218" s="1138" t="s">
        <v>141</v>
      </c>
      <c r="N218" s="1138"/>
      <c r="O218" s="1139"/>
      <c r="P218" s="23">
        <f>ROUND(IF(F218="",0,IF(G214=0,0,F218/L183*L184)),2)</f>
        <v>0</v>
      </c>
    </row>
    <row r="219" spans="1:16" ht="14.25" customHeight="1" x14ac:dyDescent="0.2">
      <c r="A219" s="18"/>
      <c r="B219" s="18"/>
      <c r="C219" s="18"/>
      <c r="D219" s="18"/>
      <c r="E219" s="18"/>
      <c r="F219" s="18"/>
      <c r="G219" s="18"/>
      <c r="H219" s="18"/>
      <c r="I219" s="18"/>
      <c r="J219" s="18"/>
      <c r="K219" s="74"/>
      <c r="L219" s="82"/>
      <c r="M219" s="1127" t="s">
        <v>146</v>
      </c>
      <c r="N219" s="1127"/>
      <c r="O219" s="1128"/>
      <c r="P219" s="23">
        <f>ROUND(IF(G214=0,0,$P$43),2)</f>
        <v>0</v>
      </c>
    </row>
    <row r="220" spans="1:16" ht="14.25" customHeight="1" x14ac:dyDescent="0.2">
      <c r="A220" s="1129" t="s">
        <v>142</v>
      </c>
      <c r="B220" s="1130"/>
      <c r="C220" s="148" t="s">
        <v>136</v>
      </c>
      <c r="D220" s="184" t="s">
        <v>137</v>
      </c>
      <c r="E220" s="1131" t="str">
        <f>IF(IF(G214=0,"",$E$44)=0,"",IF(G214=0,"",$E$44))</f>
        <v/>
      </c>
      <c r="F220" s="1131"/>
      <c r="G220" s="83" t="s">
        <v>138</v>
      </c>
      <c r="H220" s="97" t="str">
        <f>IF(IF(G214=0,"",$H$44)=0,"",IF(G214=0,"",$H$44))</f>
        <v/>
      </c>
      <c r="I220" s="1132" t="s">
        <v>144</v>
      </c>
      <c r="J220" s="1132"/>
      <c r="K220" s="98" t="str">
        <f>IF(IF(G214=0,"",$K$44)=0,"",IF(G214=0,"",$K$44))</f>
        <v/>
      </c>
      <c r="L220" s="29"/>
      <c r="M220" s="29"/>
      <c r="N220" s="29"/>
      <c r="O220" s="28" t="s">
        <v>0</v>
      </c>
      <c r="P220" s="27">
        <f>P214+SUM(P216:P219)</f>
        <v>0</v>
      </c>
    </row>
    <row r="221" spans="1:16" s="12" customFormat="1" ht="13.5" customHeight="1" x14ac:dyDescent="0.2">
      <c r="A221" s="1178" t="s">
        <v>18</v>
      </c>
      <c r="B221" s="1178"/>
      <c r="C221" s="1178"/>
      <c r="D221" s="1179" t="str">
        <f>IF($D$1="","",$D$1)</f>
        <v/>
      </c>
      <c r="E221" s="1179"/>
      <c r="F221" s="1179"/>
      <c r="G221" s="1179"/>
      <c r="H221" s="1179"/>
      <c r="I221" s="1179"/>
      <c r="J221" s="1179"/>
      <c r="K221" s="1179"/>
      <c r="L221" s="1179"/>
      <c r="M221" s="1179"/>
      <c r="N221" s="1179"/>
    </row>
    <row r="222" spans="1:16" s="12" customFormat="1" ht="15" customHeight="1" x14ac:dyDescent="0.2">
      <c r="A222" s="1178" t="s">
        <v>17</v>
      </c>
      <c r="B222" s="1178"/>
      <c r="C222" s="1178" t="s">
        <v>15</v>
      </c>
      <c r="D222" s="1179" t="str">
        <f>IF($D$2="","",$D$2)</f>
        <v/>
      </c>
      <c r="E222" s="1179"/>
      <c r="F222" s="1179"/>
      <c r="G222" s="1179"/>
      <c r="H222" s="1179"/>
      <c r="I222" s="1179"/>
      <c r="J222" s="1179"/>
      <c r="K222" s="1179"/>
      <c r="L222" s="1179"/>
      <c r="M222" s="1179"/>
      <c r="N222" s="1179"/>
    </row>
    <row r="223" spans="1:16" s="12" customFormat="1" ht="15" customHeight="1" x14ac:dyDescent="0.2">
      <c r="A223" s="1178" t="s">
        <v>16</v>
      </c>
      <c r="B223" s="1178"/>
      <c r="C223" s="1178" t="s">
        <v>15</v>
      </c>
      <c r="D223" s="1179" t="str">
        <f>IF($D$3="","",$D$3)</f>
        <v/>
      </c>
      <c r="E223" s="1179"/>
      <c r="F223" s="1179"/>
      <c r="G223" s="1179"/>
      <c r="H223" s="1179"/>
      <c r="I223" s="1179"/>
      <c r="J223" s="1179"/>
      <c r="K223" s="1178" t="s">
        <v>103</v>
      </c>
      <c r="L223" s="1178"/>
      <c r="M223" s="1178"/>
      <c r="N223" s="41" t="str">
        <f>IF($N$3="","",$N$3)</f>
        <v/>
      </c>
    </row>
    <row r="224" spans="1:16" s="13" customFormat="1" ht="11.25" x14ac:dyDescent="0.2">
      <c r="A224" s="1182"/>
      <c r="B224" s="1182"/>
      <c r="C224" s="1182"/>
      <c r="D224" s="1183"/>
      <c r="E224" s="1183"/>
      <c r="F224" s="1183"/>
      <c r="G224" s="1183"/>
      <c r="H224" s="1183"/>
      <c r="I224" s="1183"/>
      <c r="J224" s="1183"/>
      <c r="K224" s="11"/>
      <c r="L224" s="11"/>
      <c r="M224" s="11"/>
      <c r="N224" s="11"/>
      <c r="O224" s="11"/>
      <c r="P224" s="11"/>
    </row>
    <row r="225" spans="1:16" s="20" customFormat="1" x14ac:dyDescent="0.2">
      <c r="A225" s="1177" t="s">
        <v>220</v>
      </c>
      <c r="B225" s="1177"/>
      <c r="C225" s="1177"/>
      <c r="D225" s="1177"/>
      <c r="E225" s="1177"/>
      <c r="F225" s="1177"/>
      <c r="G225" s="1177"/>
      <c r="H225" s="1177"/>
      <c r="I225" s="1177"/>
      <c r="J225" s="1177"/>
      <c r="K225" s="1177"/>
      <c r="L225" s="1177"/>
      <c r="M225" s="1177"/>
      <c r="N225" s="59" t="s">
        <v>154</v>
      </c>
      <c r="O225" s="191">
        <f>$O$5</f>
        <v>2022</v>
      </c>
      <c r="P225" s="59" t="s">
        <v>154</v>
      </c>
    </row>
    <row r="226" spans="1:16" s="10" customFormat="1" ht="13.5" customHeight="1" x14ac:dyDescent="0.25">
      <c r="B226" s="32"/>
      <c r="C226" s="32"/>
      <c r="D226" s="5" t="s">
        <v>66</v>
      </c>
      <c r="E226" s="31"/>
      <c r="F226" s="31"/>
      <c r="G226" s="31"/>
      <c r="H226" s="31"/>
      <c r="I226" s="26"/>
      <c r="J226" s="1174" t="s">
        <v>14</v>
      </c>
      <c r="K226" s="1174"/>
      <c r="L226" s="180"/>
      <c r="N226" s="84">
        <f>IF(L228="","",L228)</f>
        <v>0</v>
      </c>
      <c r="O226" s="58" t="str">
        <f>'päd.Personal - Leitung'!$O$6</f>
        <v>Jan                Jul</v>
      </c>
      <c r="P226" s="85">
        <f>IF(N231="","",N231)</f>
        <v>0</v>
      </c>
    </row>
    <row r="227" spans="1:16" s="7" customFormat="1" ht="13.5" customHeight="1" x14ac:dyDescent="0.25">
      <c r="A227" s="1180" t="s">
        <v>71</v>
      </c>
      <c r="B227" s="1180"/>
      <c r="C227" s="1180"/>
      <c r="D227" s="1184"/>
      <c r="E227" s="1184"/>
      <c r="F227" s="1184"/>
      <c r="G227" s="1184"/>
      <c r="H227" s="1184"/>
      <c r="I227" s="1184"/>
      <c r="J227" s="1174" t="s">
        <v>104</v>
      </c>
      <c r="K227" s="1174"/>
      <c r="L227" s="145"/>
      <c r="N227" s="85">
        <f>IF(N226="","",N226)</f>
        <v>0</v>
      </c>
      <c r="O227" s="58" t="str">
        <f>'päd.Personal - Leitung'!$O$7</f>
        <v>Feb              Aug</v>
      </c>
      <c r="P227" s="85">
        <f>IF(P226="","",P226)</f>
        <v>0</v>
      </c>
    </row>
    <row r="228" spans="1:16" ht="13.5" customHeight="1" x14ac:dyDescent="0.2">
      <c r="A228" s="1180" t="s">
        <v>13</v>
      </c>
      <c r="B228" s="1180"/>
      <c r="C228" s="1180"/>
      <c r="D228" s="1181"/>
      <c r="E228" s="1181"/>
      <c r="F228" s="1181"/>
      <c r="G228" s="1181"/>
      <c r="H228" s="1181"/>
      <c r="I228" s="1181"/>
      <c r="J228" s="1174" t="s">
        <v>222</v>
      </c>
      <c r="K228" s="1174"/>
      <c r="L228" s="145">
        <f>IF(L229&gt;L227,0,L227-L229)</f>
        <v>0</v>
      </c>
      <c r="N228" s="85">
        <f>IF(N227="","",N227)</f>
        <v>0</v>
      </c>
      <c r="O228" s="58" t="str">
        <f>'päd.Personal - Leitung'!$O$8</f>
        <v>Mrz              Sep</v>
      </c>
      <c r="P228" s="85">
        <f>IF(P227="","",P227)</f>
        <v>0</v>
      </c>
    </row>
    <row r="229" spans="1:16" ht="13.5" customHeight="1" x14ac:dyDescent="0.2">
      <c r="A229" s="1180" t="s">
        <v>12</v>
      </c>
      <c r="B229" s="1180"/>
      <c r="C229" s="1180"/>
      <c r="D229" s="1181"/>
      <c r="E229" s="1181"/>
      <c r="F229" s="1181"/>
      <c r="G229" s="1181"/>
      <c r="H229" s="1181"/>
      <c r="I229" s="1181"/>
      <c r="J229" s="1174" t="s">
        <v>223</v>
      </c>
      <c r="K229" s="1174"/>
      <c r="L229" s="145"/>
      <c r="N229" s="85">
        <f>IF(N228="","",N228)</f>
        <v>0</v>
      </c>
      <c r="O229" s="58" t="str">
        <f>'päd.Personal - Leitung'!$O$9</f>
        <v>Apr               Okt</v>
      </c>
      <c r="P229" s="85">
        <f t="shared" ref="P229:P231" si="26">IF(P228="","",P228)</f>
        <v>0</v>
      </c>
    </row>
    <row r="230" spans="1:16" ht="13.5" customHeight="1" x14ac:dyDescent="0.2">
      <c r="A230" s="1180" t="s">
        <v>19</v>
      </c>
      <c r="B230" s="1180"/>
      <c r="C230" s="1180"/>
      <c r="D230" s="1181"/>
      <c r="E230" s="1181"/>
      <c r="F230" s="1181"/>
      <c r="G230" s="1181"/>
      <c r="H230" s="1181"/>
      <c r="I230" s="1181"/>
      <c r="J230" s="1174" t="s">
        <v>97</v>
      </c>
      <c r="K230" s="1174"/>
      <c r="L230" s="17" t="str">
        <f>IF(IF((COUNTIF(B246:B257,"&gt;0"))=0,0,(COUNTIF(B246:B257,"&gt;0")))&gt;Grundlagen!$C$24,Grundlagen!$C$24,IF((COUNTIF(B246:B257,"&gt;0"))=0,"",(COUNTIF(B246:B257,"&gt;0"))))</f>
        <v/>
      </c>
      <c r="M230" s="92"/>
      <c r="N230" s="85">
        <f>IF(N229="","",N229)</f>
        <v>0</v>
      </c>
      <c r="O230" s="58" t="str">
        <f>'päd.Personal - Leitung'!$O$10</f>
        <v>Mai               Nov</v>
      </c>
      <c r="P230" s="85">
        <f t="shared" si="26"/>
        <v>0</v>
      </c>
    </row>
    <row r="231" spans="1:16" ht="13.5" customHeight="1" x14ac:dyDescent="0.2">
      <c r="B231" s="8"/>
      <c r="C231" s="141" t="s">
        <v>162</v>
      </c>
      <c r="D231" s="1175"/>
      <c r="E231" s="1175"/>
      <c r="F231" s="1176" t="s">
        <v>113</v>
      </c>
      <c r="G231" s="1176"/>
      <c r="H231" s="1186"/>
      <c r="I231" s="1186"/>
      <c r="L231" s="147" t="str">
        <f>IF((SUM(F234:F237))=0,"",IF(P232&gt;L228,L228,IF(L228="","",IF(L230="","",P232))))</f>
        <v/>
      </c>
      <c r="N231" s="85">
        <f>IF(N230="","",N230)</f>
        <v>0</v>
      </c>
      <c r="O231" s="58" t="str">
        <f>'päd.Personal - Leitung'!$O$11</f>
        <v>Jun               Dez</v>
      </c>
      <c r="P231" s="85">
        <f t="shared" si="26"/>
        <v>0</v>
      </c>
    </row>
    <row r="232" spans="1:16" ht="13.5" customHeight="1" x14ac:dyDescent="0.2">
      <c r="F232" s="1176" t="s">
        <v>241</v>
      </c>
      <c r="G232" s="1176"/>
      <c r="H232" s="1186"/>
      <c r="I232" s="1186"/>
      <c r="O232" s="174" t="s">
        <v>251</v>
      </c>
      <c r="P232" s="175">
        <f>IF(L230="",0,((IF(SUMIF(B246,"&gt;0"),N226,0))+(IF(SUMIF(B247,"&gt;0"),N227,0))+(IF(SUMIF(B248,"&gt;0"),N228,0))+(IF(SUMIF(B249,"&gt;0"),N229,0))+(IF(SUMIF(B250,"&gt;0"),N230,0))+(IF(SUMIF(B251,"&gt;0"),N231,0))+(IF(SUMIF(B252,"&gt;0"),P226,0))+(IF(SUMIF(B253,"&gt;0"),P227,0))+(IF(SUMIF(B254,"&gt;0"),P228,0))+(IF(SUMIF(B255,"&gt;0"),P229,0))+(IF(SUMIF(B256,"&gt;0"),P230,0))+(IF(SUMIF(B257,"&gt;0"),P231,0)))/Grundlagen!$C$24)</f>
        <v>0</v>
      </c>
    </row>
    <row r="233" spans="1:16" s="52" customFormat="1" ht="13.5" customHeight="1" x14ac:dyDescent="0.2">
      <c r="A233" s="61" t="s">
        <v>148</v>
      </c>
      <c r="B233" s="1168" t="s">
        <v>149</v>
      </c>
      <c r="C233" s="1168"/>
      <c r="D233" s="62" t="s">
        <v>150</v>
      </c>
      <c r="E233" s="63" t="s">
        <v>151</v>
      </c>
      <c r="F233" s="64" t="str">
        <f>CONCATENATE("Entg. ",N223," h/Wo")</f>
        <v>Entg.  h/Wo</v>
      </c>
      <c r="G233" s="65" t="s">
        <v>152</v>
      </c>
      <c r="H233" s="65" t="s">
        <v>153</v>
      </c>
      <c r="K233" s="1169" t="str">
        <f>CONCATENATE("Zuschläge / Zulagen für ",N223,"h/Wo")</f>
        <v>Zuschläge / Zulagen für h/Wo</v>
      </c>
      <c r="L233" s="1169"/>
      <c r="M233" s="66" t="str">
        <f>IF(A234="","",A234)</f>
        <v>Jan 2022</v>
      </c>
      <c r="N233" s="66" t="str">
        <f>IF(A235="","",A235)</f>
        <v/>
      </c>
      <c r="O233" s="66" t="str">
        <f>IF(A236="","",A236)</f>
        <v/>
      </c>
      <c r="P233" s="66" t="str">
        <f>IF(A237="","",A237)</f>
        <v/>
      </c>
    </row>
    <row r="234" spans="1:16" s="52" customFormat="1" ht="13.5" customHeight="1" x14ac:dyDescent="0.25">
      <c r="A234" s="55" t="str">
        <f>A246</f>
        <v>Jan 2022</v>
      </c>
      <c r="B234" s="1170" t="str">
        <f>IF($D$3="","",$D$3)</f>
        <v/>
      </c>
      <c r="C234" s="1171"/>
      <c r="D234" s="181"/>
      <c r="E234" s="181"/>
      <c r="F234" s="87"/>
      <c r="G234" s="56">
        <f>IF(N223="",0,F234/N223/4.348)</f>
        <v>0</v>
      </c>
      <c r="H234" s="53">
        <f>IF(G234=0,0,M239)</f>
        <v>0</v>
      </c>
      <c r="K234" s="1146"/>
      <c r="L234" s="1146"/>
      <c r="M234" s="86"/>
      <c r="N234" s="86"/>
      <c r="O234" s="86"/>
      <c r="P234" s="86"/>
    </row>
    <row r="235" spans="1:16" s="52" customFormat="1" ht="13.5" customHeight="1" x14ac:dyDescent="0.25">
      <c r="A235" s="55"/>
      <c r="B235" s="1172" t="str">
        <f>IF(A235="","",B234)</f>
        <v/>
      </c>
      <c r="C235" s="1173"/>
      <c r="D235" s="181"/>
      <c r="E235" s="181"/>
      <c r="F235" s="87"/>
      <c r="G235" s="56">
        <f>IF(N223="",0,F235/N223/4.348)</f>
        <v>0</v>
      </c>
      <c r="H235" s="53">
        <f>IF(G235=0,0,N239)</f>
        <v>0</v>
      </c>
      <c r="K235" s="1146"/>
      <c r="L235" s="1146"/>
      <c r="M235" s="86"/>
      <c r="N235" s="86"/>
      <c r="O235" s="86"/>
      <c r="P235" s="86"/>
    </row>
    <row r="236" spans="1:16" s="52" customFormat="1" ht="13.5" customHeight="1" x14ac:dyDescent="0.25">
      <c r="A236" s="55"/>
      <c r="B236" s="1172" t="str">
        <f>IF(A236="","",B235)</f>
        <v/>
      </c>
      <c r="C236" s="1173"/>
      <c r="D236" s="181"/>
      <c r="E236" s="181"/>
      <c r="F236" s="87"/>
      <c r="G236" s="56">
        <f>IF(N223="",0,F236/N223/4.348)</f>
        <v>0</v>
      </c>
      <c r="H236" s="53">
        <f>IF(G236=0,0,O239)</f>
        <v>0</v>
      </c>
      <c r="K236" s="1146"/>
      <c r="L236" s="1146"/>
      <c r="M236" s="86"/>
      <c r="N236" s="86"/>
      <c r="O236" s="86"/>
      <c r="P236" s="86"/>
    </row>
    <row r="237" spans="1:16" s="52" customFormat="1" ht="13.5" customHeight="1" x14ac:dyDescent="0.25">
      <c r="A237" s="55"/>
      <c r="B237" s="1172" t="str">
        <f>IF(A237="","",B236)</f>
        <v/>
      </c>
      <c r="C237" s="1173"/>
      <c r="D237" s="181"/>
      <c r="E237" s="181"/>
      <c r="F237" s="87"/>
      <c r="G237" s="56">
        <f>IF(N223="",0,F237/N223/4.348)</f>
        <v>0</v>
      </c>
      <c r="H237" s="53">
        <f>IF(G237=0,0,P239)</f>
        <v>0</v>
      </c>
      <c r="K237" s="1146"/>
      <c r="L237" s="1146"/>
      <c r="M237" s="86"/>
      <c r="N237" s="86"/>
      <c r="O237" s="86"/>
      <c r="P237" s="86"/>
    </row>
    <row r="238" spans="1:16" s="52" customFormat="1" ht="13.5" customHeight="1" x14ac:dyDescent="0.25">
      <c r="B238" s="1167" t="s">
        <v>157</v>
      </c>
      <c r="C238" s="1167"/>
      <c r="E238" s="1167" t="s">
        <v>156</v>
      </c>
      <c r="F238" s="1167"/>
      <c r="J238" s="69"/>
      <c r="K238" s="1146"/>
      <c r="L238" s="1146"/>
      <c r="M238" s="86"/>
      <c r="N238" s="86"/>
      <c r="O238" s="86"/>
      <c r="P238" s="86"/>
    </row>
    <row r="239" spans="1:16" s="52" customFormat="1" ht="13.5" customHeight="1" x14ac:dyDescent="0.25">
      <c r="A239" s="70" t="s">
        <v>167</v>
      </c>
      <c r="B239" s="67"/>
      <c r="C239" s="99" t="str">
        <f>IF(C195="","",C195)</f>
        <v/>
      </c>
      <c r="D239" s="70" t="s">
        <v>167</v>
      </c>
      <c r="E239" s="67"/>
      <c r="F239" s="99" t="str">
        <f>IF(F195="","",F195)</f>
        <v/>
      </c>
      <c r="J239" s="68"/>
      <c r="M239" s="57">
        <f>SUM(M234:M238)</f>
        <v>0</v>
      </c>
      <c r="N239" s="57">
        <f t="shared" ref="N239:P239" si="27">SUM(N234:N238)</f>
        <v>0</v>
      </c>
      <c r="O239" s="57">
        <f t="shared" si="27"/>
        <v>0</v>
      </c>
      <c r="P239" s="57">
        <f t="shared" si="27"/>
        <v>0</v>
      </c>
    </row>
    <row r="240" spans="1:16" s="52" customFormat="1" ht="13.5" customHeight="1" x14ac:dyDescent="0.2">
      <c r="A240" s="60" t="s">
        <v>155</v>
      </c>
    </row>
    <row r="241" spans="1:16" s="20" customFormat="1" ht="14.25" customHeight="1" x14ac:dyDescent="0.2">
      <c r="A241" s="1147"/>
      <c r="B241" s="1149" t="s">
        <v>9</v>
      </c>
      <c r="C241" s="1150"/>
      <c r="D241" s="1150"/>
      <c r="E241" s="1150"/>
      <c r="F241" s="1150"/>
      <c r="G241" s="1151"/>
      <c r="H241" s="1152" t="s">
        <v>119</v>
      </c>
      <c r="I241" s="1153"/>
      <c r="J241" s="1153"/>
      <c r="K241" s="1153"/>
      <c r="L241" s="1153"/>
      <c r="M241" s="1153"/>
      <c r="N241" s="1195" t="s">
        <v>112</v>
      </c>
      <c r="O241" s="33"/>
      <c r="P241" s="1154" t="s">
        <v>0</v>
      </c>
    </row>
    <row r="242" spans="1:16" s="20" customFormat="1" ht="14.25" customHeight="1" x14ac:dyDescent="0.2">
      <c r="A242" s="1148"/>
      <c r="B242" s="1157" t="s">
        <v>117</v>
      </c>
      <c r="C242" s="144" t="s">
        <v>115</v>
      </c>
      <c r="D242" s="1159" t="s">
        <v>277</v>
      </c>
      <c r="E242" s="1161" t="s">
        <v>147</v>
      </c>
      <c r="F242" s="149" t="s">
        <v>7</v>
      </c>
      <c r="G242" s="1162" t="s">
        <v>6</v>
      </c>
      <c r="H242" s="1161" t="s">
        <v>129</v>
      </c>
      <c r="I242" s="1161" t="s">
        <v>111</v>
      </c>
      <c r="J242" s="1161" t="s">
        <v>5</v>
      </c>
      <c r="K242" s="1161" t="s">
        <v>4</v>
      </c>
      <c r="L242" s="1161" t="s">
        <v>3</v>
      </c>
      <c r="M242" s="1161" t="s">
        <v>98</v>
      </c>
      <c r="N242" s="1196"/>
      <c r="O242" s="1160" t="s">
        <v>114</v>
      </c>
      <c r="P242" s="1155"/>
    </row>
    <row r="243" spans="1:16" s="20" customFormat="1" ht="14.25" customHeight="1" x14ac:dyDescent="0.2">
      <c r="A243" s="1148"/>
      <c r="B243" s="1157"/>
      <c r="C243" s="21" t="str">
        <f>IF(C239="","",C239)</f>
        <v/>
      </c>
      <c r="D243" s="1160"/>
      <c r="E243" s="1161"/>
      <c r="F243" s="1165" t="str">
        <f>IF(H234=0,"","siehe Zuschläge / Zulagen")</f>
        <v/>
      </c>
      <c r="G243" s="1162"/>
      <c r="H243" s="1164" t="s">
        <v>127</v>
      </c>
      <c r="I243" s="1161"/>
      <c r="J243" s="1164"/>
      <c r="K243" s="1164"/>
      <c r="L243" s="1164"/>
      <c r="M243" s="1161"/>
      <c r="N243" s="1196"/>
      <c r="O243" s="1160"/>
      <c r="P243" s="1155"/>
    </row>
    <row r="244" spans="1:16" s="20" customFormat="1" x14ac:dyDescent="0.2">
      <c r="A244" s="1148"/>
      <c r="B244" s="1157"/>
      <c r="C244" s="142" t="s">
        <v>70</v>
      </c>
      <c r="D244" s="1160"/>
      <c r="E244" s="1161"/>
      <c r="F244" s="1165"/>
      <c r="G244" s="1162"/>
      <c r="H244" s="43" t="s">
        <v>128</v>
      </c>
      <c r="I244" s="1161"/>
      <c r="J244" s="43" t="s">
        <v>255</v>
      </c>
      <c r="K244" s="43" t="s">
        <v>256</v>
      </c>
      <c r="L244" s="43" t="s">
        <v>257</v>
      </c>
      <c r="M244" s="1161"/>
      <c r="N244" s="1196"/>
      <c r="O244" s="1160"/>
      <c r="P244" s="1155"/>
    </row>
    <row r="245" spans="1:16" s="20" customFormat="1" x14ac:dyDescent="0.2">
      <c r="A245" s="1148"/>
      <c r="B245" s="1158"/>
      <c r="C245" s="21" t="str">
        <f>IF(F239="","",F239)</f>
        <v/>
      </c>
      <c r="D245" s="51"/>
      <c r="E245" s="51"/>
      <c r="F245" s="1166"/>
      <c r="G245" s="1163"/>
      <c r="H245" s="93"/>
      <c r="I245" s="21"/>
      <c r="J245" s="139">
        <f>'päd.Personal - Leitung'!$I$69</f>
        <v>0</v>
      </c>
      <c r="K245" s="139">
        <f>'päd.Personal - Leitung'!$J$69</f>
        <v>0</v>
      </c>
      <c r="L245" s="44">
        <f>'päd.Personal - Leitung'!$K$69</f>
        <v>0</v>
      </c>
      <c r="M245" s="21"/>
      <c r="N245" s="21"/>
      <c r="O245" s="21">
        <f>O201</f>
        <v>0</v>
      </c>
      <c r="P245" s="1156"/>
    </row>
    <row r="246" spans="1:16" s="20" customFormat="1" x14ac:dyDescent="0.2">
      <c r="A246" s="100" t="str">
        <f>'päd.Personal - Leitung'!$A$26</f>
        <v>Jan 2022</v>
      </c>
      <c r="B246" s="24">
        <f>ROUND(IF(N226=0,0,(LOOKUP(2,1/(A234:A237=A246),G234:G237))*N226*4.348*50%),2)</f>
        <v>0</v>
      </c>
      <c r="C246" s="23">
        <f>ROUND(IFERROR(((LOOKUP(2,1/(B239=A246),((SUM(B252:B254)+SUM(F252:F254))/3)*C239))),0)+IFERROR(((LOOKUP(2,1/(E239=A246),(B258+F258)*F239))),0),2)</f>
        <v>0</v>
      </c>
      <c r="D246" s="23">
        <f>ROUND(IF(B246=0,0,D245/L227*N226*50%),2)</f>
        <v>0</v>
      </c>
      <c r="E246" s="23">
        <f>ROUND(IF(B246=0,0,E245/N223*N226*50%),2)</f>
        <v>0</v>
      </c>
      <c r="F246" s="24">
        <f>ROUND(IF(N226=0,0,(LOOKUP(2,1/(A234:A237=A246),H234:H237))/N223*N226*50%),2)</f>
        <v>0</v>
      </c>
      <c r="G246" s="27">
        <f>SUM(B246+C246+E246+F246)</f>
        <v>0</v>
      </c>
      <c r="H246" s="76">
        <f>ROUND(IF((SUM(B246:F246))&gt;L261,L261*H245,SUM(B246:F246)*H245),2)</f>
        <v>0</v>
      </c>
      <c r="I246" s="76">
        <f>ROUND(IF((SUM(B246:F246)*80%)&gt;((L262*1)*90%),((((L262*1)*90%)-((SUM(B246:F246)-C246))*I245)+((SUM(B246:F246)-C246)*I245)*80%),((SUM(B246:F246)-C246)*I245)*80%),2)</f>
        <v>0</v>
      </c>
      <c r="J246" s="76">
        <f>ROUND(IF((SUM(B246:F246))&gt;L262,L262*J245,SUM(B246:F246)*J245),2)</f>
        <v>0</v>
      </c>
      <c r="K246" s="76">
        <f>ROUND(IF((SUM(B246:F246))&gt;L262,L262*K245,SUM(B246:F246)*K245),2)</f>
        <v>0</v>
      </c>
      <c r="L246" s="76">
        <f>ROUND(IF((SUM(B246:F246))&gt;L261,L261*L245,SUM(B246:F246)*L245),2)</f>
        <v>0</v>
      </c>
      <c r="M246" s="76">
        <f>ROUND(IF((SUM(B246:F246))&gt;L262,L262*M245,(SUM(B246:F246)-C246)*M245),2)</f>
        <v>0</v>
      </c>
      <c r="N246" s="23">
        <f>ROUND((B246+E246+F246)*N245,2)</f>
        <v>0</v>
      </c>
      <c r="O246" s="23">
        <f>ROUND(SUM(B246+C246+F246)*O245,2)</f>
        <v>0</v>
      </c>
      <c r="P246" s="27">
        <f>SUM(G246:O246)</f>
        <v>0</v>
      </c>
    </row>
    <row r="247" spans="1:16" s="20" customFormat="1" x14ac:dyDescent="0.2">
      <c r="A247" s="100" t="str">
        <f>'päd.Personal - Leitung'!$A$27</f>
        <v>Feb 2022</v>
      </c>
      <c r="B247" s="24">
        <f>ROUND(IF(N227=0,0,IFERROR(((LOOKUP(2,1/(A234:A237=A247),G234:G237))*N227*4.348*50%),B246/N227*N227)),2)</f>
        <v>0</v>
      </c>
      <c r="C247" s="23">
        <f>ROUND(IFERROR(((LOOKUP(2,1/(B239=A247),((SUM(B252:B254)+SUM(F252:F254))/3)*C239))),0)+IFERROR(((LOOKUP(2,1/(E239=A247),(B258+F258)*F239))),0),2)</f>
        <v>0</v>
      </c>
      <c r="D247" s="23">
        <f>ROUND(IF(B247=0,0,D245/L227*N227*50%),2)</f>
        <v>0</v>
      </c>
      <c r="E247" s="23">
        <f>ROUND(IF(B247=0,0,E245/N223*N227*50%),2)</f>
        <v>0</v>
      </c>
      <c r="F247" s="24">
        <f>ROUND(IF(N227=0,0,IFERROR(((LOOKUP(2,1/(A234:A237=A247),H234:H237))/N223*N227),F246/N227*N227*50%)),2)</f>
        <v>0</v>
      </c>
      <c r="G247" s="27">
        <f t="shared" ref="G247:G257" si="28">SUM(B247+C247+E247+F247)</f>
        <v>0</v>
      </c>
      <c r="H247" s="76">
        <f>ROUND(IF(SUM(B246:F246)&lt;(L261*1),IF((SUM(B246:F247))&gt;(L261*2),(((L261*2)-(SUM(B246:F247)-C246))*H245)+((SUM(B247:F247)-C246)*H245),SUM(B247:F247)*H245),IF(SUM(B246:F247)&gt;(L261*2),L261*H245,SUM(B247:F247)*H245)),2)</f>
        <v>0</v>
      </c>
      <c r="I247" s="76">
        <f>ROUND(IF((SUM(B246:F247)*80%)&gt;((L262*2)*90%),((((L262*2)*90%)-((SUM(B246:F247)-C247))*I245)+((SUM(B247:F247)-C247)*I245)*80%),((SUM(B247:F247)-C247)*I245)*80%),2)</f>
        <v>0</v>
      </c>
      <c r="J247" s="76">
        <f>ROUND(IF(SUM(B246:F246)&lt;(L262*1),IF((SUM(B246:F247))&gt;(L262*2),(((L262*2)-(SUM(B246:F247)-C246))*J245)+((SUM(B247:F247)-C246)*J245),SUM(B247:F247)*J245),IF(SUM(B246:F247)&gt;(L262*2),L262*J245,SUM(B247:F247)*J245)),2)</f>
        <v>0</v>
      </c>
      <c r="K247" s="76">
        <f>ROUND(IF(SUM(B246:F246)&lt;(L262*1),IF((SUM(B246:F247))&gt;(L262*2),(((L262*2)-(SUM(B246:F247)-C246))*K245)+((SUM(B247:F247)-C246)*K245),SUM(B247:F247)*K245),IF(SUM(B246:F247)&gt;(L262*2),L262*K245,SUM(B247:F247)*K245)),2)</f>
        <v>0</v>
      </c>
      <c r="L247" s="76">
        <f>ROUND(IF(SUM(B246:F246)&lt;(L261*1),IF((SUM(B246:F247))&gt;(L261*2),(((L261*2)-(SUM(B246:F247)-C246))*L245)+((SUM(B247:F247)-C246)*L245),SUM(B247:F247)*L245),IF(SUM(B246:F247)&gt;(L261*2),L261*L245,SUM(B247:F247)*L245)),2)</f>
        <v>0</v>
      </c>
      <c r="M247" s="76">
        <f>ROUND(IF(SUM(B246:F246)&lt;(L262*1),IF((SUM(B246:F247))&gt;(L262*2),(((L262*2)-(SUM(B246:F247)-C247))*M245)+((SUM(B247:F247)-C247)*M245),(SUM(B247:F247)-C247)*M245),IF(SUM(B246:F247)&gt;(L262*2),L262*M245,SUM(B247:F247)*M245)),2)</f>
        <v>0</v>
      </c>
      <c r="N247" s="23">
        <f>ROUND((B247+E247+F247)*N245,2)</f>
        <v>0</v>
      </c>
      <c r="O247" s="23">
        <f>ROUND(SUM(B247+C247+F247)*O245,2)</f>
        <v>0</v>
      </c>
      <c r="P247" s="27">
        <f t="shared" ref="P247:P256" si="29">SUM(G247:O247)</f>
        <v>0</v>
      </c>
    </row>
    <row r="248" spans="1:16" s="20" customFormat="1" x14ac:dyDescent="0.2">
      <c r="A248" s="100" t="str">
        <f>'päd.Personal - Leitung'!$A$28</f>
        <v>Mrz 2022</v>
      </c>
      <c r="B248" s="24">
        <f>ROUND(IF(N228=0,0,IFERROR(((LOOKUP(2,1/(A234:A237=A248),G234:G237))*N228*4.348*50%),B247/N228*N228)),2)</f>
        <v>0</v>
      </c>
      <c r="C248" s="23">
        <f>ROUND(IFERROR(((LOOKUP(2,1/(B239=A248),((SUM(B252:B254)+SUM(F252:F254))/3)*C239))),0)+IFERROR(((LOOKUP(2,1/(E239=A248),(B258+F258)*F239))),0),2)</f>
        <v>0</v>
      </c>
      <c r="D248" s="23">
        <f>ROUND(IF(B248=0,0,D245/L227*N228*50%),2)</f>
        <v>0</v>
      </c>
      <c r="E248" s="23">
        <f>ROUND(IF(B248=0,0,E245/N223*N228*50%),2)</f>
        <v>0</v>
      </c>
      <c r="F248" s="24">
        <f>ROUND(IF(N228=0,0,IFERROR(((LOOKUP(2,1/(A234:A237=A248),H234:H237))/N223*N228),F247/N228*N228*50%)),2)</f>
        <v>0</v>
      </c>
      <c r="G248" s="27">
        <f t="shared" si="28"/>
        <v>0</v>
      </c>
      <c r="H248" s="76">
        <f>ROUND(IF(SUM(B246:F247)&lt;(L261*2),IF((SUM(B246:F248))&gt;(L261*3),(((L261*3)-(SUM(B246:F248)-C247))*H245)+((SUM(B248:F248)-C247)*H245),SUM(B248:F248)*H245),IF(SUM(B246:F248)&gt;(L261*3),L261*H245,SUM(B248:F248)*H245)),2)</f>
        <v>0</v>
      </c>
      <c r="I248" s="76">
        <f>ROUND(IF((SUM(B246:F248)*80%)&gt;((L262*3)*90%),((((L262*3)*90%)-((SUM(B246:F248)-C248))*I245)+((SUM(B248:F248)-C248)*I245)*80%),((SUM(B248:F248)-C248)*I245)*80%),2)</f>
        <v>0</v>
      </c>
      <c r="J248" s="76">
        <f>ROUND(IF(SUM(B246:F247)&lt;(L262*2),IF((SUM(B246:F248))&gt;(L262*3),(((L262*3)-(SUM(B246:F248)-C247))*J245)+((SUM(B248:F248)-C247)*J245),SUM(B248:F248)*J245),IF(SUM(B246:F248)&gt;(L262*3),L262*J245,SUM(B248:F248)*J245)),2)</f>
        <v>0</v>
      </c>
      <c r="K248" s="76">
        <f>ROUND(IF(SUM(B246:F247)&lt;(L262*2),IF((SUM(B246:F248))&gt;(L262*3),(((L262*3)-(SUM(B246:F248)-C247))*K245)+((SUM(B248:F248)-C247)*K245),SUM(B248:F248)*K245),IF(SUM(B246:F248)&gt;(L262*3),L262*K245,SUM(B248:F248)*K245)),2)</f>
        <v>0</v>
      </c>
      <c r="L248" s="76">
        <f>ROUND(IF(SUM(B246:F247)&lt;(L261*2),IF((SUM(B246:F248))&gt;(L261*3),(((L261*3)-(SUM(B246:F248)-C247))*L245)+((SUM(B248:F248)-C247)*L245),SUM(B248:F248)*L245),IF(SUM(B246:F248)&gt;(L261*3),L261*L245,SUM(B248:F248)*L245)),2)</f>
        <v>0</v>
      </c>
      <c r="M248" s="76">
        <f>ROUND(IF(SUM(B246:F247)&lt;(L262*2),IF((SUM(B246:F248))&gt;(L262*3),(((L262*3)-(SUM(B246:F248)-C248))*M245)+((SUM(B248:F248)-C248)*M245),(SUM(B248:F248)-C248)*M245),IF(SUM(B246:F248)&gt;(L262*3),L262*M245,SUM(B248:F248)*M245)),2)</f>
        <v>0</v>
      </c>
      <c r="N248" s="23">
        <f>ROUND((B248+E248+F248)*N245,2)</f>
        <v>0</v>
      </c>
      <c r="O248" s="23">
        <f>ROUND(SUM(B248+C248+F248)*O245,2)</f>
        <v>0</v>
      </c>
      <c r="P248" s="27">
        <f t="shared" si="29"/>
        <v>0</v>
      </c>
    </row>
    <row r="249" spans="1:16" s="20" customFormat="1" x14ac:dyDescent="0.2">
      <c r="A249" s="100" t="str">
        <f>'päd.Personal - Leitung'!$A$29</f>
        <v>Apr 2022</v>
      </c>
      <c r="B249" s="24">
        <f>ROUND(IF(N229=0,0,IFERROR(((LOOKUP(2,1/(A234:A237=A249),G234:G237))*N229*4.348*50%),B248/N229*N229)),2)</f>
        <v>0</v>
      </c>
      <c r="C249" s="23">
        <f>ROUND(IFERROR(((LOOKUP(2,1/(B239=A249),((SUM(B252:B254)+SUM(F252:F254))/3)*C239))),0)+IFERROR(((LOOKUP(2,1/(E239=A249),(B258+F258)*F239))),0),2)</f>
        <v>0</v>
      </c>
      <c r="D249" s="23">
        <f>ROUND(IF(B249=0,0,D245/L227*N229*50%),2)</f>
        <v>0</v>
      </c>
      <c r="E249" s="23">
        <f>ROUND(IF(B249=0,0,E245/N223*N229*50%),2)</f>
        <v>0</v>
      </c>
      <c r="F249" s="24">
        <f>ROUND(IF(N229=0,0,IFERROR(((LOOKUP(2,1/(A234:A237=A249),H234:H237))/N223*N229),F248/N229*N229*50%)),2)</f>
        <v>0</v>
      </c>
      <c r="G249" s="27">
        <f t="shared" si="28"/>
        <v>0</v>
      </c>
      <c r="H249" s="76">
        <f>ROUND(IF(SUM(B246:F248)&lt;(L261*3),IF((SUM(B246:F249))&gt;(L261*4),(((L261*4)-(SUM(B246:F249)-C248))*H245)+((SUM(B249:F249)-C248)*H245),SUM(B249:F249)*H245),IF(SUM(B246:F249)&gt;(L261*4),L261*H245,SUM(B249:F249)*H245)),2)</f>
        <v>0</v>
      </c>
      <c r="I249" s="76">
        <f>ROUND(IF((SUM(B246:F249)*80%)&gt;((L262*4)*90%),((((L262*4)*90%)-((SUM(B246:F249)-C249))*I245)+((SUM(B249:F249)-C249)*I245)*80%),((SUM(B249:F249)-C249)*I245)*80%),2)</f>
        <v>0</v>
      </c>
      <c r="J249" s="76">
        <f>ROUND(IF(SUM(B246:F248)&lt;(L262*3),IF((SUM(B246:F249))&gt;(L262*4),(((L262*4)-(SUM(B246:F249)-C248))*J245)+((SUM(B249:F249)-C248)*J245),SUM(B249:F249)*J245),IF(SUM(B246:F249)&gt;(L262*4),L262*J245,SUM(B249:F249)*J245)),2)</f>
        <v>0</v>
      </c>
      <c r="K249" s="76">
        <f>ROUND(IF(SUM(B246:F248)&lt;(L262*3),IF((SUM(B246:F249))&gt;(L262*4),(((L262*4)-(SUM(B246:F249)-C248))*K245)+((SUM(B249:F249)-C248)*K245),SUM(B249:F249)*K245),IF(SUM(B246:F249)&gt;(L262*4),L262*K245,SUM(B249:F249)*K245)),2)</f>
        <v>0</v>
      </c>
      <c r="L249" s="76">
        <f>ROUND(IF(SUM(B246:F248)&lt;(L261*3),IF((SUM(B246:F249))&gt;(L261*4),(((L261*4)-(SUM(B246:F249)-C248))*L245)+((SUM(B249:F249)-C248)*L245),SUM(B249:F249)*L245),IF(SUM(B246:F249)&gt;(L261*4),L261*L245,SUM(B249:F249)*L245)),2)</f>
        <v>0</v>
      </c>
      <c r="M249" s="76">
        <f>ROUND(IF(SUM(B246:F248)&lt;(L262*3),IF((SUM(B246:F249))&gt;(L262*4),(((L262*4)-(SUM(B246:F249)-C249))*M245)+((SUM(B249:F249)-C249)*M245),(SUM(B249:F249)-C249)*M245),IF(SUM(B246:F249)&gt;(L262*4),L262*M245,SUM(B249:F249)*M245)),2)</f>
        <v>0</v>
      </c>
      <c r="N249" s="23">
        <f>ROUND((B249+E249+F249)*N245,2)</f>
        <v>0</v>
      </c>
      <c r="O249" s="23">
        <f>ROUND(SUM(B249+C249+F249)*O245,2)</f>
        <v>0</v>
      </c>
      <c r="P249" s="27">
        <f t="shared" si="29"/>
        <v>0</v>
      </c>
    </row>
    <row r="250" spans="1:16" s="20" customFormat="1" x14ac:dyDescent="0.2">
      <c r="A250" s="100" t="str">
        <f>'päd.Personal - Leitung'!$A$30</f>
        <v>Mai 2022</v>
      </c>
      <c r="B250" s="24">
        <f>ROUND(IF(N230=0,0,IFERROR(((LOOKUP(2,1/(A234:A237=A250),G234:G237))*N230*4.348*50%),B249/N230*N230)),2)</f>
        <v>0</v>
      </c>
      <c r="C250" s="23">
        <f>ROUND(IFERROR(((LOOKUP(2,1/(B239=A250),((SUM(B252:B254)+SUM(F252:F254))/3)*C239))),0)+IFERROR(((LOOKUP(2,1/(E239=A250),(B258+F258)*F239))),0),2)</f>
        <v>0</v>
      </c>
      <c r="D250" s="23">
        <f>ROUND(IF(B250=0,0,D245/L227*N230*50%),2)</f>
        <v>0</v>
      </c>
      <c r="E250" s="23">
        <f>ROUND(IF(B250=0,0,E245/N223*N230*50%),2)</f>
        <v>0</v>
      </c>
      <c r="F250" s="24">
        <f>ROUND(IF(N230=0,0,IFERROR(((LOOKUP(2,1/(A234:A237=A250),H234:H237))/N223*N230),F249/N230*N230*50%)),2)</f>
        <v>0</v>
      </c>
      <c r="G250" s="27">
        <f t="shared" si="28"/>
        <v>0</v>
      </c>
      <c r="H250" s="76">
        <f>ROUND(IF(SUM(B246:F249)&lt;(L261*4),IF((SUM(B246:F250))&gt;(L261*5),(((L261*5)-(SUM(B246:F250)-C249))*H245)+((SUM(B250:F250)-C249)*H245),SUM(B250:F250)*H245),IF(SUM(B246:F250)&gt;(L261*5),L261*H245,SUM(B250:F250)*H245)),2)</f>
        <v>0</v>
      </c>
      <c r="I250" s="76">
        <f>ROUND(IF((SUM(B246:F250)*80%)&gt;((L262*5)*90%),((((L262*5)*90%)-((SUM(B246:F250)-C250))*I245)+((SUM(B250:F250)-C250)*I245)*80%),((SUM(B250:F250)-C250)*I245)*80%),2)</f>
        <v>0</v>
      </c>
      <c r="J250" s="76">
        <f>ROUND(IF(SUM(B246:F249)&lt;(L262*4),IF((SUM(B246:F250))&gt;(L262*5),(((L262*5)-(SUM(B246:F250)-C249))*J245)+((SUM(B250:F250)-C249)*J245),SUM(B250:F250)*J245),IF(SUM(B246:F250)&gt;(L262*5),L262*J245,SUM(B250:F250)*J245)),2)</f>
        <v>0</v>
      </c>
      <c r="K250" s="76">
        <f>ROUND(IF(SUM(B246:F249)&lt;(L262*4),IF((SUM(B246:F250))&gt;(L262*5),(((L262*5)-(SUM(B246:F250)-C249))*K245)+((SUM(B250:F250)-C249)*K245),SUM(B250:F250)*K245),IF(SUM(B246:F250)&gt;(L262*5),L262*K245,SUM(B250:F250)*K245)),2)</f>
        <v>0</v>
      </c>
      <c r="L250" s="76">
        <f>ROUND(IF(SUM(B246:F249)&lt;(L261*4),IF((SUM(B246:F250))&gt;(L261*5),(((L261*5)-(SUM(B246:F250)-C249))*L245)+((SUM(B250:F250)-C249)*L245),SUM(B250:F250)*L245),IF(SUM(B246:F250)&gt;(L261*5),L261*L245,SUM(B250:F250)*L245)),2)</f>
        <v>0</v>
      </c>
      <c r="M250" s="76">
        <f>ROUND(IF(SUM(B246:F249)&lt;(L262*4),IF((SUM(B246:F250))&gt;(L262*5),(((L262*5)-(SUM(B246:F250)-C250))*M245)+((SUM(B250:F250)-C250)*M245),(SUM(B250:F250)-C250)*M245),IF(SUM(B246:F250)&gt;(L262*5),L262*M245,SUM(B250:F250)*M245)),2)</f>
        <v>0</v>
      </c>
      <c r="N250" s="23">
        <f>ROUND((B250+E250+F250)*N245,2)</f>
        <v>0</v>
      </c>
      <c r="O250" s="23">
        <f>ROUND(SUM(B250+C250+F250)*O245,2)</f>
        <v>0</v>
      </c>
      <c r="P250" s="27">
        <f t="shared" si="29"/>
        <v>0</v>
      </c>
    </row>
    <row r="251" spans="1:16" s="20" customFormat="1" x14ac:dyDescent="0.2">
      <c r="A251" s="100" t="str">
        <f>'päd.Personal - Leitung'!$A$31</f>
        <v>Jun 2022</v>
      </c>
      <c r="B251" s="24">
        <f>ROUND(IF(N231=0,0,IFERROR(((LOOKUP(2,1/(A234:A237=A251),G234:G237))*N231*4.348*50%),B250/N231*N231)),2)</f>
        <v>0</v>
      </c>
      <c r="C251" s="23">
        <f>ROUND(IFERROR(((LOOKUP(2,1/(B239=A251),((SUM(B252:B254)+SUM(F252:F254))/3)*C239))),0)+IFERROR(((LOOKUP(2,1/(E239=A251),(B258+F258)*F239))),0),2)</f>
        <v>0</v>
      </c>
      <c r="D251" s="23">
        <f>ROUND(IF(B251=0,0,D245/L227*N231*50%),2)</f>
        <v>0</v>
      </c>
      <c r="E251" s="23">
        <f>ROUND(IF(B251=0,0,E245/N223*N231*50%),2)</f>
        <v>0</v>
      </c>
      <c r="F251" s="24">
        <f>ROUND(IF(N231=0,0,IFERROR(((LOOKUP(2,1/(A234:A237=A251),H234:H237))/N223*N231),F250/N231*N231*50%)),2)</f>
        <v>0</v>
      </c>
      <c r="G251" s="27">
        <f t="shared" si="28"/>
        <v>0</v>
      </c>
      <c r="H251" s="76">
        <f>ROUND(IF(SUM(B246:F250)&lt;(L261*5),IF((SUM(B246:F251))&gt;(L261*6),(((L261*6)-(SUM(B246:F251)-C250))*H245)+((SUM(B251:F251)-C250)*H245),SUM(B251:F251)*H245),IF(SUM(B246:F251)&gt;(L261*6),L261*H245,SUM(B251:F251)*H245)),2)</f>
        <v>0</v>
      </c>
      <c r="I251" s="76">
        <f>ROUND(IF((SUM(B246:F251)*80%)&gt;((L262*6)*90%),((((L262*6)*90%)-((SUM(B246:F251)-C251))*I245)+((SUM(B251:F251)-C251)*I245)*80%),((SUM(B251:F251)-C251)*I245)*80%),2)</f>
        <v>0</v>
      </c>
      <c r="J251" s="76">
        <f>ROUND(IF(SUM(B246:F250)&lt;(L262*5),IF((SUM(B246:F251))&gt;(L262*6),(((L262*6)-(SUM(B246:F251)-C250))*J245)+((SUM(B251:F251)-C250)*J245),SUM(B251:F251)*J245),IF(SUM(B246:F251)&gt;(L262*6),L262*J245,SUM(B251:F251)*J245)),2)</f>
        <v>0</v>
      </c>
      <c r="K251" s="76">
        <f>ROUND(IF(SUM(B246:F250)&lt;(L262*5),IF((SUM(B246:F251))&gt;(L262*6),(((L262*6)-(SUM(B246:F251)-C250))*K245)+((SUM(B251:F251)-C250)*K245),SUM(B251:F251)*K245),IF(SUM(B246:F251)&gt;(L262*6),L262*K245,SUM(B251:F251)*K245)),2)</f>
        <v>0</v>
      </c>
      <c r="L251" s="76">
        <f>ROUND(IF(SUM(B246:F250)&lt;(L261*5),IF((SUM(B246:F251))&gt;(L261*6),(((L261*6)-(SUM(B246:F251)-C250))*L245)+((SUM(B251:F251)-C250)*L245),SUM(B251:F251)*L245),IF(SUM(B246:F251)&gt;(L261*6),L261*L245,SUM(B251:F251)*L245)),2)</f>
        <v>0</v>
      </c>
      <c r="M251" s="76">
        <f>ROUND(IF(SUM(B246:F250)&lt;(L262*5),IF((SUM(B246:F251))&gt;(L262*6),(((L262*6)-(SUM(B246:F251)-C251))*M245)+((SUM(B251:F251)-C251)*M245),(SUM(B251:F251)-C251)*M245),IF(SUM(B246:F251)&gt;(L262*6),L262*M245,SUM(B251:F251)*M245)),2)</f>
        <v>0</v>
      </c>
      <c r="N251" s="23">
        <f>ROUND((B251+E251+F251)*N245,2)</f>
        <v>0</v>
      </c>
      <c r="O251" s="23">
        <f>ROUND(SUM(B251+C251+F251)*O245,2)</f>
        <v>0</v>
      </c>
      <c r="P251" s="27">
        <f t="shared" si="29"/>
        <v>0</v>
      </c>
    </row>
    <row r="252" spans="1:16" s="20" customFormat="1" x14ac:dyDescent="0.2">
      <c r="A252" s="100" t="str">
        <f>'päd.Personal - Leitung'!$A$32</f>
        <v>Jul 2022</v>
      </c>
      <c r="B252" s="24">
        <f>ROUND(IF(P226=0,0,IFERROR(((LOOKUP(2,1/(A234:A237=A252),G234:G237))*P226*4.348*50%),B251/P226*P226)),2)</f>
        <v>0</v>
      </c>
      <c r="C252" s="23">
        <f>ROUND(IFERROR(((LOOKUP(2,1/(B239=A252),((SUM(B252:B254)+SUM(F252:F254))/3)*C239))),0)+IFERROR(((LOOKUP(2,1/(E239=A252),(B258+F258)*F239))),0),2)</f>
        <v>0</v>
      </c>
      <c r="D252" s="23">
        <f>ROUND(IF(B252=0,0,D245/L227*P226*50%),2)</f>
        <v>0</v>
      </c>
      <c r="E252" s="23">
        <f>ROUND(IF(B252=0,0,E245/N223*P226*50%),2)</f>
        <v>0</v>
      </c>
      <c r="F252" s="24">
        <f>ROUND(IF(P226=0,0,IFERROR(((LOOKUP(2,1/(A234:A237=A252),H234:H237))/N223*P226),F251/P226*P226*50%)),2)</f>
        <v>0</v>
      </c>
      <c r="G252" s="27">
        <f t="shared" si="28"/>
        <v>0</v>
      </c>
      <c r="H252" s="76">
        <f>ROUND(IF(SUM(B246:F251)&lt;(L261*6),IF((SUM(B246:F252))&gt;(L261*7),(((L261*7)-(SUM(B246:F252)-C251))*H245)+((SUM(B252:F252)-C251)*H245),SUM(B252:F252)*H245),IF(SUM(B246:F252)&gt;(L261*7),L261*H245,SUM(B252:F252)*H245)),2)</f>
        <v>0</v>
      </c>
      <c r="I252" s="76">
        <f>ROUND(IF((SUM(B246:F252)*80%)&gt;((L262*7)*90%),((((L262*7)*90%)-((SUM(B246:F252)-C252))*I245)+((SUM(B252:F252)-C252)*I245)*80%),((SUM(B252:F252)-C252)*I245)*80%),2)</f>
        <v>0</v>
      </c>
      <c r="J252" s="76">
        <f>ROUND(IF(SUM(B246:F251)&lt;(L262*6),IF((SUM(B246:F252))&gt;(L262*7),(((L262*7)-(SUM(B246:F252)-C251))*J245)+((SUM(B252:F252)-C251)*J245),SUM(B252:F252)*J245),IF(SUM(B246:F252)&gt;(L262*7),L262*J245,SUM(B252:F252)*J245)),2)</f>
        <v>0</v>
      </c>
      <c r="K252" s="76">
        <f>ROUND(IF(SUM(B246:F251)&lt;(L262*6),IF((SUM(B246:F252))&gt;(L262*7),(((L262*7)-(SUM(B246:F252)-C251))*K245)+((SUM(B252:F252)-C251)*K245),SUM(B252:F252)*K245),IF(SUM(B246:F252)&gt;(L262*7),L262*K245,SUM(B252:F252)*K245)),2)</f>
        <v>0</v>
      </c>
      <c r="L252" s="76">
        <f>ROUND(IF(SUM(B246:F251)&lt;(L261*6),IF((SUM(B246:F252))&gt;(L261*7),(((L261*7)-(SUM(B246:F252)-C251))*L245)+((SUM(B252:F252)-C251)*L245),SUM(B252:F252)*L245),IF(SUM(B246:F252)&gt;(L261*7),L261*L245,SUM(B252:F252)*L245)),2)</f>
        <v>0</v>
      </c>
      <c r="M252" s="76">
        <f>ROUND(IF(SUM(B246:F251)&lt;(L262*6),IF((SUM(B246:F252))&gt;(L262*7),(((L262*7)-(SUM(B246:F252)-C252))*M245)+((SUM(B252:F252)-C252)*M245),(SUM(B252:F252)-C252)*M245),IF(SUM(B246:F252)&gt;(L262*7),L262*M245,SUM(B252:F252)*M245)),2)</f>
        <v>0</v>
      </c>
      <c r="N252" s="23">
        <f>ROUND((B252+E252+F252)*N245,2)</f>
        <v>0</v>
      </c>
      <c r="O252" s="23">
        <f>ROUND(SUM(B252+C252+F252)*O245,2)</f>
        <v>0</v>
      </c>
      <c r="P252" s="27">
        <f t="shared" si="29"/>
        <v>0</v>
      </c>
    </row>
    <row r="253" spans="1:16" s="20" customFormat="1" x14ac:dyDescent="0.2">
      <c r="A253" s="100" t="str">
        <f>'päd.Personal - Leitung'!$A$33</f>
        <v>Aug 2022</v>
      </c>
      <c r="B253" s="24">
        <f>ROUND(IF(P227=0,0,IFERROR(((LOOKUP(2,1/(A234:A237=A253),G234:G237))*P227*4.348*50%),B252/P227*P227)),2)</f>
        <v>0</v>
      </c>
      <c r="C253" s="23">
        <f>ROUND(IFERROR(((LOOKUP(2,1/(B239=A253),((SUM(B252:B254)+SUM(F252:F254))/3)*C239))),0)+IFERROR(((LOOKUP(2,1/(E239=A253),(B258+F258)*F239))),0),2)</f>
        <v>0</v>
      </c>
      <c r="D253" s="23">
        <f>ROUND(IF(B253=0,0,D245/L227*P227*50%),2)</f>
        <v>0</v>
      </c>
      <c r="E253" s="23">
        <f>ROUND(IF(B253=0,0,E245/N223*P227*50%),2)</f>
        <v>0</v>
      </c>
      <c r="F253" s="24">
        <f>ROUND(IF(P227=0,0,IFERROR(((LOOKUP(2,1/(A234:A237=A253),H234:H237))/N223*P227),F252/P227*P227*50%)),2)</f>
        <v>0</v>
      </c>
      <c r="G253" s="27">
        <f t="shared" si="28"/>
        <v>0</v>
      </c>
      <c r="H253" s="76">
        <f>ROUND(IF(SUM(B246:F252)&lt;(L261*7),IF((SUM(B246:F253))&gt;(L261*8),(((L261*8)-(SUM(B246:F253)-C252))*H245)+((SUM(B253:F253)-C252)*H245),SUM(B253:F253)*H245),IF(SUM(B246:F253)&gt;(L261*8),L261*H245,SUM(B253:F253)*H245)),2)</f>
        <v>0</v>
      </c>
      <c r="I253" s="76">
        <f>ROUND(IF((SUM(B246:F253)*80%)&gt;((L262*8)*90%),((((L262*8)*90%)-((SUM(B246:F253)-C253))*I245)+((SUM(B253:F253)-C253)*I245)*80%),((SUM(B253:F253)-C253)*I245)*80%),2)</f>
        <v>0</v>
      </c>
      <c r="J253" s="76">
        <f>ROUND(IF(SUM(B246:F252)&lt;(L262*7),IF((SUM(B246:F253))&gt;(L262*8),(((L262*8)-(SUM(B246:F253)-C252))*J245)+((SUM(B253:F253)-C252)*J245),SUM(B253:F253)*J245),IF(SUM(B246:F253)&gt;(L262*8),L262*J245,SUM(B253:F253)*J245)),2)</f>
        <v>0</v>
      </c>
      <c r="K253" s="76">
        <f>ROUND(IF(SUM(B246:F252)&lt;(L262*7),IF((SUM(B246:F253))&gt;(L262*8),(((L262*8)-(SUM(B246:F253)-C252))*K245)+((SUM(B253:F253)-C252)*K245),SUM(B253:F253)*K245),IF(SUM(B246:F253)&gt;(L262*8),L262*K245,SUM(B253:F253)*K245)),2)</f>
        <v>0</v>
      </c>
      <c r="L253" s="76">
        <f>ROUND(IF(SUM(B246:F252)&lt;(L261*7),IF((SUM(B246:F253))&gt;(L261*8),(((L261*8)-(SUM(B246:F253)-C252))*L245)+((SUM(B253:F253)-C252)*L245),SUM(B253:F253)*L245),IF(SUM(B246:F253)&gt;(L261*8),L261*L245,SUM(B253:F253)*L245)),2)</f>
        <v>0</v>
      </c>
      <c r="M253" s="76">
        <f>ROUND(IF(SUM(B246:F252)&lt;(L262*7),IF((SUM(B246:F253))&gt;(L262*8),(((L262*8)-(SUM(B246:F253)-C253))*M245)+((SUM(B253:F253)-C253)*M245),(SUM(B253:F253)-C253)*M245),IF(SUM(B246:F253)&gt;(L262*8),L262*M245,SUM(B253:F253)*M245)),2)</f>
        <v>0</v>
      </c>
      <c r="N253" s="23">
        <f>ROUND((B253+E253+F253)*N245,2)</f>
        <v>0</v>
      </c>
      <c r="O253" s="23">
        <f>ROUND(SUM(B253+C253+F253)*O245,2)</f>
        <v>0</v>
      </c>
      <c r="P253" s="27">
        <f t="shared" si="29"/>
        <v>0</v>
      </c>
    </row>
    <row r="254" spans="1:16" s="20" customFormat="1" x14ac:dyDescent="0.2">
      <c r="A254" s="100" t="str">
        <f>'päd.Personal - Leitung'!$A$34</f>
        <v>Sep 2022</v>
      </c>
      <c r="B254" s="24">
        <f>ROUND(IF(P228=0,0,IFERROR(((LOOKUP(2,1/(A234:A237=A254),G234:G237))*P228*4.348*50%),B253/P228*P228)),2)</f>
        <v>0</v>
      </c>
      <c r="C254" s="23">
        <f>ROUND(IFERROR(((LOOKUP(2,1/(B239=A254),((SUM(B252:B254)+SUM(F252:F254))/3)*C239))),0)+IFERROR(((LOOKUP(2,1/(E239=A254),(B258+F258)*F239))),0),2)</f>
        <v>0</v>
      </c>
      <c r="D254" s="23">
        <f>ROUND(IF(B254=0,0,D245/L227*P228*50%),2)</f>
        <v>0</v>
      </c>
      <c r="E254" s="23">
        <f>ROUND(IF(B254=0,0,E245/N223*P228*50),2)</f>
        <v>0</v>
      </c>
      <c r="F254" s="24">
        <f>ROUND(IF(P228=0,0,IFERROR(((LOOKUP(2,1/(A234:A237=A254),H234:H237))/N223*P228),F253/P228*P228*50%)),2)</f>
        <v>0</v>
      </c>
      <c r="G254" s="27">
        <f t="shared" si="28"/>
        <v>0</v>
      </c>
      <c r="H254" s="76">
        <f>ROUND(IF(SUM(B246:F253)&lt;(L261*8),IF((SUM(B246:F254))&gt;(L261*9),(((L261*9)-(SUM(B246:F254)-C253))*H245)+((SUM(B254:F254)-C253)*H245),SUM(B254:F254)*H245),IF(SUM(B246:F254)&gt;(L261*9),L261*H245,SUM(B254:F254)*H245)),2)</f>
        <v>0</v>
      </c>
      <c r="I254" s="76">
        <f>ROUND(IF((SUM(B246:F254)*80%)&gt;((L262*9)*90%),((((L262*9)*90%)-((SUM(B246:F254)-C254))*I245)+((SUM(B254:F254)-C254)*I245)*80%),((SUM(B254:F254)-C254)*I245)*80%),2)</f>
        <v>0</v>
      </c>
      <c r="J254" s="76">
        <f>ROUND(IF(SUM(B246:F253)&lt;(L262*8),IF((SUM(B246:F254))&gt;(L262*9),(((L262*9)-(SUM(B246:F254)-C253))*J245)+((SUM(B254:F254)-C253)*J245),SUM(B254:F254)*J245),IF(SUM(B246:F254)&gt;(L262*9),L262*J245,SUM(B254:F254)*J245)),2)</f>
        <v>0</v>
      </c>
      <c r="K254" s="76">
        <f>ROUND(IF(SUM(B246:F253)&lt;(L262*8),IF((SUM(B246:F254))&gt;(L262*9),(((L262*9)-(SUM(B246:F254)-C253))*K245)+((SUM(B254:F254)-C253)*K245),SUM(B254:F254)*K245),IF(SUM(B246:F254)&gt;(L262*9),L262*K245,SUM(B254:F254)*K245)),2)</f>
        <v>0</v>
      </c>
      <c r="L254" s="76">
        <f>ROUND(IF(SUM(B246:F253)&lt;(L261*8),IF((SUM(B246:F254))&gt;(L261*9),(((L261*9)-(SUM(B246:F254)-C253))*L245)+((SUM(B254:F254)-C253)*L245),SUM(B254:F254)*L245),IF(SUM(B246:F254)&gt;(L261*9),L261*L245,SUM(B254:F254)*L245)),2)</f>
        <v>0</v>
      </c>
      <c r="M254" s="76">
        <f>ROUND(IF(SUM(B246:F253)&lt;(L262*8),IF((SUM(B246:F254))&gt;(L262*9),(((L262*9)-(SUM(B246:F254)-C254))*M245)+((SUM(B254:F254)-C254)*M245),(SUM(B254:F254)-C254)*M245),IF(SUM(B246:F254)&gt;(L262*9),L262*M245,SUM(B254:F254)*M245)),2)</f>
        <v>0</v>
      </c>
      <c r="N254" s="23">
        <f>ROUND((B254+E254+F254)*N245,2)</f>
        <v>0</v>
      </c>
      <c r="O254" s="23">
        <f>ROUND(SUM(B254+C254+F254)*O245,2)</f>
        <v>0</v>
      </c>
      <c r="P254" s="27">
        <f t="shared" si="29"/>
        <v>0</v>
      </c>
    </row>
    <row r="255" spans="1:16" s="20" customFormat="1" x14ac:dyDescent="0.2">
      <c r="A255" s="100" t="str">
        <f>'päd.Personal - Leitung'!$A$35</f>
        <v>Okt 2022</v>
      </c>
      <c r="B255" s="24">
        <f>ROUND(IF(P229=0,0,IFERROR(((LOOKUP(2,1/(A234:A237=A255),G234:G237))*P229*4.348*50%),B254/P229*P229)),2)</f>
        <v>0</v>
      </c>
      <c r="C255" s="23">
        <f>ROUND(IFERROR(((LOOKUP(2,1/(B239=A255),((SUM(B252:B254)+SUM(F252:F254))/3)*C239))),0)+IFERROR(((LOOKUP(2,1/(E239=A255),(B258+F258)*F239))),0),2)</f>
        <v>0</v>
      </c>
      <c r="D255" s="23">
        <f>ROUND(IF(B255=0,0,D245/L227*P229*50%),2)</f>
        <v>0</v>
      </c>
      <c r="E255" s="23">
        <f>ROUND(IF(B255=0,0,E245/N223*P229*50%),2)</f>
        <v>0</v>
      </c>
      <c r="F255" s="24">
        <f>ROUND(IF(P229=0,0,IFERROR(((LOOKUP(2,1/(A234:A237=A255),H234:H237))/N223*P229),F254/P229*P229*50%)),2)</f>
        <v>0</v>
      </c>
      <c r="G255" s="27">
        <f t="shared" si="28"/>
        <v>0</v>
      </c>
      <c r="H255" s="76">
        <f>ROUND(IF(SUM(B246:F254)&lt;(L261*9),IF((SUM(B246:F255))&gt;(L261*10),(((L261*10)-(SUM(B246:F255)-C254))*H245)+((SUM(B255:F255)-C254)*H245),SUM(B255:F255)*H245),IF(SUM(B246:F255)&gt;(L261*10),L261*H245,SUM(B255:F255)*H245)),2)</f>
        <v>0</v>
      </c>
      <c r="I255" s="76">
        <f>ROUND(IF((SUM(B246:F255)*80%)&gt;((L262*10)*90%),((((L262*10)*90%)-((SUM(B246:F255)-C255))*I245)+((SUM(B255:F255)-C255)*I245)*80%),((SUM(B255:F255)-C255)*I245)*80%),2)</f>
        <v>0</v>
      </c>
      <c r="J255" s="76">
        <f>ROUND(IF(SUM(B246:F254)&lt;(L262*9),IF((SUM(B246:F255))&gt;(L262*10),(((L262*10)-(SUM(B246:F255)-C254))*J245)+((SUM(B255:F255)-C254)*J245),SUM(B255:F255)*J245),IF(SUM(B246:F255)&gt;(L262*10),L262*J245,SUM(B255:F255)*J245)),2)</f>
        <v>0</v>
      </c>
      <c r="K255" s="76">
        <f>ROUND(IF(SUM(B246:F254)&lt;(L262*9),IF((SUM(B246:F255))&gt;(L262*10),(((L262*10)-(SUM(B246:F255)-C254))*K245)+((SUM(B255:F255)-C254)*K245),SUM(B255:F255)*K245),IF(SUM(B246:F255)&gt;(L262*10),L262*K245,SUM(B255:F255)*K245)),2)</f>
        <v>0</v>
      </c>
      <c r="L255" s="76">
        <f>ROUND(IF(SUM(B246:F254)&lt;(L261*9),IF((SUM(B246:F255))&gt;(L261*10),(((L261*10)-(SUM(B246:F255)-C254))*L245)+((SUM(B255:F255)-C254)*L245),SUM(B255:F255)*L245),IF(SUM(B246:F255)&gt;(L261*10),L261*L245,SUM(B255:F255)*L245)),2)</f>
        <v>0</v>
      </c>
      <c r="M255" s="76">
        <f>ROUND(IF(SUM(B246:F254)&lt;(L262*9),IF((SUM(B246:F255))&gt;(L262*10),(((L262*10)-(SUM(B246:F255)-C255))*M245)+((SUM(B255:F255)-C255)*M245),(SUM(B255:F255)-C255)*M245),IF(SUM(B246:F255)&gt;(L262*10),L262*M245,SUM(B255:F255)*M245)),2)</f>
        <v>0</v>
      </c>
      <c r="N255" s="23">
        <f>ROUND((B255+E255+F255)*N245,2)</f>
        <v>0</v>
      </c>
      <c r="O255" s="23">
        <f>ROUND(SUM(B255+C255+F255)*O245,2)</f>
        <v>0</v>
      </c>
      <c r="P255" s="27">
        <f t="shared" si="29"/>
        <v>0</v>
      </c>
    </row>
    <row r="256" spans="1:16" s="20" customFormat="1" x14ac:dyDescent="0.2">
      <c r="A256" s="100" t="str">
        <f>'päd.Personal - Leitung'!$A$36</f>
        <v>Nov 2022</v>
      </c>
      <c r="B256" s="24">
        <f>ROUND(IF(P230=0,0,IFERROR(((LOOKUP(2,1/(A234:A237=A256),G234:G237))*P230*4.348*50%),B255/P230*P230)),2)</f>
        <v>0</v>
      </c>
      <c r="C256" s="23">
        <f>ROUND(IFERROR(((LOOKUP(2,1/(B239=A256),((SUM(B252:B254)+SUM(F252:F254))/3)*C239))),0)+IFERROR(((LOOKUP(2,1/(E239=A256),(B258+F258)*F239))),0),2)</f>
        <v>0</v>
      </c>
      <c r="D256" s="23">
        <f>ROUND(IF(B256=0,0,D245/L227*P230*50%),2)</f>
        <v>0</v>
      </c>
      <c r="E256" s="23">
        <f>ROUND(IF(B256=0,0,E245/N223*P230*50%),2)</f>
        <v>0</v>
      </c>
      <c r="F256" s="24">
        <f>ROUND(IF(P230=0,0,IFERROR(((LOOKUP(2,1/(A234:A237=A256),H234:H237))/N223*P230),F255/P230*P230*50%)),2)</f>
        <v>0</v>
      </c>
      <c r="G256" s="27">
        <f t="shared" si="28"/>
        <v>0</v>
      </c>
      <c r="H256" s="76">
        <f>ROUND(IF(SUM(B246:F255)&lt;(L261*10),IF((SUM(B246:F256))&gt;(L261*11),(((L261*11)-(SUM(B246:F256)-C255))*H245)+((SUM(B256:F256)-C255)*H245),SUM(B256:F256)*H245),IF(SUM(B246:F256)&gt;(L261*11),L261*H245,SUM(B256:F256)*H245)),2)</f>
        <v>0</v>
      </c>
      <c r="I256" s="76">
        <f>ROUND(IF((SUM(B246:F256)*80%)&gt;((L262*11)*90%),((((L262*11)*90%)-((SUM(B246:F256)-C256))*I245)+((SUM(B256:F256)-C256)*I245)*80%),((SUM(B256:F256)-C256)*I245)*80%),2)</f>
        <v>0</v>
      </c>
      <c r="J256" s="76">
        <f>ROUND(IF(SUM(B246:F255)&lt;(L262*10),IF((SUM(B246:F256))&gt;(L262*11),(((L262*11)-(SUM(B246:F256)-C255))*J245)+((SUM(B256:F256)-C255)*J245),SUM(B256:F256)*J245),IF(SUM(B246:F256)&gt;(L262*11),L262*J245,SUM(B256:F256)*J245)),2)</f>
        <v>0</v>
      </c>
      <c r="K256" s="76">
        <f>ROUND(IF(SUM(B246:F255)&lt;(L262*10),IF((SUM(B246:F256))&gt;(L262*11),(((L262*11)-(SUM(B246:F256)-C255))*K245)+((SUM(B256:F256)-C255)*K245),SUM(B256:F256)*K245),IF(SUM(B246:F256)&gt;(L262*11),L262*K245,SUM(B256:F256)*K245)),2)</f>
        <v>0</v>
      </c>
      <c r="L256" s="76">
        <f>ROUND(IF(SUM(B246:F255)&lt;(L261*10),IF((SUM(B246:F256))&gt;(L261*11),(((L261*11)-(SUM(B246:F256)-C255))*L245)+((SUM(B256:F256)-C255)*L245),SUM(B256:F256)*L245),IF(SUM(B246:F256)&gt;(L261*11),L261*L245,SUM(B256:F256)*L245)),2)</f>
        <v>0</v>
      </c>
      <c r="M256" s="76">
        <f>ROUND(IF(SUM(B246:F255)&lt;(L262*10),IF((SUM(B246:F256))&gt;(L262*11),(((L262*11)-(SUM(B246:F256)-C256))*M245)+((SUM(B256:F256)-C256)*M245),(SUM(B256:F256)-C256)*M245),IF(SUM(B246:F256)&gt;(L262*11),L262*M245,SUM(B256:F256)*M245)),2)</f>
        <v>0</v>
      </c>
      <c r="N256" s="23">
        <f>ROUND((B256+E256+F256)*N245,2)</f>
        <v>0</v>
      </c>
      <c r="O256" s="23">
        <f>ROUND(SUM(B256+C256+F256)*O245,2)</f>
        <v>0</v>
      </c>
      <c r="P256" s="27">
        <f t="shared" si="29"/>
        <v>0</v>
      </c>
    </row>
    <row r="257" spans="1:16" s="20" customFormat="1" x14ac:dyDescent="0.2">
      <c r="A257" s="100" t="str">
        <f>'päd.Personal - Leitung'!$A$37</f>
        <v>Dez 2022</v>
      </c>
      <c r="B257" s="24">
        <f>ROUND(IF(P231=0,0,IFERROR(((LOOKUP(2,1/(A234:A237=A257),G234:G237))*P231*4.348*50%),B256/P231*P231)),2)</f>
        <v>0</v>
      </c>
      <c r="C257" s="23">
        <f>ROUND(IFERROR(((LOOKUP(2,1/(B239=A257),((SUM(B252:B254)+SUM(F252:F254))/3)*C239))),0)+IFERROR(((LOOKUP(2,1/(E239=A257),(B258+F258)*F239))),0),2)</f>
        <v>0</v>
      </c>
      <c r="D257" s="23">
        <f>ROUND(IF(B257=0,0,D245/L227*P231*50%),2)</f>
        <v>0</v>
      </c>
      <c r="E257" s="23">
        <f>ROUND(IF(B257=0,0,E245/N223*P231*50%),2)</f>
        <v>0</v>
      </c>
      <c r="F257" s="24">
        <f>ROUND(IF(P231=0,0,IFERROR(((LOOKUP(2,1/(A234:A237=A257),H234:H237))/N223*P231),F256/P231*P231*50%)),2)</f>
        <v>0</v>
      </c>
      <c r="G257" s="27">
        <f t="shared" si="28"/>
        <v>0</v>
      </c>
      <c r="H257" s="76">
        <f>ROUND(IF(SUM(B246:F256)&lt;(L261*11),IF((SUM(B246:F257))&gt;(L261*12),(((L261*12)-(SUM(B246:F257)-C256))*H245)+((SUM(B257:F257)-C256)*H245),SUM(B257:F257)*H245),IF(SUM(B246:F257)&gt;(L261*12),L261*H245,SUM(B257:F257)*H245)),2)</f>
        <v>0</v>
      </c>
      <c r="I257" s="76">
        <f>ROUND(IF((SUM(B246:F257)*80%)&gt;((L262*12)*90%),((((L262*12)*90%)-((SUM(B246:F257)-C257))*I245)+((SUM(B257:F257)-C257)*I245)*80%),((SUM(B257:F257)-C257)*I245)*80%),2)</f>
        <v>0</v>
      </c>
      <c r="J257" s="76">
        <f>ROUND(IF(SUM(B246:F256)&lt;(L262*11),IF((SUM(B246:F257))&gt;(L262*12),(((L262*12)-(SUM(B246:F257)-C256))*J245)+((SUM(B257:F257)-C256)*J245),SUM(B257:F257)*J245),IF(SUM(B246:F257)&gt;(L262*12),L262*J245,SUM(B257:F257)*J245)),2)</f>
        <v>0</v>
      </c>
      <c r="K257" s="76">
        <f>ROUND(IF(SUM(B246:F256)&lt;(L262*11),IF((SUM(B246:F257))&gt;(L262*12),(((L262*12)-(SUM(B246:F257)-C256))*K245)+((SUM(B257:F257)-C256)*K245),SUM(B257:F257)*K245),IF(SUM(B246:F257)&gt;(L262*12),L262*K245,SUM(B257:F257)*K245)),2)</f>
        <v>0</v>
      </c>
      <c r="L257" s="76">
        <f>ROUND(IF(SUM(B246:F256)&lt;(L261*11),IF((SUM(B246:F257))&gt;(L261*12),(((L261*12)-(SUM(B246:F257)-C256))*L245)+((SUM(B257:F257)-C256)*L245),SUM(B257:F257)*L245),IF(SUM(B246:F257)&gt;(L261*12),L261*L245,SUM(B257:F257)*L245)),2)</f>
        <v>0</v>
      </c>
      <c r="M257" s="76">
        <f>ROUND(IF(SUM(B246:F256)&lt;(L262*11),IF((SUM(B246:F257))&gt;(L262*12),(((L262*12)-(SUM(B246:F257)-C257))*M245)+((SUM(B257:F257)-C257)*M245),(SUM(B257:F257)-C257)*M245),IF(SUM(B246:F257)&gt;(L262*12),L262*M245,SUM(B257:F257)*M245)),2)</f>
        <v>0</v>
      </c>
      <c r="N257" s="23">
        <f>ROUND((B257+E257+F257)*N245,2)</f>
        <v>0</v>
      </c>
      <c r="O257" s="23">
        <f>ROUND(SUM(B257+C257+F257)*O245,2)</f>
        <v>0</v>
      </c>
      <c r="P257" s="27">
        <f>SUM(G257:O257)</f>
        <v>0</v>
      </c>
    </row>
    <row r="258" spans="1:16" s="20" customFormat="1" x14ac:dyDescent="0.2">
      <c r="A258" s="4" t="s">
        <v>2</v>
      </c>
      <c r="B258" s="27">
        <f>SUM(B246:B257)</f>
        <v>0</v>
      </c>
      <c r="C258" s="27">
        <f t="shared" ref="C258" si="30">SUM(C246:C257)</f>
        <v>0</v>
      </c>
      <c r="D258" s="27">
        <f>SUM(D246:D257)</f>
        <v>0</v>
      </c>
      <c r="E258" s="27">
        <f t="shared" ref="E258:G258" si="31">SUM(E246:E257)</f>
        <v>0</v>
      </c>
      <c r="F258" s="27">
        <f t="shared" si="31"/>
        <v>0</v>
      </c>
      <c r="G258" s="27">
        <f t="shared" si="31"/>
        <v>0</v>
      </c>
      <c r="H258" s="1133">
        <f>SUM(H246:M257)</f>
        <v>0</v>
      </c>
      <c r="I258" s="1134"/>
      <c r="J258" s="1134"/>
      <c r="K258" s="1134"/>
      <c r="L258" s="1134"/>
      <c r="M258" s="1134"/>
      <c r="N258" s="27">
        <f>SUM(N246:N257)</f>
        <v>0</v>
      </c>
      <c r="O258" s="27">
        <f>SUM(O246:O257)</f>
        <v>0</v>
      </c>
      <c r="P258" s="27">
        <f>SUM(P246:P257)</f>
        <v>0</v>
      </c>
    </row>
    <row r="259" spans="1:16" s="13" customFormat="1" ht="11.25" x14ac:dyDescent="0.2">
      <c r="A259" s="3" t="s">
        <v>1</v>
      </c>
      <c r="B259" s="2"/>
      <c r="C259" s="2"/>
      <c r="D259" s="2"/>
      <c r="E259" s="2"/>
      <c r="F259" s="2"/>
      <c r="G259" s="2"/>
      <c r="H259" s="2"/>
      <c r="I259" s="2"/>
      <c r="J259" s="2"/>
      <c r="K259" s="2"/>
      <c r="L259" s="2"/>
      <c r="M259" s="2"/>
      <c r="N259" s="2"/>
      <c r="O259" s="2"/>
      <c r="P259" s="2"/>
    </row>
    <row r="260" spans="1:16" ht="14.25" customHeight="1" x14ac:dyDescent="0.2">
      <c r="A260" s="1136" t="s">
        <v>133</v>
      </c>
      <c r="B260" s="1137"/>
      <c r="C260" s="1137"/>
      <c r="D260" s="1137" t="s">
        <v>134</v>
      </c>
      <c r="E260" s="1137"/>
      <c r="F260" s="94" t="str">
        <f>IF(IF(G258=0,"",$F$40)=0,"",IF(G258=0,"",$F$40))</f>
        <v/>
      </c>
      <c r="G260" s="77" t="s">
        <v>135</v>
      </c>
      <c r="H260" s="96" t="str">
        <f>IF(IF(G258=0,"",$H$40)=0,"",IF(G258=0,"",$H$40))</f>
        <v/>
      </c>
      <c r="I260" s="73"/>
      <c r="J260" s="78" t="s">
        <v>160</v>
      </c>
      <c r="K260" s="78" t="str">
        <f>'päd.Personal - Leitung'!$K$40</f>
        <v>2021</v>
      </c>
      <c r="L260" s="78" t="str">
        <f>'päd.Personal - Leitung'!$L$40</f>
        <v>anteilig 2021</v>
      </c>
      <c r="M260" s="1138" t="s">
        <v>140</v>
      </c>
      <c r="N260" s="1138"/>
      <c r="O260" s="1139"/>
      <c r="P260" s="27">
        <f>ROUND(IF(F260="",IF(E264="",0,(E264*H264/K264)/L227*L228),G258*F260*H260/1000),2)</f>
        <v>0</v>
      </c>
    </row>
    <row r="261" spans="1:16" ht="15" customHeight="1" x14ac:dyDescent="0.2">
      <c r="A261" s="1140" t="s">
        <v>145</v>
      </c>
      <c r="B261" s="1141"/>
      <c r="C261" s="1141"/>
      <c r="D261" s="18"/>
      <c r="E261" s="107" t="s">
        <v>135</v>
      </c>
      <c r="F261" s="95" t="str">
        <f>IF(IF(G258=0,"",$F$41)=0,"",IF(G258=0,"",$F$41))</f>
        <v/>
      </c>
      <c r="G261" s="48"/>
      <c r="H261" s="47"/>
      <c r="I261" s="48"/>
      <c r="J261" s="79" t="s">
        <v>158</v>
      </c>
      <c r="K261" s="80">
        <f>'päd.Personal - Leitung'!$K$41</f>
        <v>4837.5</v>
      </c>
      <c r="L261" s="81">
        <f>IF(L227="",K261,K261/L227*L228)</f>
        <v>4837.5</v>
      </c>
      <c r="M261" s="1138" t="s">
        <v>139</v>
      </c>
      <c r="N261" s="1138"/>
      <c r="O261" s="1139"/>
      <c r="P261" s="27">
        <f>ROUND(IF(F261="",0,G258*F261/1000),2)</f>
        <v>0</v>
      </c>
    </row>
    <row r="262" spans="1:16" ht="15.75" customHeight="1" x14ac:dyDescent="0.2">
      <c r="A262" s="1142" t="s">
        <v>141</v>
      </c>
      <c r="B262" s="1143"/>
      <c r="C262" s="1143"/>
      <c r="D262" s="1144" t="s">
        <v>143</v>
      </c>
      <c r="E262" s="1144"/>
      <c r="F262" s="1145" t="str">
        <f>IF(IF(G258=0,"",$F$42)=0,"",IF(G258=0,"",$F$42))</f>
        <v/>
      </c>
      <c r="G262" s="1145"/>
      <c r="H262" s="72"/>
      <c r="I262" s="18"/>
      <c r="J262" s="79" t="s">
        <v>159</v>
      </c>
      <c r="K262" s="80">
        <f>'päd.Personal - Leitung'!$K$42</f>
        <v>6700</v>
      </c>
      <c r="L262" s="81">
        <f>IF(L227="",K262,K262/L227*L228)</f>
        <v>6700</v>
      </c>
      <c r="M262" s="1138" t="s">
        <v>141</v>
      </c>
      <c r="N262" s="1138"/>
      <c r="O262" s="1139"/>
      <c r="P262" s="23">
        <f>ROUND(IF(F262="",0,IF(G258=0,0,F262/L227*L228)),2)</f>
        <v>0</v>
      </c>
    </row>
    <row r="263" spans="1:16" ht="14.25" customHeight="1" x14ac:dyDescent="0.2">
      <c r="A263" s="18"/>
      <c r="B263" s="18"/>
      <c r="C263" s="18"/>
      <c r="D263" s="18"/>
      <c r="E263" s="18"/>
      <c r="F263" s="18"/>
      <c r="G263" s="18"/>
      <c r="H263" s="18"/>
      <c r="I263" s="18"/>
      <c r="J263" s="18"/>
      <c r="K263" s="74"/>
      <c r="L263" s="82"/>
      <c r="M263" s="1127" t="s">
        <v>146</v>
      </c>
      <c r="N263" s="1127"/>
      <c r="O263" s="1128"/>
      <c r="P263" s="23">
        <f>ROUND(IF(G258=0,0,$P$43),2)</f>
        <v>0</v>
      </c>
    </row>
    <row r="264" spans="1:16" ht="14.25" customHeight="1" x14ac:dyDescent="0.2">
      <c r="A264" s="1129" t="s">
        <v>142</v>
      </c>
      <c r="B264" s="1130"/>
      <c r="C264" s="148" t="s">
        <v>136</v>
      </c>
      <c r="D264" s="184" t="s">
        <v>137</v>
      </c>
      <c r="E264" s="1131" t="str">
        <f>IF(IF(G258=0,"",$E$44)=0,"",IF(G258=0,"",$E$44))</f>
        <v/>
      </c>
      <c r="F264" s="1131"/>
      <c r="G264" s="83" t="s">
        <v>138</v>
      </c>
      <c r="H264" s="97" t="str">
        <f>IF(IF(G258=0,"",$H$44)=0,"",IF(G258=0,"",$H$44))</f>
        <v/>
      </c>
      <c r="I264" s="1132" t="s">
        <v>144</v>
      </c>
      <c r="J264" s="1132"/>
      <c r="K264" s="98" t="str">
        <f>IF(IF(G258=0,"",$K$44)=0,"",IF(G258=0,"",$K$44))</f>
        <v/>
      </c>
      <c r="L264" s="29"/>
      <c r="M264" s="29"/>
      <c r="N264" s="29"/>
      <c r="O264" s="28" t="s">
        <v>0</v>
      </c>
      <c r="P264" s="27">
        <f>P258+SUM(P260:P263)</f>
        <v>0</v>
      </c>
    </row>
    <row r="265" spans="1:16" s="12" customFormat="1" ht="13.5" customHeight="1" x14ac:dyDescent="0.2">
      <c r="A265" s="1178" t="s">
        <v>18</v>
      </c>
      <c r="B265" s="1178"/>
      <c r="C265" s="1178"/>
      <c r="D265" s="1179" t="str">
        <f>IF($D$1="","",$D$1)</f>
        <v/>
      </c>
      <c r="E265" s="1179"/>
      <c r="F265" s="1179"/>
      <c r="G265" s="1179"/>
      <c r="H265" s="1179"/>
      <c r="I265" s="1179"/>
      <c r="J265" s="1179"/>
      <c r="K265" s="1179"/>
      <c r="L265" s="1179"/>
      <c r="M265" s="1179"/>
      <c r="N265" s="1179"/>
    </row>
    <row r="266" spans="1:16" s="12" customFormat="1" ht="15" customHeight="1" x14ac:dyDescent="0.2">
      <c r="A266" s="1178" t="s">
        <v>17</v>
      </c>
      <c r="B266" s="1178"/>
      <c r="C266" s="1178" t="s">
        <v>15</v>
      </c>
      <c r="D266" s="1179" t="str">
        <f>IF($D$2="","",$D$2)</f>
        <v/>
      </c>
      <c r="E266" s="1179"/>
      <c r="F266" s="1179"/>
      <c r="G266" s="1179"/>
      <c r="H266" s="1179"/>
      <c r="I266" s="1179"/>
      <c r="J266" s="1179"/>
      <c r="K266" s="1179"/>
      <c r="L266" s="1179"/>
      <c r="M266" s="1179"/>
      <c r="N266" s="1179"/>
    </row>
    <row r="267" spans="1:16" s="12" customFormat="1" ht="15" customHeight="1" x14ac:dyDescent="0.2">
      <c r="A267" s="1178" t="s">
        <v>16</v>
      </c>
      <c r="B267" s="1178"/>
      <c r="C267" s="1178" t="s">
        <v>15</v>
      </c>
      <c r="D267" s="1179" t="str">
        <f>IF($D$3="","",$D$3)</f>
        <v/>
      </c>
      <c r="E267" s="1179"/>
      <c r="F267" s="1179"/>
      <c r="G267" s="1179"/>
      <c r="H267" s="1179"/>
      <c r="I267" s="1179"/>
      <c r="J267" s="1179"/>
      <c r="K267" s="1178" t="s">
        <v>103</v>
      </c>
      <c r="L267" s="1178"/>
      <c r="M267" s="1178"/>
      <c r="N267" s="41" t="str">
        <f>IF($N$3="","",$N$3)</f>
        <v/>
      </c>
    </row>
    <row r="268" spans="1:16" s="13" customFormat="1" ht="11.25" x14ac:dyDescent="0.2">
      <c r="A268" s="1182"/>
      <c r="B268" s="1182"/>
      <c r="C268" s="1182"/>
      <c r="D268" s="1183"/>
      <c r="E268" s="1183"/>
      <c r="F268" s="1183"/>
      <c r="G268" s="1183"/>
      <c r="H268" s="1183"/>
      <c r="I268" s="1183"/>
      <c r="J268" s="1183"/>
      <c r="K268" s="11"/>
      <c r="L268" s="11"/>
      <c r="M268" s="11"/>
      <c r="N268" s="11"/>
      <c r="O268" s="11"/>
      <c r="P268" s="11"/>
    </row>
    <row r="269" spans="1:16" s="15" customFormat="1" ht="13.5" customHeight="1" x14ac:dyDescent="0.2">
      <c r="A269" s="1177" t="s">
        <v>220</v>
      </c>
      <c r="B269" s="1177"/>
      <c r="C269" s="1177"/>
      <c r="D269" s="1177"/>
      <c r="E269" s="1177"/>
      <c r="F269" s="1177"/>
      <c r="G269" s="1177"/>
      <c r="H269" s="1177"/>
      <c r="I269" s="1177"/>
      <c r="J269" s="1177"/>
      <c r="K269" s="1177"/>
      <c r="L269" s="1177"/>
      <c r="M269" s="1177"/>
      <c r="N269" s="59" t="s">
        <v>154</v>
      </c>
      <c r="O269" s="191">
        <f>$O$5</f>
        <v>2022</v>
      </c>
      <c r="P269" s="59" t="s">
        <v>154</v>
      </c>
    </row>
    <row r="270" spans="1:16" s="10" customFormat="1" ht="13.5" customHeight="1" x14ac:dyDescent="0.25">
      <c r="B270" s="32"/>
      <c r="C270" s="32"/>
      <c r="D270" s="5" t="s">
        <v>67</v>
      </c>
      <c r="E270" s="31"/>
      <c r="F270" s="31"/>
      <c r="G270" s="31"/>
      <c r="H270" s="31"/>
      <c r="I270" s="26"/>
      <c r="J270" s="1174" t="s">
        <v>14</v>
      </c>
      <c r="K270" s="1174"/>
      <c r="L270" s="180"/>
      <c r="N270" s="84">
        <f>IF(L272="","",L272)</f>
        <v>0</v>
      </c>
      <c r="O270" s="58" t="str">
        <f>$O$6</f>
        <v>Jan                Jul</v>
      </c>
      <c r="P270" s="85">
        <f>IF(N275="","",N275)</f>
        <v>0</v>
      </c>
    </row>
    <row r="271" spans="1:16" s="7" customFormat="1" ht="13.5" customHeight="1" x14ac:dyDescent="0.25">
      <c r="A271" s="1180" t="s">
        <v>71</v>
      </c>
      <c r="B271" s="1180"/>
      <c r="C271" s="1180"/>
      <c r="D271" s="1184"/>
      <c r="E271" s="1184"/>
      <c r="F271" s="1184"/>
      <c r="G271" s="1184"/>
      <c r="H271" s="1184"/>
      <c r="I271" s="1184"/>
      <c r="J271" s="1174" t="s">
        <v>104</v>
      </c>
      <c r="K271" s="1174"/>
      <c r="L271" s="145"/>
      <c r="N271" s="85">
        <f>IF(N270="","",N270)</f>
        <v>0</v>
      </c>
      <c r="O271" s="58" t="str">
        <f>$O$7</f>
        <v>Feb              Aug</v>
      </c>
      <c r="P271" s="85">
        <f>IF(P270="","",P270)</f>
        <v>0</v>
      </c>
    </row>
    <row r="272" spans="1:16" ht="13.5" customHeight="1" x14ac:dyDescent="0.2">
      <c r="A272" s="1180" t="s">
        <v>13</v>
      </c>
      <c r="B272" s="1180"/>
      <c r="C272" s="1180"/>
      <c r="D272" s="1181"/>
      <c r="E272" s="1181"/>
      <c r="F272" s="1181"/>
      <c r="G272" s="1181"/>
      <c r="H272" s="1181"/>
      <c r="I272" s="1181"/>
      <c r="J272" s="1174" t="s">
        <v>222</v>
      </c>
      <c r="K272" s="1174"/>
      <c r="L272" s="145">
        <f>IF(L273&gt;L271,0,L271-L273)</f>
        <v>0</v>
      </c>
      <c r="N272" s="85">
        <f>IF(N271="","",N271)</f>
        <v>0</v>
      </c>
      <c r="O272" s="58" t="str">
        <f>$O$8</f>
        <v>Mrz              Sep</v>
      </c>
      <c r="P272" s="85">
        <f>IF(P271="","",P271)</f>
        <v>0</v>
      </c>
    </row>
    <row r="273" spans="1:16" ht="13.5" customHeight="1" x14ac:dyDescent="0.2">
      <c r="A273" s="1180" t="s">
        <v>12</v>
      </c>
      <c r="B273" s="1180"/>
      <c r="C273" s="1180"/>
      <c r="D273" s="1181"/>
      <c r="E273" s="1181"/>
      <c r="F273" s="1181"/>
      <c r="G273" s="1181"/>
      <c r="H273" s="1181"/>
      <c r="I273" s="1181"/>
      <c r="J273" s="1174" t="s">
        <v>223</v>
      </c>
      <c r="K273" s="1174"/>
      <c r="L273" s="145"/>
      <c r="N273" s="85">
        <f>IF(N272="","",N272)</f>
        <v>0</v>
      </c>
      <c r="O273" s="58" t="str">
        <f>$O$9</f>
        <v>Apr               Okt</v>
      </c>
      <c r="P273" s="85">
        <f t="shared" ref="P273:P275" si="32">IF(P272="","",P272)</f>
        <v>0</v>
      </c>
    </row>
    <row r="274" spans="1:16" ht="13.5" customHeight="1" x14ac:dyDescent="0.2">
      <c r="A274" s="1180" t="s">
        <v>19</v>
      </c>
      <c r="B274" s="1180"/>
      <c r="C274" s="1180"/>
      <c r="D274" s="1181"/>
      <c r="E274" s="1181"/>
      <c r="F274" s="1181"/>
      <c r="G274" s="1181"/>
      <c r="H274" s="1181"/>
      <c r="I274" s="1181"/>
      <c r="J274" s="1174" t="s">
        <v>97</v>
      </c>
      <c r="K274" s="1174"/>
      <c r="L274" s="17" t="str">
        <f>IF(IF((COUNTIF(B290:B301,"&gt;0"))=0,0,(COUNTIF(B290:B301,"&gt;0")))&gt;Grundlagen!$C$24,Grundlagen!$C$24,IF((COUNTIF(B290:B301,"&gt;0"))=0,"",(COUNTIF(B290:B301,"&gt;0"))))</f>
        <v/>
      </c>
      <c r="M274" s="92"/>
      <c r="N274" s="85">
        <f>IF(N273="","",N273)</f>
        <v>0</v>
      </c>
      <c r="O274" s="58" t="str">
        <f>'päd.Personal - Leitung'!$O$10</f>
        <v>Mai               Nov</v>
      </c>
      <c r="P274" s="85">
        <f t="shared" si="32"/>
        <v>0</v>
      </c>
    </row>
    <row r="275" spans="1:16" ht="13.5" customHeight="1" x14ac:dyDescent="0.2">
      <c r="B275" s="8"/>
      <c r="C275" s="141" t="s">
        <v>162</v>
      </c>
      <c r="D275" s="1175"/>
      <c r="E275" s="1175"/>
      <c r="F275" s="1176" t="s">
        <v>113</v>
      </c>
      <c r="G275" s="1176"/>
      <c r="H275" s="1186"/>
      <c r="I275" s="1186"/>
      <c r="L275" s="147" t="str">
        <f>IF((SUM(F278:F281))=0,"",IF(P276&gt;L272,L272,IF(L272="","",IF(L274="","",P276))))</f>
        <v/>
      </c>
      <c r="N275" s="85">
        <f>IF(N274="","",N274)</f>
        <v>0</v>
      </c>
      <c r="O275" s="58" t="str">
        <f>'päd.Personal - Leitung'!$O$11</f>
        <v>Jun               Dez</v>
      </c>
      <c r="P275" s="85">
        <f t="shared" si="32"/>
        <v>0</v>
      </c>
    </row>
    <row r="276" spans="1:16" ht="13.5" customHeight="1" x14ac:dyDescent="0.2">
      <c r="F276" s="1176" t="s">
        <v>241</v>
      </c>
      <c r="G276" s="1176"/>
      <c r="H276" s="1186"/>
      <c r="I276" s="1186"/>
      <c r="O276" s="174" t="s">
        <v>251</v>
      </c>
      <c r="P276" s="175">
        <f>IF(L274="",0,((IF(SUMIF(B290,"&gt;0"),N270,0))+(IF(SUMIF(B291,"&gt;0"),N271,0))+(IF(SUMIF(B292,"&gt;0"),N272,0))+(IF(SUMIF(B293,"&gt;0"),N273,0))+(IF(SUMIF(B294,"&gt;0"),N274,0))+(IF(SUMIF(B295,"&gt;0"),N275,0))+(IF(SUMIF(B296,"&gt;0"),P270,0))+(IF(SUMIF(B297,"&gt;0"),P271,0))+(IF(SUMIF(B298,"&gt;0"),P272,0))+(IF(SUMIF(B299,"&gt;0"),P273,0))+(IF(SUMIF(B300,"&gt;0"),P274,0))+(IF(SUMIF(B301,"&gt;0"),P275,0)))/Grundlagen!$C$24)</f>
        <v>0</v>
      </c>
    </row>
    <row r="277" spans="1:16" s="52" customFormat="1" ht="13.5" customHeight="1" x14ac:dyDescent="0.2">
      <c r="A277" s="61" t="s">
        <v>148</v>
      </c>
      <c r="B277" s="1168" t="s">
        <v>149</v>
      </c>
      <c r="C277" s="1168"/>
      <c r="D277" s="62" t="s">
        <v>150</v>
      </c>
      <c r="E277" s="63" t="s">
        <v>151</v>
      </c>
      <c r="F277" s="64" t="str">
        <f>CONCATENATE("Entg. ",N267," h/Wo")</f>
        <v>Entg.  h/Wo</v>
      </c>
      <c r="G277" s="65" t="s">
        <v>152</v>
      </c>
      <c r="H277" s="65" t="s">
        <v>153</v>
      </c>
      <c r="K277" s="1169" t="str">
        <f>CONCATENATE("Zuschläge / Zulagen für ",N267,"h/Wo")</f>
        <v>Zuschläge / Zulagen für h/Wo</v>
      </c>
      <c r="L277" s="1169"/>
      <c r="M277" s="66" t="str">
        <f>IF(A278="","",A278)</f>
        <v>Jan 2022</v>
      </c>
      <c r="N277" s="66" t="str">
        <f>IF(A279="","",A279)</f>
        <v/>
      </c>
      <c r="O277" s="66" t="str">
        <f>IF(A280="","",A280)</f>
        <v/>
      </c>
      <c r="P277" s="66" t="str">
        <f>IF(A281="","",A281)</f>
        <v/>
      </c>
    </row>
    <row r="278" spans="1:16" s="52" customFormat="1" ht="13.5" customHeight="1" x14ac:dyDescent="0.25">
      <c r="A278" s="55" t="str">
        <f>A290</f>
        <v>Jan 2022</v>
      </c>
      <c r="B278" s="1170" t="str">
        <f>IF($D$3="","",$D$3)</f>
        <v/>
      </c>
      <c r="C278" s="1171"/>
      <c r="D278" s="181"/>
      <c r="E278" s="181"/>
      <c r="F278" s="87"/>
      <c r="G278" s="56">
        <f>IF(N267="",0,F278/N267/4.348)</f>
        <v>0</v>
      </c>
      <c r="H278" s="53">
        <f>IF(G278=0,0,M283)</f>
        <v>0</v>
      </c>
      <c r="K278" s="1146"/>
      <c r="L278" s="1146"/>
      <c r="M278" s="86"/>
      <c r="N278" s="86"/>
      <c r="O278" s="86"/>
      <c r="P278" s="86"/>
    </row>
    <row r="279" spans="1:16" s="52" customFormat="1" ht="13.5" customHeight="1" x14ac:dyDescent="0.25">
      <c r="A279" s="55"/>
      <c r="B279" s="1172" t="str">
        <f>IF(A279="","",B278)</f>
        <v/>
      </c>
      <c r="C279" s="1173"/>
      <c r="D279" s="181"/>
      <c r="E279" s="181"/>
      <c r="F279" s="87"/>
      <c r="G279" s="56">
        <f>IF(N267="",0,F279/N267/4.348)</f>
        <v>0</v>
      </c>
      <c r="H279" s="53">
        <f>IF(G279=0,0,N283)</f>
        <v>0</v>
      </c>
      <c r="K279" s="1146"/>
      <c r="L279" s="1146"/>
      <c r="M279" s="86"/>
      <c r="N279" s="86"/>
      <c r="O279" s="86"/>
      <c r="P279" s="86"/>
    </row>
    <row r="280" spans="1:16" s="52" customFormat="1" ht="13.5" customHeight="1" x14ac:dyDescent="0.25">
      <c r="A280" s="55"/>
      <c r="B280" s="1172" t="str">
        <f>IF(A280="","",B279)</f>
        <v/>
      </c>
      <c r="C280" s="1173"/>
      <c r="D280" s="181"/>
      <c r="E280" s="181"/>
      <c r="F280" s="87"/>
      <c r="G280" s="56">
        <f>IF(N267="",0,F280/N267/4.348)</f>
        <v>0</v>
      </c>
      <c r="H280" s="53">
        <f>IF(G280=0,0,O283)</f>
        <v>0</v>
      </c>
      <c r="K280" s="1146"/>
      <c r="L280" s="1146"/>
      <c r="M280" s="86"/>
      <c r="N280" s="86"/>
      <c r="O280" s="86"/>
      <c r="P280" s="86"/>
    </row>
    <row r="281" spans="1:16" s="52" customFormat="1" ht="13.5" customHeight="1" x14ac:dyDescent="0.25">
      <c r="A281" s="55"/>
      <c r="B281" s="1172" t="str">
        <f>IF(A281="","",B280)</f>
        <v/>
      </c>
      <c r="C281" s="1173"/>
      <c r="D281" s="181"/>
      <c r="E281" s="181"/>
      <c r="F281" s="87"/>
      <c r="G281" s="56">
        <f>IF(N267="",0,F281/N267/4.348)</f>
        <v>0</v>
      </c>
      <c r="H281" s="53">
        <f>IF(G281=0,0,P283)</f>
        <v>0</v>
      </c>
      <c r="K281" s="1146"/>
      <c r="L281" s="1146"/>
      <c r="M281" s="86"/>
      <c r="N281" s="86"/>
      <c r="O281" s="86"/>
      <c r="P281" s="86"/>
    </row>
    <row r="282" spans="1:16" s="52" customFormat="1" ht="13.5" customHeight="1" x14ac:dyDescent="0.25">
      <c r="B282" s="1167" t="s">
        <v>157</v>
      </c>
      <c r="C282" s="1167"/>
      <c r="E282" s="1167" t="s">
        <v>156</v>
      </c>
      <c r="F282" s="1167"/>
      <c r="J282" s="69"/>
      <c r="K282" s="1146"/>
      <c r="L282" s="1146"/>
      <c r="M282" s="86"/>
      <c r="N282" s="86"/>
      <c r="O282" s="86"/>
      <c r="P282" s="86"/>
    </row>
    <row r="283" spans="1:16" s="52" customFormat="1" ht="13.5" customHeight="1" x14ac:dyDescent="0.25">
      <c r="A283" s="70" t="s">
        <v>167</v>
      </c>
      <c r="B283" s="67"/>
      <c r="C283" s="99" t="str">
        <f>IF(C239="","",C239)</f>
        <v/>
      </c>
      <c r="D283" s="70" t="s">
        <v>167</v>
      </c>
      <c r="E283" s="67"/>
      <c r="F283" s="99" t="str">
        <f>IF(F239="","",F239)</f>
        <v/>
      </c>
      <c r="J283" s="68"/>
      <c r="M283" s="57">
        <f>SUM(M278:M282)</f>
        <v>0</v>
      </c>
      <c r="N283" s="57">
        <f t="shared" ref="N283:P283" si="33">SUM(N278:N282)</f>
        <v>0</v>
      </c>
      <c r="O283" s="57">
        <f t="shared" si="33"/>
        <v>0</v>
      </c>
      <c r="P283" s="57">
        <f t="shared" si="33"/>
        <v>0</v>
      </c>
    </row>
    <row r="284" spans="1:16" s="52" customFormat="1" ht="13.5" customHeight="1" x14ac:dyDescent="0.2">
      <c r="A284" s="60" t="s">
        <v>155</v>
      </c>
    </row>
    <row r="285" spans="1:16" s="20" customFormat="1" ht="14.25" customHeight="1" x14ac:dyDescent="0.2">
      <c r="A285" s="1147"/>
      <c r="B285" s="1149" t="s">
        <v>9</v>
      </c>
      <c r="C285" s="1150"/>
      <c r="D285" s="1150"/>
      <c r="E285" s="1150"/>
      <c r="F285" s="1150"/>
      <c r="G285" s="1151"/>
      <c r="H285" s="1152" t="s">
        <v>119</v>
      </c>
      <c r="I285" s="1153"/>
      <c r="J285" s="1153"/>
      <c r="K285" s="1153"/>
      <c r="L285" s="1153"/>
      <c r="M285" s="1153"/>
      <c r="N285" s="1195" t="s">
        <v>112</v>
      </c>
      <c r="O285" s="33"/>
      <c r="P285" s="1154" t="s">
        <v>0</v>
      </c>
    </row>
    <row r="286" spans="1:16" s="20" customFormat="1" ht="14.25" customHeight="1" x14ac:dyDescent="0.2">
      <c r="A286" s="1148"/>
      <c r="B286" s="1157" t="s">
        <v>117</v>
      </c>
      <c r="C286" s="144" t="s">
        <v>115</v>
      </c>
      <c r="D286" s="1159" t="s">
        <v>277</v>
      </c>
      <c r="E286" s="1161" t="s">
        <v>147</v>
      </c>
      <c r="F286" s="149" t="s">
        <v>7</v>
      </c>
      <c r="G286" s="1162" t="s">
        <v>6</v>
      </c>
      <c r="H286" s="1161" t="s">
        <v>129</v>
      </c>
      <c r="I286" s="1161" t="s">
        <v>111</v>
      </c>
      <c r="J286" s="1161" t="s">
        <v>5</v>
      </c>
      <c r="K286" s="1161" t="s">
        <v>4</v>
      </c>
      <c r="L286" s="1161" t="s">
        <v>3</v>
      </c>
      <c r="M286" s="1161" t="s">
        <v>98</v>
      </c>
      <c r="N286" s="1196"/>
      <c r="O286" s="1160" t="s">
        <v>114</v>
      </c>
      <c r="P286" s="1155"/>
    </row>
    <row r="287" spans="1:16" s="20" customFormat="1" ht="14.25" customHeight="1" x14ac:dyDescent="0.2">
      <c r="A287" s="1148"/>
      <c r="B287" s="1157"/>
      <c r="C287" s="21" t="str">
        <f>IF(C283="","",C283)</f>
        <v/>
      </c>
      <c r="D287" s="1160"/>
      <c r="E287" s="1161"/>
      <c r="F287" s="1165" t="str">
        <f>IF(H278=0,"","siehe Zuschläge / Zulagen")</f>
        <v/>
      </c>
      <c r="G287" s="1162"/>
      <c r="H287" s="1164" t="s">
        <v>127</v>
      </c>
      <c r="I287" s="1161"/>
      <c r="J287" s="1164"/>
      <c r="K287" s="1164"/>
      <c r="L287" s="1164"/>
      <c r="M287" s="1161"/>
      <c r="N287" s="1196"/>
      <c r="O287" s="1160"/>
      <c r="P287" s="1155"/>
    </row>
    <row r="288" spans="1:16" s="20" customFormat="1" x14ac:dyDescent="0.2">
      <c r="A288" s="1148"/>
      <c r="B288" s="1157"/>
      <c r="C288" s="142" t="s">
        <v>70</v>
      </c>
      <c r="D288" s="1160"/>
      <c r="E288" s="1161"/>
      <c r="F288" s="1165"/>
      <c r="G288" s="1162"/>
      <c r="H288" s="43" t="s">
        <v>128</v>
      </c>
      <c r="I288" s="1161"/>
      <c r="J288" s="43" t="s">
        <v>255</v>
      </c>
      <c r="K288" s="43" t="s">
        <v>256</v>
      </c>
      <c r="L288" s="43" t="s">
        <v>257</v>
      </c>
      <c r="M288" s="1161"/>
      <c r="N288" s="1196"/>
      <c r="O288" s="1160"/>
      <c r="P288" s="1155"/>
    </row>
    <row r="289" spans="1:16" s="20" customFormat="1" x14ac:dyDescent="0.2">
      <c r="A289" s="1148"/>
      <c r="B289" s="1158"/>
      <c r="C289" s="21" t="str">
        <f>IF(F283="","",F283)</f>
        <v/>
      </c>
      <c r="D289" s="51"/>
      <c r="E289" s="51"/>
      <c r="F289" s="1166"/>
      <c r="G289" s="1163"/>
      <c r="H289" s="93"/>
      <c r="I289" s="21"/>
      <c r="J289" s="139">
        <f>$I$25</f>
        <v>0</v>
      </c>
      <c r="K289" s="139">
        <f>$J$25</f>
        <v>0</v>
      </c>
      <c r="L289" s="44">
        <f>$K$25</f>
        <v>0</v>
      </c>
      <c r="M289" s="21"/>
      <c r="N289" s="21"/>
      <c r="O289" s="21">
        <f>O245</f>
        <v>0</v>
      </c>
      <c r="P289" s="1156"/>
    </row>
    <row r="290" spans="1:16" s="20" customFormat="1" x14ac:dyDescent="0.2">
      <c r="A290" s="100" t="str">
        <f>$A$26</f>
        <v>Jan 2022</v>
      </c>
      <c r="B290" s="24">
        <f>ROUND(IF(N270=0,0,(LOOKUP(2,1/(A278:A281=A290),G278:G281))*N270*4.348*50%),2)</f>
        <v>0</v>
      </c>
      <c r="C290" s="23">
        <f>ROUND(IFERROR(((LOOKUP(2,1/(B283=A290),((SUM(B296:B298)+SUM(F296:F298))/3)*C283))),0)+IFERROR(((LOOKUP(2,1/(E283=A290),(B302+F302)*F283))),0),2)</f>
        <v>0</v>
      </c>
      <c r="D290" s="23">
        <f>ROUND(IF(B290=0,0,D289/L271*N270*50%),2)</f>
        <v>0</v>
      </c>
      <c r="E290" s="23">
        <f>ROUND(IF(B290=0,0,E289/N267*N270*50%),2)</f>
        <v>0</v>
      </c>
      <c r="F290" s="24">
        <f>ROUND(IF(N270=0,0,(LOOKUP(2,1/(A278:A281=A290),H278:H281))/N267*N270*50%),2)</f>
        <v>0</v>
      </c>
      <c r="G290" s="27">
        <f>SUM(B290+C290+E290+F290)</f>
        <v>0</v>
      </c>
      <c r="H290" s="76">
        <f>ROUND(IF((SUM(B290:F290))&gt;L305,L305*H289,SUM(B290:F290)*H289),2)</f>
        <v>0</v>
      </c>
      <c r="I290" s="76">
        <f>ROUND(IF((SUM(B290:F290)*80%)&gt;((L306*1)*90%),((((L306*1)*90%)-((SUM(B290:F290)-C290))*I289)+((SUM(B290:F290)-C290)*I289)*80%),((SUM(B290:F290)-C290)*I289)*80%),2)</f>
        <v>0</v>
      </c>
      <c r="J290" s="76">
        <f>ROUND(IF((SUM(B290:F290))&gt;L306,L306*J289,SUM(B290:F290)*J289),2)</f>
        <v>0</v>
      </c>
      <c r="K290" s="76">
        <f>ROUND(IF((SUM(B290:F290))&gt;L306,L306*K289,SUM(B290:F290)*K289),2)</f>
        <v>0</v>
      </c>
      <c r="L290" s="76">
        <f>ROUND(IF((SUM(B290:F290))&gt;L305,L305*L289,SUM(B290:F290)*L289),2)</f>
        <v>0</v>
      </c>
      <c r="M290" s="76">
        <f>ROUND(IF((SUM(B290:F290))&gt;L306,L306*M289,(SUM(B290:F290)-C290)*M289),2)</f>
        <v>0</v>
      </c>
      <c r="N290" s="23">
        <f>ROUND((B290+E290+F290)*N289,2)</f>
        <v>0</v>
      </c>
      <c r="O290" s="23">
        <f>ROUND(SUM(B290+C290+F290)*O289,2)</f>
        <v>0</v>
      </c>
      <c r="P290" s="27">
        <f>SUM(G290:O290)</f>
        <v>0</v>
      </c>
    </row>
    <row r="291" spans="1:16" s="20" customFormat="1" x14ac:dyDescent="0.2">
      <c r="A291" s="100" t="str">
        <f>$A$27</f>
        <v>Feb 2022</v>
      </c>
      <c r="B291" s="24">
        <f>ROUND(IF(N271=0,0,IFERROR(((LOOKUP(2,1/(A278:A281=A291),G278:G281))*N271*4.348*50%),B290/N271*N271)),2)</f>
        <v>0</v>
      </c>
      <c r="C291" s="23">
        <f>ROUND(IFERROR(((LOOKUP(2,1/(B283=A291),((SUM(B296:B298)+SUM(F296:F298))/3)*C283))),0)+IFERROR(((LOOKUP(2,1/(E283=A291),(B302+F302)*F283))),0),2)</f>
        <v>0</v>
      </c>
      <c r="D291" s="23">
        <f>ROUND(IF(B291=0,0,D289/L271*N271*50%),2)</f>
        <v>0</v>
      </c>
      <c r="E291" s="23">
        <f>ROUND(IF(B291=0,0,E289/N267*N271*50%),2)</f>
        <v>0</v>
      </c>
      <c r="F291" s="24">
        <f>ROUND(IF(N271=0,0,IFERROR(((LOOKUP(2,1/(A278:A281=A291),H278:H281))/N267*N271),F290/N271*N271*50%)),2)</f>
        <v>0</v>
      </c>
      <c r="G291" s="27">
        <f t="shared" ref="G291:G301" si="34">SUM(B291+C291+E291+F291)</f>
        <v>0</v>
      </c>
      <c r="H291" s="76">
        <f>ROUND(IF(SUM(B290:F290)&lt;(L305*1),IF((SUM(B290:F291))&gt;(L305*2),(((L305*2)-(SUM(B290:F291)-C290))*H289)+((SUM(B291:F291)-C290)*H289),SUM(B291:F291)*H289),IF(SUM(B290:F291)&gt;(L305*2),L305*H289,SUM(B291:F291)*H289)),2)</f>
        <v>0</v>
      </c>
      <c r="I291" s="76">
        <f>ROUND(IF((SUM(B290:F291)*80%)&gt;((L306*2)*90%),((((L306*2)*90%)-((SUM(B290:F291)-C291))*I289)+((SUM(B291:F291)-C291)*I289)*80%),((SUM(B291:F291)-C291)*I289)*80%),2)</f>
        <v>0</v>
      </c>
      <c r="J291" s="76">
        <f>ROUND(IF(SUM(B290:F290)&lt;(L306*1),IF((SUM(B290:F291))&gt;(L306*2),(((L306*2)-(SUM(B290:F291)-C290))*J289)+((SUM(B291:F291)-C290)*J289),SUM(B291:F291)*J289),IF(SUM(B290:F291)&gt;(L306*2),L306*J289,SUM(B291:F291)*J289)),2)</f>
        <v>0</v>
      </c>
      <c r="K291" s="76">
        <f>ROUND(IF(SUM(B290:F290)&lt;(L306*1),IF((SUM(B290:F291))&gt;(L306*2),(((L306*2)-(SUM(B290:F291)-C290))*K289)+((SUM(B291:F291)-C290)*K289),SUM(B291:F291)*K289),IF(SUM(B290:F291)&gt;(L306*2),L306*K289,SUM(B291:F291)*K289)),2)</f>
        <v>0</v>
      </c>
      <c r="L291" s="76">
        <f>ROUND(IF(SUM(B290:F290)&lt;(L305*1),IF((SUM(B290:F291))&gt;(L305*2),(((L305*2)-(SUM(B290:F291)-C290))*L289)+((SUM(B291:F291)-C290)*L289),SUM(B291:F291)*L289),IF(SUM(B290:F291)&gt;(L305*2),L305*L289,SUM(B291:F291)*L289)),2)</f>
        <v>0</v>
      </c>
      <c r="M291" s="76">
        <f>ROUND(IF(SUM(B290:F290)&lt;(L306*1),IF((SUM(B290:F291))&gt;(L306*2),(((L306*2)-(SUM(B290:F291)-C291))*M289)+((SUM(B291:F291)-C291)*M289),(SUM(B291:F291)-C291)*M289),IF(SUM(B290:F291)&gt;(L306*2),L306*M289,SUM(B291:F291)*M289)),2)</f>
        <v>0</v>
      </c>
      <c r="N291" s="23">
        <f>ROUND((B291+E291+F291)*N289,2)</f>
        <v>0</v>
      </c>
      <c r="O291" s="23">
        <f>ROUND(SUM(B291+C291+F291)*O289,2)</f>
        <v>0</v>
      </c>
      <c r="P291" s="27">
        <f t="shared" ref="P291:P300" si="35">SUM(G291:O291)</f>
        <v>0</v>
      </c>
    </row>
    <row r="292" spans="1:16" s="20" customFormat="1" x14ac:dyDescent="0.2">
      <c r="A292" s="100" t="str">
        <f>$A$28</f>
        <v>Mrz 2022</v>
      </c>
      <c r="B292" s="24">
        <f>ROUND(IF(N272=0,0,IFERROR(((LOOKUP(2,1/(A278:A281=A292),G278:G281))*N272*4.348*50%),B291/N272*N272)),2)</f>
        <v>0</v>
      </c>
      <c r="C292" s="23">
        <f>ROUND(IFERROR(((LOOKUP(2,1/(B283=A292),((SUM(B296:B298)+SUM(F296:F298))/3)*C283))),0)+IFERROR(((LOOKUP(2,1/(E283=A292),(B302+F302)*F283))),0),2)</f>
        <v>0</v>
      </c>
      <c r="D292" s="23">
        <f>ROUND(IF(B292=0,0,D289/L271*N272*50%),2)</f>
        <v>0</v>
      </c>
      <c r="E292" s="23">
        <f>ROUND(IF(B292=0,0,E289/N267*N272*50%),2)</f>
        <v>0</v>
      </c>
      <c r="F292" s="24">
        <f>ROUND(IF(N272=0,0,IFERROR(((LOOKUP(2,1/(A278:A281=A292),H278:H281))/N267*N272),F291/N272*N272*50%)),2)</f>
        <v>0</v>
      </c>
      <c r="G292" s="27">
        <f t="shared" si="34"/>
        <v>0</v>
      </c>
      <c r="H292" s="76">
        <f>ROUND(IF(SUM(B290:F291)&lt;(L305*2),IF((SUM(B290:F292))&gt;(L305*3),(((L305*3)-(SUM(B290:F292)-C291))*H289)+((SUM(B292:F292)-C291)*H289),SUM(B292:F292)*H289),IF(SUM(B290:F292)&gt;(L305*3),L305*H289,SUM(B292:F292)*H289)),2)</f>
        <v>0</v>
      </c>
      <c r="I292" s="76">
        <f>ROUND(IF((SUM(B290:F292)*80%)&gt;((L306*3)*90%),((((L306*3)*90%)-((SUM(B290:F292)-C292))*I289)+((SUM(B292:F292)-C292)*I289)*80%),((SUM(B292:F292)-C292)*I289)*80%),2)</f>
        <v>0</v>
      </c>
      <c r="J292" s="76">
        <f>ROUND(IF(SUM(B290:F291)&lt;(L306*2),IF((SUM(B290:F292))&gt;(L306*3),(((L306*3)-(SUM(B290:F292)-C291))*J289)+((SUM(B292:F292)-C291)*J289),SUM(B292:F292)*J289),IF(SUM(B290:F292)&gt;(L306*3),L306*J289,SUM(B292:F292)*J289)),2)</f>
        <v>0</v>
      </c>
      <c r="K292" s="76">
        <f>ROUND(IF(SUM(B290:F291)&lt;(L306*2),IF((SUM(B290:F292))&gt;(L306*3),(((L306*3)-(SUM(B290:F292)-C291))*K289)+((SUM(B292:F292)-C291)*K289),SUM(B292:F292)*K289),IF(SUM(B290:F292)&gt;(L306*3),L306*K289,SUM(B292:F292)*K289)),2)</f>
        <v>0</v>
      </c>
      <c r="L292" s="76">
        <f>ROUND(IF(SUM(B290:F291)&lt;(L305*2),IF((SUM(B290:F292))&gt;(L305*3),(((L305*3)-(SUM(B290:F292)-C291))*L289)+((SUM(B292:F292)-C291)*L289),SUM(B292:F292)*L289),IF(SUM(B290:F292)&gt;(L305*3),L305*L289,SUM(B292:F292)*L289)),2)</f>
        <v>0</v>
      </c>
      <c r="M292" s="76">
        <f>ROUND(IF(SUM(B290:F291)&lt;(L306*2),IF((SUM(B290:F292))&gt;(L306*3),(((L306*3)-(SUM(B290:F292)-C292))*M289)+((SUM(B292:F292)-C292)*M289),(SUM(B292:F292)-C292)*M289),IF(SUM(B290:F292)&gt;(L306*3),L306*M289,SUM(B292:F292)*M289)),2)</f>
        <v>0</v>
      </c>
      <c r="N292" s="23">
        <f>ROUND((B292+E292+F292)*N289,2)</f>
        <v>0</v>
      </c>
      <c r="O292" s="23">
        <f>ROUND(SUM(B292+C292+F292)*O289,2)</f>
        <v>0</v>
      </c>
      <c r="P292" s="27">
        <f t="shared" si="35"/>
        <v>0</v>
      </c>
    </row>
    <row r="293" spans="1:16" s="20" customFormat="1" ht="14.25" customHeight="1" x14ac:dyDescent="0.2">
      <c r="A293" s="100" t="str">
        <f>$A$29</f>
        <v>Apr 2022</v>
      </c>
      <c r="B293" s="24">
        <f>ROUND(IF(N273=0,0,IFERROR(((LOOKUP(2,1/(A278:A281=A293),G278:G281))*N273*4.348*50%),B292/N273*N273)),2)</f>
        <v>0</v>
      </c>
      <c r="C293" s="23">
        <f>ROUND(IFERROR(((LOOKUP(2,1/(B283=A293),((SUM(B296:B298)+SUM(F296:F298))/3)*C283))),0)+IFERROR(((LOOKUP(2,1/(E283=A293),(B302+F302)*F283))),0),2)</f>
        <v>0</v>
      </c>
      <c r="D293" s="23">
        <f>ROUND(IF(B293=0,0,D289/L271*N273*50%),2)</f>
        <v>0</v>
      </c>
      <c r="E293" s="23">
        <f>ROUND(IF(B293=0,0,E289/N267*N273*50%),2)</f>
        <v>0</v>
      </c>
      <c r="F293" s="24">
        <f>ROUND(IF(N273=0,0,IFERROR(((LOOKUP(2,1/(A278:A281=A293),H278:H281))/N267*N273),F292/N273*N273*50%)),2)</f>
        <v>0</v>
      </c>
      <c r="G293" s="27">
        <f t="shared" si="34"/>
        <v>0</v>
      </c>
      <c r="H293" s="76">
        <f>ROUND(IF(SUM(B290:F292)&lt;(L305*3),IF((SUM(B290:F293))&gt;(L305*4),(((L305*4)-(SUM(B290:F293)-C292))*H289)+((SUM(B293:F293)-C292)*H289),SUM(B293:F293)*H289),IF(SUM(B290:F293)&gt;(L305*4),L305*H289,SUM(B293:F293)*H289)),2)</f>
        <v>0</v>
      </c>
      <c r="I293" s="76">
        <f>ROUND(IF((SUM(B290:F293)*80%)&gt;((L306*4)*90%),((((L306*4)*90%)-((SUM(B290:F293)-C293))*I289)+((SUM(B293:F293)-C293)*I289)*80%),((SUM(B293:F293)-C293)*I289)*80%),2)</f>
        <v>0</v>
      </c>
      <c r="J293" s="76">
        <f>ROUND(IF(SUM(B290:F292)&lt;(L306*3),IF((SUM(B290:F293))&gt;(L306*4),(((L306*4)-(SUM(B290:F293)-C292))*J289)+((SUM(B293:F293)-C292)*J289),SUM(B293:F293)*J289),IF(SUM(B290:F293)&gt;(L306*4),L306*J289,SUM(B293:F293)*J289)),2)</f>
        <v>0</v>
      </c>
      <c r="K293" s="76">
        <f>ROUND(IF(SUM(B290:F292)&lt;(L306*3),IF((SUM(B290:F293))&gt;(L306*4),(((L306*4)-(SUM(B290:F293)-C292))*K289)+((SUM(B293:F293)-C292)*K289),SUM(B293:F293)*K289),IF(SUM(B290:F293)&gt;(L306*4),L306*K289,SUM(B293:F293)*K289)),2)</f>
        <v>0</v>
      </c>
      <c r="L293" s="76">
        <f>ROUND(IF(SUM(B290:F292)&lt;(L305*3),IF((SUM(B290:F293))&gt;(L305*4),(((L305*4)-(SUM(B290:F293)-C292))*L289)+((SUM(B293:F293)-C292)*L289),SUM(B293:F293)*L289),IF(SUM(B290:F293)&gt;(L305*4),L305*L289,SUM(B293:F293)*L289)),2)</f>
        <v>0</v>
      </c>
      <c r="M293" s="76">
        <f>ROUND(IF(SUM(B290:F292)&lt;(L306*3),IF((SUM(B290:F293))&gt;(L306*4),(((L306*4)-(SUM(B290:F293)-C293))*M289)+((SUM(B293:F293)-C293)*M289),(SUM(B293:F293)-C293)*M289),IF(SUM(B290:F293)&gt;(L306*4),L306*M289,SUM(B293:F293)*M289)),2)</f>
        <v>0</v>
      </c>
      <c r="N293" s="23">
        <f>ROUND((B293+E293+F293)*N289,2)</f>
        <v>0</v>
      </c>
      <c r="O293" s="23">
        <f>ROUND(SUM(B293+C293+F293)*O289,2)</f>
        <v>0</v>
      </c>
      <c r="P293" s="27">
        <f t="shared" si="35"/>
        <v>0</v>
      </c>
    </row>
    <row r="294" spans="1:16" s="20" customFormat="1" x14ac:dyDescent="0.2">
      <c r="A294" s="100" t="str">
        <f>$A$30</f>
        <v>Mai 2022</v>
      </c>
      <c r="B294" s="24">
        <f>ROUND(IF(N274=0,0,IFERROR(((LOOKUP(2,1/(A278:A281=A294),G278:G281))*N274*4.348*50%),B293/N274*N274)),2)</f>
        <v>0</v>
      </c>
      <c r="C294" s="23">
        <f>ROUND(IFERROR(((LOOKUP(2,1/(B283=A294),((SUM(B296:B298)+SUM(F296:F298))/3)*C283))),0)+IFERROR(((LOOKUP(2,1/(E283=A294),(B302+F302)*F283))),0),2)</f>
        <v>0</v>
      </c>
      <c r="D294" s="23">
        <f>ROUND(IF(B294=0,0,D289/L271*N274*50%),2)</f>
        <v>0</v>
      </c>
      <c r="E294" s="23">
        <f>ROUND(IF(B294=0,0,E289/N267*N274*50%),2)</f>
        <v>0</v>
      </c>
      <c r="F294" s="24">
        <f>ROUND(IF(N274=0,0,IFERROR(((LOOKUP(2,1/(A278:A281=A294),H278:H281))/N267*N274),F293/N274*N274*50%)),2)</f>
        <v>0</v>
      </c>
      <c r="G294" s="27">
        <f t="shared" si="34"/>
        <v>0</v>
      </c>
      <c r="H294" s="76">
        <f>ROUND(IF(SUM(B290:F293)&lt;(L305*4),IF((SUM(B290:F294))&gt;(L305*5),(((L305*5)-(SUM(B290:F294)-C293))*H289)+((SUM(B294:F294)-C293)*H289),SUM(B294:F294)*H289),IF(SUM(B290:F294)&gt;(L305*5),L305*H289,SUM(B294:F294)*H289)),2)</f>
        <v>0</v>
      </c>
      <c r="I294" s="76">
        <f>ROUND(IF((SUM(B290:F294)*80%)&gt;((L306*5)*90%),((((L306*5)*90%)-((SUM(B290:F294)-C294))*I289)+((SUM(B294:F294)-C294)*I289)*80%),((SUM(B294:F294)-C294)*I289)*80%),2)</f>
        <v>0</v>
      </c>
      <c r="J294" s="76">
        <f>ROUND(IF(SUM(B290:F293)&lt;(L306*4),IF((SUM(B290:F294))&gt;(L306*5),(((L306*5)-(SUM(B290:F294)-C293))*J289)+((SUM(B294:F294)-C293)*J289),SUM(B294:F294)*J289),IF(SUM(B290:F294)&gt;(L306*5),L306*J289,SUM(B294:F294)*J289)),2)</f>
        <v>0</v>
      </c>
      <c r="K294" s="76">
        <f>ROUND(IF(SUM(B290:F293)&lt;(L306*4),IF((SUM(B290:F294))&gt;(L306*5),(((L306*5)-(SUM(B290:F294)-C293))*K289)+((SUM(B294:F294)-C293)*K289),SUM(B294:F294)*K289),IF(SUM(B290:F294)&gt;(L306*5),L306*K289,SUM(B294:F294)*K289)),2)</f>
        <v>0</v>
      </c>
      <c r="L294" s="76">
        <f>ROUND(IF(SUM(B290:F293)&lt;(L305*4),IF((SUM(B290:F294))&gt;(L305*5),(((L305*5)-(SUM(B290:F294)-C293))*L289)+((SUM(B294:F294)-C293)*L289),SUM(B294:F294)*L289),IF(SUM(B290:F294)&gt;(L305*5),L305*L289,SUM(B294:F294)*L289)),2)</f>
        <v>0</v>
      </c>
      <c r="M294" s="76">
        <f>ROUND(IF(SUM(B290:F293)&lt;(L306*4),IF((SUM(B290:F294))&gt;(L306*5),(((L306*5)-(SUM(B290:F294)-C294))*M289)+((SUM(B294:F294)-C294)*M289),(SUM(B294:F294)-C294)*M289),IF(SUM(B290:F294)&gt;(L306*5),L306*M289,SUM(B294:F294)*M289)),2)</f>
        <v>0</v>
      </c>
      <c r="N294" s="23">
        <f>ROUND((B294+E294+F294)*N289,2)</f>
        <v>0</v>
      </c>
      <c r="O294" s="23">
        <f>ROUND(SUM(B294+C294+F294)*O289,2)</f>
        <v>0</v>
      </c>
      <c r="P294" s="27">
        <f t="shared" si="35"/>
        <v>0</v>
      </c>
    </row>
    <row r="295" spans="1:16" s="20" customFormat="1" x14ac:dyDescent="0.2">
      <c r="A295" s="100" t="str">
        <f>$A$31</f>
        <v>Jun 2022</v>
      </c>
      <c r="B295" s="24">
        <f>ROUND(IF(N275=0,0,IFERROR(((LOOKUP(2,1/(A278:A281=A295),G278:G281))*N275*4.348*50%),B294/N275*N275)),2)</f>
        <v>0</v>
      </c>
      <c r="C295" s="23">
        <f>ROUND(IFERROR(((LOOKUP(2,1/(B283=A295),((SUM(B296:B298)+SUM(F296:F298))/3)*C283))),0)+IFERROR(((LOOKUP(2,1/(E283=A295),(B302+F302)*F283))),0),2)</f>
        <v>0</v>
      </c>
      <c r="D295" s="23">
        <f>ROUND(IF(B295=0,0,D289/L271*N275*50%),2)</f>
        <v>0</v>
      </c>
      <c r="E295" s="23">
        <f>ROUND(IF(B295=0,0,E289/N267*N275*50%),2)</f>
        <v>0</v>
      </c>
      <c r="F295" s="24">
        <f>ROUND(IF(N275=0,0,IFERROR(((LOOKUP(2,1/(A278:A281=A295),H278:H281))/N267*N275),F294/N275*N275*50%)),2)</f>
        <v>0</v>
      </c>
      <c r="G295" s="27">
        <f t="shared" si="34"/>
        <v>0</v>
      </c>
      <c r="H295" s="76">
        <f>ROUND(IF(SUM(B290:F294)&lt;(L305*5),IF((SUM(B290:F295))&gt;(L305*6),(((L305*6)-(SUM(B290:F295)-C294))*H289)+((SUM(B295:F295)-C294)*H289),SUM(B295:F295)*H289),IF(SUM(B290:F295)&gt;(L305*6),L305*H289,SUM(B295:F295)*H289)),2)</f>
        <v>0</v>
      </c>
      <c r="I295" s="76">
        <f>ROUND(IF((SUM(B290:F295)*80%)&gt;((L306*6)*90%),((((L306*6)*90%)-((SUM(B290:F295)-C295))*I289)+((SUM(B295:F295)-C295)*I289)*80%),((SUM(B295:F295)-C295)*I289)*80%),2)</f>
        <v>0</v>
      </c>
      <c r="J295" s="76">
        <f>ROUND(IF(SUM(B290:F294)&lt;(L306*5),IF((SUM(B290:F295))&gt;(L306*6),(((L306*6)-(SUM(B290:F295)-C294))*J289)+((SUM(B295:F295)-C294)*J289),SUM(B295:F295)*J289),IF(SUM(B290:F295)&gt;(L306*6),L306*J289,SUM(B295:F295)*J289)),2)</f>
        <v>0</v>
      </c>
      <c r="K295" s="76">
        <f>ROUND(IF(SUM(B290:F294)&lt;(L306*5),IF((SUM(B290:F295))&gt;(L306*6),(((L306*6)-(SUM(B290:F295)-C294))*K289)+((SUM(B295:F295)-C294)*K289),SUM(B295:F295)*K289),IF(SUM(B290:F295)&gt;(L306*6),L306*K289,SUM(B295:F295)*K289)),2)</f>
        <v>0</v>
      </c>
      <c r="L295" s="76">
        <f>ROUND(IF(SUM(B290:F294)&lt;(L305*5),IF((SUM(B290:F295))&gt;(L305*6),(((L305*6)-(SUM(B290:F295)-C294))*L289)+((SUM(B295:F295)-C294)*L289),SUM(B295:F295)*L289),IF(SUM(B290:F295)&gt;(L305*6),L305*L289,SUM(B295:F295)*L289)),2)</f>
        <v>0</v>
      </c>
      <c r="M295" s="76">
        <f>ROUND(IF(SUM(B290:F294)&lt;(L306*5),IF((SUM(B290:F295))&gt;(L306*6),(((L306*6)-(SUM(B290:F295)-C295))*M289)+((SUM(B295:F295)-C295)*M289),(SUM(B295:F295)-C295)*M289),IF(SUM(B290:F295)&gt;(L306*6),L306*M289,SUM(B295:F295)*M289)),2)</f>
        <v>0</v>
      </c>
      <c r="N295" s="23">
        <f>ROUND((B295+E295+F295)*N289,2)</f>
        <v>0</v>
      </c>
      <c r="O295" s="23">
        <f>ROUND(SUM(B295+C295+F295)*O289,2)</f>
        <v>0</v>
      </c>
      <c r="P295" s="27">
        <f t="shared" si="35"/>
        <v>0</v>
      </c>
    </row>
    <row r="296" spans="1:16" s="20" customFormat="1" x14ac:dyDescent="0.2">
      <c r="A296" s="100" t="str">
        <f>$A$32</f>
        <v>Jul 2022</v>
      </c>
      <c r="B296" s="24">
        <f>ROUND(IF(P270=0,0,IFERROR(((LOOKUP(2,1/(A278:A281=A296),G278:G281))*P270*4.348*50%),B295/P270*P270)),2)</f>
        <v>0</v>
      </c>
      <c r="C296" s="23">
        <f>ROUND(IFERROR(((LOOKUP(2,1/(B283=A296),((SUM(B296:B298)+SUM(F296:F298))/3)*C283))),0)+IFERROR(((LOOKUP(2,1/(E283=A296),(B302+F302)*F283))),0),2)</f>
        <v>0</v>
      </c>
      <c r="D296" s="23">
        <f>ROUND(IF(B296=0,0,D289/L271*P270*50%),2)</f>
        <v>0</v>
      </c>
      <c r="E296" s="23">
        <f>ROUND(IF(B296=0,0,E289/N267*P270*50%),2)</f>
        <v>0</v>
      </c>
      <c r="F296" s="24">
        <f>ROUND(IF(P270=0,0,IFERROR(((LOOKUP(2,1/(A278:A281=A296),H278:H281))/N267*P270),F295/P270*P270*50%)),2)</f>
        <v>0</v>
      </c>
      <c r="G296" s="27">
        <f t="shared" si="34"/>
        <v>0</v>
      </c>
      <c r="H296" s="76">
        <f>ROUND(IF(SUM(B290:F295)&lt;(L305*6),IF((SUM(B290:F296))&gt;(L305*7),(((L305*7)-(SUM(B290:F296)-C295))*H289)+((SUM(B296:F296)-C295)*H289),SUM(B296:F296)*H289),IF(SUM(B290:F296)&gt;(L305*7),L305*H289,SUM(B296:F296)*H289)),2)</f>
        <v>0</v>
      </c>
      <c r="I296" s="76">
        <f>ROUND(IF((SUM(B290:F296)*80%)&gt;((L306*7)*90%),((((L306*7)*90%)-((SUM(B290:F296)-C296))*I289)+((SUM(B296:F296)-C296)*I289)*80%),((SUM(B296:F296)-C296)*I289)*80%),2)</f>
        <v>0</v>
      </c>
      <c r="J296" s="76">
        <f>ROUND(IF(SUM(B290:F295)&lt;(L306*6),IF((SUM(B290:F296))&gt;(L306*7),(((L306*7)-(SUM(B290:F296)-C295))*J289)+((SUM(B296:F296)-C295)*J289),SUM(B296:F296)*J289),IF(SUM(B290:F296)&gt;(L306*7),L306*J289,SUM(B296:F296)*J289)),2)</f>
        <v>0</v>
      </c>
      <c r="K296" s="76">
        <f>ROUND(IF(SUM(B290:F295)&lt;(L306*6),IF((SUM(B290:F296))&gt;(L306*7),(((L306*7)-(SUM(B290:F296)-C295))*K289)+((SUM(B296:F296)-C295)*K289),SUM(B296:F296)*K289),IF(SUM(B290:F296)&gt;(L306*7),L306*K289,SUM(B296:F296)*K289)),2)</f>
        <v>0</v>
      </c>
      <c r="L296" s="76">
        <f>ROUND(IF(SUM(B290:F295)&lt;(L305*6),IF((SUM(B290:F296))&gt;(L305*7),(((L305*7)-(SUM(B290:F296)-C295))*L289)+((SUM(B296:F296)-C295)*L289),SUM(B296:F296)*L289),IF(SUM(B290:F296)&gt;(L305*7),L305*L289,SUM(B296:F296)*L289)),2)</f>
        <v>0</v>
      </c>
      <c r="M296" s="76">
        <f>ROUND(IF(SUM(B290:F295)&lt;(L306*6),IF((SUM(B290:F296))&gt;(L306*7),(((L306*7)-(SUM(B290:F296)-C296))*M289)+((SUM(B296:F296)-C296)*M289),(SUM(B296:F296)-C296)*M289),IF(SUM(B290:F296)&gt;(L306*7),L306*M289,SUM(B296:F296)*M289)),2)</f>
        <v>0</v>
      </c>
      <c r="N296" s="23">
        <f>ROUND((B296+E296+F296)*N289,2)</f>
        <v>0</v>
      </c>
      <c r="O296" s="23">
        <f>ROUND(SUM(B296+C296+F296)*O289,2)</f>
        <v>0</v>
      </c>
      <c r="P296" s="27">
        <f t="shared" si="35"/>
        <v>0</v>
      </c>
    </row>
    <row r="297" spans="1:16" s="20" customFormat="1" x14ac:dyDescent="0.2">
      <c r="A297" s="100" t="str">
        <f>$A$33</f>
        <v>Aug 2022</v>
      </c>
      <c r="B297" s="24">
        <f>ROUND(IF(P271=0,0,IFERROR(((LOOKUP(2,1/(A278:A281=A297),G278:G281))*P271*4.348*50%),B296/P271*P271)),2)</f>
        <v>0</v>
      </c>
      <c r="C297" s="23">
        <f>ROUND(IFERROR(((LOOKUP(2,1/(B283=A297),((SUM(B296:B298)+SUM(F296:F298))/3)*C283))),0)+IFERROR(((LOOKUP(2,1/(E283=A297),(B302+F302)*F283))),0),2)</f>
        <v>0</v>
      </c>
      <c r="D297" s="23">
        <f>ROUND(IF(B297=0,0,D289/L271*P271*50%),2)</f>
        <v>0</v>
      </c>
      <c r="E297" s="23">
        <f>ROUND(IF(B297=0,0,E289/N267*P271*50%),2)</f>
        <v>0</v>
      </c>
      <c r="F297" s="24">
        <f>ROUND(IF(P271=0,0,IFERROR(((LOOKUP(2,1/(A278:A281=A297),H278:H281))/N267*P271),F296/P271*P271*50%)),2)</f>
        <v>0</v>
      </c>
      <c r="G297" s="27">
        <f t="shared" si="34"/>
        <v>0</v>
      </c>
      <c r="H297" s="76">
        <f>ROUND(IF(SUM(B290:F296)&lt;(L305*7),IF((SUM(B290:F297))&gt;(L305*8),(((L305*8)-(SUM(B290:F297)-C296))*H289)+((SUM(B297:F297)-C296)*H289),SUM(B297:F297)*H289),IF(SUM(B290:F297)&gt;(L305*8),L305*H289,SUM(B297:F297)*H289)),2)</f>
        <v>0</v>
      </c>
      <c r="I297" s="76">
        <f>ROUND(IF((SUM(B290:F297)*80%)&gt;((L306*8)*90%),((((L306*8)*90%)-((SUM(B290:F297)-C297))*I289)+((SUM(B297:F297)-C297)*I289)*80%),((SUM(B297:F297)-C297)*I289)*80%),2)</f>
        <v>0</v>
      </c>
      <c r="J297" s="76">
        <f>ROUND(IF(SUM(B290:F296)&lt;(L306*7),IF((SUM(B290:F297))&gt;(L306*8),(((L306*8)-(SUM(B290:F297)-C296))*J289)+((SUM(B297:F297)-C296)*J289),SUM(B297:F297)*J289),IF(SUM(B290:F297)&gt;(L306*8),L306*J289,SUM(B297:F297)*J289)),2)</f>
        <v>0</v>
      </c>
      <c r="K297" s="76">
        <f>ROUND(IF(SUM(B290:F296)&lt;(L306*7),IF((SUM(B290:F297))&gt;(L306*8),(((L306*8)-(SUM(B290:F297)-C296))*K289)+((SUM(B297:F297)-C296)*K289),SUM(B297:F297)*K289),IF(SUM(B290:F297)&gt;(L306*8),L306*K289,SUM(B297:F297)*K289)),2)</f>
        <v>0</v>
      </c>
      <c r="L297" s="76">
        <f>ROUND(IF(SUM(B290:F296)&lt;(L305*7),IF((SUM(B290:F297))&gt;(L305*8),(((L305*8)-(SUM(B290:F297)-C296))*L289)+((SUM(B297:F297)-C296)*L289),SUM(B297:F297)*L289),IF(SUM(B290:F297)&gt;(L305*8),L305*L289,SUM(B297:F297)*L289)),2)</f>
        <v>0</v>
      </c>
      <c r="M297" s="76">
        <f>ROUND(IF(SUM(B290:F296)&lt;(L306*7),IF((SUM(B290:F297))&gt;(L306*8),(((L306*8)-(SUM(B290:F297)-C297))*M289)+((SUM(B297:F297)-C297)*M289),(SUM(B297:F297)-C297)*M289),IF(SUM(B290:F297)&gt;(L306*8),L306*M289,SUM(B297:F297)*M289)),2)</f>
        <v>0</v>
      </c>
      <c r="N297" s="23">
        <f>ROUND((B297+E297+F297)*N289,2)</f>
        <v>0</v>
      </c>
      <c r="O297" s="23">
        <f>ROUND(SUM(B297+C297+F297)*O289,2)</f>
        <v>0</v>
      </c>
      <c r="P297" s="27">
        <f t="shared" si="35"/>
        <v>0</v>
      </c>
    </row>
    <row r="298" spans="1:16" s="20" customFormat="1" x14ac:dyDescent="0.2">
      <c r="A298" s="100" t="str">
        <f>$A$34</f>
        <v>Sep 2022</v>
      </c>
      <c r="B298" s="24">
        <f>ROUND(IF(P272=0,0,IFERROR(((LOOKUP(2,1/(A278:A281=A298),G278:G281))*P272*4.348*50%),B297/P272*P272)),2)</f>
        <v>0</v>
      </c>
      <c r="C298" s="23">
        <f>ROUND(IFERROR(((LOOKUP(2,1/(B283=A298),((SUM(B296:B298)+SUM(F296:F298))/3)*C283))),0)+IFERROR(((LOOKUP(2,1/(E283=A298),(B302+F302)*F283))),0),2)</f>
        <v>0</v>
      </c>
      <c r="D298" s="23">
        <f>ROUND(IF(B298=0,0,D289/L271*P272*50%),2)</f>
        <v>0</v>
      </c>
      <c r="E298" s="23">
        <f>ROUND(IF(B298=0,0,E289/N267*P272*50),2)</f>
        <v>0</v>
      </c>
      <c r="F298" s="24">
        <f>ROUND(IF(P272=0,0,IFERROR(((LOOKUP(2,1/(A278:A281=A298),H278:H281))/N267*P272),F297/P272*P272*50%)),2)</f>
        <v>0</v>
      </c>
      <c r="G298" s="27">
        <f t="shared" si="34"/>
        <v>0</v>
      </c>
      <c r="H298" s="76">
        <f>ROUND(IF(SUM(B290:F297)&lt;(L305*8),IF((SUM(B290:F298))&gt;(L305*9),(((L305*9)-(SUM(B290:F298)-C297))*H289)+((SUM(B298:F298)-C297)*H289),SUM(B298:F298)*H289),IF(SUM(B290:F298)&gt;(L305*9),L305*H289,SUM(B298:F298)*H289)),2)</f>
        <v>0</v>
      </c>
      <c r="I298" s="76">
        <f>ROUND(IF((SUM(B290:F298)*80%)&gt;((L306*9)*90%),((((L306*9)*90%)-((SUM(B290:F298)-C298))*I289)+((SUM(B298:F298)-C298)*I289)*80%),((SUM(B298:F298)-C298)*I289)*80%),2)</f>
        <v>0</v>
      </c>
      <c r="J298" s="76">
        <f>ROUND(IF(SUM(B290:F297)&lt;(L306*8),IF((SUM(B290:F298))&gt;(L306*9),(((L306*9)-(SUM(B290:F298)-C297))*J289)+((SUM(B298:F298)-C297)*J289),SUM(B298:F298)*J289),IF(SUM(B290:F298)&gt;(L306*9),L306*J289,SUM(B298:F298)*J289)),2)</f>
        <v>0</v>
      </c>
      <c r="K298" s="76">
        <f>ROUND(IF(SUM(B290:F297)&lt;(L306*8),IF((SUM(B290:F298))&gt;(L306*9),(((L306*9)-(SUM(B290:F298)-C297))*K289)+((SUM(B298:F298)-C297)*K289),SUM(B298:F298)*K289),IF(SUM(B290:F298)&gt;(L306*9),L306*K289,SUM(B298:F298)*K289)),2)</f>
        <v>0</v>
      </c>
      <c r="L298" s="76">
        <f>ROUND(IF(SUM(B290:F297)&lt;(L305*8),IF((SUM(B290:F298))&gt;(L305*9),(((L305*9)-(SUM(B290:F298)-C297))*L289)+((SUM(B298:F298)-C297)*L289),SUM(B298:F298)*L289),IF(SUM(B290:F298)&gt;(L305*9),L305*L289,SUM(B298:F298)*L289)),2)</f>
        <v>0</v>
      </c>
      <c r="M298" s="76">
        <f>ROUND(IF(SUM(B290:F297)&lt;(L306*8),IF((SUM(B290:F298))&gt;(L306*9),(((L306*9)-(SUM(B290:F298)-C298))*M289)+((SUM(B298:F298)-C298)*M289),(SUM(B298:F298)-C298)*M289),IF(SUM(B290:F298)&gt;(L306*9),L306*M289,SUM(B298:F298)*M289)),2)</f>
        <v>0</v>
      </c>
      <c r="N298" s="23">
        <f>ROUND((B298+E298+F298)*N289,2)</f>
        <v>0</v>
      </c>
      <c r="O298" s="23">
        <f>ROUND(SUM(B298+C298+F298)*O289,2)</f>
        <v>0</v>
      </c>
      <c r="P298" s="27">
        <f t="shared" si="35"/>
        <v>0</v>
      </c>
    </row>
    <row r="299" spans="1:16" s="20" customFormat="1" x14ac:dyDescent="0.2">
      <c r="A299" s="100" t="str">
        <f>$A$35</f>
        <v>Okt 2022</v>
      </c>
      <c r="B299" s="24">
        <f>ROUND(IF(P273=0,0,IFERROR(((LOOKUP(2,1/(A278:A281=A299),G278:G281))*P273*4.348*50%),B298/P273*P273)),2)</f>
        <v>0</v>
      </c>
      <c r="C299" s="23">
        <f>ROUND(IFERROR(((LOOKUP(2,1/(B283=A299),((SUM(B296:B298)+SUM(F296:F298))/3)*C283))),0)+IFERROR(((LOOKUP(2,1/(E283=A299),(B302+F302)*F283))),0),2)</f>
        <v>0</v>
      </c>
      <c r="D299" s="23">
        <f>ROUND(IF(B299=0,0,D289/L271*P273*50%),2)</f>
        <v>0</v>
      </c>
      <c r="E299" s="23">
        <f>ROUND(IF(B299=0,0,E289/N267*P273*50%),2)</f>
        <v>0</v>
      </c>
      <c r="F299" s="24">
        <f>ROUND(IF(P273=0,0,IFERROR(((LOOKUP(2,1/(A278:A281=A299),H278:H281))/N267*P273),F298/P273*P273*50%)),2)</f>
        <v>0</v>
      </c>
      <c r="G299" s="27">
        <f t="shared" si="34"/>
        <v>0</v>
      </c>
      <c r="H299" s="76">
        <f>ROUND(IF(SUM(B290:F298)&lt;(L305*9),IF((SUM(B290:F299))&gt;(L305*10),(((L305*10)-(SUM(B290:F299)-C298))*H289)+((SUM(B299:F299)-C298)*H289),SUM(B299:F299)*H289),IF(SUM(B290:F299)&gt;(L305*10),L305*H289,SUM(B299:F299)*H289)),2)</f>
        <v>0</v>
      </c>
      <c r="I299" s="76">
        <f>ROUND(IF((SUM(B290:F299)*80%)&gt;((L306*10)*90%),((((L306*10)*90%)-((SUM(B290:F299)-C299))*I289)+((SUM(B299:F299)-C299)*I289)*80%),((SUM(B299:F299)-C299)*I289)*80%),2)</f>
        <v>0</v>
      </c>
      <c r="J299" s="76">
        <f>ROUND(IF(SUM(B290:F298)&lt;(L306*9),IF((SUM(B290:F299))&gt;(L306*10),(((L306*10)-(SUM(B290:F299)-C298))*J289)+((SUM(B299:F299)-C298)*J289),SUM(B299:F299)*J289),IF(SUM(B290:F299)&gt;(L306*10),L306*J289,SUM(B299:F299)*J289)),2)</f>
        <v>0</v>
      </c>
      <c r="K299" s="76">
        <f>ROUND(IF(SUM(B290:F298)&lt;(L306*9),IF((SUM(B290:F299))&gt;(L306*10),(((L306*10)-(SUM(B290:F299)-C298))*K289)+((SUM(B299:F299)-C298)*K289),SUM(B299:F299)*K289),IF(SUM(B290:F299)&gt;(L306*10),L306*K289,SUM(B299:F299)*K289)),2)</f>
        <v>0</v>
      </c>
      <c r="L299" s="76">
        <f>ROUND(IF(SUM(B290:F298)&lt;(L305*9),IF((SUM(B290:F299))&gt;(L305*10),(((L305*10)-(SUM(B290:F299)-C298))*L289)+((SUM(B299:F299)-C298)*L289),SUM(B299:F299)*L289),IF(SUM(B290:F299)&gt;(L305*10),L305*L289,SUM(B299:F299)*L289)),2)</f>
        <v>0</v>
      </c>
      <c r="M299" s="76">
        <f>ROUND(IF(SUM(B290:F298)&lt;(L306*9),IF((SUM(B290:F299))&gt;(L306*10),(((L306*10)-(SUM(B290:F299)-C299))*M289)+((SUM(B299:F299)-C299)*M289),(SUM(B299:F299)-C299)*M289),IF(SUM(B290:F299)&gt;(L306*10),L306*M289,SUM(B299:F299)*M289)),2)</f>
        <v>0</v>
      </c>
      <c r="N299" s="23">
        <f>ROUND((B299+E299+F299)*N289,2)</f>
        <v>0</v>
      </c>
      <c r="O299" s="23">
        <f>ROUND(SUM(B299+C299+F299)*O289,2)</f>
        <v>0</v>
      </c>
      <c r="P299" s="27">
        <f t="shared" si="35"/>
        <v>0</v>
      </c>
    </row>
    <row r="300" spans="1:16" s="20" customFormat="1" x14ac:dyDescent="0.2">
      <c r="A300" s="100" t="str">
        <f>$A$36</f>
        <v>Nov 2022</v>
      </c>
      <c r="B300" s="24">
        <f>ROUND(IF(P274=0,0,IFERROR(((LOOKUP(2,1/(A278:A281=A300),G278:G281))*P274*4.348*50%),B299/P274*P274)),2)</f>
        <v>0</v>
      </c>
      <c r="C300" s="23">
        <f>ROUND(IFERROR(((LOOKUP(2,1/(B283=A300),((SUM(B296:B298)+SUM(F296:F298))/3)*C283))),0)+IFERROR(((LOOKUP(2,1/(E283=A300),(B302+F302)*F283))),0),2)</f>
        <v>0</v>
      </c>
      <c r="D300" s="23">
        <f>ROUND(IF(B300=0,0,D289/L271*P274*50%),2)</f>
        <v>0</v>
      </c>
      <c r="E300" s="23">
        <f>ROUND(IF(B300=0,0,E289/N267*P274*50%),2)</f>
        <v>0</v>
      </c>
      <c r="F300" s="24">
        <f>ROUND(IF(P274=0,0,IFERROR(((LOOKUP(2,1/(A278:A281=A300),H278:H281))/N267*P274),F299/P274*P274*50%)),2)</f>
        <v>0</v>
      </c>
      <c r="G300" s="27">
        <f t="shared" si="34"/>
        <v>0</v>
      </c>
      <c r="H300" s="76">
        <f>ROUND(IF(SUM(B290:F299)&lt;(L305*10),IF((SUM(B290:F300))&gt;(L305*11),(((L305*11)-(SUM(B290:F300)-C299))*H289)+((SUM(B300:F300)-C299)*H289),SUM(B300:F300)*H289),IF(SUM(B290:F300)&gt;(L305*11),L305*H289,SUM(B300:F300)*H289)),2)</f>
        <v>0</v>
      </c>
      <c r="I300" s="76">
        <f>ROUND(IF((SUM(B290:F300)*80%)&gt;((L306*11)*90%),((((L306*11)*90%)-((SUM(B290:F300)-C300))*I289)+((SUM(B300:F300)-C300)*I289)*80%),((SUM(B300:F300)-C300)*I289)*80%),2)</f>
        <v>0</v>
      </c>
      <c r="J300" s="76">
        <f>ROUND(IF(SUM(B290:F299)&lt;(L306*10),IF((SUM(B290:F300))&gt;(L306*11),(((L306*11)-(SUM(B290:F300)-C299))*J289)+((SUM(B300:F300)-C299)*J289),SUM(B300:F300)*J289),IF(SUM(B290:F300)&gt;(L306*11),L306*J289,SUM(B300:F300)*J289)),2)</f>
        <v>0</v>
      </c>
      <c r="K300" s="76">
        <f>ROUND(IF(SUM(B290:F299)&lt;(L306*10),IF((SUM(B290:F300))&gt;(L306*11),(((L306*11)-(SUM(B290:F300)-C299))*K289)+((SUM(B300:F300)-C299)*K289),SUM(B300:F300)*K289),IF(SUM(B290:F300)&gt;(L306*11),L306*K289,SUM(B300:F300)*K289)),2)</f>
        <v>0</v>
      </c>
      <c r="L300" s="76">
        <f>ROUND(IF(SUM(B290:F299)&lt;(L305*10),IF((SUM(B290:F300))&gt;(L305*11),(((L305*11)-(SUM(B290:F300)-C299))*L289)+((SUM(B300:F300)-C299)*L289),SUM(B300:F300)*L289),IF(SUM(B290:F300)&gt;(L305*11),L305*L289,SUM(B300:F300)*L289)),2)</f>
        <v>0</v>
      </c>
      <c r="M300" s="76">
        <f>ROUND(IF(SUM(B290:F299)&lt;(L306*10),IF((SUM(B290:F300))&gt;(L306*11),(((L306*11)-(SUM(B290:F300)-C300))*M289)+((SUM(B300:F300)-C300)*M289),(SUM(B300:F300)-C300)*M289),IF(SUM(B290:F300)&gt;(L306*11),L306*M289,SUM(B300:F300)*M289)),2)</f>
        <v>0</v>
      </c>
      <c r="N300" s="23">
        <f>ROUND((B300+E300+F300)*N289,2)</f>
        <v>0</v>
      </c>
      <c r="O300" s="23">
        <f>ROUND(SUM(B300+C300+F300)*O289,2)</f>
        <v>0</v>
      </c>
      <c r="P300" s="27">
        <f t="shared" si="35"/>
        <v>0</v>
      </c>
    </row>
    <row r="301" spans="1:16" s="20" customFormat="1" x14ac:dyDescent="0.2">
      <c r="A301" s="100" t="str">
        <f>$A$37</f>
        <v>Dez 2022</v>
      </c>
      <c r="B301" s="24">
        <f>ROUND(IF(P275=0,0,IFERROR(((LOOKUP(2,1/(A278:A281=A301),G278:G281))*P275*4.348*50%),B300/P275*P275)),2)</f>
        <v>0</v>
      </c>
      <c r="C301" s="23">
        <f>ROUND(IFERROR(((LOOKUP(2,1/(B283=A301),((SUM(B296:B298)+SUM(F296:F298))/3)*C283))),0)+IFERROR(((LOOKUP(2,1/(E283=A301),(B302+F302)*F283))),0),2)</f>
        <v>0</v>
      </c>
      <c r="D301" s="23">
        <f>ROUND(IF(B301=0,0,D289/L271*P275*50%),2)</f>
        <v>0</v>
      </c>
      <c r="E301" s="23">
        <f>ROUND(IF(B301=0,0,E289/N267*P275*50%),2)</f>
        <v>0</v>
      </c>
      <c r="F301" s="24">
        <f>ROUND(IF(P275=0,0,IFERROR(((LOOKUP(2,1/(A278:A281=A301),H278:H281))/N267*P275),F300/P275*P275*50%)),2)</f>
        <v>0</v>
      </c>
      <c r="G301" s="27">
        <f t="shared" si="34"/>
        <v>0</v>
      </c>
      <c r="H301" s="76">
        <f>ROUND(IF(SUM(B290:F300)&lt;(L305*11),IF((SUM(B290:F301))&gt;(L305*12),(((L305*12)-(SUM(B290:F301)-C300))*H289)+((SUM(B301:F301)-C300)*H289),SUM(B301:F301)*H289),IF(SUM(B290:F301)&gt;(L305*12),L305*H289,SUM(B301:F301)*H289)),2)</f>
        <v>0</v>
      </c>
      <c r="I301" s="76">
        <f>ROUND(IF((SUM(B290:F301)*80%)&gt;((L306*12)*90%),((((L306*12)*90%)-((SUM(B290:F301)-C301))*I289)+((SUM(B301:F301)-C301)*I289)*80%),((SUM(B301:F301)-C301)*I289)*80%),2)</f>
        <v>0</v>
      </c>
      <c r="J301" s="76">
        <f>ROUND(IF(SUM(B290:F300)&lt;(L306*11),IF((SUM(B290:F301))&gt;(L306*12),(((L306*12)-(SUM(B290:F301)-C300))*J289)+((SUM(B301:F301)-C300)*J289),SUM(B301:F301)*J289),IF(SUM(B290:F301)&gt;(L306*12),L306*J289,SUM(B301:F301)*J289)),2)</f>
        <v>0</v>
      </c>
      <c r="K301" s="76">
        <f>ROUND(IF(SUM(B290:F300)&lt;(L306*11),IF((SUM(B290:F301))&gt;(L306*12),(((L306*12)-(SUM(B290:F301)-C300))*K289)+((SUM(B301:F301)-C300)*K289),SUM(B301:F301)*K289),IF(SUM(B290:F301)&gt;(L306*12),L306*K289,SUM(B301:F301)*K289)),2)</f>
        <v>0</v>
      </c>
      <c r="L301" s="76">
        <f>ROUND(IF(SUM(B290:F300)&lt;(L305*11),IF((SUM(B290:F301))&gt;(L305*12),(((L305*12)-(SUM(B290:F301)-C300))*L289)+((SUM(B301:F301)-C300)*L289),SUM(B301:F301)*L289),IF(SUM(B290:F301)&gt;(L305*12),L305*L289,SUM(B301:F301)*L289)),2)</f>
        <v>0</v>
      </c>
      <c r="M301" s="76">
        <f>ROUND(IF(SUM(B290:F300)&lt;(L306*11),IF((SUM(B290:F301))&gt;(L306*12),(((L306*12)-(SUM(B290:F301)-C301))*M289)+((SUM(B301:F301)-C301)*M289),(SUM(B301:F301)-C301)*M289),IF(SUM(B290:F301)&gt;(L306*12),L306*M289,SUM(B301:F301)*M289)),2)</f>
        <v>0</v>
      </c>
      <c r="N301" s="23">
        <f>ROUND((B301+E301+F301)*N289,2)</f>
        <v>0</v>
      </c>
      <c r="O301" s="23">
        <f>ROUND(SUM(B301+C301+F301)*O289,2)</f>
        <v>0</v>
      </c>
      <c r="P301" s="27">
        <f>SUM(G301:O301)</f>
        <v>0</v>
      </c>
    </row>
    <row r="302" spans="1:16" s="20" customFormat="1" x14ac:dyDescent="0.2">
      <c r="A302" s="4" t="s">
        <v>2</v>
      </c>
      <c r="B302" s="27">
        <f>SUM(B290:B301)</f>
        <v>0</v>
      </c>
      <c r="C302" s="27">
        <f t="shared" ref="C302" si="36">SUM(C290:C301)</f>
        <v>0</v>
      </c>
      <c r="D302" s="27">
        <f>SUM(D290:D301)</f>
        <v>0</v>
      </c>
      <c r="E302" s="27">
        <f t="shared" ref="E302:G302" si="37">SUM(E290:E301)</f>
        <v>0</v>
      </c>
      <c r="F302" s="27">
        <f t="shared" si="37"/>
        <v>0</v>
      </c>
      <c r="G302" s="27">
        <f t="shared" si="37"/>
        <v>0</v>
      </c>
      <c r="H302" s="1133">
        <f>SUM(H290:M301)</f>
        <v>0</v>
      </c>
      <c r="I302" s="1134"/>
      <c r="J302" s="1134"/>
      <c r="K302" s="1134"/>
      <c r="L302" s="1134"/>
      <c r="M302" s="1134"/>
      <c r="N302" s="27">
        <f>SUM(N290:N301)</f>
        <v>0</v>
      </c>
      <c r="O302" s="27">
        <f>SUM(O290:O301)</f>
        <v>0</v>
      </c>
      <c r="P302" s="27">
        <f>SUM(P290:P301)</f>
        <v>0</v>
      </c>
    </row>
    <row r="303" spans="1:16" s="13" customFormat="1" ht="11.25" x14ac:dyDescent="0.2">
      <c r="A303" s="3" t="s">
        <v>1</v>
      </c>
      <c r="B303" s="2"/>
      <c r="C303" s="2"/>
      <c r="D303" s="2"/>
      <c r="E303" s="2"/>
      <c r="F303" s="2"/>
      <c r="G303" s="2"/>
      <c r="H303" s="2"/>
      <c r="I303" s="2"/>
      <c r="J303" s="2"/>
      <c r="K303" s="2"/>
      <c r="L303" s="2"/>
      <c r="M303" s="2"/>
      <c r="N303" s="2"/>
      <c r="O303" s="2"/>
      <c r="P303" s="2"/>
    </row>
    <row r="304" spans="1:16" ht="14.25" customHeight="1" x14ac:dyDescent="0.2">
      <c r="A304" s="1136" t="s">
        <v>133</v>
      </c>
      <c r="B304" s="1137"/>
      <c r="C304" s="1137"/>
      <c r="D304" s="1137" t="s">
        <v>134</v>
      </c>
      <c r="E304" s="1137"/>
      <c r="F304" s="94" t="str">
        <f>IF(IF(G302=0,"",$F$40)=0,"",IF(G302=0,"",$F$40))</f>
        <v/>
      </c>
      <c r="G304" s="77" t="s">
        <v>135</v>
      </c>
      <c r="H304" s="96" t="str">
        <f>IF(IF(G302=0,"",$H$40)=0,"",IF(G302=0,"",$H$40))</f>
        <v/>
      </c>
      <c r="I304" s="73"/>
      <c r="J304" s="78" t="s">
        <v>160</v>
      </c>
      <c r="K304" s="78" t="str">
        <f>$K$40</f>
        <v>2021</v>
      </c>
      <c r="L304" s="78" t="str">
        <f>$L$40</f>
        <v>anteilig 2021</v>
      </c>
      <c r="M304" s="1138" t="s">
        <v>140</v>
      </c>
      <c r="N304" s="1138"/>
      <c r="O304" s="1139"/>
      <c r="P304" s="27">
        <f>ROUND(IF(F304="",IF(E308="",0,(E308*H308/K308)/L271*L272),G302*F304*H304/1000),2)</f>
        <v>0</v>
      </c>
    </row>
    <row r="305" spans="1:16" ht="15" customHeight="1" x14ac:dyDescent="0.2">
      <c r="A305" s="1140" t="s">
        <v>145</v>
      </c>
      <c r="B305" s="1141"/>
      <c r="C305" s="1141"/>
      <c r="D305" s="18"/>
      <c r="E305" s="107" t="s">
        <v>135</v>
      </c>
      <c r="F305" s="95" t="str">
        <f>IF(IF(G302=0,"",$F$41)=0,"",IF(G302=0,"",$F$41))</f>
        <v/>
      </c>
      <c r="G305" s="48"/>
      <c r="H305" s="47"/>
      <c r="I305" s="48"/>
      <c r="J305" s="79" t="s">
        <v>158</v>
      </c>
      <c r="K305" s="81">
        <f>$K$41</f>
        <v>4837.5</v>
      </c>
      <c r="L305" s="81">
        <f>IF(L271="",K305,K305/L271*L272)</f>
        <v>4837.5</v>
      </c>
      <c r="M305" s="1138" t="s">
        <v>139</v>
      </c>
      <c r="N305" s="1138"/>
      <c r="O305" s="1139"/>
      <c r="P305" s="27">
        <f>ROUND(IF(F305="",0,G302*F305/1000),2)</f>
        <v>0</v>
      </c>
    </row>
    <row r="306" spans="1:16" ht="15.75" customHeight="1" x14ac:dyDescent="0.2">
      <c r="A306" s="1142" t="s">
        <v>141</v>
      </c>
      <c r="B306" s="1143"/>
      <c r="C306" s="1143"/>
      <c r="D306" s="1144" t="s">
        <v>143</v>
      </c>
      <c r="E306" s="1144"/>
      <c r="F306" s="1145" t="str">
        <f>IF(IF(G302=0,"",$F$42)=0,"",IF(G302=0,"",$F$42))</f>
        <v/>
      </c>
      <c r="G306" s="1145"/>
      <c r="H306" s="72"/>
      <c r="I306" s="18"/>
      <c r="J306" s="79" t="s">
        <v>159</v>
      </c>
      <c r="K306" s="81">
        <f>$K$42</f>
        <v>6700</v>
      </c>
      <c r="L306" s="81">
        <f>IF(L271="",K306,K306/L271*L272)</f>
        <v>6700</v>
      </c>
      <c r="M306" s="1138" t="s">
        <v>141</v>
      </c>
      <c r="N306" s="1138"/>
      <c r="O306" s="1139"/>
      <c r="P306" s="23">
        <f>ROUND(IF(F306="",0,IF(G302=0,0,F306/L271*L272)),2)</f>
        <v>0</v>
      </c>
    </row>
    <row r="307" spans="1:16" ht="14.25" customHeight="1" x14ac:dyDescent="0.2">
      <c r="A307" s="18"/>
      <c r="B307" s="18"/>
      <c r="C307" s="18"/>
      <c r="D307" s="18"/>
      <c r="E307" s="18"/>
      <c r="F307" s="18"/>
      <c r="G307" s="18"/>
      <c r="H307" s="18"/>
      <c r="I307" s="18"/>
      <c r="J307" s="18"/>
      <c r="K307" s="74"/>
      <c r="L307" s="82"/>
      <c r="M307" s="1127" t="s">
        <v>146</v>
      </c>
      <c r="N307" s="1127"/>
      <c r="O307" s="1128"/>
      <c r="P307" s="23">
        <f>ROUND(IF(G302=0,0,$P$43),2)</f>
        <v>0</v>
      </c>
    </row>
    <row r="308" spans="1:16" ht="14.25" customHeight="1" x14ac:dyDescent="0.2">
      <c r="A308" s="1129" t="s">
        <v>142</v>
      </c>
      <c r="B308" s="1130"/>
      <c r="C308" s="148" t="s">
        <v>136</v>
      </c>
      <c r="D308" s="184" t="s">
        <v>137</v>
      </c>
      <c r="E308" s="1131" t="str">
        <f>IF(IF(G302=0,"",$E$44)=0,"",IF(G302=0,"",$E$44))</f>
        <v/>
      </c>
      <c r="F308" s="1131"/>
      <c r="G308" s="83" t="s">
        <v>138</v>
      </c>
      <c r="H308" s="97" t="str">
        <f>IF(IF(G302=0,"",$H$44)=0,"",IF(G302=0,"",$H$44))</f>
        <v/>
      </c>
      <c r="I308" s="1132" t="s">
        <v>144</v>
      </c>
      <c r="J308" s="1132"/>
      <c r="K308" s="98" t="str">
        <f>IF(IF(G302=0,"",$K$44)=0,"",IF(G302=0,"",$K$44))</f>
        <v/>
      </c>
      <c r="L308" s="29"/>
      <c r="M308" s="29"/>
      <c r="N308" s="29"/>
      <c r="O308" s="28" t="s">
        <v>0</v>
      </c>
      <c r="P308" s="27">
        <f>P302+SUM(P304:P307)</f>
        <v>0</v>
      </c>
    </row>
  </sheetData>
  <sheetProtection algorithmName="SHA-512" hashValue="QxFustQtUTFOWhdURRIC1E3wzZtyIwQKYQz1irUOTvaxPCdRS0Fpy5xwHxlIp9mnAIUyiUJlMLlhb2rZ0TaK6g==" saltValue="mQFVq0UcLRWJpNXezWQbQA==" spinCount="100000" sheet="1" objects="1" scenarios="1"/>
  <mergeCells count="498">
    <mergeCell ref="M307:O307"/>
    <mergeCell ref="A308:B308"/>
    <mergeCell ref="E308:F308"/>
    <mergeCell ref="I308:J308"/>
    <mergeCell ref="H302:M302"/>
    <mergeCell ref="A304:C304"/>
    <mergeCell ref="D304:E304"/>
    <mergeCell ref="M304:O304"/>
    <mergeCell ref="A305:C305"/>
    <mergeCell ref="M305:O305"/>
    <mergeCell ref="A306:C306"/>
    <mergeCell ref="D306:E306"/>
    <mergeCell ref="F306:G306"/>
    <mergeCell ref="M306:O306"/>
    <mergeCell ref="P285:P289"/>
    <mergeCell ref="B286:B289"/>
    <mergeCell ref="D286:D288"/>
    <mergeCell ref="E286:E288"/>
    <mergeCell ref="G286:G289"/>
    <mergeCell ref="H286:H287"/>
    <mergeCell ref="I286:I288"/>
    <mergeCell ref="J286:J287"/>
    <mergeCell ref="K286:K287"/>
    <mergeCell ref="L286:L287"/>
    <mergeCell ref="M286:M288"/>
    <mergeCell ref="O286:O288"/>
    <mergeCell ref="F287:F289"/>
    <mergeCell ref="B281:C281"/>
    <mergeCell ref="K281:L281"/>
    <mergeCell ref="B282:C282"/>
    <mergeCell ref="E282:F282"/>
    <mergeCell ref="K282:L282"/>
    <mergeCell ref="A285:A289"/>
    <mergeCell ref="B285:G285"/>
    <mergeCell ref="H285:M285"/>
    <mergeCell ref="N285:N288"/>
    <mergeCell ref="F276:G276"/>
    <mergeCell ref="H276:I276"/>
    <mergeCell ref="B277:C277"/>
    <mergeCell ref="K277:L277"/>
    <mergeCell ref="B278:C278"/>
    <mergeCell ref="K278:L278"/>
    <mergeCell ref="B279:C279"/>
    <mergeCell ref="K279:L279"/>
    <mergeCell ref="B280:C280"/>
    <mergeCell ref="K280:L280"/>
    <mergeCell ref="A273:C273"/>
    <mergeCell ref="D273:I273"/>
    <mergeCell ref="J273:K273"/>
    <mergeCell ref="A274:C274"/>
    <mergeCell ref="D274:I274"/>
    <mergeCell ref="J274:K274"/>
    <mergeCell ref="D275:E275"/>
    <mergeCell ref="F275:G275"/>
    <mergeCell ref="H275:I275"/>
    <mergeCell ref="A268:C268"/>
    <mergeCell ref="D268:J268"/>
    <mergeCell ref="A269:M269"/>
    <mergeCell ref="J270:K270"/>
    <mergeCell ref="A271:C271"/>
    <mergeCell ref="D271:I271"/>
    <mergeCell ref="J271:K271"/>
    <mergeCell ref="A272:C272"/>
    <mergeCell ref="D272:I272"/>
    <mergeCell ref="J272:K272"/>
    <mergeCell ref="M263:O263"/>
    <mergeCell ref="A264:B264"/>
    <mergeCell ref="E264:F264"/>
    <mergeCell ref="I264:J264"/>
    <mergeCell ref="A265:C265"/>
    <mergeCell ref="D265:N265"/>
    <mergeCell ref="A266:C266"/>
    <mergeCell ref="D266:N266"/>
    <mergeCell ref="A267:C267"/>
    <mergeCell ref="D267:J267"/>
    <mergeCell ref="K267:M267"/>
    <mergeCell ref="H258:M258"/>
    <mergeCell ref="A260:C260"/>
    <mergeCell ref="D260:E260"/>
    <mergeCell ref="M260:O260"/>
    <mergeCell ref="A261:C261"/>
    <mergeCell ref="M261:O261"/>
    <mergeCell ref="A262:C262"/>
    <mergeCell ref="D262:E262"/>
    <mergeCell ref="F262:G262"/>
    <mergeCell ref="M262:O262"/>
    <mergeCell ref="N241:N244"/>
    <mergeCell ref="P241:P245"/>
    <mergeCell ref="B242:B245"/>
    <mergeCell ref="D242:D244"/>
    <mergeCell ref="E242:E244"/>
    <mergeCell ref="G242:G245"/>
    <mergeCell ref="H242:H243"/>
    <mergeCell ref="I242:I244"/>
    <mergeCell ref="J242:J243"/>
    <mergeCell ref="K242:K243"/>
    <mergeCell ref="L242:L243"/>
    <mergeCell ref="M242:M244"/>
    <mergeCell ref="O242:O244"/>
    <mergeCell ref="F243:F245"/>
    <mergeCell ref="B236:C236"/>
    <mergeCell ref="K236:L236"/>
    <mergeCell ref="B237:C237"/>
    <mergeCell ref="K237:L237"/>
    <mergeCell ref="B238:C238"/>
    <mergeCell ref="E238:F238"/>
    <mergeCell ref="K238:L238"/>
    <mergeCell ref="A241:A245"/>
    <mergeCell ref="B241:G241"/>
    <mergeCell ref="H241:M241"/>
    <mergeCell ref="F231:G231"/>
    <mergeCell ref="H231:I231"/>
    <mergeCell ref="F232:G232"/>
    <mergeCell ref="H232:I232"/>
    <mergeCell ref="B233:C233"/>
    <mergeCell ref="B234:C234"/>
    <mergeCell ref="K234:L234"/>
    <mergeCell ref="B235:C235"/>
    <mergeCell ref="K235:L235"/>
    <mergeCell ref="A221:C221"/>
    <mergeCell ref="D221:N221"/>
    <mergeCell ref="A222:C222"/>
    <mergeCell ref="D222:N222"/>
    <mergeCell ref="D223:J223"/>
    <mergeCell ref="K223:M223"/>
    <mergeCell ref="D224:J224"/>
    <mergeCell ref="A225:M225"/>
    <mergeCell ref="J226:K226"/>
    <mergeCell ref="H214:M214"/>
    <mergeCell ref="A216:C216"/>
    <mergeCell ref="D216:E216"/>
    <mergeCell ref="M216:O216"/>
    <mergeCell ref="D218:E218"/>
    <mergeCell ref="F218:G218"/>
    <mergeCell ref="M218:O218"/>
    <mergeCell ref="M219:O219"/>
    <mergeCell ref="A220:B220"/>
    <mergeCell ref="E220:F220"/>
    <mergeCell ref="I220:J220"/>
    <mergeCell ref="P197:P201"/>
    <mergeCell ref="B198:B201"/>
    <mergeCell ref="D198:D200"/>
    <mergeCell ref="E198:E200"/>
    <mergeCell ref="G198:G201"/>
    <mergeCell ref="H198:H199"/>
    <mergeCell ref="I198:I200"/>
    <mergeCell ref="J198:J199"/>
    <mergeCell ref="K198:K199"/>
    <mergeCell ref="L198:L199"/>
    <mergeCell ref="M198:M200"/>
    <mergeCell ref="O198:O200"/>
    <mergeCell ref="F199:F201"/>
    <mergeCell ref="B193:C193"/>
    <mergeCell ref="K193:L193"/>
    <mergeCell ref="B194:C194"/>
    <mergeCell ref="E194:F194"/>
    <mergeCell ref="K194:L194"/>
    <mergeCell ref="A197:A201"/>
    <mergeCell ref="B197:G197"/>
    <mergeCell ref="H197:M197"/>
    <mergeCell ref="N197:N200"/>
    <mergeCell ref="F188:G188"/>
    <mergeCell ref="H188:I188"/>
    <mergeCell ref="B189:C189"/>
    <mergeCell ref="K189:L189"/>
    <mergeCell ref="B190:C190"/>
    <mergeCell ref="K190:L190"/>
    <mergeCell ref="B191:C191"/>
    <mergeCell ref="K191:L191"/>
    <mergeCell ref="B192:C192"/>
    <mergeCell ref="K192:L192"/>
    <mergeCell ref="D184:I184"/>
    <mergeCell ref="J184:K184"/>
    <mergeCell ref="A185:C185"/>
    <mergeCell ref="D185:I185"/>
    <mergeCell ref="J185:K185"/>
    <mergeCell ref="D186:I186"/>
    <mergeCell ref="J186:K186"/>
    <mergeCell ref="D187:E187"/>
    <mergeCell ref="F187:G187"/>
    <mergeCell ref="H187:I187"/>
    <mergeCell ref="A186:C186"/>
    <mergeCell ref="A176:B176"/>
    <mergeCell ref="E176:F176"/>
    <mergeCell ref="I176:J176"/>
    <mergeCell ref="A177:C177"/>
    <mergeCell ref="D177:N177"/>
    <mergeCell ref="A178:C178"/>
    <mergeCell ref="D178:N178"/>
    <mergeCell ref="A179:C179"/>
    <mergeCell ref="D179:J179"/>
    <mergeCell ref="K179:M179"/>
    <mergeCell ref="A172:C172"/>
    <mergeCell ref="D172:E172"/>
    <mergeCell ref="M172:O172"/>
    <mergeCell ref="A173:C173"/>
    <mergeCell ref="M173:O173"/>
    <mergeCell ref="A174:C174"/>
    <mergeCell ref="D174:E174"/>
    <mergeCell ref="F174:G174"/>
    <mergeCell ref="M174:O174"/>
    <mergeCell ref="P153:P157"/>
    <mergeCell ref="B154:B157"/>
    <mergeCell ref="D154:D156"/>
    <mergeCell ref="E154:E156"/>
    <mergeCell ref="G154:G157"/>
    <mergeCell ref="H154:H155"/>
    <mergeCell ref="I154:I156"/>
    <mergeCell ref="J154:J155"/>
    <mergeCell ref="K154:K155"/>
    <mergeCell ref="L154:L155"/>
    <mergeCell ref="M154:M156"/>
    <mergeCell ref="O154:O156"/>
    <mergeCell ref="F155:F157"/>
    <mergeCell ref="B149:C149"/>
    <mergeCell ref="K149:L149"/>
    <mergeCell ref="B150:C150"/>
    <mergeCell ref="E150:F150"/>
    <mergeCell ref="K150:L150"/>
    <mergeCell ref="A153:A157"/>
    <mergeCell ref="B153:G153"/>
    <mergeCell ref="H153:M153"/>
    <mergeCell ref="N153:N156"/>
    <mergeCell ref="H144:I144"/>
    <mergeCell ref="B145:C145"/>
    <mergeCell ref="K145:L145"/>
    <mergeCell ref="B146:C146"/>
    <mergeCell ref="K146:L146"/>
    <mergeCell ref="B147:C147"/>
    <mergeCell ref="K147:L147"/>
    <mergeCell ref="B148:C148"/>
    <mergeCell ref="K148:L148"/>
    <mergeCell ref="D139:I139"/>
    <mergeCell ref="J139:K139"/>
    <mergeCell ref="A140:C140"/>
    <mergeCell ref="D140:I140"/>
    <mergeCell ref="J140:K140"/>
    <mergeCell ref="A141:C141"/>
    <mergeCell ref="D141:I141"/>
    <mergeCell ref="J141:K141"/>
    <mergeCell ref="A142:C142"/>
    <mergeCell ref="D142:I142"/>
    <mergeCell ref="J142:K142"/>
    <mergeCell ref="A133:C133"/>
    <mergeCell ref="D133:N133"/>
    <mergeCell ref="A134:C134"/>
    <mergeCell ref="D134:N134"/>
    <mergeCell ref="A135:C135"/>
    <mergeCell ref="D135:J135"/>
    <mergeCell ref="K135:M135"/>
    <mergeCell ref="A136:C136"/>
    <mergeCell ref="D136:J136"/>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B101:C101"/>
    <mergeCell ref="K101:L101"/>
    <mergeCell ref="B102:C102"/>
    <mergeCell ref="K102:L102"/>
    <mergeCell ref="B103:C103"/>
    <mergeCell ref="K103:L103"/>
    <mergeCell ref="B104:C104"/>
    <mergeCell ref="K104:L104"/>
    <mergeCell ref="B105:C105"/>
    <mergeCell ref="K105:L105"/>
    <mergeCell ref="A97:C97"/>
    <mergeCell ref="D97:I97"/>
    <mergeCell ref="J97:K97"/>
    <mergeCell ref="A98:C98"/>
    <mergeCell ref="D98:I98"/>
    <mergeCell ref="J98:K98"/>
    <mergeCell ref="D99:E99"/>
    <mergeCell ref="F99:G99"/>
    <mergeCell ref="H99:I99"/>
    <mergeCell ref="A92:C92"/>
    <mergeCell ref="D92:J92"/>
    <mergeCell ref="A93:J93"/>
    <mergeCell ref="J94:K94"/>
    <mergeCell ref="A95:C95"/>
    <mergeCell ref="D95:I95"/>
    <mergeCell ref="J95:K95"/>
    <mergeCell ref="A96:C96"/>
    <mergeCell ref="D96:I96"/>
    <mergeCell ref="J96:K96"/>
    <mergeCell ref="M87:O87"/>
    <mergeCell ref="A88:B88"/>
    <mergeCell ref="E88:F88"/>
    <mergeCell ref="I88:J88"/>
    <mergeCell ref="A89:C89"/>
    <mergeCell ref="D89:N89"/>
    <mergeCell ref="A90:C90"/>
    <mergeCell ref="D90:N90"/>
    <mergeCell ref="A91:C91"/>
    <mergeCell ref="D91:J91"/>
    <mergeCell ref="K91:M91"/>
    <mergeCell ref="A65:A69"/>
    <mergeCell ref="B65:G65"/>
    <mergeCell ref="H65:N65"/>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B59:C59"/>
    <mergeCell ref="K59:L59"/>
    <mergeCell ref="B60:C60"/>
    <mergeCell ref="K60:L60"/>
    <mergeCell ref="B61:C61"/>
    <mergeCell ref="K61:L61"/>
    <mergeCell ref="B62:C62"/>
    <mergeCell ref="E62:F62"/>
    <mergeCell ref="K62:L62"/>
    <mergeCell ref="A54:C54"/>
    <mergeCell ref="D54:I54"/>
    <mergeCell ref="J54:K54"/>
    <mergeCell ref="D55:E55"/>
    <mergeCell ref="F55:G55"/>
    <mergeCell ref="H55:I55"/>
    <mergeCell ref="B57:C57"/>
    <mergeCell ref="K57:L57"/>
    <mergeCell ref="B58:C58"/>
    <mergeCell ref="K58:L58"/>
    <mergeCell ref="M41:O41"/>
    <mergeCell ref="A42:C42"/>
    <mergeCell ref="D42:E42"/>
    <mergeCell ref="F42:G42"/>
    <mergeCell ref="M42:O42"/>
    <mergeCell ref="M43:O43"/>
    <mergeCell ref="A44:B44"/>
    <mergeCell ref="E44:F44"/>
    <mergeCell ref="I44:J44"/>
    <mergeCell ref="A21:A25"/>
    <mergeCell ref="B21:G21"/>
    <mergeCell ref="H21:N21"/>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B14:C14"/>
    <mergeCell ref="K14:L14"/>
    <mergeCell ref="B15:C15"/>
    <mergeCell ref="K15:L15"/>
    <mergeCell ref="B16:C16"/>
    <mergeCell ref="K16:L16"/>
    <mergeCell ref="B17:C17"/>
    <mergeCell ref="K17:L17"/>
    <mergeCell ref="B18:C18"/>
    <mergeCell ref="E18:F18"/>
    <mergeCell ref="K18:L18"/>
    <mergeCell ref="D9:I9"/>
    <mergeCell ref="J9:K9"/>
    <mergeCell ref="D10:I10"/>
    <mergeCell ref="J10:K10"/>
    <mergeCell ref="D11:E11"/>
    <mergeCell ref="F11:G11"/>
    <mergeCell ref="H11:I11"/>
    <mergeCell ref="B13:C13"/>
    <mergeCell ref="K13:L13"/>
    <mergeCell ref="A9:C9"/>
    <mergeCell ref="A10:C10"/>
    <mergeCell ref="A230:C230"/>
    <mergeCell ref="K233:L233"/>
    <mergeCell ref="D230:I230"/>
    <mergeCell ref="J230:K230"/>
    <mergeCell ref="D231:E231"/>
    <mergeCell ref="H82:N82"/>
    <mergeCell ref="D84:E84"/>
    <mergeCell ref="M84:O84"/>
    <mergeCell ref="A85:C85"/>
    <mergeCell ref="M85:O85"/>
    <mergeCell ref="A86:C86"/>
    <mergeCell ref="D86:E86"/>
    <mergeCell ref="F86:G86"/>
    <mergeCell ref="M86:O86"/>
    <mergeCell ref="A84:C84"/>
    <mergeCell ref="J182:K182"/>
    <mergeCell ref="H126:N126"/>
    <mergeCell ref="D128:E128"/>
    <mergeCell ref="M128:O128"/>
    <mergeCell ref="A137:M137"/>
    <mergeCell ref="J138:K138"/>
    <mergeCell ref="A139:C139"/>
    <mergeCell ref="B106:C106"/>
    <mergeCell ref="E106:F106"/>
    <mergeCell ref="A46:C46"/>
    <mergeCell ref="A47:C47"/>
    <mergeCell ref="A45:C45"/>
    <mergeCell ref="D45:N45"/>
    <mergeCell ref="D46:N46"/>
    <mergeCell ref="D47:J47"/>
    <mergeCell ref="A48:C48"/>
    <mergeCell ref="D48:J48"/>
    <mergeCell ref="A49:J49"/>
    <mergeCell ref="J50:K50"/>
    <mergeCell ref="A51:C51"/>
    <mergeCell ref="D51:I51"/>
    <mergeCell ref="J51:K51"/>
    <mergeCell ref="A52:C52"/>
    <mergeCell ref="D52:I52"/>
    <mergeCell ref="J52:K52"/>
    <mergeCell ref="A53:C53"/>
    <mergeCell ref="D53:I53"/>
    <mergeCell ref="J53:K53"/>
    <mergeCell ref="A40:C40"/>
    <mergeCell ref="A41:C41"/>
    <mergeCell ref="K47:M47"/>
    <mergeCell ref="H38:N38"/>
    <mergeCell ref="D40:E40"/>
    <mergeCell ref="M40:O40"/>
    <mergeCell ref="A224:C224"/>
    <mergeCell ref="A229:C229"/>
    <mergeCell ref="A227:C227"/>
    <mergeCell ref="D227:I227"/>
    <mergeCell ref="J227:K227"/>
    <mergeCell ref="A228:C228"/>
    <mergeCell ref="D228:I228"/>
    <mergeCell ref="J228:K228"/>
    <mergeCell ref="D229:I229"/>
    <mergeCell ref="J229:K229"/>
    <mergeCell ref="M217:O217"/>
    <mergeCell ref="A223:C223"/>
    <mergeCell ref="A217:C217"/>
    <mergeCell ref="A218:C218"/>
    <mergeCell ref="H170:M170"/>
    <mergeCell ref="M175:O175"/>
    <mergeCell ref="D180:J180"/>
    <mergeCell ref="A181:M181"/>
    <mergeCell ref="A1:C1"/>
    <mergeCell ref="A2:C2"/>
    <mergeCell ref="A3:C3"/>
    <mergeCell ref="A8:C8"/>
    <mergeCell ref="A4:C4"/>
    <mergeCell ref="A7:C7"/>
    <mergeCell ref="D1:N1"/>
    <mergeCell ref="D2:N2"/>
    <mergeCell ref="D3:J3"/>
    <mergeCell ref="K3:M3"/>
    <mergeCell ref="D4:J4"/>
    <mergeCell ref="A5:J5"/>
    <mergeCell ref="J6:K6"/>
    <mergeCell ref="D7:I7"/>
    <mergeCell ref="J7:K7"/>
    <mergeCell ref="D8:I8"/>
    <mergeCell ref="J8:K8"/>
    <mergeCell ref="A180:C180"/>
    <mergeCell ref="A183:C183"/>
    <mergeCell ref="D183:I183"/>
    <mergeCell ref="J183:K183"/>
    <mergeCell ref="A184:C184"/>
    <mergeCell ref="K106:L106"/>
    <mergeCell ref="A109:A113"/>
    <mergeCell ref="B109:G109"/>
    <mergeCell ref="H109:N109"/>
    <mergeCell ref="A128:C128"/>
    <mergeCell ref="D143:E143"/>
    <mergeCell ref="F143:G143"/>
    <mergeCell ref="H143:I143"/>
    <mergeCell ref="F144:G144"/>
    <mergeCell ref="A129:C129"/>
    <mergeCell ref="M129:O129"/>
    <mergeCell ref="A130:C130"/>
    <mergeCell ref="D130:E130"/>
    <mergeCell ref="F130:G130"/>
    <mergeCell ref="M130:O130"/>
    <mergeCell ref="M131:O131"/>
    <mergeCell ref="A132:B132"/>
    <mergeCell ref="E132:F132"/>
    <mergeCell ref="I132:J132"/>
  </mergeCells>
  <dataValidations count="1">
    <dataValidation type="list" allowBlank="1" showInputMessage="1" showErrorMessage="1" sqref="B19 E19 B63 E63 B107 E107 B151 E151 B195 E195 B239 E239 B283 E283">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&amp;10&amp;KFF0000techn. Personal - Hausmeister&amp;R&amp;G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A58:A61 A102:A105 A146:A149 A190:A193 A234:A237 A278:A281 A14:A17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528"/>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6384" width="11.42578125" style="1"/>
  </cols>
  <sheetData>
    <row r="1" spans="1:16" s="12" customFormat="1" ht="13.5" customHeight="1" x14ac:dyDescent="0.2">
      <c r="A1" s="1178" t="s">
        <v>18</v>
      </c>
      <c r="B1" s="1178"/>
      <c r="C1" s="1178"/>
      <c r="D1" s="1179" t="str">
        <f>IF('päd.Personal - Leitung'!D1="","",'päd.Personal - Leitung'!D1)</f>
        <v/>
      </c>
      <c r="E1" s="1179"/>
      <c r="F1" s="1179"/>
      <c r="G1" s="1179"/>
      <c r="H1" s="1179"/>
      <c r="I1" s="1179"/>
      <c r="J1" s="1179"/>
      <c r="K1" s="1179"/>
      <c r="L1" s="1179"/>
      <c r="M1" s="1179"/>
      <c r="N1" s="1179"/>
    </row>
    <row r="2" spans="1:16" s="12" customFormat="1" ht="15" customHeight="1" x14ac:dyDescent="0.2">
      <c r="A2" s="1178" t="s">
        <v>17</v>
      </c>
      <c r="B2" s="1178"/>
      <c r="C2" s="1178" t="s">
        <v>15</v>
      </c>
      <c r="D2" s="1179" t="str">
        <f>IF('päd.Personal - Leitung'!D2="","",'päd.Personal - Leitung'!D2)</f>
        <v/>
      </c>
      <c r="E2" s="1179"/>
      <c r="F2" s="1179"/>
      <c r="G2" s="1179"/>
      <c r="H2" s="1179"/>
      <c r="I2" s="1179"/>
      <c r="J2" s="1179"/>
      <c r="K2" s="1179"/>
      <c r="L2" s="1179"/>
      <c r="M2" s="1179"/>
      <c r="N2" s="1179"/>
    </row>
    <row r="3" spans="1:16" s="12" customFormat="1" ht="15" customHeight="1" x14ac:dyDescent="0.2">
      <c r="A3" s="1178" t="s">
        <v>16</v>
      </c>
      <c r="B3" s="1178"/>
      <c r="C3" s="1178" t="s">
        <v>15</v>
      </c>
      <c r="D3" s="1179" t="str">
        <f>IF('päd.Personal - Leitung'!D3="","",'päd.Personal - Leitung'!D3)</f>
        <v/>
      </c>
      <c r="E3" s="1179"/>
      <c r="F3" s="1179"/>
      <c r="G3" s="1179"/>
      <c r="H3" s="1179"/>
      <c r="I3" s="1179"/>
      <c r="J3" s="1179"/>
      <c r="K3" s="1178" t="s">
        <v>103</v>
      </c>
      <c r="L3" s="1178"/>
      <c r="M3" s="1178"/>
      <c r="N3" s="41" t="str">
        <f>IF('päd.Personal - Leitung'!N3="","",'päd.Personal - Leitung'!N3)</f>
        <v/>
      </c>
    </row>
    <row r="4" spans="1:16" s="13" customFormat="1" ht="11.25" x14ac:dyDescent="0.2">
      <c r="A4" s="1182"/>
      <c r="B4" s="1182"/>
      <c r="C4" s="1182"/>
      <c r="D4" s="1183"/>
      <c r="E4" s="1183"/>
      <c r="F4" s="1183"/>
      <c r="G4" s="1183"/>
      <c r="H4" s="1183"/>
      <c r="I4" s="1183"/>
      <c r="J4" s="1183"/>
      <c r="K4" s="11"/>
      <c r="L4" s="11"/>
      <c r="M4" s="11"/>
      <c r="N4" s="11"/>
      <c r="O4" s="11"/>
      <c r="P4" s="11"/>
    </row>
    <row r="5" spans="1:16" s="15" customFormat="1" ht="13.5" customHeight="1" x14ac:dyDescent="0.2">
      <c r="A5" s="1177" t="s">
        <v>224</v>
      </c>
      <c r="B5" s="1177"/>
      <c r="C5" s="1177"/>
      <c r="D5" s="1177"/>
      <c r="E5" s="1177"/>
      <c r="F5" s="1177"/>
      <c r="G5" s="1177"/>
      <c r="H5" s="1177"/>
      <c r="I5" s="1177"/>
      <c r="J5" s="1177"/>
      <c r="K5" s="9"/>
      <c r="L5" s="9"/>
      <c r="M5" s="9"/>
      <c r="N5" s="59" t="s">
        <v>154</v>
      </c>
      <c r="O5" s="191">
        <f>'päd.Personal - Leitung'!$O$5</f>
        <v>2022</v>
      </c>
      <c r="P5" s="59" t="s">
        <v>154</v>
      </c>
    </row>
    <row r="6" spans="1:16" s="10" customFormat="1" ht="13.5" customHeight="1" x14ac:dyDescent="0.25">
      <c r="B6" s="32"/>
      <c r="C6" s="32"/>
      <c r="D6" s="5" t="s">
        <v>31</v>
      </c>
      <c r="E6" s="31"/>
      <c r="F6" s="31"/>
      <c r="G6" s="31"/>
      <c r="H6" s="31"/>
      <c r="I6" s="26"/>
      <c r="J6" s="1174" t="s">
        <v>14</v>
      </c>
      <c r="K6" s="1174"/>
      <c r="L6" s="180"/>
      <c r="N6" s="84">
        <f>IF(L8="","",L8)</f>
        <v>0</v>
      </c>
      <c r="O6" s="58" t="str">
        <f>'päd.Personal - Leitung'!$O$6</f>
        <v>Jan                Jul</v>
      </c>
      <c r="P6" s="85">
        <f>IF(N11="","",N11)</f>
        <v>0</v>
      </c>
    </row>
    <row r="7" spans="1:16" s="7" customFormat="1" ht="13.5" customHeight="1" x14ac:dyDescent="0.25">
      <c r="A7" s="1180" t="s">
        <v>71</v>
      </c>
      <c r="B7" s="1180"/>
      <c r="C7" s="1180"/>
      <c r="D7" s="1184"/>
      <c r="E7" s="1184"/>
      <c r="F7" s="1184"/>
      <c r="G7" s="1184"/>
      <c r="H7" s="1184"/>
      <c r="I7" s="1184"/>
      <c r="J7" s="1174" t="s">
        <v>104</v>
      </c>
      <c r="K7" s="1174"/>
      <c r="L7" s="145"/>
      <c r="N7" s="85">
        <f>IF(N6="","",N6)</f>
        <v>0</v>
      </c>
      <c r="O7" s="58" t="str">
        <f>'päd.Personal - Leitung'!$O$7</f>
        <v>Feb              Aug</v>
      </c>
      <c r="P7" s="85">
        <f>IF(P6="","",P6)</f>
        <v>0</v>
      </c>
    </row>
    <row r="8" spans="1:16" ht="13.5" customHeight="1" x14ac:dyDescent="0.2">
      <c r="A8" s="1180" t="s">
        <v>13</v>
      </c>
      <c r="B8" s="1180"/>
      <c r="C8" s="1180"/>
      <c r="D8" s="1181"/>
      <c r="E8" s="1181"/>
      <c r="F8" s="1181"/>
      <c r="G8" s="1181"/>
      <c r="H8" s="1181"/>
      <c r="I8" s="1181"/>
      <c r="J8" s="1174" t="s">
        <v>222</v>
      </c>
      <c r="K8" s="1174"/>
      <c r="L8" s="145">
        <f>IF(L9&gt;L7,0,L7-L9)</f>
        <v>0</v>
      </c>
      <c r="N8" s="85">
        <f>IF(N7="","",N7)</f>
        <v>0</v>
      </c>
      <c r="O8" s="58" t="str">
        <f>'päd.Personal - Leitung'!$O$8</f>
        <v>Mrz              Sep</v>
      </c>
      <c r="P8" s="85">
        <f>IF(P7="","",P7)</f>
        <v>0</v>
      </c>
    </row>
    <row r="9" spans="1:16" ht="13.5" customHeight="1" x14ac:dyDescent="0.2">
      <c r="A9" s="1180" t="s">
        <v>12</v>
      </c>
      <c r="B9" s="1180"/>
      <c r="C9" s="1180"/>
      <c r="D9" s="1181"/>
      <c r="E9" s="1181"/>
      <c r="F9" s="1181"/>
      <c r="G9" s="1181"/>
      <c r="H9" s="1181"/>
      <c r="I9" s="1181"/>
      <c r="J9" s="1174" t="s">
        <v>223</v>
      </c>
      <c r="K9" s="1174"/>
      <c r="L9" s="145"/>
      <c r="N9" s="85">
        <f>IF(N8="","",N8)</f>
        <v>0</v>
      </c>
      <c r="O9" s="58" t="str">
        <f>'päd.Personal - Leitung'!$O$9</f>
        <v>Apr               Okt</v>
      </c>
      <c r="P9" s="85">
        <f t="shared" ref="P9:P11" si="0">IF(P8="","",P8)</f>
        <v>0</v>
      </c>
    </row>
    <row r="10" spans="1:16" ht="13.5" customHeight="1" x14ac:dyDescent="0.2">
      <c r="A10" s="1180" t="s">
        <v>19</v>
      </c>
      <c r="B10" s="1180"/>
      <c r="C10" s="1180"/>
      <c r="D10" s="1181"/>
      <c r="E10" s="1181"/>
      <c r="F10" s="1181"/>
      <c r="G10" s="1181"/>
      <c r="H10" s="1181"/>
      <c r="I10" s="1181"/>
      <c r="J10" s="1174" t="s">
        <v>97</v>
      </c>
      <c r="K10" s="1174"/>
      <c r="L10" s="17" t="str">
        <f>IF(IF((COUNTIF(B26:B37,"&gt;0"))=0,0,(COUNTIF(B26:B37,"&gt;0")))&gt;Grundlagen!$C$24,Grundlagen!$C$24,IF((COUNTIF(B26:B37,"&gt;0"))=0,"",(COUNTIF(B26:B37,"&gt;0"))))</f>
        <v/>
      </c>
      <c r="M10" s="92"/>
      <c r="N10" s="85">
        <f>IF(N9="","",N9)</f>
        <v>0</v>
      </c>
      <c r="O10" s="58" t="str">
        <f>'päd.Personal - Leitung'!$O$10</f>
        <v>Mai               Nov</v>
      </c>
      <c r="P10" s="85">
        <f t="shared" si="0"/>
        <v>0</v>
      </c>
    </row>
    <row r="11" spans="1:16" ht="13.5" customHeight="1" x14ac:dyDescent="0.2">
      <c r="B11" s="8"/>
      <c r="C11" s="141" t="s">
        <v>162</v>
      </c>
      <c r="D11" s="1175"/>
      <c r="E11" s="1175"/>
      <c r="F11" s="1176" t="s">
        <v>106</v>
      </c>
      <c r="G11" s="1176"/>
      <c r="H11" s="1186"/>
      <c r="I11" s="1186"/>
      <c r="L11" s="147" t="str">
        <f>IF((SUM(F14:F17))=0,"",IF(P12&gt;L8,L8,IF(L8="","",IF(L10="","",P12))))</f>
        <v/>
      </c>
      <c r="N11" s="85">
        <f>IF(N10="","",N10)</f>
        <v>0</v>
      </c>
      <c r="O11" s="58" t="str">
        <f>'päd.Personal - Leitung'!$O$11</f>
        <v>Jun               Dez</v>
      </c>
      <c r="P11" s="85">
        <f t="shared" si="0"/>
        <v>0</v>
      </c>
    </row>
    <row r="12" spans="1:16" ht="13.5" customHeight="1" x14ac:dyDescent="0.2">
      <c r="I12" s="6"/>
      <c r="O12" s="174" t="s">
        <v>251</v>
      </c>
      <c r="P12" s="175">
        <f>IF(L10="",0,((IF(SUMIF(B26,"&gt;0"),N6,0))+(IF(SUMIF(B27,"&gt;0"),N7,0))+(IF(SUMIF(B28,"&gt;0"),N8,0))+(IF(SUMIF(B29,"&gt;0"),N9,0))+(IF(SUMIF(B30,"&gt;0"),N10,0))+(IF(SUMIF(B31,"&gt;0"),N11,0))+(IF(SUMIF(B32,"&gt;0"),P6,0))+(IF(SUMIF(B33,"&gt;0"),P7,0))+(IF(SUMIF(B34,"&gt;0"),P8,0))+(IF(SUMIF(B35,"&gt;0"),P9,0))+(IF(SUMIF(B36,"&gt;0"),P10,0))+(IF(SUMIF(B37,"&gt;0"),P11,0)))/Grundlagen!$C$24)</f>
        <v>0</v>
      </c>
    </row>
    <row r="13" spans="1:16" s="52" customFormat="1" ht="13.5" customHeight="1" x14ac:dyDescent="0.2">
      <c r="A13" s="61" t="s">
        <v>148</v>
      </c>
      <c r="B13" s="1168" t="s">
        <v>149</v>
      </c>
      <c r="C13" s="1168"/>
      <c r="D13" s="62" t="s">
        <v>150</v>
      </c>
      <c r="E13" s="63" t="s">
        <v>151</v>
      </c>
      <c r="F13" s="64" t="str">
        <f>CONCATENATE("Entg. ",N3," h/Wo")</f>
        <v>Entg.  h/Wo</v>
      </c>
      <c r="G13" s="65" t="s">
        <v>152</v>
      </c>
      <c r="H13" s="65" t="s">
        <v>153</v>
      </c>
      <c r="K13" s="1169" t="str">
        <f>CONCATENATE("Zuschläge / Zulagen für ",N3,"h/Wo")</f>
        <v>Zuschläge / Zulagen für h/Wo</v>
      </c>
      <c r="L13" s="1169"/>
      <c r="M13" s="66" t="str">
        <f>IF(A14="","",A14)</f>
        <v>Jan 2022</v>
      </c>
      <c r="N13" s="66" t="str">
        <f>IF(A15="","",A15)</f>
        <v/>
      </c>
      <c r="O13" s="66" t="str">
        <f>IF(A16="","",A16)</f>
        <v/>
      </c>
      <c r="P13" s="66" t="str">
        <f>IF(A17="","",A17)</f>
        <v/>
      </c>
    </row>
    <row r="14" spans="1:16" s="52" customFormat="1" ht="13.5" customHeight="1" x14ac:dyDescent="0.25">
      <c r="A14" s="54" t="str">
        <f>A26</f>
        <v>Jan 2022</v>
      </c>
      <c r="B14" s="1170" t="str">
        <f>IF($D$3="","",$D$3)</f>
        <v/>
      </c>
      <c r="C14" s="1171"/>
      <c r="D14" s="181"/>
      <c r="E14" s="181"/>
      <c r="F14" s="87"/>
      <c r="G14" s="56">
        <f>IF(N3="",0,F14/N3/4.348)</f>
        <v>0</v>
      </c>
      <c r="H14" s="53">
        <f>IF(G14=0,0,M19)</f>
        <v>0</v>
      </c>
      <c r="K14" s="1146"/>
      <c r="L14" s="1146"/>
      <c r="M14" s="86"/>
      <c r="N14" s="86"/>
      <c r="O14" s="86"/>
      <c r="P14" s="86"/>
    </row>
    <row r="15" spans="1:16" s="52" customFormat="1" ht="13.5" customHeight="1" x14ac:dyDescent="0.25">
      <c r="A15" s="55"/>
      <c r="B15" s="1172" t="str">
        <f>IF(A15="","",B14)</f>
        <v/>
      </c>
      <c r="C15" s="1173"/>
      <c r="D15" s="181"/>
      <c r="E15" s="181"/>
      <c r="F15" s="87"/>
      <c r="G15" s="56">
        <f>IF(N3="",0,F15/N3/4.348)</f>
        <v>0</v>
      </c>
      <c r="H15" s="53">
        <f>IF(G15=0,0,N19)</f>
        <v>0</v>
      </c>
      <c r="K15" s="1146"/>
      <c r="L15" s="1146"/>
      <c r="M15" s="86"/>
      <c r="N15" s="86"/>
      <c r="O15" s="86"/>
      <c r="P15" s="86"/>
    </row>
    <row r="16" spans="1:16" s="52" customFormat="1" ht="13.5" customHeight="1" x14ac:dyDescent="0.25">
      <c r="A16" s="55"/>
      <c r="B16" s="1172" t="str">
        <f>IF(A16="","",B15)</f>
        <v/>
      </c>
      <c r="C16" s="1173"/>
      <c r="D16" s="181"/>
      <c r="E16" s="181"/>
      <c r="F16" s="87"/>
      <c r="G16" s="56">
        <f>IF(N3="",0,F16/N3/4.348)</f>
        <v>0</v>
      </c>
      <c r="H16" s="53">
        <f>IF(G16=0,0,O19)</f>
        <v>0</v>
      </c>
      <c r="K16" s="1146"/>
      <c r="L16" s="1146"/>
      <c r="M16" s="86"/>
      <c r="N16" s="86"/>
      <c r="O16" s="86"/>
      <c r="P16" s="86"/>
    </row>
    <row r="17" spans="1:16" s="52" customFormat="1" ht="13.5" customHeight="1" x14ac:dyDescent="0.25">
      <c r="A17" s="55"/>
      <c r="B17" s="1172" t="str">
        <f>IF(A17="","",B16)</f>
        <v/>
      </c>
      <c r="C17" s="1173"/>
      <c r="D17" s="181"/>
      <c r="E17" s="181"/>
      <c r="F17" s="87"/>
      <c r="G17" s="56">
        <f>IF(N3="",0,F17/N3/4.348)</f>
        <v>0</v>
      </c>
      <c r="H17" s="53">
        <f>IF(G17=0,0,P19)</f>
        <v>0</v>
      </c>
      <c r="K17" s="1146"/>
      <c r="L17" s="1146"/>
      <c r="M17" s="86"/>
      <c r="N17" s="86"/>
      <c r="O17" s="86"/>
      <c r="P17" s="86"/>
    </row>
    <row r="18" spans="1:16" s="52" customFormat="1" ht="13.5" customHeight="1" x14ac:dyDescent="0.25">
      <c r="B18" s="1167" t="s">
        <v>157</v>
      </c>
      <c r="C18" s="1167"/>
      <c r="E18" s="1167" t="s">
        <v>156</v>
      </c>
      <c r="F18" s="1167"/>
      <c r="J18" s="69"/>
      <c r="K18" s="1146"/>
      <c r="L18" s="1146"/>
      <c r="M18" s="86"/>
      <c r="N18" s="86"/>
      <c r="O18" s="86"/>
      <c r="P18" s="86"/>
    </row>
    <row r="19" spans="1:16" s="52" customFormat="1" ht="13.5" customHeight="1" x14ac:dyDescent="0.25">
      <c r="A19" s="70" t="s">
        <v>167</v>
      </c>
      <c r="B19" s="67"/>
      <c r="C19" s="99" t="str">
        <f>IF('techn.Personal - Hausmeister'!C19="","",'techn.Personal - Hausmeister'!C19)</f>
        <v/>
      </c>
      <c r="D19" s="70" t="s">
        <v>167</v>
      </c>
      <c r="E19" s="67"/>
      <c r="F19" s="99" t="str">
        <f>IF('techn.Personal - Hausmeister'!F19="","",'techn.Personal - Hausmeister'!F19)</f>
        <v/>
      </c>
      <c r="J19" s="68"/>
      <c r="M19" s="57">
        <f>SUM(M14:M18)</f>
        <v>0</v>
      </c>
      <c r="N19" s="57">
        <f t="shared" ref="N19:P19" si="1">SUM(N14:N18)</f>
        <v>0</v>
      </c>
      <c r="O19" s="57">
        <f t="shared" si="1"/>
        <v>0</v>
      </c>
      <c r="P19" s="57">
        <f t="shared" si="1"/>
        <v>0</v>
      </c>
    </row>
    <row r="20" spans="1:16" s="52" customFormat="1" ht="13.5" customHeight="1" x14ac:dyDescent="0.2">
      <c r="A20" s="60" t="s">
        <v>155</v>
      </c>
    </row>
    <row r="21" spans="1:16" ht="14.25" customHeight="1" x14ac:dyDescent="0.2">
      <c r="A21" s="1147"/>
      <c r="B21" s="1149" t="s">
        <v>9</v>
      </c>
      <c r="C21" s="1150"/>
      <c r="D21" s="1150"/>
      <c r="E21" s="1150"/>
      <c r="F21" s="1150"/>
      <c r="G21" s="1151"/>
      <c r="H21" s="1152" t="s">
        <v>119</v>
      </c>
      <c r="I21" s="1153"/>
      <c r="J21" s="1153"/>
      <c r="K21" s="1153"/>
      <c r="L21" s="1153"/>
      <c r="M21" s="1153"/>
      <c r="N21" s="1153"/>
      <c r="O21" s="33"/>
      <c r="P21" s="1154" t="s">
        <v>0</v>
      </c>
    </row>
    <row r="22" spans="1:16" ht="14.25" customHeight="1" x14ac:dyDescent="0.2">
      <c r="A22" s="1148"/>
      <c r="B22" s="1157" t="s">
        <v>117</v>
      </c>
      <c r="C22" s="144" t="s">
        <v>115</v>
      </c>
      <c r="D22" s="1159" t="s">
        <v>277</v>
      </c>
      <c r="E22" s="1161" t="s">
        <v>147</v>
      </c>
      <c r="F22" s="149" t="s">
        <v>7</v>
      </c>
      <c r="G22" s="1162" t="s">
        <v>6</v>
      </c>
      <c r="H22" s="1161" t="s">
        <v>129</v>
      </c>
      <c r="I22" s="1161" t="s">
        <v>5</v>
      </c>
      <c r="J22" s="1161" t="s">
        <v>4</v>
      </c>
      <c r="K22" s="1161" t="s">
        <v>3</v>
      </c>
      <c r="L22" s="1161" t="s">
        <v>121</v>
      </c>
      <c r="M22" s="1161" t="s">
        <v>122</v>
      </c>
      <c r="N22" s="1161" t="s">
        <v>123</v>
      </c>
      <c r="O22" s="1160" t="s">
        <v>114</v>
      </c>
      <c r="P22" s="1155"/>
    </row>
    <row r="23" spans="1:16" ht="14.25" customHeight="1" x14ac:dyDescent="0.2">
      <c r="A23" s="1148"/>
      <c r="B23" s="1157"/>
      <c r="C23" s="21" t="str">
        <f>IF(C19="","",C19)</f>
        <v/>
      </c>
      <c r="D23" s="1160"/>
      <c r="E23" s="1161"/>
      <c r="F23" s="1165" t="str">
        <f>IF(H14=0,"","siehe Zuschläge / Zulagen")</f>
        <v/>
      </c>
      <c r="G23" s="1162"/>
      <c r="H23" s="1164" t="s">
        <v>127</v>
      </c>
      <c r="I23" s="1164"/>
      <c r="J23" s="1164"/>
      <c r="K23" s="1164"/>
      <c r="L23" s="1164"/>
      <c r="M23" s="1164"/>
      <c r="N23" s="1164"/>
      <c r="O23" s="1160"/>
      <c r="P23" s="1155"/>
    </row>
    <row r="24" spans="1:16" x14ac:dyDescent="0.2">
      <c r="A24" s="1148"/>
      <c r="B24" s="1157"/>
      <c r="C24" s="142" t="s">
        <v>70</v>
      </c>
      <c r="D24" s="1160"/>
      <c r="E24" s="1161"/>
      <c r="F24" s="1165"/>
      <c r="G24" s="1162"/>
      <c r="H24" s="43" t="s">
        <v>128</v>
      </c>
      <c r="I24" s="43" t="s">
        <v>255</v>
      </c>
      <c r="J24" s="43" t="s">
        <v>256</v>
      </c>
      <c r="K24" s="43" t="s">
        <v>257</v>
      </c>
      <c r="L24" s="43"/>
      <c r="M24" s="43"/>
      <c r="N24" s="43" t="s">
        <v>254</v>
      </c>
      <c r="O24" s="1160"/>
      <c r="P24" s="1155"/>
    </row>
    <row r="25" spans="1:16" x14ac:dyDescent="0.2">
      <c r="A25" s="1148"/>
      <c r="B25" s="1158"/>
      <c r="C25" s="21" t="str">
        <f>IF(F19="","",F19)</f>
        <v/>
      </c>
      <c r="D25" s="51"/>
      <c r="E25" s="51"/>
      <c r="F25" s="1166"/>
      <c r="G25" s="1163"/>
      <c r="H25" s="93"/>
      <c r="I25" s="139">
        <f>'päd.Personal - Leitung'!$I$69</f>
        <v>0</v>
      </c>
      <c r="J25" s="139">
        <f>'päd.Personal - Leitung'!$J$69</f>
        <v>0</v>
      </c>
      <c r="K25" s="44">
        <f>'päd.Personal - Leitung'!$K$69</f>
        <v>0</v>
      </c>
      <c r="L25" s="21"/>
      <c r="M25" s="21"/>
      <c r="N25" s="139">
        <f>'päd.Personal - Leitung'!$N$69</f>
        <v>0</v>
      </c>
      <c r="O25" s="21">
        <f>'päd.Personal - Leitung'!$O$69</f>
        <v>0</v>
      </c>
      <c r="P25" s="1156"/>
    </row>
    <row r="26" spans="1:16" x14ac:dyDescent="0.2">
      <c r="A26" s="100" t="str">
        <f>'päd.Personal - Leitung'!$A$26</f>
        <v>Jan 2022</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76">
        <f>ROUND(IF((SUM(B26:F26))&gt;L41,L41*H25,SUM(B26:F26)*H25),2)</f>
        <v>0</v>
      </c>
      <c r="I26" s="76">
        <f>ROUND(IF((SUM(B26:F26))&gt;L42,L42*I25,SUM(B26:F26)*I25),2)</f>
        <v>0</v>
      </c>
      <c r="J26" s="76">
        <f>ROUND(IF((SUM(B26:F26))&gt;L42,L42*J25,SUM(B26:F26)*J25),2)</f>
        <v>0</v>
      </c>
      <c r="K26" s="76">
        <f>ROUND(IF((SUM(B26:F26))&gt;L41,L41*K25,SUM(B26:F26)*K25),2)</f>
        <v>0</v>
      </c>
      <c r="L26" s="76">
        <f>ROUND(IF((SUM(B26:F26))&gt;L42,L42*L25,(SUM(B26:F26)-C26)*L25),2)</f>
        <v>0</v>
      </c>
      <c r="M26" s="76">
        <f>ROUND(IF((SUM(B26:F26))&gt;L42,L42*M25,(SUM(B26:F26)-C26)*M25),2)</f>
        <v>0</v>
      </c>
      <c r="N26" s="76">
        <f>ROUND(IF((SUM(B26:F26))&gt;L42,L42*N25,SUM(B26:F26)*N25),2)</f>
        <v>0</v>
      </c>
      <c r="O26" s="23">
        <f>ROUND(SUM(B26+C26+F26)*O25,2)</f>
        <v>0</v>
      </c>
      <c r="P26" s="27">
        <f>SUM(G26:O26)</f>
        <v>0</v>
      </c>
    </row>
    <row r="27" spans="1:16" x14ac:dyDescent="0.2">
      <c r="A27" s="100" t="str">
        <f>'päd.Personal - Leitung'!$A$27</f>
        <v>Feb 2022</v>
      </c>
      <c r="B27" s="24">
        <f>ROUND(IF(N7=0,0,IFERROR(((LOOKUP(2,1/(A14:A17=A27),G14:G17))*N7*4.348),B26/N7*N7)),2)</f>
        <v>0</v>
      </c>
      <c r="C27" s="23">
        <f>ROUND(IFERROR(((LOOKUP(2,1/(B19=A27),((SUM(B32:B34)+SUM(F32:F34))/3)*C19))),0)+IFERROR(((LOOKUP(2,1/(E19=A27),(B38+F38)*F19))),0),2)</f>
        <v>0</v>
      </c>
      <c r="D27" s="23">
        <f>ROUND(IF(B27=0,0,D25/L7*N7),2)</f>
        <v>0</v>
      </c>
      <c r="E27" s="23">
        <f>ROUND(IF(B27=0,0,E25/N3*N7),2)</f>
        <v>0</v>
      </c>
      <c r="F27" s="24">
        <f>ROUND(IF(N7=0,0,IFERROR(((LOOKUP(2,1/(A14:A17=A27),H14:H17))/N3*N7),F26/N7*N7)),2)</f>
        <v>0</v>
      </c>
      <c r="G27" s="27">
        <f t="shared" ref="G27:G37" si="2">SUM(B27+C27+E27+F27)</f>
        <v>0</v>
      </c>
      <c r="H27" s="76">
        <f>ROUND(IF(SUM(B26:F26)&lt;(L41*1),IF((SUM(B26:F27))&gt;(L41*2),(((L41*2)-(SUM(B26:F27)-C26))*H25)+((SUM(B27:F27)-C26)*H25),SUM(B27:F27)*H25),IF(SUM(B26:F27)&gt;(L41*2),L41*H25,SUM(B27:F27)*H25)),2)</f>
        <v>0</v>
      </c>
      <c r="I27" s="76">
        <f>ROUND(IF(SUM(B26:F26)&lt;(L42*1),IF((SUM(B26:F27))&gt;(L42*2),(((L42*2)-(SUM(B26:F27)-C26))*I25)+((SUM(B27:F27)-C26)*I25),SUM(B27:F27)*I25),IF(SUM(B26:F27)&gt;(L42*2),L42*I25,SUM(B27:F27)*I25)),2)</f>
        <v>0</v>
      </c>
      <c r="J27" s="76">
        <f>ROUND(IF(SUM(B26:F26)&lt;(L42*1),IF((SUM(B26:F27))&gt;(L42*2),(((L42*2)-(SUM(B26:F27)-C26))*J25)+((SUM(B27:F27)-C26)*J25),SUM(B27:F27)*J25),IF(SUM(B26:F27)&gt;(L42*2),L42*J25,SUM(B27:F27)*J25)),2)</f>
        <v>0</v>
      </c>
      <c r="K27" s="76">
        <f>ROUND(IF(SUM(B26:F26)&lt;(L41*1),IF((SUM(B26:F27))&gt;(L41*2),(((L41*2)-(SUM(B26:F27)-C26))*K25)+((SUM(B27:F27)-C26)*K25),SUM(B27:F27)*K25),IF(SUM(B26:F27)&gt;(L41*2),L41*K25,SUM(B27:F27)*K25)),2)</f>
        <v>0</v>
      </c>
      <c r="L27" s="76">
        <f>ROUND(IF(SUM(B26:F26)&lt;(L42*1),IF((SUM(B26:F27))&gt;(L42*2),(((L42*2)-(SUM(B26:F27)-C27))*L25)+((SUM(B27:F27)-C27)*L25),(SUM(B27:F27)-C27)*L25),IF(SUM(B26:F27)&gt;(L42*2),L42*L25,SUM(B27:F27)*L25)),2)</f>
        <v>0</v>
      </c>
      <c r="M27" s="76">
        <f>ROUND(IF(SUM(B26:F26)&lt;(L42*1),IF((SUM(B26:F27))&gt;(L42*2),(((L42*2)-(SUM(B26:F27)-C27))*M25)+((SUM(B27:F27)-C27)*M25),(SUM(B27:F27)-C27)*M25),IF(SUM(B26:F27)&gt;(L42*2),L42*M25,SUM(B27:F27)*M25)),2)</f>
        <v>0</v>
      </c>
      <c r="N27" s="76">
        <f>ROUND(IF(SUM(B26:F26)&lt;(L42*1),IF((SUM(B26:F27))&gt;(L42*2),(((L42*2)-(SUM(B26:F27)-C26))*N25)+((SUM(B27:F27)-C26)*N25),SUM(B27:F27)*N25),IF(SUM(B26:F27)&gt;(L42*2),L42*N25,SUM(B27:F27)*N25)),2)</f>
        <v>0</v>
      </c>
      <c r="O27" s="23">
        <f>ROUND(SUM(B27+C27+F27)*O25,2)</f>
        <v>0</v>
      </c>
      <c r="P27" s="27">
        <f>SUM(G27:O27)</f>
        <v>0</v>
      </c>
    </row>
    <row r="28" spans="1:16" x14ac:dyDescent="0.2">
      <c r="A28" s="100" t="str">
        <f>'päd.Personal - Leitung'!$A$28</f>
        <v>Mrz 2022</v>
      </c>
      <c r="B28" s="24">
        <f>ROUND(IF(N8=0,0,IFERROR(((LOOKUP(2,1/(A14:A17=A28),G14:G17))*N8*4.348),B27/N8*N8)),2)</f>
        <v>0</v>
      </c>
      <c r="C28" s="23">
        <f>ROUND(IFERROR(((LOOKUP(2,1/(B19=A28),((SUM(B32:B34)+SUM(F32:F34))/3)*C19))),0)+IFERROR(((LOOKUP(2,1/(E19=A28),(B38+F38)*F19))),0),2)</f>
        <v>0</v>
      </c>
      <c r="D28" s="23">
        <f>ROUND(IF(B28=0,0,D25/L7*N8),2)</f>
        <v>0</v>
      </c>
      <c r="E28" s="23">
        <f>ROUND(IF(B28=0,0,E25/N3*N8),2)</f>
        <v>0</v>
      </c>
      <c r="F28" s="24">
        <f>ROUND(IF(N8=0,0,IFERROR(((LOOKUP(2,1/(A14:A17=A28),H14:H17))/N3*N8),F27/N8*N8)),2)</f>
        <v>0</v>
      </c>
      <c r="G28" s="27">
        <f t="shared" si="2"/>
        <v>0</v>
      </c>
      <c r="H28" s="76">
        <f>ROUND(IF(SUM(B26:F27)&lt;(L41*2),IF((SUM(B26:F28))&gt;(L41*3),(((L41*3)-(SUM(B26:F28)-C27))*H25)+((SUM(B28:F28)-C27)*H25),SUM(B28:F28)*H25),IF(SUM(B26:F28)&gt;(L41*3),L41*H25,SUM(B28:F28)*H25)),2)</f>
        <v>0</v>
      </c>
      <c r="I28" s="76">
        <f>ROUND(IF(SUM(B26:F27)&lt;(L42*2),IF((SUM(B26:F28))&gt;(L42*3),(((L42*3)-(SUM(B26:F28)-C27))*I25)+((SUM(B28:F28)-C27)*I25),SUM(B28:F28)*I25),IF(SUM(B26:F28)&gt;(L42*3),L42*I25,SUM(B28:F28)*I25)),2)</f>
        <v>0</v>
      </c>
      <c r="J28" s="76">
        <f>ROUND(IF(SUM(B26:F27)&lt;(L42*2),IF((SUM(B26:F28))&gt;(L42*3),(((L42*3)-(SUM(B26:F28)-C27))*J25)+((SUM(B28:F28)-C27)*J25),SUM(B28:F28)*J25),IF(SUM(B26:F28)&gt;(L42*3),L42*J25,SUM(B28:F28)*J25)),2)</f>
        <v>0</v>
      </c>
      <c r="K28" s="76">
        <f>ROUND(IF(SUM(B26:F27)&lt;(L41*2),IF((SUM(B26:F28))&gt;(L41*3),(((L41*3)-(SUM(B26:F28)-C27))*K25)+((SUM(B28:F28)-C27)*K25),SUM(B28:F28)*K25),IF(SUM(B26:F28)&gt;(L41*3),L41*K25,SUM(B28:F28)*K25)),2)</f>
        <v>0</v>
      </c>
      <c r="L28" s="76">
        <f>ROUND(IF(SUM(B26:F27)&lt;(L42*2),IF((SUM(B26:F28))&gt;(L42*3),(((L42*3)-(SUM(B26:F28)-C28))*L25)+((SUM(B28:F28)-C28)*L25),(SUM(B28:F28)-C28)*L25),IF(SUM(B26:F28)&gt;(L42*3),L42*L25,SUM(B28:F28)*L25)),2)</f>
        <v>0</v>
      </c>
      <c r="M28" s="76">
        <f>ROUND(IF(SUM(B26:F27)&lt;(L42*2),IF((SUM(B26:F28))&gt;(L42*3),(((L42*3)-(SUM(B26:F28)-C28))*M25)+((SUM(B28:F28)-C28)*M25),(SUM(B28:F28)-C28)*M25),IF(SUM(B26:F28)&gt;(L42*3),L42*M25,SUM(B28:F28)*M25)),2)</f>
        <v>0</v>
      </c>
      <c r="N28" s="76">
        <f>ROUND(IF(SUM(B26:F27)&lt;(L42*2),IF((SUM(B26:F28))&gt;(L42*3),(((L42*3)-(SUM(B26:F28)-C27))*N25)+((SUM(B28:F28)-C27)*N25),SUM(B28:F28)*N25),IF(SUM(B26:F28)&gt;(L42*3),L42*N25,SUM(B28:F28)*N25)),2)</f>
        <v>0</v>
      </c>
      <c r="O28" s="23">
        <f>ROUND(SUM(B28+C28+F28)*O25,2)</f>
        <v>0</v>
      </c>
      <c r="P28" s="27">
        <f t="shared" ref="P28:P37" si="3">SUM(G28:O28)</f>
        <v>0</v>
      </c>
    </row>
    <row r="29" spans="1:16" x14ac:dyDescent="0.2">
      <c r="A29" s="100" t="str">
        <f>'päd.Personal - Leitung'!$A$29</f>
        <v>Apr 2022</v>
      </c>
      <c r="B29" s="24">
        <f>ROUND(IF(N9=0,0,IFERROR(((LOOKUP(2,1/(A14:A17=A29),G14:G17))*N9*4.348),B28/N9*N9)),2)</f>
        <v>0</v>
      </c>
      <c r="C29" s="23">
        <f>ROUND(IFERROR(((LOOKUP(2,1/(B19=A29),((SUM(B32:B34)+SUM(F32:F34))/3)*C19))),0)+IFERROR(((LOOKUP(2,1/(E19=A29),(B38+F38)*F19))),0),2)</f>
        <v>0</v>
      </c>
      <c r="D29" s="23">
        <f>ROUND(IF(B29=0,0,D25/L7*N9),2)</f>
        <v>0</v>
      </c>
      <c r="E29" s="23">
        <f>ROUND(IF(B29=0,0,E25/N3*N9),2)</f>
        <v>0</v>
      </c>
      <c r="F29" s="24">
        <f>ROUND(IF(N9=0,0,IFERROR(((LOOKUP(2,1/(A14:A17=A29),H14:H17))/N3*N9),F28/N9*N9)),2)</f>
        <v>0</v>
      </c>
      <c r="G29" s="27">
        <f t="shared" si="2"/>
        <v>0</v>
      </c>
      <c r="H29" s="76">
        <f>ROUND(IF(SUM(B26:F28)&lt;(L41*3),IF((SUM(B26:F29))&gt;(L41*4),(((L41*4)-(SUM(B26:F29)-C28))*H25)+((SUM(B29:F29)-C28)*H25),SUM(B29:F29)*H25),IF(SUM(B26:F29)&gt;(L41*4),L41*H25,SUM(B29:F29)*H25)),2)</f>
        <v>0</v>
      </c>
      <c r="I29" s="76">
        <f>ROUND(IF(SUM(B26:F28)&lt;(L42*3),IF((SUM(B26:F29))&gt;(L42*4),(((L42*4)-(SUM(B26:F29)-C28))*I25)+((SUM(B29:F29)-C28)*I25),SUM(B29:F29)*I25),IF(SUM(B26:F29)&gt;(L42*4),L42*I25,SUM(B29:F29)*I25)),2)</f>
        <v>0</v>
      </c>
      <c r="J29" s="76">
        <f>ROUND(IF(SUM(B26:F28)&lt;(L42*3),IF((SUM(B26:F29))&gt;(L42*4),(((L42*4)-(SUM(B26:F29)-C28))*J25)+((SUM(B29:F29)-C28)*J25),SUM(B29:F29)*J25),IF(SUM(B26:F29)&gt;(L42*4),L42*J25,SUM(B29:F29)*J25)),2)</f>
        <v>0</v>
      </c>
      <c r="K29" s="76">
        <f>ROUND(IF(SUM(B26:F28)&lt;(L41*3),IF((SUM(B26:F29))&gt;(L41*4),(((L41*4)-(SUM(B26:F29)-C28))*K25)+((SUM(B29:F29)-C28)*K25),SUM(B29:F29)*K25),IF(SUM(B26:F29)&gt;(L41*4),L41*K25,SUM(B29:F29)*K25)),2)</f>
        <v>0</v>
      </c>
      <c r="L29" s="76">
        <f>ROUND(IF(SUM(B26:F28)&lt;(L42*3),IF((SUM(B26:F29))&gt;(L42*4),(((L42*4)-(SUM(B26:F29)-C29))*L25)+((SUM(B29:F29)-C29)*L25),(SUM(B29:F29)-C29)*L25),IF(SUM(B26:F29)&gt;(L42*4),L42*L25,SUM(B29:F29)*L25)),2)</f>
        <v>0</v>
      </c>
      <c r="M29" s="76">
        <f>ROUND(IF(SUM(B26:F28)&lt;(L42*3),IF((SUM(B26:F29))&gt;(L42*4),(((L42*4)-(SUM(B26:F29)-C29))*M25)+((SUM(B29:F29)-C29)*M25),(SUM(B29:F29)-C29)*M25),IF(SUM(B26:F29)&gt;(L42*4),L42*M25,SUM(B29:F29)*M25)),2)</f>
        <v>0</v>
      </c>
      <c r="N29" s="76">
        <f>ROUND(IF(SUM(B26:F28)&lt;(L42*3),IF((SUM(B26:F29))&gt;(L42*4),(((L42*4)-(SUM(B26:F29)-C28))*N25)+((SUM(B29:F29)-C28)*N25),SUM(B29:F29)*N25),IF(SUM(B26:F29)&gt;(L42*4),L42*N25,SUM(B29:F29)*N25)),2)</f>
        <v>0</v>
      </c>
      <c r="O29" s="23">
        <f>ROUND(SUM(B29+C29+F29)*O25,2)</f>
        <v>0</v>
      </c>
      <c r="P29" s="27">
        <f t="shared" si="3"/>
        <v>0</v>
      </c>
    </row>
    <row r="30" spans="1:16" x14ac:dyDescent="0.2">
      <c r="A30" s="100" t="str">
        <f>'päd.Personal - Leitung'!$A$30</f>
        <v>Mai 2022</v>
      </c>
      <c r="B30" s="24">
        <f>ROUND(IF(N10=0,0,IFERROR(((LOOKUP(2,1/(A14:A17=A30),G14:G17))*N10*4.348),B29/N10*N10)),2)</f>
        <v>0</v>
      </c>
      <c r="C30" s="23">
        <f>ROUND(IFERROR(((LOOKUP(2,1/(B19=A30),((SUM(B32:B34)+SUM(F32:F34))/3)*C19))),0)+IFERROR(((LOOKUP(2,1/(E19=A30),(B38+F38)*F19))),0),2)</f>
        <v>0</v>
      </c>
      <c r="D30" s="23">
        <f>ROUND(IF(B30=0,0,D25/L7*N10),2)</f>
        <v>0</v>
      </c>
      <c r="E30" s="23">
        <f>ROUND(IF(B30=0,0,E25/N3*N10),2)</f>
        <v>0</v>
      </c>
      <c r="F30" s="24">
        <f>ROUND(IF(N10=0,0,IFERROR(((LOOKUP(2,1/(A14:A17=A30),H14:H17))/N3*N10),F29/N10*N10)),2)</f>
        <v>0</v>
      </c>
      <c r="G30" s="27">
        <f t="shared" si="2"/>
        <v>0</v>
      </c>
      <c r="H30" s="76">
        <f>ROUND(IF(SUM(B26:F29)&lt;(L41*4),IF((SUM(B26:F30))&gt;(L41*5),(((L41*5)-(SUM(B26:F30)-C29))*H25)+((SUM(B30:F30)-C29)*H25),SUM(B30:F30)*H25),IF(SUM(B26:F30)&gt;(L41*5),L41*H25,SUM(B30:F30)*H25)),2)</f>
        <v>0</v>
      </c>
      <c r="I30" s="76">
        <f>ROUND(IF(SUM(B26:F29)&lt;(L42*4),IF((SUM(B26:F30))&gt;(L42*5),(((L42*5)-(SUM(B26:F30)-C29))*I25)+((SUM(B30:F30)-C29)*I25),SUM(B30:F30)*I25),IF(SUM(B26:F30)&gt;(L42*5),L42*I25,SUM(B30:F30)*I25)),2)</f>
        <v>0</v>
      </c>
      <c r="J30" s="76">
        <f>ROUND(IF(SUM(B26:F29)&lt;(L42*4),IF((SUM(B26:F30))&gt;(L42*5),(((L42*5)-(SUM(B26:F30)-C29))*J25)+((SUM(B30:F30)-C29)*J25),SUM(B30:F30)*J25),IF(SUM(B26:F30)&gt;(L42*5),L42*J25,SUM(B30:F30)*J25)),2)</f>
        <v>0</v>
      </c>
      <c r="K30" s="76">
        <f>ROUND(IF(SUM(B26:F29)&lt;(L41*4),IF((SUM(B26:F30))&gt;(L41*5),(((L41*5)-(SUM(B26:F30)-C29))*K25)+((SUM(B30:F30)-C29)*K25),SUM(B30:F30)*K25),IF(SUM(B26:F30)&gt;(L41*5),L41*K25,SUM(B30:F30)*K25)),2)</f>
        <v>0</v>
      </c>
      <c r="L30" s="76">
        <f>ROUND(IF(SUM(B26:F29)&lt;(L42*4),IF((SUM(B26:F30))&gt;(L42*5),(((L42*5)-(SUM(B26:F30)-C30))*L25)+((SUM(B30:F30)-C30)*L25),(SUM(B30:F30)-C30)*L25),IF(SUM(B26:F30)&gt;(L42*5),L42*L25,SUM(B30:F30)*L25)),2)</f>
        <v>0</v>
      </c>
      <c r="M30" s="76">
        <f>ROUND(IF(SUM(B26:F29)&lt;(L42*4),IF((SUM(B26:F30))&gt;(L42*5),(((L42*5)-(SUM(B26:F30)-C30))*M25)+((SUM(B30:F30)-C30)*M25),(SUM(B30:F30)-C30)*M25),IF(SUM(B26:F30)&gt;(L42*5),L42*M25,SUM(B30:F30)*M25)),2)</f>
        <v>0</v>
      </c>
      <c r="N30" s="76">
        <f>ROUND(IF(SUM(B26:F29)&lt;(L42*4),IF((SUM(B26:F30))&gt;(L42*5),(((L42*5)-(SUM(B26:F30)-C29))*N25)+((SUM(B30:F30)-C29)*N25),SUM(B30:F30)*N25),IF(SUM(B26:F30)&gt;(L42*5),L42*N25,SUM(B30:F30)*N25)),2)</f>
        <v>0</v>
      </c>
      <c r="O30" s="23">
        <f>ROUND(SUM(B30+C30+F30)*O25,2)</f>
        <v>0</v>
      </c>
      <c r="P30" s="27">
        <f t="shared" si="3"/>
        <v>0</v>
      </c>
    </row>
    <row r="31" spans="1:16" x14ac:dyDescent="0.2">
      <c r="A31" s="100" t="str">
        <f>'päd.Personal - Leitung'!$A$31</f>
        <v>Jun 2022</v>
      </c>
      <c r="B31" s="24">
        <f>ROUND(IF(N11=0,0,IFERROR(((LOOKUP(2,1/(A14:A17=A31),G14:G17))*N11*4.348),B30/N11*N11)),2)</f>
        <v>0</v>
      </c>
      <c r="C31" s="23">
        <f>ROUND(IFERROR(((LOOKUP(2,1/(B19=A31),((SUM(B32:B34)+SUM(F32:F34))/3)*C19))),0)+IFERROR(((LOOKUP(2,1/(E19=A31),(B38+F38)*F19))),0),2)</f>
        <v>0</v>
      </c>
      <c r="D31" s="23">
        <f>ROUND(IF(B31=0,0,D25/L7*N11),2)</f>
        <v>0</v>
      </c>
      <c r="E31" s="23">
        <f>ROUND(IF(B31=0,0,E25/N3*N11),2)</f>
        <v>0</v>
      </c>
      <c r="F31" s="24">
        <f>ROUND(IF(N11=0,0,IFERROR(((LOOKUP(2,1/(A14:A17=A31),H14:H17))/N3*N11),F30/N11*N11)),2)</f>
        <v>0</v>
      </c>
      <c r="G31" s="27">
        <f t="shared" si="2"/>
        <v>0</v>
      </c>
      <c r="H31" s="76">
        <f>ROUND(IF(SUM(B26:F30)&lt;(L41*5),IF((SUM(B26:F31))&gt;(L41*6),(((L41*6)-(SUM(B26:F31)-C30))*H25)+((SUM(B31:F31)-C30)*H25),SUM(B31:F31)*H25),IF(SUM(B26:F31)&gt;(L41*6),L41*H25,SUM(B31:F31)*H25)),2)</f>
        <v>0</v>
      </c>
      <c r="I31" s="76">
        <f>ROUND(IF(SUM(B26:F30)&lt;(L42*5),IF((SUM(B26:F31))&gt;(L42*6),(((L42*6)-(SUM(B26:F31)-C30))*I25)+((SUM(B31:F31)-C30)*I25),SUM(B31:F31)*I25),IF(SUM(B26:F31)&gt;(L42*6),L42*I25,SUM(B31:F31)*I25)),2)</f>
        <v>0</v>
      </c>
      <c r="J31" s="76">
        <f>ROUND(IF(SUM(B26:F30)&lt;(L42*5),IF((SUM(B26:F31))&gt;(L42*6),(((L42*6)-(SUM(B26:F31)-C30))*J25)+((SUM(B31:F31)-C30)*J25),SUM(B31:F31)*J25),IF(SUM(B26:F31)&gt;(L42*6),L42*J25,SUM(B31:F31)*J25)),2)</f>
        <v>0</v>
      </c>
      <c r="K31" s="76">
        <f>ROUND(IF(SUM(B26:F30)&lt;(L41*5),IF((SUM(B26:F31))&gt;(L41*6),(((L41*6)-(SUM(B26:F31)-C30))*K25)+((SUM(B31:F31)-C30)*K25),SUM(B31:F31)*K25),IF(SUM(B26:F31)&gt;(L41*6),L41*K25,SUM(B31:F31)*K25)),2)</f>
        <v>0</v>
      </c>
      <c r="L31" s="76">
        <f>ROUND(IF(SUM(B26:F30)&lt;(L42*5),IF((SUM(B26:F31))&gt;(L42*6),(((L42*6)-(SUM(B26:F31)-C31))*L25)+((SUM(B31:F31)-C31)*L25),(SUM(B31:F31)-C31)*L25),IF(SUM(B26:F31)&gt;(L42*6),L42*L25,SUM(B31:F31)*L25)),2)</f>
        <v>0</v>
      </c>
      <c r="M31" s="76">
        <f>ROUND(IF(SUM(B26:F30)&lt;(L42*5),IF((SUM(B26:F31))&gt;(L42*6),(((L42*6)-(SUM(B26:F31)-C31))*M25)+((SUM(B31:F31)-C31)*M25),(SUM(B31:F31)-C31)*M25),IF(SUM(B26:F31)&gt;(L42*6),L42*M25,SUM(B31:F31)*M25)),2)</f>
        <v>0</v>
      </c>
      <c r="N31" s="76">
        <f>ROUND(IF(SUM(B26:F30)&lt;(L42*5),IF((SUM(B26:F31))&gt;(L42*6),(((L42*6)-(SUM(B26:F31)-C30))*N25)+((SUM(B31:F31)-C30)*N25),SUM(B31:F31)*N25),IF(SUM(B26:F31)&gt;(L42*6),L42*N25,SUM(B31:F31)*N25)),2)</f>
        <v>0</v>
      </c>
      <c r="O31" s="23">
        <f>ROUND(SUM(B31+C31+F31)*O25,2)</f>
        <v>0</v>
      </c>
      <c r="P31" s="27">
        <f t="shared" si="3"/>
        <v>0</v>
      </c>
    </row>
    <row r="32" spans="1:16" x14ac:dyDescent="0.2">
      <c r="A32" s="100" t="str">
        <f>'päd.Personal - Leitung'!$A$32</f>
        <v>Jul 2022</v>
      </c>
      <c r="B32" s="24">
        <f>ROUND(IF(P6=0,0,IFERROR(((LOOKUP(2,1/(A14:A17=A32),G14:G17))*P6*4.348),B31/P6*P6)),2)</f>
        <v>0</v>
      </c>
      <c r="C32" s="23">
        <f>ROUND(IFERROR(((LOOKUP(2,1/(B19=A32),((SUM(B32:B34)+SUM(F32:F34))/3)*C19))),0)+IFERROR(((LOOKUP(2,1/(E19=A32),(B38+F38)*F19))),0),2)</f>
        <v>0</v>
      </c>
      <c r="D32" s="23">
        <f>ROUND(IF(B32=0,0,D25/L7*P6),2)</f>
        <v>0</v>
      </c>
      <c r="E32" s="23">
        <f>ROUND(IF(B32=0,0,E25/N3*P6),2)</f>
        <v>0</v>
      </c>
      <c r="F32" s="24">
        <f>ROUND(IF(P6=0,0,IFERROR(((LOOKUP(2,1/(A14:A17=A32),H14:H17))/N3*P6),F31/P6*P6)),2)</f>
        <v>0</v>
      </c>
      <c r="G32" s="27">
        <f t="shared" si="2"/>
        <v>0</v>
      </c>
      <c r="H32" s="76">
        <f>ROUND(IF(SUM(B26:F31)&lt;(L41*6),IF((SUM(B26:F32))&gt;(L41*7),(((L41*7)-(SUM(B26:F32)-C31))*H25)+((SUM(B32:F32)-C31)*H25),SUM(B32:F32)*H25),IF(SUM(B26:F32)&gt;(L41*7),L41*H25,SUM(B32:F32)*H25)),2)</f>
        <v>0</v>
      </c>
      <c r="I32" s="76">
        <f>ROUND(IF(SUM(B26:F31)&lt;(L42*6),IF((SUM(B26:F32))&gt;(L42*7),(((L42*7)-(SUM(B26:F32)-C31))*I25)+((SUM(B32:F32)-C31)*I25),SUM(B32:F32)*I25),IF(SUM(B26:F32)&gt;(L42*7),L42*I25,SUM(B32:F32)*I25)),2)</f>
        <v>0</v>
      </c>
      <c r="J32" s="76">
        <f>ROUND(IF(SUM(B26:F31)&lt;(L42*6),IF((SUM(B26:F32))&gt;(L42*7),(((L42*7)-(SUM(B26:F32)-C31))*J25)+((SUM(B32:F32)-C31)*J25),SUM(B32:F32)*J25),IF(SUM(B26:F32)&gt;(L42*7),L42*J25,SUM(B32:F32)*J25)),2)</f>
        <v>0</v>
      </c>
      <c r="K32" s="76">
        <f>ROUND(IF(SUM(B26:F31)&lt;(L41*6),IF((SUM(B26:F32))&gt;(L41*7),(((L41*7)-(SUM(B26:F32)-C31))*K25)+((SUM(B32:F32)-C31)*K25),SUM(B32:F32)*K25),IF(SUM(B26:F32)&gt;(L41*7),L41*K25,SUM(B32:F32)*K25)),2)</f>
        <v>0</v>
      </c>
      <c r="L32" s="76">
        <f>ROUND(IF(SUM(B26:F31)&lt;(L42*6),IF((SUM(B26:F32))&gt;(L42*7),(((L42*7)-(SUM(B26:F32)-C32))*L25)+((SUM(B32:F32)-C32)*L25),(SUM(B32:F32)-C32)*L25),IF(SUM(B26:F32)&gt;(L42*7),L42*L25,SUM(B32:F32)*L25)),2)</f>
        <v>0</v>
      </c>
      <c r="M32" s="76">
        <f>ROUND(IF(SUM(B26:F31)&lt;(L42*6),IF((SUM(B26:F32))&gt;(L42*7),(((L42*7)-(SUM(B26:F32)-C32))*M25)+((SUM(B32:F32)-C32)*M25),(SUM(B32:F32)-C32)*M25),IF(SUM(B26:F32)&gt;(L42*7),L42*M25,SUM(B32:F32)*M25)),2)</f>
        <v>0</v>
      </c>
      <c r="N32" s="76">
        <f>ROUND(IF(SUM(B26:F31)&lt;(L42*6),IF((SUM(B26:F32))&gt;(L42*7),(((L42*7)-(SUM(B26:F32)-C31))*N25)+((SUM(B32:F32)-C31)*N25),SUM(B32:F32)*N25),IF(SUM(B26:F32)&gt;(L42*7),L42*N25,SUM(B32:F32)*N25)),2)</f>
        <v>0</v>
      </c>
      <c r="O32" s="23">
        <f>ROUND(SUM(B32+C32+F32)*O25,2)</f>
        <v>0</v>
      </c>
      <c r="P32" s="27">
        <f t="shared" si="3"/>
        <v>0</v>
      </c>
    </row>
    <row r="33" spans="1:16" x14ac:dyDescent="0.2">
      <c r="A33" s="100" t="str">
        <f>'päd.Personal - Leitung'!$A$33</f>
        <v>Aug 2022</v>
      </c>
      <c r="B33" s="24">
        <f>ROUND(IF(P7=0,0,IFERROR(((LOOKUP(2,1/(A14:A17=A33),G14:G17))*P7*4.348),B32/P7*P7)),2)</f>
        <v>0</v>
      </c>
      <c r="C33" s="23">
        <f>ROUND(IFERROR(((LOOKUP(2,1/(B19=A33),((SUM(B32:B34)+SUM(F32:F34))/3)*C19))),0)+IFERROR(((LOOKUP(2,1/(E19=A33),(B38+F38)*F19))),0),2)</f>
        <v>0</v>
      </c>
      <c r="D33" s="23">
        <f>ROUND(IF(B33=0,0,D25/L7*P7),2)</f>
        <v>0</v>
      </c>
      <c r="E33" s="23">
        <f>ROUND(IF(B33=0,0,E25/N3*P7),2)</f>
        <v>0</v>
      </c>
      <c r="F33" s="24">
        <f>ROUND(IF(P7=0,0,IFERROR(((LOOKUP(2,1/(A14:A17=A33),H14:H17))/N3*P7),F32/P7*P7)),2)</f>
        <v>0</v>
      </c>
      <c r="G33" s="27">
        <f t="shared" si="2"/>
        <v>0</v>
      </c>
      <c r="H33" s="76">
        <f>ROUND(IF(SUM(B26:F32)&lt;(L41*7),IF((SUM(B26:F33))&gt;(L41*8),(((L41*8)-(SUM(B26:F33)-C32))*H25)+((SUM(B33:F33)-C32)*H25),SUM(B33:F33)*H25),IF(SUM(B26:F33)&gt;(L41*8),L41*H25,SUM(B33:F33)*H25)),2)</f>
        <v>0</v>
      </c>
      <c r="I33" s="76">
        <f>ROUND(IF(SUM(B26:F32)&lt;(L42*7),IF((SUM(B26:F33))&gt;(L42*8),(((L42*8)-(SUM(B26:F33)-C32))*I25)+((SUM(B33:F33)-C32)*I25),SUM(B33:F33)*I25),IF(SUM(B26:F33)&gt;(L42*8),L42*I25,SUM(B33:F33)*I25)),2)</f>
        <v>0</v>
      </c>
      <c r="J33" s="76">
        <f>ROUND(IF(SUM(B26:F32)&lt;(L42*7),IF((SUM(B26:F33))&gt;(L42*8),(((L42*8)-(SUM(B26:F33)-C32))*J25)+((SUM(B33:F33)-C32)*J25),SUM(B33:F33)*J25),IF(SUM(B26:F33)&gt;(L42*8),L42*J25,SUM(B33:F33)*J25)),2)</f>
        <v>0</v>
      </c>
      <c r="K33" s="76">
        <f>ROUND(IF(SUM(B26:F32)&lt;(L41*7),IF((SUM(B26:F33))&gt;(L41*8),(((L41*8)-(SUM(B26:F33)-C32))*K25)+((SUM(B33:F33)-C32)*K25),SUM(B33:F33)*K25),IF(SUM(B26:F33)&gt;(L41*8),L41*K25,SUM(B33:F33)*K25)),2)</f>
        <v>0</v>
      </c>
      <c r="L33" s="76">
        <f>ROUND(IF(SUM(B26:F32)&lt;(L42*7),IF((SUM(B26:F33))&gt;(L42*8),(((L42*8)-(SUM(B26:F33)-C33))*L25)+((SUM(B33:F33)-C33)*L25),(SUM(B33:F33)-C33)*L25),IF(SUM(B26:F33)&gt;(L42*8),L42*L25,SUM(B33:F33)*L25)),2)</f>
        <v>0</v>
      </c>
      <c r="M33" s="76">
        <f>ROUND(IF(SUM(B26:F32)&lt;(L42*7),IF((SUM(B26:F33))&gt;(L42*8),(((L42*8)-(SUM(B26:F33)-C33))*M25)+((SUM(B33:F33)-C33)*M25),(SUM(B33:F33)-C33)*M25),IF(SUM(B26:F33)&gt;(L42*8),L42*M25,SUM(B33:F33)*M25)),2)</f>
        <v>0</v>
      </c>
      <c r="N33" s="76">
        <f>ROUND(IF(SUM(B26:F32)&lt;(L42*7),IF((SUM(B26:F33))&gt;(L42*8),(((L42*8)-(SUM(B26:F33)-C32))*N25)+((SUM(B33:F33)-C32)*N25),SUM(B33:F33)*N25),IF(SUM(B26:F33)&gt;(L42*8),L42*N25,SUM(B33:F33)*N25)),2)</f>
        <v>0</v>
      </c>
      <c r="O33" s="23">
        <f>ROUND(SUM(B33+C33+F33)*O25,2)</f>
        <v>0</v>
      </c>
      <c r="P33" s="27">
        <f t="shared" si="3"/>
        <v>0</v>
      </c>
    </row>
    <row r="34" spans="1:16" x14ac:dyDescent="0.2">
      <c r="A34" s="100" t="str">
        <f>'päd.Personal - Leitung'!$A$34</f>
        <v>Sep 2022</v>
      </c>
      <c r="B34" s="24">
        <f>ROUND(IF(P8=0,0,IFERROR(((LOOKUP(2,1/(A14:A17=A34),G14:G17))*P8*4.348),B33/P8*P8)),2)</f>
        <v>0</v>
      </c>
      <c r="C34" s="23">
        <f>ROUND(IFERROR(((LOOKUP(2,1/(B19=A34),((SUM(B32:B34)+SUM(F32:F34))/3)*C19))),0)+IFERROR(((LOOKUP(2,1/(E19=A34),(B38+F38)*F19))),0),2)</f>
        <v>0</v>
      </c>
      <c r="D34" s="23">
        <f>ROUND(IF(B34=0,0,D25/L7*P8),2)</f>
        <v>0</v>
      </c>
      <c r="E34" s="23">
        <f>ROUND(IF(B34=0,0,E25/N3*P8),2)</f>
        <v>0</v>
      </c>
      <c r="F34" s="24">
        <f>ROUND(IF(P8=0,0,IFERROR(((LOOKUP(2,1/(A14:A17=A34),H14:H17))/N3*P8),F33/P8*P8)),2)</f>
        <v>0</v>
      </c>
      <c r="G34" s="27">
        <f t="shared" si="2"/>
        <v>0</v>
      </c>
      <c r="H34" s="76">
        <f>ROUND(IF(SUM(B26:F33)&lt;(L41*8),IF((SUM(B26:F34))&gt;(L41*9),(((L41*9)-(SUM(B26:F34)-C33))*H25)+((SUM(B34:F34)-C33)*H25),SUM(B34:F34)*H25),IF(SUM(B26:F34)&gt;(L41*9),L41*H25,SUM(B34:F34)*H25)),2)</f>
        <v>0</v>
      </c>
      <c r="I34" s="76">
        <f>ROUND(IF(SUM(B26:F33)&lt;(L42*8),IF((SUM(B26:F34))&gt;(L42*9),(((L42*9)-(SUM(B26:F34)-C33))*I25)+((SUM(B34:F34)-C33)*I25),SUM(B34:F34)*I25),IF(SUM(B26:F34)&gt;(L42*9),L42*I25,SUM(B34:F34)*I25)),2)</f>
        <v>0</v>
      </c>
      <c r="J34" s="76">
        <f>ROUND(IF(SUM(B26:F33)&lt;(L42*8),IF((SUM(B26:F34))&gt;(L42*9),(((L42*9)-(SUM(B26:F34)-C33))*J25)+((SUM(B34:F34)-C33)*J25),SUM(B34:F34)*J25),IF(SUM(B26:F34)&gt;(L42*9),L42*J25,SUM(B34:F34)*J25)),2)</f>
        <v>0</v>
      </c>
      <c r="K34" s="76">
        <f>ROUND(IF(SUM(B26:F33)&lt;(L41*8),IF((SUM(B26:F34))&gt;(L41*9),(((L41*9)-(SUM(B26:F34)-C33))*K25)+((SUM(B34:F34)-C33)*K25),SUM(B34:F34)*K25),IF(SUM(B26:F34)&gt;(L41*9),L41*K25,SUM(B34:F34)*K25)),2)</f>
        <v>0</v>
      </c>
      <c r="L34" s="76">
        <f>ROUND(IF(SUM(B26:F33)&lt;(L42*8),IF((SUM(B26:F34))&gt;(L42*9),(((L42*9)-(SUM(B26:F34)-C34))*L25)+((SUM(B34:F34)-C34)*L25),(SUM(B34:F34)-C34)*L25),IF(SUM(B26:F34)&gt;(L42*9),L42*L25,SUM(B34:F34)*L25)),2)</f>
        <v>0</v>
      </c>
      <c r="M34" s="76">
        <f>ROUND(IF(SUM(B26:F33)&lt;(L42*8),IF((SUM(B26:F34))&gt;(L42*9),(((L42*9)-(SUM(B26:F34)-C34))*M25)+((SUM(B34:F34)-C34)*M25),(SUM(B34:F34)-C34)*M25),IF(SUM(B26:F34)&gt;(L42*9),L42*M25,SUM(B34:F34)*M25)),2)</f>
        <v>0</v>
      </c>
      <c r="N34" s="76">
        <f>ROUND(IF(SUM(B26:F33)&lt;(L42*8),IF((SUM(B26:F34))&gt;(L42*9),(((L42*9)-(SUM(B26:F34)-C33))*N25)+((SUM(B34:F34)-C33)*N25),SUM(B34:F34)*N25),IF(SUM(B26:F34)&gt;(L42*9),L42*N25,SUM(B34:F34)*N25)),2)</f>
        <v>0</v>
      </c>
      <c r="O34" s="23">
        <f>ROUND(SUM(B34+C34+F34)*O25,2)</f>
        <v>0</v>
      </c>
      <c r="P34" s="27">
        <f t="shared" si="3"/>
        <v>0</v>
      </c>
    </row>
    <row r="35" spans="1:16" x14ac:dyDescent="0.2">
      <c r="A35" s="100" t="str">
        <f>'päd.Personal - Leitung'!$A$35</f>
        <v>Okt 2022</v>
      </c>
      <c r="B35" s="24">
        <f>ROUND(IF(P9=0,0,IFERROR(((LOOKUP(2,1/(A14:A17=A35),G14:G17))*P9*4.348),B34/P9*P9)),2)</f>
        <v>0</v>
      </c>
      <c r="C35" s="23">
        <f>ROUND(IFERROR(((LOOKUP(2,1/(B19=A35),((SUM(B32:B34)+SUM(F32:F34))/3)*C19))),0)+IFERROR(((LOOKUP(2,1/(E19=A35),(B38+F38)*F19))),0),2)</f>
        <v>0</v>
      </c>
      <c r="D35" s="23">
        <f>ROUND(IF(B35=0,0,D25/L7*P9),2)</f>
        <v>0</v>
      </c>
      <c r="E35" s="23">
        <f>ROUND(IF(B35=0,0,E25/N3*P9),2)</f>
        <v>0</v>
      </c>
      <c r="F35" s="24">
        <f>ROUND(IF(P9=0,0,IFERROR(((LOOKUP(2,1/(A14:A17=A35),H14:H17))/N3*P9),F34/P9*P9)),2)</f>
        <v>0</v>
      </c>
      <c r="G35" s="27">
        <f t="shared" si="2"/>
        <v>0</v>
      </c>
      <c r="H35" s="76">
        <f>ROUND(IF(SUM(B26:F34)&lt;(L41*9),IF((SUM(B26:F35))&gt;(L41*10),(((L41*10)-(SUM(B26:F35)-C34))*H25)+((SUM(B35:F35)-C34)*H25),SUM(B35:F35)*H25),IF(SUM(B26:F35)&gt;(L41*10),L41*H25,SUM(B35:F35)*H25)),2)</f>
        <v>0</v>
      </c>
      <c r="I35" s="76">
        <f>ROUND(IF(SUM(B26:F34)&lt;(L42*9),IF((SUM(B26:F35))&gt;(L42*10),(((L42*10)-(SUM(B26:F35)-C34))*I25)+((SUM(B35:F35)-C34)*I25),SUM(B35:F35)*I25),IF(SUM(B26:F35)&gt;(L42*10),L42*I25,SUM(B35:F35)*I25)),2)</f>
        <v>0</v>
      </c>
      <c r="J35" s="76">
        <f>ROUND(IF(SUM(B26:F34)&lt;(L42*9),IF((SUM(B26:F35))&gt;(L42*10),(((L42*10)-(SUM(B26:F35)-C34))*J25)+((SUM(B35:F35)-C34)*J25),SUM(B35:F35)*J25),IF(SUM(B26:F35)&gt;(L42*10),L42*J25,SUM(B35:F35)*J25)),2)</f>
        <v>0</v>
      </c>
      <c r="K35" s="76">
        <f>ROUND(IF(SUM(B26:F34)&lt;(L41*9),IF((SUM(B26:F35))&gt;(L41*10),(((L41*10)-(SUM(B26:F35)-C34))*K25)+((SUM(B35:F35)-C34)*K25),SUM(B35:F35)*K25),IF(SUM(B26:F35)&gt;(L41*10),L41*K25,SUM(B35:F35)*K25)),2)</f>
        <v>0</v>
      </c>
      <c r="L35" s="76">
        <f>ROUND(IF(SUM(B26:F34)&lt;(L42*9),IF((SUM(B26:F35))&gt;(L42*10),(((L42*10)-(SUM(B26:F35)-C35))*L25)+((SUM(B35:F35)-C35)*L25),(SUM(B35:F35)-C35)*L25),IF(SUM(B26:F35)&gt;(L42*10),L42*L25,SUM(B35:F35)*L25)),2)</f>
        <v>0</v>
      </c>
      <c r="M35" s="76">
        <f>ROUND(IF(SUM(B26:F34)&lt;(L42*9),IF((SUM(B26:F35))&gt;(L42*10),(((L42*10)-(SUM(B26:F35)-C35))*M25)+((SUM(B35:F35)-C35)*M25),(SUM(B35:F35)-C35)*M25),IF(SUM(B26:F35)&gt;(L42*10),L42*M25,SUM(B35:F35)*M25)),2)</f>
        <v>0</v>
      </c>
      <c r="N35" s="76">
        <f>ROUND(IF(SUM(B26:F34)&lt;(L42*9),IF((SUM(B26:F35))&gt;(L42*10),(((L42*10)-(SUM(B26:F35)-C34))*N25)+((SUM(B35:F35)-C34)*N25),SUM(B35:F35)*N25),IF(SUM(B26:F35)&gt;(L42*10),L42*N25,SUM(B35:F35)*N25)),2)</f>
        <v>0</v>
      </c>
      <c r="O35" s="23">
        <f>ROUND(SUM(B35+C35+F35)*O25,2)</f>
        <v>0</v>
      </c>
      <c r="P35" s="27">
        <f t="shared" si="3"/>
        <v>0</v>
      </c>
    </row>
    <row r="36" spans="1:16" x14ac:dyDescent="0.2">
      <c r="A36" s="100" t="str">
        <f>'päd.Personal - Leitung'!$A$36</f>
        <v>Nov 2022</v>
      </c>
      <c r="B36" s="24">
        <f>ROUND(IF(P10=0,0,IFERROR(((LOOKUP(2,1/(A14:A17=A36),G14:G17))*P10*4.348),B35/P10*P10)),2)</f>
        <v>0</v>
      </c>
      <c r="C36" s="23">
        <f>ROUND(IFERROR(((LOOKUP(2,1/(B19=A36),((SUM(B32:B34)+SUM(F32:F34))/3)*C19))),0)+IFERROR(((LOOKUP(2,1/(E19=A36),(B38+F38)*F19))),0),2)</f>
        <v>0</v>
      </c>
      <c r="D36" s="23">
        <f>ROUND(IF(B36=0,0,D25/L7*P10),2)</f>
        <v>0</v>
      </c>
      <c r="E36" s="23">
        <f>ROUND(IF(B36=0,0,E25/N3*P10),2)</f>
        <v>0</v>
      </c>
      <c r="F36" s="24">
        <f>ROUND(IF(P10=0,0,IFERROR(((LOOKUP(2,1/(A14:A17=A36),H14:H17))/N3*P10),F35/P10*P10)),2)</f>
        <v>0</v>
      </c>
      <c r="G36" s="27">
        <f t="shared" si="2"/>
        <v>0</v>
      </c>
      <c r="H36" s="76">
        <f>ROUND(IF(SUM(B26:F35)&lt;(L41*10),IF((SUM(B26:F36))&gt;(L41*11),(((L41*11)-(SUM(B26:F36)-C35))*H25)+((SUM(B36:F36)-C35)*H25),SUM(B36:F36)*H25),IF(SUM(B26:F36)&gt;(L41*11),L41*H25,SUM(B36:F36)*H25)),2)</f>
        <v>0</v>
      </c>
      <c r="I36" s="76">
        <f>ROUND(IF(SUM(B26:F35)&lt;(L42*10),IF((SUM(B26:F36))&gt;(L42*11),(((L42*11)-(SUM(B26:F36)-C35))*I25)+((SUM(B36:F36)-C35)*I25),SUM(B36:F36)*I25),IF(SUM(B26:F36)&gt;(L42*11),L42*I25,SUM(B36:F36)*I25)),2)</f>
        <v>0</v>
      </c>
      <c r="J36" s="76">
        <f>ROUND(IF(SUM(B26:F35)&lt;(L42*10),IF((SUM(B26:F36))&gt;(L42*11),(((L42*11)-(SUM(B26:F36)-C35))*J25)+((SUM(B36:F36)-C35)*J25),SUM(B36:F36)*J25),IF(SUM(B26:F36)&gt;(L42*11),L42*J25,SUM(B36:F36)*J25)),2)</f>
        <v>0</v>
      </c>
      <c r="K36" s="76">
        <f>ROUND(IF(SUM(B26:F35)&lt;(L41*10),IF((SUM(B26:F36))&gt;(L41*11),(((L41*11)-(SUM(B26:F36)-C35))*K25)+((SUM(B36:F36)-C35)*K25),SUM(B36:F36)*K25),IF(SUM(B26:F36)&gt;(L41*11),L41*K25,SUM(B36:F36)*K25)),2)</f>
        <v>0</v>
      </c>
      <c r="L36" s="76">
        <f>ROUND(IF(SUM(B26:F35)&lt;(L42*10),IF((SUM(B26:F36))&gt;(L42*11),(((L42*11)-(SUM(B26:F36)-C36))*L25)+((SUM(B36:F36)-C36)*L25),(SUM(B36:F36)-C36)*L25),IF(SUM(B26:F36)&gt;(L42*11),L42*L25,SUM(B36:F36)*L25)),2)</f>
        <v>0</v>
      </c>
      <c r="M36" s="76">
        <f>ROUND(IF(SUM(B26:F35)&lt;(L42*10),IF((SUM(B26:F36))&gt;(L42*11),(((L42*11)-(SUM(B26:F36)-C36))*M25)+((SUM(B36:F36)-C36)*M25),(SUM(B36:F36)-C36)*M25),IF(SUM(B26:F36)&gt;(L42*11),L42*M25,SUM(B36:F36)*M25)),2)</f>
        <v>0</v>
      </c>
      <c r="N36" s="76">
        <f>ROUND(IF(SUM(B26:F35)&lt;(L42*10),IF((SUM(B26:F36))&gt;(L42*11),(((L42*11)-(SUM(B26:F36)-C35))*N25)+((SUM(B36:F36)-C35)*N25),SUM(B36:F36)*N25),IF(SUM(B26:F36)&gt;(L42*11),L42*N25,SUM(B36:F36)*N25)),2)</f>
        <v>0</v>
      </c>
      <c r="O36" s="23">
        <f>ROUND(SUM(B36+C36+F36)*O25,2)</f>
        <v>0</v>
      </c>
      <c r="P36" s="27">
        <f t="shared" si="3"/>
        <v>0</v>
      </c>
    </row>
    <row r="37" spans="1:16" x14ac:dyDescent="0.2">
      <c r="A37" s="100" t="str">
        <f>'päd.Personal - Leitung'!$A$37</f>
        <v>Dez 2022</v>
      </c>
      <c r="B37" s="24">
        <f>ROUND(IF(P11=0,0,IFERROR(((LOOKUP(2,1/(A14:A17=A37),G14:G17))*P11*4.348),B36/P11*P11)),2)</f>
        <v>0</v>
      </c>
      <c r="C37" s="23">
        <f>ROUND(IFERROR(((LOOKUP(2,1/(B19=A37),((SUM(B32:B34)+SUM(F32:F34))/3)*C19))),0)+IFERROR(((LOOKUP(2,1/(E19=A37),(B38+F38)*F19))),0),2)</f>
        <v>0</v>
      </c>
      <c r="D37" s="23">
        <f>ROUND(IF(B37=0,0,D25/L7*P11),2)</f>
        <v>0</v>
      </c>
      <c r="E37" s="23">
        <f>ROUND(IF(B37=0,0,E25/N3*P11),2)</f>
        <v>0</v>
      </c>
      <c r="F37" s="24">
        <f>ROUND(IF(P11=0,0,IFERROR(((LOOKUP(2,1/(A14:A17=A37),H14:H17))/N3*P11),F36/P11*P11)),2)</f>
        <v>0</v>
      </c>
      <c r="G37" s="27">
        <f t="shared" si="2"/>
        <v>0</v>
      </c>
      <c r="H37" s="76">
        <f>ROUND(IF(SUM(B26:F36)&lt;(L41*11),IF((SUM(B26:F37))&gt;(L41*12),(((L41*12)-(SUM(B26:F37)-C36))*H25)+((SUM(B37:F37)-C36)*H25),SUM(B37:F37)*H25),IF(SUM(B26:F37)&gt;(L41*12),L41*H25,SUM(B37:F37)*H25)),2)</f>
        <v>0</v>
      </c>
      <c r="I37" s="76">
        <f>ROUND(IF(SUM(B26:F36)&lt;(L42*11),IF((SUM(B26:F37))&gt;(L42*12),(((L42*12)-(SUM(B26:F37)-C36))*I25)+((SUM(B37:F37)-C36)*I25),SUM(B37:F37)*I25),IF(SUM(B26:F37)&gt;(L42*12),L42*I25,SUM(B37:F37)*I25)),2)</f>
        <v>0</v>
      </c>
      <c r="J37" s="76">
        <f>ROUND(IF(SUM(B26:F36)&lt;(L42*11),IF((SUM(B26:F37))&gt;(L42*12),(((L42*12)-(SUM(B26:F37)-C36))*J25)+((SUM(B37:F37)-C36)*J25),SUM(B37:F37)*J25),IF(SUM(B26:F37)&gt;(L42*12),L42*J25,SUM(B37:F37)*J25)),2)</f>
        <v>0</v>
      </c>
      <c r="K37" s="76">
        <f>ROUND(IF(SUM(B26:F36)&lt;(L41*11),IF((SUM(B26:F37))&gt;(L41*12),(((L41*12)-(SUM(B26:F37)-C36))*K25)+((SUM(B37:F37)-C36)*K25),SUM(B37:F37)*K25),IF(SUM(B26:F37)&gt;(L41*12),L41*K25,SUM(B37:F37)*K25)),2)</f>
        <v>0</v>
      </c>
      <c r="L37" s="76">
        <f>ROUND(IF(SUM(B26:F36)&lt;(L42*11),IF((SUM(B26:F37))&gt;(L42*12),(((L42*12)-(SUM(B26:F37)-C37))*L25)+((SUM(B37:F37)-C37)*L25),(SUM(B37:F37)-C37)*L25),IF(SUM(B26:F37)&gt;(L42*12),L42*L25,SUM(B37:F37)*L25)),2)</f>
        <v>0</v>
      </c>
      <c r="M37" s="76">
        <f>ROUND(IF(SUM(B26:F36)&lt;(L42*11),IF((SUM(B26:F37))&gt;(L42*12),(((L42*12)-(SUM(B26:F37)-C37))*M25)+((SUM(B37:F37)-C37)*M25),(SUM(B37:F37)-C37)*M25),IF(SUM(B26:F37)&gt;(L42*12),L42*M25,SUM(B37:F37)*M25)),2)</f>
        <v>0</v>
      </c>
      <c r="N37" s="76">
        <f>ROUND(IF(SUM(B26:F36)&lt;(L42*11),IF((SUM(B26:F37))&gt;(L42*12),(((L42*12)-(SUM(B26:F37)-C36))*N25)+((SUM(B37:F37)-C36)*N25),SUM(B37:F37)*N25),IF(SUM(B26:F37)&gt;(L42*12),L42*N25,SUM(B37:F37)*N25)),2)</f>
        <v>0</v>
      </c>
      <c r="O37" s="23">
        <f>ROUND(SUM(B37+C37+F37)*O25,2)</f>
        <v>0</v>
      </c>
      <c r="P37" s="27">
        <f t="shared" si="3"/>
        <v>0</v>
      </c>
    </row>
    <row r="38" spans="1:16" s="14" customFormat="1" ht="15" x14ac:dyDescent="0.25">
      <c r="A38" s="4" t="s">
        <v>2</v>
      </c>
      <c r="B38" s="27">
        <f>SUM(B26:B37)</f>
        <v>0</v>
      </c>
      <c r="C38" s="27">
        <f t="shared" ref="C38:D38" si="4">SUM(C26:C37)</f>
        <v>0</v>
      </c>
      <c r="D38" s="27">
        <f t="shared" si="4"/>
        <v>0</v>
      </c>
      <c r="E38" s="27">
        <f>SUM(E26:E37)</f>
        <v>0</v>
      </c>
      <c r="F38" s="27">
        <f>SUM(F26:F37)</f>
        <v>0</v>
      </c>
      <c r="G38" s="27">
        <f>SUM(G26:G37)</f>
        <v>0</v>
      </c>
      <c r="H38" s="1133">
        <f>SUM(H26:N37)</f>
        <v>0</v>
      </c>
      <c r="I38" s="1134"/>
      <c r="J38" s="1134"/>
      <c r="K38" s="1134"/>
      <c r="L38" s="1134"/>
      <c r="M38" s="1134"/>
      <c r="N38" s="1135"/>
      <c r="O38" s="27">
        <f>SUM(O26:O37)</f>
        <v>0</v>
      </c>
      <c r="P38" s="27">
        <f>SUM(P26:P37)</f>
        <v>0</v>
      </c>
    </row>
    <row r="39" spans="1:16" s="13" customFormat="1" ht="11.25" x14ac:dyDescent="0.2">
      <c r="A39" s="3" t="s">
        <v>1</v>
      </c>
      <c r="B39" s="2"/>
      <c r="C39" s="2"/>
      <c r="D39" s="2"/>
      <c r="E39" s="2"/>
      <c r="F39" s="2"/>
      <c r="G39" s="2"/>
      <c r="H39" s="2"/>
      <c r="I39" s="2"/>
      <c r="J39" s="2"/>
      <c r="K39" s="2"/>
      <c r="L39" s="2"/>
      <c r="M39" s="2"/>
      <c r="N39" s="2"/>
      <c r="O39" s="2"/>
      <c r="P39" s="2"/>
    </row>
    <row r="40" spans="1:16" ht="14.25" customHeight="1" x14ac:dyDescent="0.2">
      <c r="A40" s="1136" t="s">
        <v>133</v>
      </c>
      <c r="B40" s="1137"/>
      <c r="C40" s="1137"/>
      <c r="D40" s="1137" t="s">
        <v>134</v>
      </c>
      <c r="E40" s="1137"/>
      <c r="F40" s="94" t="str">
        <f>IF(IF(G38=0,"",'techn.Personal - Hausmeister'!$F$40)=0,"",IF(G38=0,"",'techn.Personal - Hausmeister'!$F$40))</f>
        <v/>
      </c>
      <c r="G40" s="77" t="s">
        <v>135</v>
      </c>
      <c r="H40" s="96" t="str">
        <f>IF(IF(G38=0,"",'techn.Personal - Hausmeister'!$H$40)=0,"",IF(G38=0,"",'techn.Personal - Hausmeister'!$H$40))</f>
        <v/>
      </c>
      <c r="I40" s="73"/>
      <c r="J40" s="194" t="s">
        <v>160</v>
      </c>
      <c r="K40" s="194" t="str">
        <f>'päd.Personal - Leitung'!$K$40</f>
        <v>2021</v>
      </c>
      <c r="L40" s="194" t="str">
        <f>'päd.Personal - Leitung'!$L$40</f>
        <v>anteilig 2021</v>
      </c>
      <c r="M40" s="1138" t="s">
        <v>140</v>
      </c>
      <c r="N40" s="1138"/>
      <c r="O40" s="1139"/>
      <c r="P40" s="27">
        <f>ROUND(IF(F40="",IF(E44="",0,(E44*H44/K44)/L7*L8),G38*F40*H40/1000),2)</f>
        <v>0</v>
      </c>
    </row>
    <row r="41" spans="1:16" ht="15" customHeight="1" x14ac:dyDescent="0.2">
      <c r="A41" s="1140" t="s">
        <v>145</v>
      </c>
      <c r="B41" s="1141"/>
      <c r="C41" s="1141"/>
      <c r="D41" s="18"/>
      <c r="E41" s="107" t="s">
        <v>135</v>
      </c>
      <c r="F41" s="95" t="str">
        <f>IF(IF(G38=0,"",'techn.Personal - Hausmeister'!$F$41)=0,"",IF(G38=0,"",'techn.Personal - Hausmeister'!$F$41))</f>
        <v/>
      </c>
      <c r="G41" s="48"/>
      <c r="H41" s="47"/>
      <c r="I41" s="48"/>
      <c r="J41" s="195" t="s">
        <v>158</v>
      </c>
      <c r="K41" s="198">
        <f>'päd.Personal - Leitung'!$K$41</f>
        <v>4837.5</v>
      </c>
      <c r="L41" s="197">
        <f>IF(L7="",K41,K41/L7*L8)</f>
        <v>4837.5</v>
      </c>
      <c r="M41" s="1138" t="s">
        <v>139</v>
      </c>
      <c r="N41" s="1138"/>
      <c r="O41" s="1139"/>
      <c r="P41" s="27">
        <f>ROUND(IF(F41="",0,G38*F41/1000),2)</f>
        <v>0</v>
      </c>
    </row>
    <row r="42" spans="1:16" ht="15.75" customHeight="1" x14ac:dyDescent="0.2">
      <c r="A42" s="1142" t="s">
        <v>141</v>
      </c>
      <c r="B42" s="1143"/>
      <c r="C42" s="1143"/>
      <c r="D42" s="1144" t="s">
        <v>143</v>
      </c>
      <c r="E42" s="1144"/>
      <c r="F42" s="1145" t="str">
        <f>IF(IF(G38=0,"",'techn.Personal - Hausmeister'!$F$42)=0,"",IF(G38=0,"",'techn.Personal - Hausmeister'!$F$42))</f>
        <v/>
      </c>
      <c r="G42" s="1145"/>
      <c r="H42" s="72"/>
      <c r="I42" s="18"/>
      <c r="J42" s="195" t="s">
        <v>159</v>
      </c>
      <c r="K42" s="198">
        <f>'päd.Personal - Leitung'!$K$42</f>
        <v>6700</v>
      </c>
      <c r="L42" s="197">
        <f>IF(L7="",K42,K42/L7*L8)</f>
        <v>6700</v>
      </c>
      <c r="M42" s="1138" t="s">
        <v>141</v>
      </c>
      <c r="N42" s="1138"/>
      <c r="O42" s="1139"/>
      <c r="P42" s="23">
        <f>ROUND(IF(F42="",0,IF(G38=0,0,F42/L7*L8)),2)</f>
        <v>0</v>
      </c>
    </row>
    <row r="43" spans="1:16" ht="14.25" customHeight="1" x14ac:dyDescent="0.2">
      <c r="A43" s="18"/>
      <c r="B43" s="18"/>
      <c r="C43" s="18"/>
      <c r="D43" s="18"/>
      <c r="E43" s="18"/>
      <c r="F43" s="18"/>
      <c r="G43" s="18"/>
      <c r="H43" s="18"/>
      <c r="I43" s="18"/>
      <c r="J43" s="18"/>
      <c r="K43" s="74"/>
      <c r="L43" s="82"/>
      <c r="M43" s="1127" t="s">
        <v>146</v>
      </c>
      <c r="N43" s="1127"/>
      <c r="O43" s="1128"/>
      <c r="P43" s="23">
        <f>ROUND(IF(G38=0,0,'techn.Personal - Hausmeister'!P43),2)</f>
        <v>0</v>
      </c>
    </row>
    <row r="44" spans="1:16" ht="14.25" customHeight="1" x14ac:dyDescent="0.2">
      <c r="A44" s="1129" t="s">
        <v>142</v>
      </c>
      <c r="B44" s="1130"/>
      <c r="C44" s="148" t="s">
        <v>136</v>
      </c>
      <c r="D44" s="184" t="s">
        <v>137</v>
      </c>
      <c r="E44" s="1131" t="str">
        <f>IF(IF(G38=0,"",'techn.Personal - Hausmeister'!$E$44)=0,"",IF(G38=0,"",'techn.Personal - Hausmeister'!$E$44))</f>
        <v/>
      </c>
      <c r="F44" s="1131"/>
      <c r="G44" s="83" t="s">
        <v>138</v>
      </c>
      <c r="H44" s="97" t="str">
        <f>IF(IF(G38=0,"",'techn.Personal - Hausmeister'!$H$44)=0,"",IF(G38=0,"",'techn.Personal - Hausmeister'!$H$44))</f>
        <v/>
      </c>
      <c r="I44" s="1132" t="s">
        <v>144</v>
      </c>
      <c r="J44" s="1132"/>
      <c r="K44" s="98" t="str">
        <f>IF(IF(G38=0,"",'techn.Personal - Hausmeister'!$K$44)=0,"",IF(G38=0,"",'techn.Personal - Hausmeister'!$K$44))</f>
        <v/>
      </c>
      <c r="L44" s="29"/>
      <c r="M44" s="29"/>
      <c r="N44" s="29"/>
      <c r="O44" s="28" t="s">
        <v>0</v>
      </c>
      <c r="P44" s="27">
        <f>P38+SUM(P40:P43)</f>
        <v>0</v>
      </c>
    </row>
    <row r="45" spans="1:16" s="12" customFormat="1" ht="13.5" customHeight="1" x14ac:dyDescent="0.2">
      <c r="A45" s="1178" t="s">
        <v>18</v>
      </c>
      <c r="B45" s="1178"/>
      <c r="C45" s="1178"/>
      <c r="D45" s="1179" t="str">
        <f>IF($D$1="","",$D$1)</f>
        <v/>
      </c>
      <c r="E45" s="1179"/>
      <c r="F45" s="1179"/>
      <c r="G45" s="1179"/>
      <c r="H45" s="1179"/>
      <c r="I45" s="1179"/>
      <c r="J45" s="1179"/>
      <c r="K45" s="1179"/>
      <c r="L45" s="1179"/>
      <c r="M45" s="1179"/>
      <c r="N45" s="1179"/>
    </row>
    <row r="46" spans="1:16" s="12" customFormat="1" ht="15" customHeight="1" x14ac:dyDescent="0.2">
      <c r="A46" s="1178" t="s">
        <v>17</v>
      </c>
      <c r="B46" s="1178"/>
      <c r="C46" s="1178" t="s">
        <v>15</v>
      </c>
      <c r="D46" s="1179" t="str">
        <f>IF($D$2="","",$D$2)</f>
        <v/>
      </c>
      <c r="E46" s="1179"/>
      <c r="F46" s="1179"/>
      <c r="G46" s="1179"/>
      <c r="H46" s="1179"/>
      <c r="I46" s="1179"/>
      <c r="J46" s="1179"/>
      <c r="K46" s="1179"/>
      <c r="L46" s="1179"/>
      <c r="M46" s="1179"/>
      <c r="N46" s="1179"/>
    </row>
    <row r="47" spans="1:16" s="12" customFormat="1" ht="15" customHeight="1" x14ac:dyDescent="0.2">
      <c r="A47" s="1178" t="s">
        <v>16</v>
      </c>
      <c r="B47" s="1178"/>
      <c r="C47" s="1178" t="s">
        <v>15</v>
      </c>
      <c r="D47" s="1179" t="str">
        <f>IF($D$3="","",$D$3)</f>
        <v/>
      </c>
      <c r="E47" s="1179"/>
      <c r="F47" s="1179"/>
      <c r="G47" s="1179"/>
      <c r="H47" s="1179"/>
      <c r="I47" s="1179"/>
      <c r="J47" s="1179"/>
      <c r="K47" s="1178" t="s">
        <v>103</v>
      </c>
      <c r="L47" s="1178"/>
      <c r="M47" s="1178"/>
      <c r="N47" s="41" t="str">
        <f>IF($N$3="","",$N$3)</f>
        <v/>
      </c>
    </row>
    <row r="48" spans="1:16" s="13" customFormat="1" ht="11.25" x14ac:dyDescent="0.2">
      <c r="A48" s="1182"/>
      <c r="B48" s="1182"/>
      <c r="C48" s="1182"/>
      <c r="D48" s="1183"/>
      <c r="E48" s="1183"/>
      <c r="F48" s="1183"/>
      <c r="G48" s="1183"/>
      <c r="H48" s="1183"/>
      <c r="I48" s="1183"/>
      <c r="J48" s="1183"/>
      <c r="K48" s="11"/>
      <c r="L48" s="11"/>
      <c r="M48" s="11"/>
      <c r="N48" s="11"/>
      <c r="O48" s="11"/>
      <c r="P48" s="11"/>
    </row>
    <row r="49" spans="1:16" s="15" customFormat="1" ht="13.5" customHeight="1" x14ac:dyDescent="0.2">
      <c r="A49" s="1177" t="s">
        <v>224</v>
      </c>
      <c r="B49" s="1177"/>
      <c r="C49" s="1177"/>
      <c r="D49" s="1177"/>
      <c r="E49" s="1177"/>
      <c r="F49" s="1177"/>
      <c r="G49" s="1177"/>
      <c r="H49" s="1177"/>
      <c r="I49" s="1177"/>
      <c r="J49" s="1177"/>
      <c r="K49" s="9"/>
      <c r="L49" s="9"/>
      <c r="M49" s="9"/>
      <c r="N49" s="59" t="s">
        <v>154</v>
      </c>
      <c r="O49" s="191">
        <f>$O$5</f>
        <v>2022</v>
      </c>
      <c r="P49" s="59" t="s">
        <v>154</v>
      </c>
    </row>
    <row r="50" spans="1:16" s="10" customFormat="1" ht="13.5" customHeight="1" x14ac:dyDescent="0.25">
      <c r="B50" s="32"/>
      <c r="C50" s="32"/>
      <c r="D50" s="5" t="s">
        <v>32</v>
      </c>
      <c r="E50" s="31"/>
      <c r="F50" s="31"/>
      <c r="G50" s="31"/>
      <c r="H50" s="31"/>
      <c r="I50" s="26"/>
      <c r="J50" s="1174" t="s">
        <v>14</v>
      </c>
      <c r="K50" s="1174"/>
      <c r="L50" s="180"/>
      <c r="N50" s="84">
        <f>IF(L52="","",L52)</f>
        <v>0</v>
      </c>
      <c r="O50" s="58" t="str">
        <f>$O$6</f>
        <v>Jan                Jul</v>
      </c>
      <c r="P50" s="85">
        <f>IF(N55="","",N55)</f>
        <v>0</v>
      </c>
    </row>
    <row r="51" spans="1:16" s="7" customFormat="1" ht="13.5" customHeight="1" x14ac:dyDescent="0.25">
      <c r="A51" s="1180" t="s">
        <v>71</v>
      </c>
      <c r="B51" s="1180"/>
      <c r="C51" s="1180"/>
      <c r="D51" s="1184"/>
      <c r="E51" s="1184"/>
      <c r="F51" s="1184"/>
      <c r="G51" s="1184"/>
      <c r="H51" s="1184"/>
      <c r="I51" s="1184"/>
      <c r="J51" s="1174" t="s">
        <v>104</v>
      </c>
      <c r="K51" s="1174"/>
      <c r="L51" s="145"/>
      <c r="N51" s="85">
        <f>IF(N50="","",N50)</f>
        <v>0</v>
      </c>
      <c r="O51" s="58" t="str">
        <f>$O$7</f>
        <v>Feb              Aug</v>
      </c>
      <c r="P51" s="85">
        <f>IF(P50="","",P50)</f>
        <v>0</v>
      </c>
    </row>
    <row r="52" spans="1:16" ht="13.5" customHeight="1" x14ac:dyDescent="0.2">
      <c r="A52" s="1180" t="s">
        <v>13</v>
      </c>
      <c r="B52" s="1180"/>
      <c r="C52" s="1180"/>
      <c r="D52" s="1181"/>
      <c r="E52" s="1181"/>
      <c r="F52" s="1181"/>
      <c r="G52" s="1181"/>
      <c r="H52" s="1181"/>
      <c r="I52" s="1181"/>
      <c r="J52" s="1174" t="s">
        <v>222</v>
      </c>
      <c r="K52" s="1174"/>
      <c r="L52" s="145">
        <f>IF(L53&gt;L51,0,L51-L53)</f>
        <v>0</v>
      </c>
      <c r="N52" s="85">
        <f>IF(N51="","",N51)</f>
        <v>0</v>
      </c>
      <c r="O52" s="58" t="str">
        <f>$O$8</f>
        <v>Mrz              Sep</v>
      </c>
      <c r="P52" s="85">
        <f>IF(P51="","",P51)</f>
        <v>0</v>
      </c>
    </row>
    <row r="53" spans="1:16" ht="13.5" customHeight="1" x14ac:dyDescent="0.2">
      <c r="A53" s="1180" t="s">
        <v>12</v>
      </c>
      <c r="B53" s="1180"/>
      <c r="C53" s="1180"/>
      <c r="D53" s="1181"/>
      <c r="E53" s="1181"/>
      <c r="F53" s="1181"/>
      <c r="G53" s="1181"/>
      <c r="H53" s="1181"/>
      <c r="I53" s="1181"/>
      <c r="J53" s="1174" t="s">
        <v>223</v>
      </c>
      <c r="K53" s="1174"/>
      <c r="L53" s="145"/>
      <c r="N53" s="85">
        <f>IF(N52="","",N52)</f>
        <v>0</v>
      </c>
      <c r="O53" s="58" t="str">
        <f>$O$9</f>
        <v>Apr               Okt</v>
      </c>
      <c r="P53" s="85">
        <f t="shared" ref="P53:P55" si="5">IF(P52="","",P52)</f>
        <v>0</v>
      </c>
    </row>
    <row r="54" spans="1:16" ht="13.5" customHeight="1" x14ac:dyDescent="0.2">
      <c r="A54" s="1180" t="s">
        <v>19</v>
      </c>
      <c r="B54" s="1180"/>
      <c r="C54" s="1180"/>
      <c r="D54" s="1181"/>
      <c r="E54" s="1181"/>
      <c r="F54" s="1181"/>
      <c r="G54" s="1181"/>
      <c r="H54" s="1181"/>
      <c r="I54" s="1181"/>
      <c r="J54" s="1174" t="s">
        <v>97</v>
      </c>
      <c r="K54" s="1174"/>
      <c r="L54" s="17" t="str">
        <f>IF(IF((COUNTIF(B70:B81,"&gt;0"))=0,0,(COUNTIF(B70:B81,"&gt;0")))&gt;Grundlagen!$C$24,Grundlagen!$C$24,IF((COUNTIF(B70:B81,"&gt;0"))=0,"",(COUNTIF(B70:B81,"&gt;0"))))</f>
        <v/>
      </c>
      <c r="M54" s="92"/>
      <c r="N54" s="85">
        <f>IF(N53="","",N53)</f>
        <v>0</v>
      </c>
      <c r="O54" s="58" t="str">
        <f>'päd.Personal - Leitung'!$O$10</f>
        <v>Mai               Nov</v>
      </c>
      <c r="P54" s="85">
        <f t="shared" si="5"/>
        <v>0</v>
      </c>
    </row>
    <row r="55" spans="1:16" ht="13.5" customHeight="1" x14ac:dyDescent="0.2">
      <c r="B55" s="8"/>
      <c r="C55" s="141" t="s">
        <v>162</v>
      </c>
      <c r="D55" s="1175"/>
      <c r="E55" s="1175"/>
      <c r="F55" s="1176" t="s">
        <v>106</v>
      </c>
      <c r="G55" s="1176"/>
      <c r="H55" s="1186"/>
      <c r="I55" s="1186"/>
      <c r="L55" s="147" t="str">
        <f>IF((SUM(F58:F61))=0,"",IF(P56&gt;L52,L52,IF(L52="","",IF(L54="","",P56))))</f>
        <v/>
      </c>
      <c r="N55" s="85">
        <f>IF(N54="","",N54)</f>
        <v>0</v>
      </c>
      <c r="O55" s="58" t="str">
        <f>'päd.Personal - Leitung'!$O$11</f>
        <v>Jun               Dez</v>
      </c>
      <c r="P55" s="85">
        <f t="shared" si="5"/>
        <v>0</v>
      </c>
    </row>
    <row r="56" spans="1:16" ht="13.5" customHeight="1" x14ac:dyDescent="0.2">
      <c r="I56" s="6"/>
      <c r="O56" s="174" t="s">
        <v>251</v>
      </c>
      <c r="P56" s="175">
        <f>IF(L54="",0,((IF(SUMIF(B70,"&gt;0"),N50,0))+(IF(SUMIF(B71,"&gt;0"),N51,0))+(IF(SUMIF(B72,"&gt;0"),N52,0))+(IF(SUMIF(B73,"&gt;0"),N53,0))+(IF(SUMIF(B74,"&gt;0"),N54,0))+(IF(SUMIF(B75,"&gt;0"),N55,0))+(IF(SUMIF(B76,"&gt;0"),P50,0))+(IF(SUMIF(B77,"&gt;0"),P51,0))+(IF(SUMIF(B78,"&gt;0"),P52,0))+(IF(SUMIF(B79,"&gt;0"),P53,0))+(IF(SUMIF(B80,"&gt;0"),P54,0))+(IF(SUMIF(B81,"&gt;0"),P55,0)))/Grundlagen!$C$24)</f>
        <v>0</v>
      </c>
    </row>
    <row r="57" spans="1:16" s="52" customFormat="1" ht="13.5" customHeight="1" x14ac:dyDescent="0.2">
      <c r="A57" s="61" t="s">
        <v>148</v>
      </c>
      <c r="B57" s="1168" t="s">
        <v>149</v>
      </c>
      <c r="C57" s="1168"/>
      <c r="D57" s="62" t="s">
        <v>150</v>
      </c>
      <c r="E57" s="63" t="s">
        <v>151</v>
      </c>
      <c r="F57" s="64" t="str">
        <f>CONCATENATE("Entg. ",N47," h/Wo")</f>
        <v>Entg.  h/Wo</v>
      </c>
      <c r="G57" s="65" t="s">
        <v>152</v>
      </c>
      <c r="H57" s="65" t="s">
        <v>153</v>
      </c>
      <c r="K57" s="1169" t="str">
        <f>CONCATENATE("Zuschläge / Zulagen für ",N47,"h/Wo")</f>
        <v>Zuschläge / Zulagen für h/Wo</v>
      </c>
      <c r="L57" s="1169"/>
      <c r="M57" s="66" t="str">
        <f>IF(A58="","",A58)</f>
        <v>Jan 2022</v>
      </c>
      <c r="N57" s="66" t="str">
        <f>IF(A59="","",A59)</f>
        <v/>
      </c>
      <c r="O57" s="66" t="str">
        <f>IF(A60="","",A60)</f>
        <v/>
      </c>
      <c r="P57" s="66" t="str">
        <f>IF(A61="","",A61)</f>
        <v/>
      </c>
    </row>
    <row r="58" spans="1:16" s="52" customFormat="1" ht="13.5" customHeight="1" x14ac:dyDescent="0.25">
      <c r="A58" s="54" t="str">
        <f>A70</f>
        <v>Jan 2022</v>
      </c>
      <c r="B58" s="1170" t="str">
        <f>IF($D$3="","",$D$3)</f>
        <v/>
      </c>
      <c r="C58" s="1171"/>
      <c r="D58" s="181"/>
      <c r="E58" s="181"/>
      <c r="F58" s="87"/>
      <c r="G58" s="56">
        <f>IF(N47="",0,F58/N47/4.348)</f>
        <v>0</v>
      </c>
      <c r="H58" s="53">
        <f>IF(G58=0,0,M63)</f>
        <v>0</v>
      </c>
      <c r="K58" s="1146"/>
      <c r="L58" s="1146"/>
      <c r="M58" s="86"/>
      <c r="N58" s="86"/>
      <c r="O58" s="86"/>
      <c r="P58" s="86"/>
    </row>
    <row r="59" spans="1:16" s="52" customFormat="1" ht="13.5" customHeight="1" x14ac:dyDescent="0.25">
      <c r="A59" s="55"/>
      <c r="B59" s="1172" t="str">
        <f>IF(A59="","",B58)</f>
        <v/>
      </c>
      <c r="C59" s="1173"/>
      <c r="D59" s="181"/>
      <c r="E59" s="181"/>
      <c r="F59" s="87"/>
      <c r="G59" s="56">
        <f>IF(N47="",0,F59/N47/4.348)</f>
        <v>0</v>
      </c>
      <c r="H59" s="53">
        <f>IF(G59=0,0,N63)</f>
        <v>0</v>
      </c>
      <c r="K59" s="1146"/>
      <c r="L59" s="1146"/>
      <c r="M59" s="86"/>
      <c r="N59" s="86"/>
      <c r="O59" s="86"/>
      <c r="P59" s="86"/>
    </row>
    <row r="60" spans="1:16" s="52" customFormat="1" ht="13.5" customHeight="1" x14ac:dyDescent="0.25">
      <c r="A60" s="55"/>
      <c r="B60" s="1172" t="str">
        <f>IF(A60="","",B59)</f>
        <v/>
      </c>
      <c r="C60" s="1173"/>
      <c r="D60" s="181"/>
      <c r="E60" s="181"/>
      <c r="F60" s="87"/>
      <c r="G60" s="56">
        <f>IF(N47="",0,F60/N47/4.348)</f>
        <v>0</v>
      </c>
      <c r="H60" s="53">
        <f>IF(G60=0,0,O63)</f>
        <v>0</v>
      </c>
      <c r="K60" s="1146"/>
      <c r="L60" s="1146"/>
      <c r="M60" s="86"/>
      <c r="N60" s="86"/>
      <c r="O60" s="86"/>
      <c r="P60" s="86"/>
    </row>
    <row r="61" spans="1:16" s="52" customFormat="1" ht="13.5" customHeight="1" x14ac:dyDescent="0.25">
      <c r="A61" s="55"/>
      <c r="B61" s="1172" t="str">
        <f>IF(A61="","",B60)</f>
        <v/>
      </c>
      <c r="C61" s="1173"/>
      <c r="D61" s="181"/>
      <c r="E61" s="181"/>
      <c r="F61" s="87"/>
      <c r="G61" s="56">
        <f>IF(N47="",0,F61/N47/4.348)</f>
        <v>0</v>
      </c>
      <c r="H61" s="53">
        <f>IF(G61=0,0,P63)</f>
        <v>0</v>
      </c>
      <c r="K61" s="1146"/>
      <c r="L61" s="1146"/>
      <c r="M61" s="86"/>
      <c r="N61" s="86"/>
      <c r="O61" s="86"/>
      <c r="P61" s="86"/>
    </row>
    <row r="62" spans="1:16" s="52" customFormat="1" ht="13.5" customHeight="1" x14ac:dyDescent="0.25">
      <c r="B62" s="1167" t="s">
        <v>157</v>
      </c>
      <c r="C62" s="1167"/>
      <c r="E62" s="1167" t="s">
        <v>156</v>
      </c>
      <c r="F62" s="1167"/>
      <c r="J62" s="69"/>
      <c r="K62" s="1146"/>
      <c r="L62" s="1146"/>
      <c r="M62" s="86"/>
      <c r="N62" s="86"/>
      <c r="O62" s="86"/>
      <c r="P62" s="86"/>
    </row>
    <row r="63" spans="1:16" s="52" customFormat="1" ht="13.5" customHeight="1" x14ac:dyDescent="0.25">
      <c r="A63" s="70" t="s">
        <v>167</v>
      </c>
      <c r="B63" s="67"/>
      <c r="C63" s="99" t="str">
        <f>IF(C19="","",C19)</f>
        <v/>
      </c>
      <c r="D63" s="70" t="s">
        <v>167</v>
      </c>
      <c r="E63" s="67"/>
      <c r="F63" s="99" t="str">
        <f>IF(F19="","",F19)</f>
        <v/>
      </c>
      <c r="J63" s="68"/>
      <c r="M63" s="57">
        <f>SUM(M58:M62)</f>
        <v>0</v>
      </c>
      <c r="N63" s="57">
        <f t="shared" ref="N63:P63" si="6">SUM(N58:N62)</f>
        <v>0</v>
      </c>
      <c r="O63" s="57">
        <f t="shared" si="6"/>
        <v>0</v>
      </c>
      <c r="P63" s="57">
        <f t="shared" si="6"/>
        <v>0</v>
      </c>
    </row>
    <row r="64" spans="1:16" s="52" customFormat="1" ht="13.5" customHeight="1" x14ac:dyDescent="0.2">
      <c r="A64" s="60" t="s">
        <v>155</v>
      </c>
    </row>
    <row r="65" spans="1:16" ht="14.25" customHeight="1" x14ac:dyDescent="0.2">
      <c r="A65" s="1147"/>
      <c r="B65" s="1149" t="s">
        <v>9</v>
      </c>
      <c r="C65" s="1150"/>
      <c r="D65" s="1150"/>
      <c r="E65" s="1150"/>
      <c r="F65" s="1150"/>
      <c r="G65" s="1151"/>
      <c r="H65" s="1152" t="s">
        <v>119</v>
      </c>
      <c r="I65" s="1153"/>
      <c r="J65" s="1153"/>
      <c r="K65" s="1153"/>
      <c r="L65" s="1153"/>
      <c r="M65" s="1153"/>
      <c r="N65" s="1153"/>
      <c r="O65" s="33"/>
      <c r="P65" s="1154" t="s">
        <v>0</v>
      </c>
    </row>
    <row r="66" spans="1:16" ht="14.25" customHeight="1" x14ac:dyDescent="0.2">
      <c r="A66" s="1148"/>
      <c r="B66" s="1157" t="s">
        <v>117</v>
      </c>
      <c r="C66" s="144" t="s">
        <v>115</v>
      </c>
      <c r="D66" s="1159" t="s">
        <v>277</v>
      </c>
      <c r="E66" s="1161" t="s">
        <v>147</v>
      </c>
      <c r="F66" s="149" t="s">
        <v>7</v>
      </c>
      <c r="G66" s="1162" t="s">
        <v>6</v>
      </c>
      <c r="H66" s="1161" t="s">
        <v>129</v>
      </c>
      <c r="I66" s="1161" t="s">
        <v>5</v>
      </c>
      <c r="J66" s="1161" t="s">
        <v>4</v>
      </c>
      <c r="K66" s="1161" t="s">
        <v>3</v>
      </c>
      <c r="L66" s="1161" t="s">
        <v>121</v>
      </c>
      <c r="M66" s="1161" t="s">
        <v>122</v>
      </c>
      <c r="N66" s="1161" t="s">
        <v>123</v>
      </c>
      <c r="O66" s="1160" t="s">
        <v>114</v>
      </c>
      <c r="P66" s="1155"/>
    </row>
    <row r="67" spans="1:16" ht="14.25" customHeight="1" x14ac:dyDescent="0.2">
      <c r="A67" s="1148"/>
      <c r="B67" s="1157"/>
      <c r="C67" s="21" t="str">
        <f>IF(C63="","",C63)</f>
        <v/>
      </c>
      <c r="D67" s="1160"/>
      <c r="E67" s="1161"/>
      <c r="F67" s="1165" t="str">
        <f>IF(H58=0,"","siehe Zuschläge / Zulagen")</f>
        <v/>
      </c>
      <c r="G67" s="1162"/>
      <c r="H67" s="1164" t="s">
        <v>127</v>
      </c>
      <c r="I67" s="1164"/>
      <c r="J67" s="1164"/>
      <c r="K67" s="1164"/>
      <c r="L67" s="1164"/>
      <c r="M67" s="1164"/>
      <c r="N67" s="1164"/>
      <c r="O67" s="1160"/>
      <c r="P67" s="1155"/>
    </row>
    <row r="68" spans="1:16" x14ac:dyDescent="0.2">
      <c r="A68" s="1148"/>
      <c r="B68" s="1157"/>
      <c r="C68" s="142" t="s">
        <v>70</v>
      </c>
      <c r="D68" s="1160"/>
      <c r="E68" s="1161"/>
      <c r="F68" s="1165"/>
      <c r="G68" s="1162"/>
      <c r="H68" s="43" t="s">
        <v>128</v>
      </c>
      <c r="I68" s="43" t="s">
        <v>255</v>
      </c>
      <c r="J68" s="43" t="s">
        <v>256</v>
      </c>
      <c r="K68" s="43" t="s">
        <v>257</v>
      </c>
      <c r="L68" s="43"/>
      <c r="M68" s="43"/>
      <c r="N68" s="43" t="s">
        <v>254</v>
      </c>
      <c r="O68" s="1160"/>
      <c r="P68" s="1155"/>
    </row>
    <row r="69" spans="1:16" x14ac:dyDescent="0.2">
      <c r="A69" s="1148"/>
      <c r="B69" s="1158"/>
      <c r="C69" s="21" t="str">
        <f>IF(F63="","",F63)</f>
        <v/>
      </c>
      <c r="D69" s="51"/>
      <c r="E69" s="51"/>
      <c r="F69" s="1166"/>
      <c r="G69" s="1163"/>
      <c r="H69" s="93"/>
      <c r="I69" s="139">
        <f>$I$25</f>
        <v>0</v>
      </c>
      <c r="J69" s="139">
        <f>$J$25</f>
        <v>0</v>
      </c>
      <c r="K69" s="44">
        <f>$K$25</f>
        <v>0</v>
      </c>
      <c r="L69" s="21"/>
      <c r="M69" s="21"/>
      <c r="N69" s="139">
        <f>$N$25</f>
        <v>0</v>
      </c>
      <c r="O69" s="21">
        <f>O25</f>
        <v>0</v>
      </c>
      <c r="P69" s="1156"/>
    </row>
    <row r="70" spans="1:16" x14ac:dyDescent="0.2">
      <c r="A70" s="100" t="str">
        <f>$A$26</f>
        <v>Jan 2022</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76">
        <f>ROUND(IF((SUM(B70:F70))&gt;L85,L85*H69,SUM(B70:F70)*H69),2)</f>
        <v>0</v>
      </c>
      <c r="I70" s="76">
        <f>ROUND(IF((SUM(B70:F70))&gt;L86,L86*I69,SUM(B70:F70)*I69),2)</f>
        <v>0</v>
      </c>
      <c r="J70" s="76">
        <f>ROUND(IF((SUM(B70:F70))&gt;L86,L86*J69,SUM(B70:F70)*J69),2)</f>
        <v>0</v>
      </c>
      <c r="K70" s="76">
        <f>ROUND(IF((SUM(B70:F70))&gt;L85,L85*K69,SUM(B70:F70)*K69),2)</f>
        <v>0</v>
      </c>
      <c r="L70" s="76">
        <f>ROUND(IF((SUM(B70:F70))&gt;L86,L86*L69,(SUM(B70:F70)-C70)*L69),2)</f>
        <v>0</v>
      </c>
      <c r="M70" s="76">
        <f>ROUND(IF((SUM(B70:F70))&gt;L86,L86*M69,(SUM(B70:F70)-C70)*M69),2)</f>
        <v>0</v>
      </c>
      <c r="N70" s="76">
        <f>ROUND(IF((SUM(B70:F70))&gt;L86,L86*N69,SUM(B70:F70)*N69),2)</f>
        <v>0</v>
      </c>
      <c r="O70" s="23">
        <f>ROUND(SUM(B70+C70+F70)*O69,2)</f>
        <v>0</v>
      </c>
      <c r="P70" s="27">
        <f>SUM(G70:O70)</f>
        <v>0</v>
      </c>
    </row>
    <row r="71" spans="1:16" x14ac:dyDescent="0.2">
      <c r="A71" s="100" t="str">
        <f>$A$27</f>
        <v>Feb 2022</v>
      </c>
      <c r="B71" s="24">
        <f>ROUND(IF(N51=0,0,IFERROR(((LOOKUP(2,1/(A58:A61=A71),G58:G61))*N51*4.348),B70/N51*N51)),2)</f>
        <v>0</v>
      </c>
      <c r="C71" s="23">
        <f>ROUND(IFERROR(((LOOKUP(2,1/(B63=A71),((SUM(B76:B78)+SUM(F76:F78))/3)*C63))),0)+IFERROR(((LOOKUP(2,1/(E63=A71),(B82+F82)*F63))),0),2)</f>
        <v>0</v>
      </c>
      <c r="D71" s="23">
        <f>ROUND(IF(B71=0,0,D69/L51*N51),2)</f>
        <v>0</v>
      </c>
      <c r="E71" s="23">
        <f>ROUND(IF(B71=0,0,E69/N47*N51),2)</f>
        <v>0</v>
      </c>
      <c r="F71" s="24">
        <f>ROUND(IF(N51=0,0,IFERROR(((LOOKUP(2,1/(A58:A61=A71),H58:H61))/N47*N51),F70/N51*N51)),2)</f>
        <v>0</v>
      </c>
      <c r="G71" s="27">
        <f t="shared" ref="G71:G81" si="7">SUM(B71+C71+E71+F71)</f>
        <v>0</v>
      </c>
      <c r="H71" s="76">
        <f>ROUND(IF(SUM(B70:F70)&lt;(L85*1),IF((SUM(B70:F71))&gt;(L85*2),(((L85*2)-(SUM(B70:F71)-C70))*H69)+((SUM(B71:F71)-C70)*H69),SUM(B71:F71)*H69),IF(SUM(B70:F71)&gt;(L85*2),L85*H69,SUM(B71:F71)*H69)),2)</f>
        <v>0</v>
      </c>
      <c r="I71" s="76">
        <f>ROUND(IF(SUM(B70:F70)&lt;(L86*1),IF((SUM(B70:F71))&gt;(L86*2),(((L86*2)-(SUM(B70:F71)-C70))*I69)+((SUM(B71:F71)-C70)*I69),SUM(B71:F71)*I69),IF(SUM(B70:F71)&gt;(L86*2),L86*I69,SUM(B71:F71)*I69)),2)</f>
        <v>0</v>
      </c>
      <c r="J71" s="76">
        <f>ROUND(IF(SUM(B70:F70)&lt;(L86*1),IF((SUM(B70:F71))&gt;(L86*2),(((L86*2)-(SUM(B70:F71)-C70))*J69)+((SUM(B71:F71)-C70)*J69),SUM(B71:F71)*J69),IF(SUM(B70:F71)&gt;(L86*2),L86*J69,SUM(B71:F71)*J69)),2)</f>
        <v>0</v>
      </c>
      <c r="K71" s="76">
        <f>ROUND(IF(SUM(B70:F70)&lt;(L85*1),IF((SUM(B70:F71))&gt;(L85*2),(((L85*2)-(SUM(B70:F71)-C70))*K69)+((SUM(B71:F71)-C70)*K69),SUM(B71:F71)*K69),IF(SUM(B70:F71)&gt;(L85*2),L85*K69,SUM(B71:F71)*K69)),2)</f>
        <v>0</v>
      </c>
      <c r="L71" s="76">
        <f>ROUND(IF(SUM(B70:F70)&lt;(L86*1),IF((SUM(B70:F71))&gt;(L86*2),(((L86*2)-(SUM(B70:F71)-C71))*L69)+((SUM(B71:F71)-C71)*L69),(SUM(B71:F71)-C71)*L69),IF(SUM(B70:F71)&gt;(L86*2),L86*L69,SUM(B71:F71)*L69)),2)</f>
        <v>0</v>
      </c>
      <c r="M71" s="76">
        <f>ROUND(IF(SUM(B70:F70)&lt;(L86*1),IF((SUM(B70:F71))&gt;(L86*2),(((L86*2)-(SUM(B70:F71)-C71))*M69)+((SUM(B71:F71)-C71)*M69),(SUM(B71:F71)-C71)*M69),IF(SUM(B70:F71)&gt;(L86*2),L86*M69,SUM(B71:F71)*M69)),2)</f>
        <v>0</v>
      </c>
      <c r="N71" s="76">
        <f>ROUND(IF(SUM(B70:F70)&lt;(L86*1),IF((SUM(B70:F71))&gt;(L86*2),(((L86*2)-(SUM(B70:F71)-C70))*N69)+((SUM(B71:F71)-C70)*N69),SUM(B71:F71)*N69),IF(SUM(B70:F71)&gt;(L86*2),L86*N69,SUM(B71:F71)*N69)),2)</f>
        <v>0</v>
      </c>
      <c r="O71" s="23">
        <f>ROUND(SUM(B71+C71+F71)*O69,2)</f>
        <v>0</v>
      </c>
      <c r="P71" s="27">
        <f>SUM(G71:O71)</f>
        <v>0</v>
      </c>
    </row>
    <row r="72" spans="1:16" x14ac:dyDescent="0.2">
      <c r="A72" s="100" t="str">
        <f>$A$28</f>
        <v>Mrz 2022</v>
      </c>
      <c r="B72" s="24">
        <f>ROUND(IF(N52=0,0,IFERROR(((LOOKUP(2,1/(A58:A61=A72),G58:G61))*N52*4.348),B71/N52*N52)),2)</f>
        <v>0</v>
      </c>
      <c r="C72" s="23">
        <f>ROUND(IFERROR(((LOOKUP(2,1/(B63=A72),((SUM(B76:B78)+SUM(F76:F78))/3)*C63))),0)+IFERROR(((LOOKUP(2,1/(E63=A72),(B82+F82)*F63))),0),2)</f>
        <v>0</v>
      </c>
      <c r="D72" s="23">
        <f>ROUND(IF(B72=0,0,D69/L51*N52),2)</f>
        <v>0</v>
      </c>
      <c r="E72" s="23">
        <f>ROUND(IF(B72=0,0,E69/N47*N52),2)</f>
        <v>0</v>
      </c>
      <c r="F72" s="24">
        <f>ROUND(IF(N52=0,0,IFERROR(((LOOKUP(2,1/(A58:A61=A72),H58:H61))/N47*N52),F71/N52*N52)),2)</f>
        <v>0</v>
      </c>
      <c r="G72" s="27">
        <f t="shared" si="7"/>
        <v>0</v>
      </c>
      <c r="H72" s="76">
        <f>ROUND(IF(SUM(B70:F71)&lt;(L85*2),IF((SUM(B70:F72))&gt;(L85*3),(((L85*3)-(SUM(B70:F72)-C71))*H69)+((SUM(B72:F72)-C71)*H69),SUM(B72:F72)*H69),IF(SUM(B70:F72)&gt;(L85*3),L85*H69,SUM(B72:F72)*H69)),2)</f>
        <v>0</v>
      </c>
      <c r="I72" s="76">
        <f>ROUND(IF(SUM(B70:F71)&lt;(L86*2),IF((SUM(B70:F72))&gt;(L86*3),(((L86*3)-(SUM(B70:F72)-C71))*I69)+((SUM(B72:F72)-C71)*I69),SUM(B72:F72)*I69),IF(SUM(B70:F72)&gt;(L86*3),L86*I69,SUM(B72:F72)*I69)),2)</f>
        <v>0</v>
      </c>
      <c r="J72" s="76">
        <f>ROUND(IF(SUM(B70:F71)&lt;(L86*2),IF((SUM(B70:F72))&gt;(L86*3),(((L86*3)-(SUM(B70:F72)-C71))*J69)+((SUM(B72:F72)-C71)*J69),SUM(B72:F72)*J69),IF(SUM(B70:F72)&gt;(L86*3),L86*J69,SUM(B72:F72)*J69)),2)</f>
        <v>0</v>
      </c>
      <c r="K72" s="76">
        <f>ROUND(IF(SUM(B70:F71)&lt;(L85*2),IF((SUM(B70:F72))&gt;(L85*3),(((L85*3)-(SUM(B70:F72)-C71))*K69)+((SUM(B72:F72)-C71)*K69),SUM(B72:F72)*K69),IF(SUM(B70:F72)&gt;(L85*3),L85*K69,SUM(B72:F72)*K69)),2)</f>
        <v>0</v>
      </c>
      <c r="L72" s="76">
        <f>ROUND(IF(SUM(B70:F71)&lt;(L86*2),IF((SUM(B70:F72))&gt;(L86*3),(((L86*3)-(SUM(B70:F72)-C72))*L69)+((SUM(B72:F72)-C72)*L69),(SUM(B72:F72)-C72)*L69),IF(SUM(B70:F72)&gt;(L86*3),L86*L69,SUM(B72:F72)*L69)),2)</f>
        <v>0</v>
      </c>
      <c r="M72" s="76">
        <f>ROUND(IF(SUM(B70:F71)&lt;(L86*2),IF((SUM(B70:F72))&gt;(L86*3),(((L86*3)-(SUM(B70:F72)-C72))*M69)+((SUM(B72:F72)-C72)*M69),(SUM(B72:F72)-C72)*M69),IF(SUM(B70:F72)&gt;(L86*3),L86*M69,SUM(B72:F72)*M69)),2)</f>
        <v>0</v>
      </c>
      <c r="N72" s="76">
        <f>ROUND(IF(SUM(B70:F71)&lt;(L86*2),IF((SUM(B70:F72))&gt;(L86*3),(((L86*3)-(SUM(B70:F72)-C71))*N69)+((SUM(B72:F72)-C71)*N69),SUM(B72:F72)*N69),IF(SUM(B70:F72)&gt;(L86*3),L86*N69,SUM(B72:F72)*N69)),2)</f>
        <v>0</v>
      </c>
      <c r="O72" s="23">
        <f>ROUND(SUM(B72+C72+F72)*O69,2)</f>
        <v>0</v>
      </c>
      <c r="P72" s="27">
        <f t="shared" ref="P72:P81" si="8">SUM(G72:O72)</f>
        <v>0</v>
      </c>
    </row>
    <row r="73" spans="1:16" x14ac:dyDescent="0.2">
      <c r="A73" s="100" t="str">
        <f>$A$29</f>
        <v>Apr 2022</v>
      </c>
      <c r="B73" s="24">
        <f>ROUND(IF(N53=0,0,IFERROR(((LOOKUP(2,1/(A58:A61=A73),G58:G61))*N53*4.348),B72/N53*N53)),2)</f>
        <v>0</v>
      </c>
      <c r="C73" s="23">
        <f>ROUND(IFERROR(((LOOKUP(2,1/(B63=A73),((SUM(B76:B78)+SUM(F76:F78))/3)*C63))),0)+IFERROR(((LOOKUP(2,1/(E63=A73),(B82+F82)*F63))),0),2)</f>
        <v>0</v>
      </c>
      <c r="D73" s="23">
        <f>ROUND(IF(B73=0,0,D69/L51*N53),2)</f>
        <v>0</v>
      </c>
      <c r="E73" s="23">
        <f>ROUND(IF(B73=0,0,E69/N47*N53),2)</f>
        <v>0</v>
      </c>
      <c r="F73" s="24">
        <f>ROUND(IF(N53=0,0,IFERROR(((LOOKUP(2,1/(A58:A61=A73),H58:H61))/N47*N53),F72/N53*N53)),2)</f>
        <v>0</v>
      </c>
      <c r="G73" s="27">
        <f t="shared" si="7"/>
        <v>0</v>
      </c>
      <c r="H73" s="76">
        <f>ROUND(IF(SUM(B70:F72)&lt;(L85*3),IF((SUM(B70:F73))&gt;(L85*4),(((L85*4)-(SUM(B70:F73)-C72))*H69)+((SUM(B73:F73)-C72)*H69),SUM(B73:F73)*H69),IF(SUM(B70:F73)&gt;(L85*4),L85*H69,SUM(B73:F73)*H69)),2)</f>
        <v>0</v>
      </c>
      <c r="I73" s="76">
        <f>ROUND(IF(SUM(B70:F72)&lt;(L86*3),IF((SUM(B70:F73))&gt;(L86*4),(((L86*4)-(SUM(B70:F73)-C72))*I69)+((SUM(B73:F73)-C72)*I69),SUM(B73:F73)*I69),IF(SUM(B70:F73)&gt;(L86*4),L86*I69,SUM(B73:F73)*I69)),2)</f>
        <v>0</v>
      </c>
      <c r="J73" s="76">
        <f>ROUND(IF(SUM(B70:F72)&lt;(L86*3),IF((SUM(B70:F73))&gt;(L86*4),(((L86*4)-(SUM(B70:F73)-C72))*J69)+((SUM(B73:F73)-C72)*J69),SUM(B73:F73)*J69),IF(SUM(B70:F73)&gt;(L86*4),L86*J69,SUM(B73:F73)*J69)),2)</f>
        <v>0</v>
      </c>
      <c r="K73" s="76">
        <f>ROUND(IF(SUM(B70:F72)&lt;(L85*3),IF((SUM(B70:F73))&gt;(L85*4),(((L85*4)-(SUM(B70:F73)-C72))*K69)+((SUM(B73:F73)-C72)*K69),SUM(B73:F73)*K69),IF(SUM(B70:F73)&gt;(L85*4),L85*K69,SUM(B73:F73)*K69)),2)</f>
        <v>0</v>
      </c>
      <c r="L73" s="76">
        <f>ROUND(IF(SUM(B70:F72)&lt;(L86*3),IF((SUM(B70:F73))&gt;(L86*4),(((L86*4)-(SUM(B70:F73)-C73))*L69)+((SUM(B73:F73)-C73)*L69),(SUM(B73:F73)-C73)*L69),IF(SUM(B70:F73)&gt;(L86*4),L86*L69,SUM(B73:F73)*L69)),2)</f>
        <v>0</v>
      </c>
      <c r="M73" s="76">
        <f>ROUND(IF(SUM(B70:F72)&lt;(L86*3),IF((SUM(B70:F73))&gt;(L86*4),(((L86*4)-(SUM(B70:F73)-C73))*M69)+((SUM(B73:F73)-C73)*M69),(SUM(B73:F73)-C73)*M69),IF(SUM(B70:F73)&gt;(L86*4),L86*M69,SUM(B73:F73)*M69)),2)</f>
        <v>0</v>
      </c>
      <c r="N73" s="76">
        <f>ROUND(IF(SUM(B70:F72)&lt;(L86*3),IF((SUM(B70:F73))&gt;(L86*4),(((L86*4)-(SUM(B70:F73)-C72))*N69)+((SUM(B73:F73)-C72)*N69),SUM(B73:F73)*N69),IF(SUM(B70:F73)&gt;(L86*4),L86*N69,SUM(B73:F73)*N69)),2)</f>
        <v>0</v>
      </c>
      <c r="O73" s="23">
        <f>ROUND(SUM(B73+C73+F73)*O69,2)</f>
        <v>0</v>
      </c>
      <c r="P73" s="27">
        <f t="shared" si="8"/>
        <v>0</v>
      </c>
    </row>
    <row r="74" spans="1:16" x14ac:dyDescent="0.2">
      <c r="A74" s="100" t="str">
        <f>$A$30</f>
        <v>Mai 2022</v>
      </c>
      <c r="B74" s="24">
        <f>ROUND(IF(N54=0,0,IFERROR(((LOOKUP(2,1/(A58:A61=A74),G58:G61))*N54*4.348),B73/N54*N54)),2)</f>
        <v>0</v>
      </c>
      <c r="C74" s="23">
        <f>ROUND(IFERROR(((LOOKUP(2,1/(B63=A74),((SUM(B76:B78)+SUM(F76:F78))/3)*C63))),0)+IFERROR(((LOOKUP(2,1/(E63=A74),(B82+F82)*F63))),0),2)</f>
        <v>0</v>
      </c>
      <c r="D74" s="23">
        <f>ROUND(IF(B74=0,0,D69/L51*N54),2)</f>
        <v>0</v>
      </c>
      <c r="E74" s="23">
        <f>ROUND(IF(B74=0,0,E69/N47*N54),2)</f>
        <v>0</v>
      </c>
      <c r="F74" s="24">
        <f>ROUND(IF(N54=0,0,IFERROR(((LOOKUP(2,1/(A58:A61=A74),H58:H61))/N47*N54),F73/N54*N54)),2)</f>
        <v>0</v>
      </c>
      <c r="G74" s="27">
        <f t="shared" si="7"/>
        <v>0</v>
      </c>
      <c r="H74" s="76">
        <f>ROUND(IF(SUM(B70:F73)&lt;(L85*4),IF((SUM(B70:F74))&gt;(L85*5),(((L85*5)-(SUM(B70:F74)-C73))*H69)+((SUM(B74:F74)-C73)*H69),SUM(B74:F74)*H69),IF(SUM(B70:F74)&gt;(L85*5),L85*H69,SUM(B74:F74)*H69)),2)</f>
        <v>0</v>
      </c>
      <c r="I74" s="76">
        <f>ROUND(IF(SUM(B70:F73)&lt;(L86*4),IF((SUM(B70:F74))&gt;(L86*5),(((L86*5)-(SUM(B70:F74)-C73))*I69)+((SUM(B74:F74)-C73)*I69),SUM(B74:F74)*I69),IF(SUM(B70:F74)&gt;(L86*5),L86*I69,SUM(B74:F74)*I69)),2)</f>
        <v>0</v>
      </c>
      <c r="J74" s="76">
        <f>ROUND(IF(SUM(B70:F73)&lt;(L86*4),IF((SUM(B70:F74))&gt;(L86*5),(((L86*5)-(SUM(B70:F74)-C73))*J69)+((SUM(B74:F74)-C73)*J69),SUM(B74:F74)*J69),IF(SUM(B70:F74)&gt;(L86*5),L86*J69,SUM(B74:F74)*J69)),2)</f>
        <v>0</v>
      </c>
      <c r="K74" s="76">
        <f>ROUND(IF(SUM(B70:F73)&lt;(L85*4),IF((SUM(B70:F74))&gt;(L85*5),(((L85*5)-(SUM(B70:F74)-C73))*K69)+((SUM(B74:F74)-C73)*K69),SUM(B74:F74)*K69),IF(SUM(B70:F74)&gt;(L85*5),L85*K69,SUM(B74:F74)*K69)),2)</f>
        <v>0</v>
      </c>
      <c r="L74" s="76">
        <f>ROUND(IF(SUM(B70:F73)&lt;(L86*4),IF((SUM(B70:F74))&gt;(L86*5),(((L86*5)-(SUM(B70:F74)-C74))*L69)+((SUM(B74:F74)-C74)*L69),(SUM(B74:F74)-C74)*L69),IF(SUM(B70:F74)&gt;(L86*5),L86*L69,SUM(B74:F74)*L69)),2)</f>
        <v>0</v>
      </c>
      <c r="M74" s="76">
        <f>ROUND(IF(SUM(B70:F73)&lt;(L86*4),IF((SUM(B70:F74))&gt;(L86*5),(((L86*5)-(SUM(B70:F74)-C74))*M69)+((SUM(B74:F74)-C74)*M69),(SUM(B74:F74)-C74)*M69),IF(SUM(B70:F74)&gt;(L86*5),L86*M69,SUM(B74:F74)*M69)),2)</f>
        <v>0</v>
      </c>
      <c r="N74" s="76">
        <f>ROUND(IF(SUM(B70:F73)&lt;(L86*4),IF((SUM(B70:F74))&gt;(L86*5),(((L86*5)-(SUM(B70:F74)-C73))*N69)+((SUM(B74:F74)-C73)*N69),SUM(B74:F74)*N69),IF(SUM(B70:F74)&gt;(L86*5),L86*N69,SUM(B74:F74)*N69)),2)</f>
        <v>0</v>
      </c>
      <c r="O74" s="23">
        <f>ROUND(SUM(B74+C74+F74)*O69,2)</f>
        <v>0</v>
      </c>
      <c r="P74" s="27">
        <f t="shared" si="8"/>
        <v>0</v>
      </c>
    </row>
    <row r="75" spans="1:16" x14ac:dyDescent="0.2">
      <c r="A75" s="100" t="str">
        <f>$A$31</f>
        <v>Jun 2022</v>
      </c>
      <c r="B75" s="24">
        <f>ROUND(IF(N55=0,0,IFERROR(((LOOKUP(2,1/(A58:A61=A75),G58:G61))*N55*4.348),B74/N55*N55)),2)</f>
        <v>0</v>
      </c>
      <c r="C75" s="23">
        <f>ROUND(IFERROR(((LOOKUP(2,1/(B63=A75),((SUM(B76:B78)+SUM(F76:F78))/3)*C63))),0)+IFERROR(((LOOKUP(2,1/(E63=A75),(B82+F82)*F63))),0),2)</f>
        <v>0</v>
      </c>
      <c r="D75" s="23">
        <f>ROUND(IF(B75=0,0,D69/L51*N55),2)</f>
        <v>0</v>
      </c>
      <c r="E75" s="23">
        <f>ROUND(IF(B75=0,0,E69/N47*N55),2)</f>
        <v>0</v>
      </c>
      <c r="F75" s="24">
        <f>ROUND(IF(N55=0,0,IFERROR(((LOOKUP(2,1/(A58:A61=A75),H58:H61))/N47*N55),F74/N55*N55)),2)</f>
        <v>0</v>
      </c>
      <c r="G75" s="27">
        <f t="shared" si="7"/>
        <v>0</v>
      </c>
      <c r="H75" s="76">
        <f>ROUND(IF(SUM(B70:F74)&lt;(L85*5),IF((SUM(B70:F75))&gt;(L85*6),(((L85*6)-(SUM(B70:F75)-C74))*H69)+((SUM(B75:F75)-C74)*H69),SUM(B75:F75)*H69),IF(SUM(B70:F75)&gt;(L85*6),L85*H69,SUM(B75:F75)*H69)),2)</f>
        <v>0</v>
      </c>
      <c r="I75" s="76">
        <f>ROUND(IF(SUM(B70:F74)&lt;(L86*5),IF((SUM(B70:F75))&gt;(L86*6),(((L86*6)-(SUM(B70:F75)-C74))*I69)+((SUM(B75:F75)-C74)*I69),SUM(B75:F75)*I69),IF(SUM(B70:F75)&gt;(L86*6),L86*I69,SUM(B75:F75)*I69)),2)</f>
        <v>0</v>
      </c>
      <c r="J75" s="76">
        <f>ROUND(IF(SUM(B70:F74)&lt;(L86*5),IF((SUM(B70:F75))&gt;(L86*6),(((L86*6)-(SUM(B70:F75)-C74))*J69)+((SUM(B75:F75)-C74)*J69),SUM(B75:F75)*J69),IF(SUM(B70:F75)&gt;(L86*6),L86*J69,SUM(B75:F75)*J69)),2)</f>
        <v>0</v>
      </c>
      <c r="K75" s="76">
        <f>ROUND(IF(SUM(B70:F74)&lt;(L85*5),IF((SUM(B70:F75))&gt;(L85*6),(((L85*6)-(SUM(B70:F75)-C74))*K69)+((SUM(B75:F75)-C74)*K69),SUM(B75:F75)*K69),IF(SUM(B70:F75)&gt;(L85*6),L85*K69,SUM(B75:F75)*K69)),2)</f>
        <v>0</v>
      </c>
      <c r="L75" s="76">
        <f>ROUND(IF(SUM(B70:F74)&lt;(L86*5),IF((SUM(B70:F75))&gt;(L86*6),(((L86*6)-(SUM(B70:F75)-C75))*L69)+((SUM(B75:F75)-C75)*L69),(SUM(B75:F75)-C75)*L69),IF(SUM(B70:F75)&gt;(L86*6),L86*L69,SUM(B75:F75)*L69)),2)</f>
        <v>0</v>
      </c>
      <c r="M75" s="76">
        <f>ROUND(IF(SUM(B70:F74)&lt;(L86*5),IF((SUM(B70:F75))&gt;(L86*6),(((L86*6)-(SUM(B70:F75)-C75))*M69)+((SUM(B75:F75)-C75)*M69),(SUM(B75:F75)-C75)*M69),IF(SUM(B70:F75)&gt;(L86*6),L86*M69,SUM(B75:F75)*M69)),2)</f>
        <v>0</v>
      </c>
      <c r="N75" s="76">
        <f>ROUND(IF(SUM(B70:F74)&lt;(L86*5),IF((SUM(B70:F75))&gt;(L86*6),(((L86*6)-(SUM(B70:F75)-C74))*N69)+((SUM(B75:F75)-C74)*N69),SUM(B75:F75)*N69),IF(SUM(B70:F75)&gt;(L86*6),L86*N69,SUM(B75:F75)*N69)),2)</f>
        <v>0</v>
      </c>
      <c r="O75" s="23">
        <f>ROUND(SUM(B75+C75+F75)*O69,2)</f>
        <v>0</v>
      </c>
      <c r="P75" s="27">
        <f t="shared" si="8"/>
        <v>0</v>
      </c>
    </row>
    <row r="76" spans="1:16" x14ac:dyDescent="0.2">
      <c r="A76" s="100" t="str">
        <f>$A$32</f>
        <v>Jul 2022</v>
      </c>
      <c r="B76" s="24">
        <f>ROUND(IF(P50=0,0,IFERROR(((LOOKUP(2,1/(A58:A61=A76),G58:G61))*P50*4.348),B75/P50*P50)),2)</f>
        <v>0</v>
      </c>
      <c r="C76" s="23">
        <f>ROUND(IFERROR(((LOOKUP(2,1/(B63=A76),((SUM(B76:B78)+SUM(F76:F78))/3)*C63))),0)+IFERROR(((LOOKUP(2,1/(E63=A76),(B82+F82)*F63))),0),2)</f>
        <v>0</v>
      </c>
      <c r="D76" s="23">
        <f>ROUND(IF(B76=0,0,D69/L51*P50),2)</f>
        <v>0</v>
      </c>
      <c r="E76" s="23">
        <f>ROUND(IF(B76=0,0,E69/N47*P50),2)</f>
        <v>0</v>
      </c>
      <c r="F76" s="24">
        <f>ROUND(IF(P50=0,0,IFERROR(((LOOKUP(2,1/(A58:A61=A76),H58:H61))/N47*P50),F75/P50*P50)),2)</f>
        <v>0</v>
      </c>
      <c r="G76" s="27">
        <f t="shared" si="7"/>
        <v>0</v>
      </c>
      <c r="H76" s="76">
        <f>ROUND(IF(SUM(B70:F75)&lt;(L85*6),IF((SUM(B70:F76))&gt;(L85*7),(((L85*7)-(SUM(B70:F76)-C75))*H69)+((SUM(B76:F76)-C75)*H69),SUM(B76:F76)*H69),IF(SUM(B70:F76)&gt;(L85*7),L85*H69,SUM(B76:F76)*H69)),2)</f>
        <v>0</v>
      </c>
      <c r="I76" s="76">
        <f>ROUND(IF(SUM(B70:F75)&lt;(L86*6),IF((SUM(B70:F76))&gt;(L86*7),(((L86*7)-(SUM(B70:F76)-C75))*I69)+((SUM(B76:F76)-C75)*I69),SUM(B76:F76)*I69),IF(SUM(B70:F76)&gt;(L86*7),L86*I69,SUM(B76:F76)*I69)),2)</f>
        <v>0</v>
      </c>
      <c r="J76" s="76">
        <f>ROUND(IF(SUM(B70:F75)&lt;(L86*6),IF((SUM(B70:F76))&gt;(L86*7),(((L86*7)-(SUM(B70:F76)-C75))*J69)+((SUM(B76:F76)-C75)*J69),SUM(B76:F76)*J69),IF(SUM(B70:F76)&gt;(L86*7),L86*J69,SUM(B76:F76)*J69)),2)</f>
        <v>0</v>
      </c>
      <c r="K76" s="76">
        <f>ROUND(IF(SUM(B70:F75)&lt;(L85*6),IF((SUM(B70:F76))&gt;(L85*7),(((L85*7)-(SUM(B70:F76)-C75))*K69)+((SUM(B76:F76)-C75)*K69),SUM(B76:F76)*K69),IF(SUM(B70:F76)&gt;(L85*7),L85*K69,SUM(B76:F76)*K69)),2)</f>
        <v>0</v>
      </c>
      <c r="L76" s="76">
        <f>ROUND(IF(SUM(B70:F75)&lt;(L86*6),IF((SUM(B70:F76))&gt;(L86*7),(((L86*7)-(SUM(B70:F76)-C76))*L69)+((SUM(B76:F76)-C76)*L69),(SUM(B76:F76)-C76)*L69),IF(SUM(B70:F76)&gt;(L86*7),L86*L69,SUM(B76:F76)*L69)),2)</f>
        <v>0</v>
      </c>
      <c r="M76" s="76">
        <f>ROUND(IF(SUM(B70:F75)&lt;(L86*6),IF((SUM(B70:F76))&gt;(L86*7),(((L86*7)-(SUM(B70:F76)-C76))*M69)+((SUM(B76:F76)-C76)*M69),(SUM(B76:F76)-C76)*M69),IF(SUM(B70:F76)&gt;(L86*7),L86*M69,SUM(B76:F76)*M69)),2)</f>
        <v>0</v>
      </c>
      <c r="N76" s="76">
        <f>ROUND(IF(SUM(B70:F75)&lt;(L86*6),IF((SUM(B70:F76))&gt;(L86*7),(((L86*7)-(SUM(B70:F76)-C75))*N69)+((SUM(B76:F76)-C75)*N69),SUM(B76:F76)*N69),IF(SUM(B70:F76)&gt;(L86*7),L86*N69,SUM(B76:F76)*N69)),2)</f>
        <v>0</v>
      </c>
      <c r="O76" s="23">
        <f>ROUND(SUM(B76+C76+F76)*O69,2)</f>
        <v>0</v>
      </c>
      <c r="P76" s="27">
        <f t="shared" si="8"/>
        <v>0</v>
      </c>
    </row>
    <row r="77" spans="1:16" x14ac:dyDescent="0.2">
      <c r="A77" s="100" t="str">
        <f>$A$33</f>
        <v>Aug 2022</v>
      </c>
      <c r="B77" s="24">
        <f>ROUND(IF(P51=0,0,IFERROR(((LOOKUP(2,1/(A58:A61=A77),G58:G61))*P51*4.348),B76/P51*P51)),2)</f>
        <v>0</v>
      </c>
      <c r="C77" s="23">
        <f>ROUND(IFERROR(((LOOKUP(2,1/(B63=A77),((SUM(B76:B78)+SUM(F76:F78))/3)*C63))),0)+IFERROR(((LOOKUP(2,1/(E63=A77),(B82+F82)*F63))),0),2)</f>
        <v>0</v>
      </c>
      <c r="D77" s="23">
        <f>ROUND(IF(B77=0,0,D69/L51*P51),2)</f>
        <v>0</v>
      </c>
      <c r="E77" s="23">
        <f>ROUND(IF(B77=0,0,E69/N47*P51),2)</f>
        <v>0</v>
      </c>
      <c r="F77" s="24">
        <f>ROUND(IF(P51=0,0,IFERROR(((LOOKUP(2,1/(A58:A61=A77),H58:H61))/N47*P51),F76/P51*P51)),2)</f>
        <v>0</v>
      </c>
      <c r="G77" s="27">
        <f t="shared" si="7"/>
        <v>0</v>
      </c>
      <c r="H77" s="76">
        <f>ROUND(IF(SUM(B70:F76)&lt;(L85*7),IF((SUM(B70:F77))&gt;(L85*8),(((L85*8)-(SUM(B70:F77)-C76))*H69)+((SUM(B77:F77)-C76)*H69),SUM(B77:F77)*H69),IF(SUM(B70:F77)&gt;(L85*8),L85*H69,SUM(B77:F77)*H69)),2)</f>
        <v>0</v>
      </c>
      <c r="I77" s="76">
        <f>ROUND(IF(SUM(B70:F76)&lt;(L86*7),IF((SUM(B70:F77))&gt;(L86*8),(((L86*8)-(SUM(B70:F77)-C76))*I69)+((SUM(B77:F77)-C76)*I69),SUM(B77:F77)*I69),IF(SUM(B70:F77)&gt;(L86*8),L86*I69,SUM(B77:F77)*I69)),2)</f>
        <v>0</v>
      </c>
      <c r="J77" s="76">
        <f>ROUND(IF(SUM(B70:F76)&lt;(L86*7),IF((SUM(B70:F77))&gt;(L86*8),(((L86*8)-(SUM(B70:F77)-C76))*J69)+((SUM(B77:F77)-C76)*J69),SUM(B77:F77)*J69),IF(SUM(B70:F77)&gt;(L86*8),L86*J69,SUM(B77:F77)*J69)),2)</f>
        <v>0</v>
      </c>
      <c r="K77" s="76">
        <f>ROUND(IF(SUM(B70:F76)&lt;(L85*7),IF((SUM(B70:F77))&gt;(L85*8),(((L85*8)-(SUM(B70:F77)-C76))*K69)+((SUM(B77:F77)-C76)*K69),SUM(B77:F77)*K69),IF(SUM(B70:F77)&gt;(L85*8),L85*K69,SUM(B77:F77)*K69)),2)</f>
        <v>0</v>
      </c>
      <c r="L77" s="76">
        <f>ROUND(IF(SUM(B70:F76)&lt;(L86*7),IF((SUM(B70:F77))&gt;(L86*8),(((L86*8)-(SUM(B70:F77)-C77))*L69)+((SUM(B77:F77)-C77)*L69),(SUM(B77:F77)-C77)*L69),IF(SUM(B70:F77)&gt;(L86*8),L86*L69,SUM(B77:F77)*L69)),2)</f>
        <v>0</v>
      </c>
      <c r="M77" s="76">
        <f>ROUND(IF(SUM(B70:F76)&lt;(L86*7),IF((SUM(B70:F77))&gt;(L86*8),(((L86*8)-(SUM(B70:F77)-C77))*M69)+((SUM(B77:F77)-C77)*M69),(SUM(B77:F77)-C77)*M69),IF(SUM(B70:F77)&gt;(L86*8),L86*M69,SUM(B77:F77)*M69)),2)</f>
        <v>0</v>
      </c>
      <c r="N77" s="76">
        <f>ROUND(IF(SUM(B70:F76)&lt;(L86*7),IF((SUM(B70:F77))&gt;(L86*8),(((L86*8)-(SUM(B70:F77)-C76))*N69)+((SUM(B77:F77)-C76)*N69),SUM(B77:F77)*N69),IF(SUM(B70:F77)&gt;(L86*8),L86*N69,SUM(B77:F77)*N69)),2)</f>
        <v>0</v>
      </c>
      <c r="O77" s="23">
        <f>ROUND(SUM(B77+C77+F77)*O69,2)</f>
        <v>0</v>
      </c>
      <c r="P77" s="27">
        <f t="shared" si="8"/>
        <v>0</v>
      </c>
    </row>
    <row r="78" spans="1:16" x14ac:dyDescent="0.2">
      <c r="A78" s="100" t="str">
        <f>$A$34</f>
        <v>Sep 2022</v>
      </c>
      <c r="B78" s="24">
        <f>ROUND(IF(P52=0,0,IFERROR(((LOOKUP(2,1/(A58:A61=A78),G58:G61))*P52*4.348),B77/P52*P52)),2)</f>
        <v>0</v>
      </c>
      <c r="C78" s="23">
        <f>ROUND(IFERROR(((LOOKUP(2,1/(B63=A78),((SUM(B76:B78)+SUM(F76:F78))/3)*C63))),0)+IFERROR(((LOOKUP(2,1/(E63=A78),(B82+F82)*F63))),0),2)</f>
        <v>0</v>
      </c>
      <c r="D78" s="23">
        <f>ROUND(IF(B78=0,0,D69/L51*P52),2)</f>
        <v>0</v>
      </c>
      <c r="E78" s="23">
        <f>ROUND(IF(B78=0,0,E69/N47*P52),2)</f>
        <v>0</v>
      </c>
      <c r="F78" s="24">
        <f>ROUND(IF(P52=0,0,IFERROR(((LOOKUP(2,1/(A58:A61=A78),H58:H61))/N47*P52),F77/P52*P52)),2)</f>
        <v>0</v>
      </c>
      <c r="G78" s="27">
        <f t="shared" si="7"/>
        <v>0</v>
      </c>
      <c r="H78" s="76">
        <f>ROUND(IF(SUM(B70:F77)&lt;(L85*8),IF((SUM(B70:F78))&gt;(L85*9),(((L85*9)-(SUM(B70:F78)-C77))*H69)+((SUM(B78:F78)-C77)*H69),SUM(B78:F78)*H69),IF(SUM(B70:F78)&gt;(L85*9),L85*H69,SUM(B78:F78)*H69)),2)</f>
        <v>0</v>
      </c>
      <c r="I78" s="76">
        <f>ROUND(IF(SUM(B70:F77)&lt;(L86*8),IF((SUM(B70:F78))&gt;(L86*9),(((L86*9)-(SUM(B70:F78)-C77))*I69)+((SUM(B78:F78)-C77)*I69),SUM(B78:F78)*I69),IF(SUM(B70:F78)&gt;(L86*9),L86*I69,SUM(B78:F78)*I69)),2)</f>
        <v>0</v>
      </c>
      <c r="J78" s="76">
        <f>ROUND(IF(SUM(B70:F77)&lt;(L86*8),IF((SUM(B70:F78))&gt;(L86*9),(((L86*9)-(SUM(B70:F78)-C77))*J69)+((SUM(B78:F78)-C77)*J69),SUM(B78:F78)*J69),IF(SUM(B70:F78)&gt;(L86*9),L86*J69,SUM(B78:F78)*J69)),2)</f>
        <v>0</v>
      </c>
      <c r="K78" s="76">
        <f>ROUND(IF(SUM(B70:F77)&lt;(L85*8),IF((SUM(B70:F78))&gt;(L85*9),(((L85*9)-(SUM(B70:F78)-C77))*K69)+((SUM(B78:F78)-C77)*K69),SUM(B78:F78)*K69),IF(SUM(B70:F78)&gt;(L85*9),L85*K69,SUM(B78:F78)*K69)),2)</f>
        <v>0</v>
      </c>
      <c r="L78" s="76">
        <f>ROUND(IF(SUM(B70:F77)&lt;(L86*8),IF((SUM(B70:F78))&gt;(L86*9),(((L86*9)-(SUM(B70:F78)-C78))*L69)+((SUM(B78:F78)-C78)*L69),(SUM(B78:F78)-C78)*L69),IF(SUM(B70:F78)&gt;(L86*9),L86*L69,SUM(B78:F78)*L69)),2)</f>
        <v>0</v>
      </c>
      <c r="M78" s="76">
        <f>ROUND(IF(SUM(B70:F77)&lt;(L86*8),IF((SUM(B70:F78))&gt;(L86*9),(((L86*9)-(SUM(B70:F78)-C78))*M69)+((SUM(B78:F78)-C78)*M69),(SUM(B78:F78)-C78)*M69),IF(SUM(B70:F78)&gt;(L86*9),L86*M69,SUM(B78:F78)*M69)),2)</f>
        <v>0</v>
      </c>
      <c r="N78" s="76">
        <f>ROUND(IF(SUM(B70:F77)&lt;(L86*8),IF((SUM(B70:F78))&gt;(L86*9),(((L86*9)-(SUM(B70:F78)-C77))*N69)+((SUM(B78:F78)-C77)*N69),SUM(B78:F78)*N69),IF(SUM(B70:F78)&gt;(L86*9),L86*N69,SUM(B78:F78)*N69)),2)</f>
        <v>0</v>
      </c>
      <c r="O78" s="23">
        <f>ROUND(SUM(B78+C78+F78)*O69,2)</f>
        <v>0</v>
      </c>
      <c r="P78" s="27">
        <f t="shared" si="8"/>
        <v>0</v>
      </c>
    </row>
    <row r="79" spans="1:16" x14ac:dyDescent="0.2">
      <c r="A79" s="100" t="str">
        <f>$A$35</f>
        <v>Okt 2022</v>
      </c>
      <c r="B79" s="24">
        <f>ROUND(IF(P53=0,0,IFERROR(((LOOKUP(2,1/(A58:A61=A79),G58:G61))*P53*4.348),B78/P53*P53)),2)</f>
        <v>0</v>
      </c>
      <c r="C79" s="23">
        <f>ROUND(IFERROR(((LOOKUP(2,1/(B63=A79),((SUM(B76:B78)+SUM(F76:F78))/3)*C63))),0)+IFERROR(((LOOKUP(2,1/(E63=A79),(B82+F82)*F63))),0),2)</f>
        <v>0</v>
      </c>
      <c r="D79" s="23">
        <f>ROUND(IF(B79=0,0,D69/L51*P53),2)</f>
        <v>0</v>
      </c>
      <c r="E79" s="23">
        <f>ROUND(IF(B79=0,0,E69/N47*P53),2)</f>
        <v>0</v>
      </c>
      <c r="F79" s="24">
        <f>ROUND(IF(P53=0,0,IFERROR(((LOOKUP(2,1/(A58:A61=A79),H58:H61))/N47*P53),F78/P53*P53)),2)</f>
        <v>0</v>
      </c>
      <c r="G79" s="27">
        <f t="shared" si="7"/>
        <v>0</v>
      </c>
      <c r="H79" s="76">
        <f>ROUND(IF(SUM(B70:F78)&lt;(L85*9),IF((SUM(B70:F79))&gt;(L85*10),(((L85*10)-(SUM(B70:F79)-C78))*H69)+((SUM(B79:F79)-C78)*H69),SUM(B79:F79)*H69),IF(SUM(B70:F79)&gt;(L85*10),L85*H69,SUM(B79:F79)*H69)),2)</f>
        <v>0</v>
      </c>
      <c r="I79" s="76">
        <f>ROUND(IF(SUM(B70:F78)&lt;(L86*9),IF((SUM(B70:F79))&gt;(L86*10),(((L86*10)-(SUM(B70:F79)-C78))*I69)+((SUM(B79:F79)-C78)*I69),SUM(B79:F79)*I69),IF(SUM(B70:F79)&gt;(L86*10),L86*I69,SUM(B79:F79)*I69)),2)</f>
        <v>0</v>
      </c>
      <c r="J79" s="76">
        <f>ROUND(IF(SUM(B70:F78)&lt;(L86*9),IF((SUM(B70:F79))&gt;(L86*10),(((L86*10)-(SUM(B70:F79)-C78))*J69)+((SUM(B79:F79)-C78)*J69),SUM(B79:F79)*J69),IF(SUM(B70:F79)&gt;(L86*10),L86*J69,SUM(B79:F79)*J69)),2)</f>
        <v>0</v>
      </c>
      <c r="K79" s="76">
        <f>ROUND(IF(SUM(B70:F78)&lt;(L85*9),IF((SUM(B70:F79))&gt;(L85*10),(((L85*10)-(SUM(B70:F79)-C78))*K69)+((SUM(B79:F79)-C78)*K69),SUM(B79:F79)*K69),IF(SUM(B70:F79)&gt;(L85*10),L85*K69,SUM(B79:F79)*K69)),2)</f>
        <v>0</v>
      </c>
      <c r="L79" s="76">
        <f>ROUND(IF(SUM(B70:F78)&lt;(L86*9),IF((SUM(B70:F79))&gt;(L86*10),(((L86*10)-(SUM(B70:F79)-C79))*L69)+((SUM(B79:F79)-C79)*L69),(SUM(B79:F79)-C79)*L69),IF(SUM(B70:F79)&gt;(L86*10),L86*L69,SUM(B79:F79)*L69)),2)</f>
        <v>0</v>
      </c>
      <c r="M79" s="76">
        <f>ROUND(IF(SUM(B70:F78)&lt;(L86*9),IF((SUM(B70:F79))&gt;(L86*10),(((L86*10)-(SUM(B70:F79)-C79))*M69)+((SUM(B79:F79)-C79)*M69),(SUM(B79:F79)-C79)*M69),IF(SUM(B70:F79)&gt;(L86*10),L86*M69,SUM(B79:F79)*M69)),2)</f>
        <v>0</v>
      </c>
      <c r="N79" s="76">
        <f>ROUND(IF(SUM(B70:F78)&lt;(L86*9),IF((SUM(B70:F79))&gt;(L86*10),(((L86*10)-(SUM(B70:F79)-C78))*N69)+((SUM(B79:F79)-C78)*N69),SUM(B79:F79)*N69),IF(SUM(B70:F79)&gt;(L86*10),L86*N69,SUM(B79:F79)*N69)),2)</f>
        <v>0</v>
      </c>
      <c r="O79" s="23">
        <f>ROUND(SUM(B79+C79+F79)*O69,2)</f>
        <v>0</v>
      </c>
      <c r="P79" s="27">
        <f t="shared" si="8"/>
        <v>0</v>
      </c>
    </row>
    <row r="80" spans="1:16" x14ac:dyDescent="0.2">
      <c r="A80" s="100" t="str">
        <f>$A$36</f>
        <v>Nov 2022</v>
      </c>
      <c r="B80" s="24">
        <f>ROUND(IF(P54=0,0,IFERROR(((LOOKUP(2,1/(A58:A61=A80),G58:G61))*P54*4.348),B79/P54*P54)),2)</f>
        <v>0</v>
      </c>
      <c r="C80" s="23">
        <f>ROUND(IFERROR(((LOOKUP(2,1/(B63=A80),((SUM(B76:B78)+SUM(F76:F78))/3)*C63))),0)+IFERROR(((LOOKUP(2,1/(E63=A80),(B82+F82)*F63))),0),2)</f>
        <v>0</v>
      </c>
      <c r="D80" s="23">
        <f>ROUND(IF(B80=0,0,D69/L51*P54),2)</f>
        <v>0</v>
      </c>
      <c r="E80" s="23">
        <f>ROUND(IF(B80=0,0,E69/N47*P54),2)</f>
        <v>0</v>
      </c>
      <c r="F80" s="24">
        <f>ROUND(IF(P54=0,0,IFERROR(((LOOKUP(2,1/(A58:A61=A80),H58:H61))/N47*P54),F79/P54*P54)),2)</f>
        <v>0</v>
      </c>
      <c r="G80" s="27">
        <f t="shared" si="7"/>
        <v>0</v>
      </c>
      <c r="H80" s="76">
        <f>ROUND(IF(SUM(B70:F79)&lt;(L85*10),IF((SUM(B70:F80))&gt;(L85*11),(((L85*11)-(SUM(B70:F80)-C79))*H69)+((SUM(B80:F80)-C79)*H69),SUM(B80:F80)*H69),IF(SUM(B70:F80)&gt;(L85*11),L85*H69,SUM(B80:F80)*H69)),2)</f>
        <v>0</v>
      </c>
      <c r="I80" s="76">
        <f>ROUND(IF(SUM(B70:F79)&lt;(L86*10),IF((SUM(B70:F80))&gt;(L86*11),(((L86*11)-(SUM(B70:F80)-C79))*I69)+((SUM(B80:F80)-C79)*I69),SUM(B80:F80)*I69),IF(SUM(B70:F80)&gt;(L86*11),L86*I69,SUM(B80:F80)*I69)),2)</f>
        <v>0</v>
      </c>
      <c r="J80" s="76">
        <f>ROUND(IF(SUM(B70:F79)&lt;(L86*10),IF((SUM(B70:F80))&gt;(L86*11),(((L86*11)-(SUM(B70:F80)-C79))*J69)+((SUM(B80:F80)-C79)*J69),SUM(B80:F80)*J69),IF(SUM(B70:F80)&gt;(L86*11),L86*J69,SUM(B80:F80)*J69)),2)</f>
        <v>0</v>
      </c>
      <c r="K80" s="76">
        <f>ROUND(IF(SUM(B70:F79)&lt;(L85*10),IF((SUM(B70:F80))&gt;(L85*11),(((L85*11)-(SUM(B70:F80)-C79))*K69)+((SUM(B80:F80)-C79)*K69),SUM(B80:F80)*K69),IF(SUM(B70:F80)&gt;(L85*11),L85*K69,SUM(B80:F80)*K69)),2)</f>
        <v>0</v>
      </c>
      <c r="L80" s="76">
        <f>ROUND(IF(SUM(B70:F79)&lt;(L86*10),IF((SUM(B70:F80))&gt;(L86*11),(((L86*11)-(SUM(B70:F80)-C80))*L69)+((SUM(B80:F80)-C80)*L69),(SUM(B80:F80)-C80)*L69),IF(SUM(B70:F80)&gt;(L86*11),L86*L69,SUM(B80:F80)*L69)),2)</f>
        <v>0</v>
      </c>
      <c r="M80" s="76">
        <f>ROUND(IF(SUM(B70:F79)&lt;(L86*10),IF((SUM(B70:F80))&gt;(L86*11),(((L86*11)-(SUM(B70:F80)-C80))*M69)+((SUM(B80:F80)-C80)*M69),(SUM(B80:F80)-C80)*M69),IF(SUM(B70:F80)&gt;(L86*11),L86*M69,SUM(B80:F80)*M69)),2)</f>
        <v>0</v>
      </c>
      <c r="N80" s="76">
        <f>ROUND(IF(SUM(B70:F79)&lt;(L86*10),IF((SUM(B70:F80))&gt;(L86*11),(((L86*11)-(SUM(B70:F80)-C79))*N69)+((SUM(B80:F80)-C79)*N69),SUM(B80:F80)*N69),IF(SUM(B70:F80)&gt;(L86*11),L86*N69,SUM(B80:F80)*N69)),2)</f>
        <v>0</v>
      </c>
      <c r="O80" s="23">
        <f>ROUND(SUM(B80+C80+F80)*O69,2)</f>
        <v>0</v>
      </c>
      <c r="P80" s="27">
        <f t="shared" si="8"/>
        <v>0</v>
      </c>
    </row>
    <row r="81" spans="1:16" x14ac:dyDescent="0.2">
      <c r="A81" s="100" t="str">
        <f>$A$37</f>
        <v>Dez 2022</v>
      </c>
      <c r="B81" s="24">
        <f>ROUND(IF(P55=0,0,IFERROR(((LOOKUP(2,1/(A58:A61=A81),G58:G61))*P55*4.348),B80/P55*P55)),2)</f>
        <v>0</v>
      </c>
      <c r="C81" s="23">
        <f>ROUND(IFERROR(((LOOKUP(2,1/(B63=A81),((SUM(B76:B78)+SUM(F76:F78))/3)*C63))),0)+IFERROR(((LOOKUP(2,1/(E63=A81),(B82+F82)*F63))),0),2)</f>
        <v>0</v>
      </c>
      <c r="D81" s="23">
        <f>ROUND(IF(B81=0,0,D69/L51*P55),2)</f>
        <v>0</v>
      </c>
      <c r="E81" s="23">
        <f>ROUND(IF(B81=0,0,E69/N47*P55),2)</f>
        <v>0</v>
      </c>
      <c r="F81" s="24">
        <f>ROUND(IF(P55=0,0,IFERROR(((LOOKUP(2,1/(A58:A61=A81),H58:H61))/N47*P55),F80/P55*P55)),2)</f>
        <v>0</v>
      </c>
      <c r="G81" s="27">
        <f t="shared" si="7"/>
        <v>0</v>
      </c>
      <c r="H81" s="76">
        <f>ROUND(IF(SUM(B70:F80)&lt;(L85*11),IF((SUM(B70:F81))&gt;(L85*12),(((L85*12)-(SUM(B70:F81)-C80))*H69)+((SUM(B81:F81)-C80)*H69),SUM(B81:F81)*H69),IF(SUM(B70:F81)&gt;(L85*12),L85*H69,SUM(B81:F81)*H69)),2)</f>
        <v>0</v>
      </c>
      <c r="I81" s="76">
        <f>ROUND(IF(SUM(B70:F80)&lt;(L86*11),IF((SUM(B70:F81))&gt;(L86*12),(((L86*12)-(SUM(B70:F81)-C80))*I69)+((SUM(B81:F81)-C80)*I69),SUM(B81:F81)*I69),IF(SUM(B70:F81)&gt;(L86*12),L86*I69,SUM(B81:F81)*I69)),2)</f>
        <v>0</v>
      </c>
      <c r="J81" s="76">
        <f>ROUND(IF(SUM(B70:F80)&lt;(L86*11),IF((SUM(B70:F81))&gt;(L86*12),(((L86*12)-(SUM(B70:F81)-C80))*J69)+((SUM(B81:F81)-C80)*J69),SUM(B81:F81)*J69),IF(SUM(B70:F81)&gt;(L86*12),L86*J69,SUM(B81:F81)*J69)),2)</f>
        <v>0</v>
      </c>
      <c r="K81" s="76">
        <f>ROUND(IF(SUM(B70:F80)&lt;(L85*11),IF((SUM(B70:F81))&gt;(L85*12),(((L85*12)-(SUM(B70:F81)-C80))*K69)+((SUM(B81:F81)-C80)*K69),SUM(B81:F81)*K69),IF(SUM(B70:F81)&gt;(L85*12),L85*K69,SUM(B81:F81)*K69)),2)</f>
        <v>0</v>
      </c>
      <c r="L81" s="76">
        <f>ROUND(IF(SUM(B70:F80)&lt;(L86*11),IF((SUM(B70:F81))&gt;(L86*12),(((L86*12)-(SUM(B70:F81)-C81))*L69)+((SUM(B81:F81)-C81)*L69),(SUM(B81:F81)-C81)*L69),IF(SUM(B70:F81)&gt;(L86*12),L86*L69,SUM(B81:F81)*L69)),2)</f>
        <v>0</v>
      </c>
      <c r="M81" s="76">
        <f>ROUND(IF(SUM(B70:F80)&lt;(L86*11),IF((SUM(B70:F81))&gt;(L86*12),(((L86*12)-(SUM(B70:F81)-C81))*M69)+((SUM(B81:F81)-C81)*M69),(SUM(B81:F81)-C81)*M69),IF(SUM(B70:F81)&gt;(L86*12),L86*M69,SUM(B81:F81)*M69)),2)</f>
        <v>0</v>
      </c>
      <c r="N81" s="76">
        <f>ROUND(IF(SUM(B70:F80)&lt;(L86*11),IF((SUM(B70:F81))&gt;(L86*12),(((L86*12)-(SUM(B70:F81)-C80))*N69)+((SUM(B81:F81)-C80)*N69),SUM(B81:F81)*N69),IF(SUM(B70:F81)&gt;(L86*12),L86*N69,SUM(B81:F81)*N69)),2)</f>
        <v>0</v>
      </c>
      <c r="O81" s="23">
        <f>ROUND(SUM(B81+C81+F81)*O69,2)</f>
        <v>0</v>
      </c>
      <c r="P81" s="27">
        <f t="shared" si="8"/>
        <v>0</v>
      </c>
    </row>
    <row r="82" spans="1:16" s="14" customFormat="1" ht="15" x14ac:dyDescent="0.25">
      <c r="A82" s="4" t="s">
        <v>2</v>
      </c>
      <c r="B82" s="27">
        <f>SUM(B70:B81)</f>
        <v>0</v>
      </c>
      <c r="C82" s="27">
        <f t="shared" ref="C82:D82" si="9">SUM(C70:C81)</f>
        <v>0</v>
      </c>
      <c r="D82" s="27">
        <f t="shared" si="9"/>
        <v>0</v>
      </c>
      <c r="E82" s="27">
        <f>SUM(E70:E81)</f>
        <v>0</v>
      </c>
      <c r="F82" s="27">
        <f>SUM(F70:F81)</f>
        <v>0</v>
      </c>
      <c r="G82" s="27">
        <f>SUM(G70:G81)</f>
        <v>0</v>
      </c>
      <c r="H82" s="1133">
        <f>SUM(H70:N81)</f>
        <v>0</v>
      </c>
      <c r="I82" s="1134"/>
      <c r="J82" s="1134"/>
      <c r="K82" s="1134"/>
      <c r="L82" s="1134"/>
      <c r="M82" s="1134"/>
      <c r="N82" s="1135"/>
      <c r="O82" s="27">
        <f>SUM(O70:O81)</f>
        <v>0</v>
      </c>
      <c r="P82" s="27">
        <f>SUM(P70:P81)</f>
        <v>0</v>
      </c>
    </row>
    <row r="83" spans="1:16" s="13" customFormat="1" ht="11.25" x14ac:dyDescent="0.2">
      <c r="A83" s="3" t="s">
        <v>1</v>
      </c>
      <c r="B83" s="2"/>
      <c r="C83" s="2"/>
      <c r="D83" s="2"/>
      <c r="E83" s="2"/>
      <c r="F83" s="2"/>
      <c r="G83" s="2"/>
      <c r="H83" s="2"/>
      <c r="I83" s="2"/>
      <c r="J83" s="2"/>
      <c r="K83" s="2"/>
      <c r="L83" s="2"/>
      <c r="M83" s="2"/>
      <c r="N83" s="2"/>
      <c r="O83" s="2"/>
      <c r="P83" s="2"/>
    </row>
    <row r="84" spans="1:16" ht="14.25" customHeight="1" x14ac:dyDescent="0.2">
      <c r="A84" s="1136" t="s">
        <v>133</v>
      </c>
      <c r="B84" s="1137"/>
      <c r="C84" s="1137"/>
      <c r="D84" s="1137" t="s">
        <v>134</v>
      </c>
      <c r="E84" s="1137"/>
      <c r="F84" s="94" t="str">
        <f>IF(IF(G82=0,"",$F$40)=0,"",IF(G82=0,"",$F$40))</f>
        <v/>
      </c>
      <c r="G84" s="77" t="s">
        <v>135</v>
      </c>
      <c r="H84" s="96" t="str">
        <f>IF(IF(G82=0,"",$H$40)=0,"",IF(G82=0,"",$H$40))</f>
        <v/>
      </c>
      <c r="I84" s="73"/>
      <c r="J84" s="194" t="s">
        <v>160</v>
      </c>
      <c r="K84" s="194" t="str">
        <f>$K$40</f>
        <v>2021</v>
      </c>
      <c r="L84" s="194" t="str">
        <f>$L$40</f>
        <v>anteilig 2021</v>
      </c>
      <c r="M84" s="1138" t="s">
        <v>140</v>
      </c>
      <c r="N84" s="1138"/>
      <c r="O84" s="1139"/>
      <c r="P84" s="27">
        <f>ROUND(IF(F84="",IF(E88="",0,(E88*H88/K88)/L51*L52),G82*F84*H84/1000),2)</f>
        <v>0</v>
      </c>
    </row>
    <row r="85" spans="1:16" ht="15" customHeight="1" x14ac:dyDescent="0.2">
      <c r="A85" s="1140" t="s">
        <v>145</v>
      </c>
      <c r="B85" s="1141"/>
      <c r="C85" s="1141"/>
      <c r="D85" s="18"/>
      <c r="E85" s="107" t="s">
        <v>135</v>
      </c>
      <c r="F85" s="95" t="str">
        <f>IF(IF(G82=0,"",$F$41)=0,"",IF(G82=0,"",$F$41))</f>
        <v/>
      </c>
      <c r="G85" s="48"/>
      <c r="H85" s="47"/>
      <c r="I85" s="48"/>
      <c r="J85" s="195" t="s">
        <v>158</v>
      </c>
      <c r="K85" s="198">
        <f>$K$41</f>
        <v>4837.5</v>
      </c>
      <c r="L85" s="197">
        <f>IF(L51="",K85,K85/L51*L52)</f>
        <v>4837.5</v>
      </c>
      <c r="M85" s="1138" t="s">
        <v>139</v>
      </c>
      <c r="N85" s="1138"/>
      <c r="O85" s="1139"/>
      <c r="P85" s="27">
        <f>ROUND(IF(F85="",0,G82*F85/1000),2)</f>
        <v>0</v>
      </c>
    </row>
    <row r="86" spans="1:16" ht="15.75" customHeight="1" x14ac:dyDescent="0.2">
      <c r="A86" s="1142" t="s">
        <v>141</v>
      </c>
      <c r="B86" s="1143"/>
      <c r="C86" s="1143"/>
      <c r="D86" s="1144" t="s">
        <v>143</v>
      </c>
      <c r="E86" s="1144"/>
      <c r="F86" s="1145" t="str">
        <f>IF(IF(G82=0,"",$F$42)=0,"",IF(G82=0,"",$F$42))</f>
        <v/>
      </c>
      <c r="G86" s="1145"/>
      <c r="H86" s="72"/>
      <c r="I86" s="18"/>
      <c r="J86" s="195" t="s">
        <v>159</v>
      </c>
      <c r="K86" s="198">
        <f>$K$42</f>
        <v>6700</v>
      </c>
      <c r="L86" s="197">
        <f>IF(L51="",K86,K86/L51*L52)</f>
        <v>6700</v>
      </c>
      <c r="M86" s="1138" t="s">
        <v>141</v>
      </c>
      <c r="N86" s="1138"/>
      <c r="O86" s="1139"/>
      <c r="P86" s="23">
        <f>ROUND(IF(F86="",0,IF(G82=0,0,F86/L51*L52)),2)</f>
        <v>0</v>
      </c>
    </row>
    <row r="87" spans="1:16" ht="14.25" customHeight="1" x14ac:dyDescent="0.2">
      <c r="A87" s="18"/>
      <c r="B87" s="18"/>
      <c r="C87" s="18"/>
      <c r="D87" s="18"/>
      <c r="E87" s="18"/>
      <c r="F87" s="18"/>
      <c r="G87" s="18"/>
      <c r="H87" s="18"/>
      <c r="I87" s="18"/>
      <c r="J87" s="18"/>
      <c r="K87" s="74"/>
      <c r="L87" s="82"/>
      <c r="M87" s="1127" t="s">
        <v>146</v>
      </c>
      <c r="N87" s="1127"/>
      <c r="O87" s="1128"/>
      <c r="P87" s="23">
        <f>ROUND(IF(G82=0,0,$P$43),2)</f>
        <v>0</v>
      </c>
    </row>
    <row r="88" spans="1:16" ht="14.25" customHeight="1" x14ac:dyDescent="0.2">
      <c r="A88" s="1129" t="s">
        <v>142</v>
      </c>
      <c r="B88" s="1130"/>
      <c r="C88" s="148" t="s">
        <v>136</v>
      </c>
      <c r="D88" s="148" t="s">
        <v>137</v>
      </c>
      <c r="E88" s="1131" t="str">
        <f>IF(IF(G82=0,"",$E$44)=0,"",IF(G82=0,"",$E$44))</f>
        <v/>
      </c>
      <c r="F88" s="1131"/>
      <c r="G88" s="83" t="s">
        <v>138</v>
      </c>
      <c r="H88" s="97" t="str">
        <f>IF(IF(G82=0,"",$H$44)=0,"",IF(G82=0,"",$H$44))</f>
        <v/>
      </c>
      <c r="I88" s="1132" t="s">
        <v>144</v>
      </c>
      <c r="J88" s="1132"/>
      <c r="K88" s="98" t="str">
        <f>IF(IF(G82=0,"",$K$44)=0,"",IF(G82=0,"",$K$44))</f>
        <v/>
      </c>
      <c r="L88" s="29"/>
      <c r="M88" s="29"/>
      <c r="N88" s="29"/>
      <c r="O88" s="28" t="s">
        <v>0</v>
      </c>
      <c r="P88" s="27">
        <f>P82+SUM(P84:P87)</f>
        <v>0</v>
      </c>
    </row>
    <row r="89" spans="1:16" s="12" customFormat="1" ht="13.5" customHeight="1" x14ac:dyDescent="0.2">
      <c r="A89" s="1178" t="s">
        <v>18</v>
      </c>
      <c r="B89" s="1178"/>
      <c r="C89" s="1178"/>
      <c r="D89" s="1179" t="str">
        <f>IF($D$1="","",$D$1)</f>
        <v/>
      </c>
      <c r="E89" s="1179"/>
      <c r="F89" s="1179"/>
      <c r="G89" s="1179"/>
      <c r="H89" s="1179"/>
      <c r="I89" s="1179"/>
      <c r="J89" s="1179"/>
      <c r="K89" s="1179"/>
      <c r="L89" s="1179"/>
      <c r="M89" s="1179"/>
      <c r="N89" s="1179"/>
    </row>
    <row r="90" spans="1:16" s="12" customFormat="1" ht="15" customHeight="1" x14ac:dyDescent="0.2">
      <c r="A90" s="1178" t="s">
        <v>17</v>
      </c>
      <c r="B90" s="1178"/>
      <c r="C90" s="1178" t="s">
        <v>15</v>
      </c>
      <c r="D90" s="1179" t="str">
        <f>IF($D$2="","",$D$2)</f>
        <v/>
      </c>
      <c r="E90" s="1179"/>
      <c r="F90" s="1179"/>
      <c r="G90" s="1179"/>
      <c r="H90" s="1179"/>
      <c r="I90" s="1179"/>
      <c r="J90" s="1179"/>
      <c r="K90" s="1179"/>
      <c r="L90" s="1179"/>
      <c r="M90" s="1179"/>
      <c r="N90" s="1179"/>
    </row>
    <row r="91" spans="1:16" s="12" customFormat="1" ht="15" customHeight="1" x14ac:dyDescent="0.2">
      <c r="A91" s="1178" t="s">
        <v>16</v>
      </c>
      <c r="B91" s="1178"/>
      <c r="C91" s="1178" t="s">
        <v>15</v>
      </c>
      <c r="D91" s="1179" t="str">
        <f>IF($D$3="","",$D$3)</f>
        <v/>
      </c>
      <c r="E91" s="1179"/>
      <c r="F91" s="1179"/>
      <c r="G91" s="1179"/>
      <c r="H91" s="1179"/>
      <c r="I91" s="1179"/>
      <c r="J91" s="1179"/>
      <c r="K91" s="1178" t="s">
        <v>103</v>
      </c>
      <c r="L91" s="1178"/>
      <c r="M91" s="1178"/>
      <c r="N91" s="41" t="str">
        <f>IF($N$3="","",$N$3)</f>
        <v/>
      </c>
    </row>
    <row r="92" spans="1:16" s="13" customFormat="1" ht="11.25" x14ac:dyDescent="0.2">
      <c r="A92" s="1182"/>
      <c r="B92" s="1182"/>
      <c r="C92" s="1182"/>
      <c r="D92" s="1183"/>
      <c r="E92" s="1183"/>
      <c r="F92" s="1183"/>
      <c r="G92" s="1183"/>
      <c r="H92" s="1183"/>
      <c r="I92" s="1183"/>
      <c r="J92" s="1183"/>
      <c r="K92" s="11"/>
      <c r="L92" s="11"/>
      <c r="M92" s="11"/>
      <c r="N92" s="11"/>
      <c r="O92" s="11"/>
      <c r="P92" s="11"/>
    </row>
    <row r="93" spans="1:16" s="15" customFormat="1" ht="13.5" customHeight="1" x14ac:dyDescent="0.2">
      <c r="A93" s="1177" t="s">
        <v>224</v>
      </c>
      <c r="B93" s="1177"/>
      <c r="C93" s="1177"/>
      <c r="D93" s="1177"/>
      <c r="E93" s="1177"/>
      <c r="F93" s="1177"/>
      <c r="G93" s="1177"/>
      <c r="H93" s="1177"/>
      <c r="I93" s="1177"/>
      <c r="J93" s="1177"/>
      <c r="K93" s="9"/>
      <c r="L93" s="9"/>
      <c r="M93" s="9"/>
      <c r="N93" s="59" t="s">
        <v>154</v>
      </c>
      <c r="O93" s="191">
        <f>$O$5</f>
        <v>2022</v>
      </c>
      <c r="P93" s="59" t="s">
        <v>154</v>
      </c>
    </row>
    <row r="94" spans="1:16" s="10" customFormat="1" ht="13.5" customHeight="1" x14ac:dyDescent="0.25">
      <c r="B94" s="32"/>
      <c r="C94" s="32"/>
      <c r="D94" s="5" t="s">
        <v>33</v>
      </c>
      <c r="E94" s="31"/>
      <c r="F94" s="31"/>
      <c r="G94" s="31"/>
      <c r="H94" s="31"/>
      <c r="I94" s="26"/>
      <c r="J94" s="1174" t="s">
        <v>14</v>
      </c>
      <c r="K94" s="1174"/>
      <c r="L94" s="180"/>
      <c r="N94" s="84">
        <f>IF(L96="","",L96)</f>
        <v>0</v>
      </c>
      <c r="O94" s="58" t="str">
        <f>$O$6</f>
        <v>Jan                Jul</v>
      </c>
      <c r="P94" s="85">
        <f>IF(N99="","",N99)</f>
        <v>0</v>
      </c>
    </row>
    <row r="95" spans="1:16" s="7" customFormat="1" ht="13.5" customHeight="1" x14ac:dyDescent="0.25">
      <c r="A95" s="1180" t="s">
        <v>71</v>
      </c>
      <c r="B95" s="1180"/>
      <c r="C95" s="1180"/>
      <c r="D95" s="1184"/>
      <c r="E95" s="1184"/>
      <c r="F95" s="1184"/>
      <c r="G95" s="1184"/>
      <c r="H95" s="1184"/>
      <c r="I95" s="1184"/>
      <c r="J95" s="1174" t="s">
        <v>104</v>
      </c>
      <c r="K95" s="1174"/>
      <c r="L95" s="145"/>
      <c r="N95" s="85">
        <f>IF(N94="","",N94)</f>
        <v>0</v>
      </c>
      <c r="O95" s="58" t="str">
        <f>$O$7</f>
        <v>Feb              Aug</v>
      </c>
      <c r="P95" s="85">
        <f>IF(P94="","",P94)</f>
        <v>0</v>
      </c>
    </row>
    <row r="96" spans="1:16" ht="13.5" customHeight="1" x14ac:dyDescent="0.2">
      <c r="A96" s="1180" t="s">
        <v>13</v>
      </c>
      <c r="B96" s="1180"/>
      <c r="C96" s="1180"/>
      <c r="D96" s="1181"/>
      <c r="E96" s="1181"/>
      <c r="F96" s="1181"/>
      <c r="G96" s="1181"/>
      <c r="H96" s="1181"/>
      <c r="I96" s="1181"/>
      <c r="J96" s="1174" t="s">
        <v>222</v>
      </c>
      <c r="K96" s="1174"/>
      <c r="L96" s="145">
        <f>IF(L97&gt;L95,0,L95-L97)</f>
        <v>0</v>
      </c>
      <c r="N96" s="85">
        <f>IF(N95="","",N95)</f>
        <v>0</v>
      </c>
      <c r="O96" s="58" t="str">
        <f>$O$8</f>
        <v>Mrz              Sep</v>
      </c>
      <c r="P96" s="85">
        <f>IF(P95="","",P95)</f>
        <v>0</v>
      </c>
    </row>
    <row r="97" spans="1:16" ht="13.5" customHeight="1" x14ac:dyDescent="0.2">
      <c r="A97" s="1180" t="s">
        <v>12</v>
      </c>
      <c r="B97" s="1180"/>
      <c r="C97" s="1180"/>
      <c r="D97" s="1181"/>
      <c r="E97" s="1181"/>
      <c r="F97" s="1181"/>
      <c r="G97" s="1181"/>
      <c r="H97" s="1181"/>
      <c r="I97" s="1181"/>
      <c r="J97" s="1174" t="s">
        <v>223</v>
      </c>
      <c r="K97" s="1174"/>
      <c r="L97" s="145"/>
      <c r="N97" s="85">
        <f>IF(N96="","",N96)</f>
        <v>0</v>
      </c>
      <c r="O97" s="58" t="str">
        <f>$O$9</f>
        <v>Apr               Okt</v>
      </c>
      <c r="P97" s="85">
        <f t="shared" ref="P97:P99" si="10">IF(P96="","",P96)</f>
        <v>0</v>
      </c>
    </row>
    <row r="98" spans="1:16" ht="13.5" customHeight="1" x14ac:dyDescent="0.2">
      <c r="A98" s="1180" t="s">
        <v>19</v>
      </c>
      <c r="B98" s="1180"/>
      <c r="C98" s="1180"/>
      <c r="D98" s="1181"/>
      <c r="E98" s="1181"/>
      <c r="F98" s="1181"/>
      <c r="G98" s="1181"/>
      <c r="H98" s="1181"/>
      <c r="I98" s="1181"/>
      <c r="J98" s="1174" t="s">
        <v>97</v>
      </c>
      <c r="K98" s="1174"/>
      <c r="L98" s="17" t="str">
        <f>IF(IF((COUNTIF(B114:B125,"&gt;0"))=0,0,(COUNTIF(B114:B125,"&gt;0")))&gt;Grundlagen!$C$24,Grundlagen!$C$24,IF((COUNTIF(B114:B125,"&gt;0"))=0,"",(COUNTIF(B114:B125,"&gt;0"))))</f>
        <v/>
      </c>
      <c r="M98" s="92"/>
      <c r="N98" s="85">
        <f>IF(N97="","",N97)</f>
        <v>0</v>
      </c>
      <c r="O98" s="58" t="str">
        <f>'päd.Personal - Leitung'!$O$10</f>
        <v>Mai               Nov</v>
      </c>
      <c r="P98" s="85">
        <f t="shared" si="10"/>
        <v>0</v>
      </c>
    </row>
    <row r="99" spans="1:16" ht="13.5" customHeight="1" x14ac:dyDescent="0.2">
      <c r="B99" s="8"/>
      <c r="C99" s="141" t="s">
        <v>162</v>
      </c>
      <c r="D99" s="1175"/>
      <c r="E99" s="1175"/>
      <c r="F99" s="1176" t="s">
        <v>106</v>
      </c>
      <c r="G99" s="1176"/>
      <c r="H99" s="1186"/>
      <c r="I99" s="1186"/>
      <c r="L99" s="147" t="str">
        <f>IF((SUM(F102:F105))=0,"",IF(P100&gt;L96,L96,IF(L96="","",IF(L98="","",P100))))</f>
        <v/>
      </c>
      <c r="N99" s="85">
        <f>IF(N98="","",N98)</f>
        <v>0</v>
      </c>
      <c r="O99" s="58" t="str">
        <f>'päd.Personal - Leitung'!$O$11</f>
        <v>Jun               Dez</v>
      </c>
      <c r="P99" s="85">
        <f t="shared" si="10"/>
        <v>0</v>
      </c>
    </row>
    <row r="100" spans="1:16" ht="13.5" customHeight="1" x14ac:dyDescent="0.2">
      <c r="I100" s="6"/>
      <c r="O100" s="174" t="s">
        <v>251</v>
      </c>
      <c r="P100" s="175">
        <f>IF(L98="",0,((IF(SUMIF(B114,"&gt;0"),N94,0))+(IF(SUMIF(B115,"&gt;0"),N95,0))+(IF(SUMIF(B116,"&gt;0"),N96,0))+(IF(SUMIF(B117,"&gt;0"),N97,0))+(IF(SUMIF(B118,"&gt;0"),N98,0))+(IF(SUMIF(B119,"&gt;0"),N99,0))+(IF(SUMIF(B120,"&gt;0"),P94,0))+(IF(SUMIF(B121,"&gt;0"),P95,0))+(IF(SUMIF(B122,"&gt;0"),P96,0))+(IF(SUMIF(B123,"&gt;0"),P97,0))+(IF(SUMIF(B124,"&gt;0"),P98,0))+(IF(SUMIF(B125,"&gt;0"),P99,0)))/Grundlagen!$C$24)</f>
        <v>0</v>
      </c>
    </row>
    <row r="101" spans="1:16" s="52" customFormat="1" ht="13.5" customHeight="1" x14ac:dyDescent="0.2">
      <c r="A101" s="61" t="s">
        <v>148</v>
      </c>
      <c r="B101" s="1168" t="s">
        <v>149</v>
      </c>
      <c r="C101" s="1168"/>
      <c r="D101" s="62" t="s">
        <v>150</v>
      </c>
      <c r="E101" s="63" t="s">
        <v>151</v>
      </c>
      <c r="F101" s="64" t="str">
        <f>CONCATENATE("Entg. ",N91," h/Wo")</f>
        <v>Entg.  h/Wo</v>
      </c>
      <c r="G101" s="65" t="s">
        <v>152</v>
      </c>
      <c r="H101" s="65" t="s">
        <v>153</v>
      </c>
      <c r="K101" s="1169" t="str">
        <f>CONCATENATE("Zuschläge / Zulagen für ",N91,"h/Wo")</f>
        <v>Zuschläge / Zulagen für h/Wo</v>
      </c>
      <c r="L101" s="1169"/>
      <c r="M101" s="66" t="str">
        <f>IF(A102="","",A102)</f>
        <v>Jan 2022</v>
      </c>
      <c r="N101" s="66" t="str">
        <f>IF(A103="","",A103)</f>
        <v/>
      </c>
      <c r="O101" s="66" t="str">
        <f>IF(A104="","",A104)</f>
        <v/>
      </c>
      <c r="P101" s="66" t="str">
        <f>IF(A105="","",A105)</f>
        <v/>
      </c>
    </row>
    <row r="102" spans="1:16" s="52" customFormat="1" ht="13.5" customHeight="1" x14ac:dyDescent="0.25">
      <c r="A102" s="54" t="str">
        <f>A114</f>
        <v>Jan 2022</v>
      </c>
      <c r="B102" s="1170" t="str">
        <f>IF($D$3="","",$D$3)</f>
        <v/>
      </c>
      <c r="C102" s="1171"/>
      <c r="D102" s="181"/>
      <c r="E102" s="181"/>
      <c r="F102" s="87"/>
      <c r="G102" s="56">
        <f>IF(N91="",0,F102/N91/4.348)</f>
        <v>0</v>
      </c>
      <c r="H102" s="53">
        <f>IF(G102=0,0,M107)</f>
        <v>0</v>
      </c>
      <c r="K102" s="1146"/>
      <c r="L102" s="1146"/>
      <c r="M102" s="86"/>
      <c r="N102" s="86"/>
      <c r="O102" s="86"/>
      <c r="P102" s="86"/>
    </row>
    <row r="103" spans="1:16" s="52" customFormat="1" ht="13.5" customHeight="1" x14ac:dyDescent="0.25">
      <c r="A103" s="55"/>
      <c r="B103" s="1172" t="str">
        <f>IF(A103="","",B102)</f>
        <v/>
      </c>
      <c r="C103" s="1173"/>
      <c r="D103" s="181"/>
      <c r="E103" s="181"/>
      <c r="F103" s="87"/>
      <c r="G103" s="56">
        <f>IF(N91="",0,F103/N91/4.348)</f>
        <v>0</v>
      </c>
      <c r="H103" s="53">
        <f>IF(G103=0,0,N107)</f>
        <v>0</v>
      </c>
      <c r="K103" s="1146"/>
      <c r="L103" s="1146"/>
      <c r="M103" s="86"/>
      <c r="N103" s="86"/>
      <c r="O103" s="86"/>
      <c r="P103" s="86"/>
    </row>
    <row r="104" spans="1:16" s="52" customFormat="1" ht="13.5" customHeight="1" x14ac:dyDescent="0.25">
      <c r="A104" s="55"/>
      <c r="B104" s="1172" t="str">
        <f>IF(A104="","",B103)</f>
        <v/>
      </c>
      <c r="C104" s="1173"/>
      <c r="D104" s="181"/>
      <c r="E104" s="181"/>
      <c r="F104" s="87"/>
      <c r="G104" s="56">
        <f>IF(N91="",0,F104/N91/4.348)</f>
        <v>0</v>
      </c>
      <c r="H104" s="53">
        <f>IF(G104=0,0,O107)</f>
        <v>0</v>
      </c>
      <c r="K104" s="1146"/>
      <c r="L104" s="1146"/>
      <c r="M104" s="86"/>
      <c r="N104" s="86"/>
      <c r="O104" s="86"/>
      <c r="P104" s="86"/>
    </row>
    <row r="105" spans="1:16" s="52" customFormat="1" ht="13.5" customHeight="1" x14ac:dyDescent="0.25">
      <c r="A105" s="55"/>
      <c r="B105" s="1172" t="str">
        <f>IF(A105="","",B104)</f>
        <v/>
      </c>
      <c r="C105" s="1173"/>
      <c r="D105" s="181"/>
      <c r="E105" s="181"/>
      <c r="F105" s="87"/>
      <c r="G105" s="56">
        <f>IF(N91="",0,F105/N91/4.348)</f>
        <v>0</v>
      </c>
      <c r="H105" s="53">
        <f>IF(G105=0,0,P107)</f>
        <v>0</v>
      </c>
      <c r="K105" s="1146"/>
      <c r="L105" s="1146"/>
      <c r="M105" s="86"/>
      <c r="N105" s="86"/>
      <c r="O105" s="86"/>
      <c r="P105" s="86"/>
    </row>
    <row r="106" spans="1:16" s="52" customFormat="1" ht="13.5" customHeight="1" x14ac:dyDescent="0.25">
      <c r="B106" s="1167" t="s">
        <v>157</v>
      </c>
      <c r="C106" s="1167"/>
      <c r="E106" s="1167" t="s">
        <v>156</v>
      </c>
      <c r="F106" s="1167"/>
      <c r="J106" s="69"/>
      <c r="K106" s="1146"/>
      <c r="L106" s="1146"/>
      <c r="M106" s="86"/>
      <c r="N106" s="86"/>
      <c r="O106" s="86"/>
      <c r="P106" s="86"/>
    </row>
    <row r="107" spans="1:16" s="52" customFormat="1" ht="13.5" customHeight="1" x14ac:dyDescent="0.25">
      <c r="A107" s="70" t="s">
        <v>167</v>
      </c>
      <c r="B107" s="67"/>
      <c r="C107" s="99" t="str">
        <f>IF(C63="","",C63)</f>
        <v/>
      </c>
      <c r="D107" s="70" t="s">
        <v>167</v>
      </c>
      <c r="E107" s="67"/>
      <c r="F107" s="99" t="str">
        <f>IF(F63="","",F63)</f>
        <v/>
      </c>
      <c r="J107" s="68"/>
      <c r="M107" s="57">
        <f>SUM(M102:M106)</f>
        <v>0</v>
      </c>
      <c r="N107" s="57">
        <f t="shared" ref="N107:P107" si="11">SUM(N102:N106)</f>
        <v>0</v>
      </c>
      <c r="O107" s="57">
        <f t="shared" si="11"/>
        <v>0</v>
      </c>
      <c r="P107" s="57">
        <f t="shared" si="11"/>
        <v>0</v>
      </c>
    </row>
    <row r="108" spans="1:16" s="52" customFormat="1" ht="13.5" customHeight="1" x14ac:dyDescent="0.2">
      <c r="A108" s="60" t="s">
        <v>155</v>
      </c>
    </row>
    <row r="109" spans="1:16" ht="14.25" customHeight="1" x14ac:dyDescent="0.2">
      <c r="A109" s="1147"/>
      <c r="B109" s="1149" t="s">
        <v>9</v>
      </c>
      <c r="C109" s="1150"/>
      <c r="D109" s="1150"/>
      <c r="E109" s="1150"/>
      <c r="F109" s="1150"/>
      <c r="G109" s="1151"/>
      <c r="H109" s="1152" t="s">
        <v>119</v>
      </c>
      <c r="I109" s="1153"/>
      <c r="J109" s="1153"/>
      <c r="K109" s="1153"/>
      <c r="L109" s="1153"/>
      <c r="M109" s="1153"/>
      <c r="N109" s="1153"/>
      <c r="O109" s="33"/>
      <c r="P109" s="1154" t="s">
        <v>0</v>
      </c>
    </row>
    <row r="110" spans="1:16" ht="14.25" customHeight="1" x14ac:dyDescent="0.2">
      <c r="A110" s="1148"/>
      <c r="B110" s="1157" t="s">
        <v>117</v>
      </c>
      <c r="C110" s="144" t="s">
        <v>115</v>
      </c>
      <c r="D110" s="1159" t="s">
        <v>277</v>
      </c>
      <c r="E110" s="1161" t="s">
        <v>147</v>
      </c>
      <c r="F110" s="149" t="s">
        <v>7</v>
      </c>
      <c r="G110" s="1162" t="s">
        <v>6</v>
      </c>
      <c r="H110" s="1161" t="s">
        <v>129</v>
      </c>
      <c r="I110" s="1161" t="s">
        <v>5</v>
      </c>
      <c r="J110" s="1161" t="s">
        <v>4</v>
      </c>
      <c r="K110" s="1161" t="s">
        <v>3</v>
      </c>
      <c r="L110" s="1161" t="s">
        <v>121</v>
      </c>
      <c r="M110" s="1161" t="s">
        <v>122</v>
      </c>
      <c r="N110" s="1161" t="s">
        <v>123</v>
      </c>
      <c r="O110" s="1160" t="s">
        <v>114</v>
      </c>
      <c r="P110" s="1155"/>
    </row>
    <row r="111" spans="1:16" ht="14.25" customHeight="1" x14ac:dyDescent="0.2">
      <c r="A111" s="1148"/>
      <c r="B111" s="1157"/>
      <c r="C111" s="21" t="str">
        <f>IF(C107="","",C107)</f>
        <v/>
      </c>
      <c r="D111" s="1160"/>
      <c r="E111" s="1161"/>
      <c r="F111" s="1165" t="str">
        <f>IF(H102=0,"","siehe Zuschläge / Zulagen")</f>
        <v/>
      </c>
      <c r="G111" s="1162"/>
      <c r="H111" s="1164" t="s">
        <v>127</v>
      </c>
      <c r="I111" s="1164"/>
      <c r="J111" s="1164"/>
      <c r="K111" s="1164"/>
      <c r="L111" s="1164"/>
      <c r="M111" s="1164"/>
      <c r="N111" s="1164"/>
      <c r="O111" s="1160"/>
      <c r="P111" s="1155"/>
    </row>
    <row r="112" spans="1:16" x14ac:dyDescent="0.2">
      <c r="A112" s="1148"/>
      <c r="B112" s="1157"/>
      <c r="C112" s="142" t="s">
        <v>70</v>
      </c>
      <c r="D112" s="1160"/>
      <c r="E112" s="1161"/>
      <c r="F112" s="1165"/>
      <c r="G112" s="1162"/>
      <c r="H112" s="43" t="s">
        <v>128</v>
      </c>
      <c r="I112" s="43" t="s">
        <v>255</v>
      </c>
      <c r="J112" s="43" t="s">
        <v>256</v>
      </c>
      <c r="K112" s="43" t="s">
        <v>257</v>
      </c>
      <c r="L112" s="43"/>
      <c r="M112" s="43"/>
      <c r="N112" s="43" t="s">
        <v>254</v>
      </c>
      <c r="O112" s="1160"/>
      <c r="P112" s="1155"/>
    </row>
    <row r="113" spans="1:16" x14ac:dyDescent="0.2">
      <c r="A113" s="1148"/>
      <c r="B113" s="1158"/>
      <c r="C113" s="21" t="str">
        <f>IF(F107="","",F107)</f>
        <v/>
      </c>
      <c r="D113" s="51"/>
      <c r="E113" s="51"/>
      <c r="F113" s="1166"/>
      <c r="G113" s="1163"/>
      <c r="H113" s="93"/>
      <c r="I113" s="139">
        <f>$I$25</f>
        <v>0</v>
      </c>
      <c r="J113" s="139">
        <f>$J$25</f>
        <v>0</v>
      </c>
      <c r="K113" s="44">
        <f>$K$25</f>
        <v>0</v>
      </c>
      <c r="L113" s="21"/>
      <c r="M113" s="21"/>
      <c r="N113" s="139">
        <f>$N$25</f>
        <v>0</v>
      </c>
      <c r="O113" s="21">
        <f>O69</f>
        <v>0</v>
      </c>
      <c r="P113" s="1156"/>
    </row>
    <row r="114" spans="1:16" x14ac:dyDescent="0.2">
      <c r="A114" s="100" t="str">
        <f>$A$26</f>
        <v>Jan 2022</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76">
        <f>ROUND(IF((SUM(B114:F114))&gt;L129,L129*H113,SUM(B114:F114)*H113),2)</f>
        <v>0</v>
      </c>
      <c r="I114" s="76">
        <f>ROUND(IF((SUM(B114:F114))&gt;L130,L130*I113,SUM(B114:F114)*I113),2)</f>
        <v>0</v>
      </c>
      <c r="J114" s="76">
        <f>ROUND(IF((SUM(B114:F114))&gt;L130,L130*J113,SUM(B114:F114)*J113),2)</f>
        <v>0</v>
      </c>
      <c r="K114" s="76">
        <f>ROUND(IF((SUM(B114:F114))&gt;L129,L129*K113,SUM(B114:F114)*K113),2)</f>
        <v>0</v>
      </c>
      <c r="L114" s="76">
        <f>ROUND(IF((SUM(B114:F114))&gt;L130,L130*L113,(SUM(B114:F114)-C114)*L113),2)</f>
        <v>0</v>
      </c>
      <c r="M114" s="76">
        <f>ROUND(IF((SUM(B114:F114))&gt;L130,L130*M113,(SUM(B114:F114)-C114)*M113),2)</f>
        <v>0</v>
      </c>
      <c r="N114" s="76">
        <f>ROUND(IF((SUM(B114:F114))&gt;L130,L130*N113,SUM(B114:F114)*N113),2)</f>
        <v>0</v>
      </c>
      <c r="O114" s="23">
        <f>ROUND(SUM(B114+C114+F114)*O113,2)</f>
        <v>0</v>
      </c>
      <c r="P114" s="27">
        <f>SUM(G114:O114)</f>
        <v>0</v>
      </c>
    </row>
    <row r="115" spans="1:16" x14ac:dyDescent="0.2">
      <c r="A115" s="100" t="str">
        <f>$A$27</f>
        <v>Feb 2022</v>
      </c>
      <c r="B115" s="24">
        <f>ROUND(IF(N95=0,0,IFERROR(((LOOKUP(2,1/(A102:A105=A115),G102:G105))*N95*4.348),B114/N95*N95)),2)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ROUND(IF(N95=0,0,IFERROR(((LOOKUP(2,1/(A102:A105=A115),H102:H105))/N91*N95),F114/N95*N95)),2)</f>
        <v>0</v>
      </c>
      <c r="G115" s="27">
        <f t="shared" ref="G115:G125" si="12">SUM(B115+C115+E115+F115)</f>
        <v>0</v>
      </c>
      <c r="H115" s="76">
        <f>ROUND(IF(SUM(B114:F114)&lt;(L129*1),IF((SUM(B114:F115))&gt;(L129*2),(((L129*2)-(SUM(B114:F115)-C114))*H113)+((SUM(B115:F115)-C114)*H113),SUM(B115:F115)*H113),IF(SUM(B114:F115)&gt;(L129*2),L129*H113,SUM(B115:F115)*H113)),2)</f>
        <v>0</v>
      </c>
      <c r="I115" s="76">
        <f>ROUND(IF(SUM(B114:F114)&lt;(L130*1),IF((SUM(B114:F115))&gt;(L130*2),(((L130*2)-(SUM(B114:F115)-C114))*I113)+((SUM(B115:F115)-C114)*I113),SUM(B115:F115)*I113),IF(SUM(B114:F115)&gt;(L130*2),L130*I113,SUM(B115:F115)*I113)),2)</f>
        <v>0</v>
      </c>
      <c r="J115" s="76">
        <f>ROUND(IF(SUM(B114:F114)&lt;(L130*1),IF((SUM(B114:F115))&gt;(L130*2),(((L130*2)-(SUM(B114:F115)-C114))*J113)+((SUM(B115:F115)-C114)*J113),SUM(B115:F115)*J113),IF(SUM(B114:F115)&gt;(L130*2),L130*J113,SUM(B115:F115)*J113)),2)</f>
        <v>0</v>
      </c>
      <c r="K115" s="76">
        <f>ROUND(IF(SUM(B114:F114)&lt;(L129*1),IF((SUM(B114:F115))&gt;(L129*2),(((L129*2)-(SUM(B114:F115)-C114))*K113)+((SUM(B115:F115)-C114)*K113),SUM(B115:F115)*K113),IF(SUM(B114:F115)&gt;(L129*2),L129*K113,SUM(B115:F115)*K113)),2)</f>
        <v>0</v>
      </c>
      <c r="L115" s="76">
        <f>ROUND(IF(SUM(B114:F114)&lt;(L130*1),IF((SUM(B114:F115))&gt;(L130*2),(((L130*2)-(SUM(B114:F115)-C115))*L113)+((SUM(B115:F115)-C115)*L113),(SUM(B115:F115)-C115)*L113),IF(SUM(B114:F115)&gt;(L130*2),L130*L113,SUM(B115:F115)*L113)),2)</f>
        <v>0</v>
      </c>
      <c r="M115" s="76">
        <f>ROUND(IF(SUM(B114:F114)&lt;(L130*1),IF((SUM(B114:F115))&gt;(L130*2),(((L130*2)-(SUM(B114:F115)-C115))*M113)+((SUM(B115:F115)-C115)*M113),(SUM(B115:F115)-C115)*M113),IF(SUM(B114:F115)&gt;(L130*2),L130*M113,SUM(B115:F115)*M113)),2)</f>
        <v>0</v>
      </c>
      <c r="N115" s="76">
        <f>ROUND(IF(SUM(B114:F114)&lt;(L130*1),IF((SUM(B114:F115))&gt;(L130*2),(((L130*2)-(SUM(B114:F115)-C114))*N113)+((SUM(B115:F115)-C114)*N113),SUM(B115:F115)*N113),IF(SUM(B114:F115)&gt;(L130*2),L130*N113,SUM(B115:F115)*N113)),2)</f>
        <v>0</v>
      </c>
      <c r="O115" s="23">
        <f>ROUND(SUM(B115+C115+F115)*O113,2)</f>
        <v>0</v>
      </c>
      <c r="P115" s="27">
        <f>SUM(G115:O115)</f>
        <v>0</v>
      </c>
    </row>
    <row r="116" spans="1:16" x14ac:dyDescent="0.2">
      <c r="A116" s="100" t="str">
        <f>$A$28</f>
        <v>Mrz 2022</v>
      </c>
      <c r="B116" s="24">
        <f>ROUND(IF(N96=0,0,IFERROR(((LOOKUP(2,1/(A102:A105=A116),G102:G105))*N96*4.348),B115/N96*N96)),2)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ROUND(IF(N96=0,0,IFERROR(((LOOKUP(2,1/(A102:A105=A116),H102:H105))/N91*N96),F115/N96*N96)),2)</f>
        <v>0</v>
      </c>
      <c r="G116" s="27">
        <f t="shared" si="12"/>
        <v>0</v>
      </c>
      <c r="H116" s="76">
        <f>ROUND(IF(SUM(B114:F115)&lt;(L129*2),IF((SUM(B114:F116))&gt;(L129*3),(((L129*3)-(SUM(B114:F116)-C115))*H113)+((SUM(B116:F116)-C115)*H113),SUM(B116:F116)*H113),IF(SUM(B114:F116)&gt;(L129*3),L129*H113,SUM(B116:F116)*H113)),2)</f>
        <v>0</v>
      </c>
      <c r="I116" s="76">
        <f>ROUND(IF(SUM(B114:F115)&lt;(L130*2),IF((SUM(B114:F116))&gt;(L130*3),(((L130*3)-(SUM(B114:F116)-C115))*I113)+((SUM(B116:F116)-C115)*I113),SUM(B116:F116)*I113),IF(SUM(B114:F116)&gt;(L130*3),L130*I113,SUM(B116:F116)*I113)),2)</f>
        <v>0</v>
      </c>
      <c r="J116" s="76">
        <f>ROUND(IF(SUM(B114:F115)&lt;(L130*2),IF((SUM(B114:F116))&gt;(L130*3),(((L130*3)-(SUM(B114:F116)-C115))*J113)+((SUM(B116:F116)-C115)*J113),SUM(B116:F116)*J113),IF(SUM(B114:F116)&gt;(L130*3),L130*J113,SUM(B116:F116)*J113)),2)</f>
        <v>0</v>
      </c>
      <c r="K116" s="76">
        <f>ROUND(IF(SUM(B114:F115)&lt;(L129*2),IF((SUM(B114:F116))&gt;(L129*3),(((L129*3)-(SUM(B114:F116)-C115))*K113)+((SUM(B116:F116)-C115)*K113),SUM(B116:F116)*K113),IF(SUM(B114:F116)&gt;(L129*3),L129*K113,SUM(B116:F116)*K113)),2)</f>
        <v>0</v>
      </c>
      <c r="L116" s="76">
        <f>ROUND(IF(SUM(B114:F115)&lt;(L130*2),IF((SUM(B114:F116))&gt;(L130*3),(((L130*3)-(SUM(B114:F116)-C116))*L113)+((SUM(B116:F116)-C116)*L113),(SUM(B116:F116)-C116)*L113),IF(SUM(B114:F116)&gt;(L130*3),L130*L113,SUM(B116:F116)*L113)),2)</f>
        <v>0</v>
      </c>
      <c r="M116" s="76">
        <f>ROUND(IF(SUM(B114:F115)&lt;(L130*2),IF((SUM(B114:F116))&gt;(L130*3),(((L130*3)-(SUM(B114:F116)-C116))*M113)+((SUM(B116:F116)-C116)*M113),(SUM(B116:F116)-C116)*M113),IF(SUM(B114:F116)&gt;(L130*3),L130*M113,SUM(B116:F116)*M113)),2)</f>
        <v>0</v>
      </c>
      <c r="N116" s="76">
        <f>ROUND(IF(SUM(B114:F115)&lt;(L130*2),IF((SUM(B114:F116))&gt;(L130*3),(((L130*3)-(SUM(B114:F116)-C115))*N113)+((SUM(B116:F116)-C115)*N113),SUM(B116:F116)*N113),IF(SUM(B114:F116)&gt;(L130*3),L130*N113,SUM(B116:F116)*N113)),2)</f>
        <v>0</v>
      </c>
      <c r="O116" s="23">
        <f>ROUND(SUM(B116+C116+F116)*O113,2)</f>
        <v>0</v>
      </c>
      <c r="P116" s="27">
        <f t="shared" ref="P116:P125" si="13">SUM(G116:O116)</f>
        <v>0</v>
      </c>
    </row>
    <row r="117" spans="1:16" x14ac:dyDescent="0.2">
      <c r="A117" s="100" t="str">
        <f>$A$29</f>
        <v>Apr 2022</v>
      </c>
      <c r="B117" s="24">
        <f>ROUND(IF(N97=0,0,IFERROR(((LOOKUP(2,1/(A102:A105=A117),G102:G105))*N97*4.348),B116/N97*N97)),2)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ROUND(IF(N97=0,0,IFERROR(((LOOKUP(2,1/(A102:A105=A117),H102:H105))/N91*N97),F116/N97*N97)),2)</f>
        <v>0</v>
      </c>
      <c r="G117" s="27">
        <f t="shared" si="12"/>
        <v>0</v>
      </c>
      <c r="H117" s="76">
        <f>ROUND(IF(SUM(B114:F116)&lt;(L129*3),IF((SUM(B114:F117))&gt;(L129*4),(((L129*4)-(SUM(B114:F117)-C116))*H113)+((SUM(B117:F117)-C116)*H113),SUM(B117:F117)*H113),IF(SUM(B114:F117)&gt;(L129*4),L129*H113,SUM(B117:F117)*H113)),2)</f>
        <v>0</v>
      </c>
      <c r="I117" s="76">
        <f>ROUND(IF(SUM(B114:F116)&lt;(L130*3),IF((SUM(B114:F117))&gt;(L130*4),(((L130*4)-(SUM(B114:F117)-C116))*I113)+((SUM(B117:F117)-C116)*I113),SUM(B117:F117)*I113),IF(SUM(B114:F117)&gt;(L130*4),L130*I113,SUM(B117:F117)*I113)),2)</f>
        <v>0</v>
      </c>
      <c r="J117" s="76">
        <f>ROUND(IF(SUM(B114:F116)&lt;(L130*3),IF((SUM(B114:F117))&gt;(L130*4),(((L130*4)-(SUM(B114:F117)-C116))*J113)+((SUM(B117:F117)-C116)*J113),SUM(B117:F117)*J113),IF(SUM(B114:F117)&gt;(L130*4),L130*J113,SUM(B117:F117)*J113)),2)</f>
        <v>0</v>
      </c>
      <c r="K117" s="76">
        <f>ROUND(IF(SUM(B114:F116)&lt;(L129*3),IF((SUM(B114:F117))&gt;(L129*4),(((L129*4)-(SUM(B114:F117)-C116))*K113)+((SUM(B117:F117)-C116)*K113),SUM(B117:F117)*K113),IF(SUM(B114:F117)&gt;(L129*4),L129*K113,SUM(B117:F117)*K113)),2)</f>
        <v>0</v>
      </c>
      <c r="L117" s="76">
        <f>ROUND(IF(SUM(B114:F116)&lt;(L130*3),IF((SUM(B114:F117))&gt;(L130*4),(((L130*4)-(SUM(B114:F117)-C117))*L113)+((SUM(B117:F117)-C117)*L113),(SUM(B117:F117)-C117)*L113),IF(SUM(B114:F117)&gt;(L130*4),L130*L113,SUM(B117:F117)*L113)),2)</f>
        <v>0</v>
      </c>
      <c r="M117" s="76">
        <f>ROUND(IF(SUM(B114:F116)&lt;(L130*3),IF((SUM(B114:F117))&gt;(L130*4),(((L130*4)-(SUM(B114:F117)-C117))*M113)+((SUM(B117:F117)-C117)*M113),(SUM(B117:F117)-C117)*M113),IF(SUM(B114:F117)&gt;(L130*4),L130*M113,SUM(B117:F117)*M113)),2)</f>
        <v>0</v>
      </c>
      <c r="N117" s="76">
        <f>ROUND(IF(SUM(B114:F116)&lt;(L130*3),IF((SUM(B114:F117))&gt;(L130*4),(((L130*4)-(SUM(B114:F117)-C116))*N113)+((SUM(B117:F117)-C116)*N113),SUM(B117:F117)*N113),IF(SUM(B114:F117)&gt;(L130*4),L130*N113,SUM(B117:F117)*N113)),2)</f>
        <v>0</v>
      </c>
      <c r="O117" s="23">
        <f>ROUND(SUM(B117+C117+F117)*O113,2)</f>
        <v>0</v>
      </c>
      <c r="P117" s="27">
        <f t="shared" si="13"/>
        <v>0</v>
      </c>
    </row>
    <row r="118" spans="1:16" x14ac:dyDescent="0.2">
      <c r="A118" s="100" t="str">
        <f>$A$30</f>
        <v>Mai 2022</v>
      </c>
      <c r="B118" s="24">
        <f>ROUND(IF(N98=0,0,IFERROR(((LOOKUP(2,1/(A102:A105=A118),G102:G105))*N98*4.348),B117/N98*N98)),2)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ROUND(IF(N98=0,0,IFERROR(((LOOKUP(2,1/(A102:A105=A118),H102:H105))/N91*N98),F117/N98*N98)),2)</f>
        <v>0</v>
      </c>
      <c r="G118" s="27">
        <f t="shared" si="12"/>
        <v>0</v>
      </c>
      <c r="H118" s="76">
        <f>ROUND(IF(SUM(B114:F117)&lt;(L129*4),IF((SUM(B114:F118))&gt;(L129*5),(((L129*5)-(SUM(B114:F118)-C117))*H113)+((SUM(B118:F118)-C117)*H113),SUM(B118:F118)*H113),IF(SUM(B114:F118)&gt;(L129*5),L129*H113,SUM(B118:F118)*H113)),2)</f>
        <v>0</v>
      </c>
      <c r="I118" s="76">
        <f>ROUND(IF(SUM(B114:F117)&lt;(L130*4),IF((SUM(B114:F118))&gt;(L130*5),(((L130*5)-(SUM(B114:F118)-C117))*I113)+((SUM(B118:F118)-C117)*I113),SUM(B118:F118)*I113),IF(SUM(B114:F118)&gt;(L130*5),L130*I113,SUM(B118:F118)*I113)),2)</f>
        <v>0</v>
      </c>
      <c r="J118" s="76">
        <f>ROUND(IF(SUM(B114:F117)&lt;(L130*4),IF((SUM(B114:F118))&gt;(L130*5),(((L130*5)-(SUM(B114:F118)-C117))*J113)+((SUM(B118:F118)-C117)*J113),SUM(B118:F118)*J113),IF(SUM(B114:F118)&gt;(L130*5),L130*J113,SUM(B118:F118)*J113)),2)</f>
        <v>0</v>
      </c>
      <c r="K118" s="76">
        <f>ROUND(IF(SUM(B114:F117)&lt;(L129*4),IF((SUM(B114:F118))&gt;(L129*5),(((L129*5)-(SUM(B114:F118)-C117))*K113)+((SUM(B118:F118)-C117)*K113),SUM(B118:F118)*K113),IF(SUM(B114:F118)&gt;(L129*5),L129*K113,SUM(B118:F118)*K113)),2)</f>
        <v>0</v>
      </c>
      <c r="L118" s="76">
        <f>ROUND(IF(SUM(B114:F117)&lt;(L130*4),IF((SUM(B114:F118))&gt;(L130*5),(((L130*5)-(SUM(B114:F118)-C118))*L113)+((SUM(B118:F118)-C118)*L113),(SUM(B118:F118)-C118)*L113),IF(SUM(B114:F118)&gt;(L130*5),L130*L113,SUM(B118:F118)*L113)),2)</f>
        <v>0</v>
      </c>
      <c r="M118" s="76">
        <f>ROUND(IF(SUM(B114:F117)&lt;(L130*4),IF((SUM(B114:F118))&gt;(L130*5),(((L130*5)-(SUM(B114:F118)-C118))*M113)+((SUM(B118:F118)-C118)*M113),(SUM(B118:F118)-C118)*M113),IF(SUM(B114:F118)&gt;(L130*5),L130*M113,SUM(B118:F118)*M113)),2)</f>
        <v>0</v>
      </c>
      <c r="N118" s="76">
        <f>ROUND(IF(SUM(B114:F117)&lt;(L130*4),IF((SUM(B114:F118))&gt;(L130*5),(((L130*5)-(SUM(B114:F118)-C117))*N113)+((SUM(B118:F118)-C117)*N113),SUM(B118:F118)*N113),IF(SUM(B114:F118)&gt;(L130*5),L130*N113,SUM(B118:F118)*N113)),2)</f>
        <v>0</v>
      </c>
      <c r="O118" s="23">
        <f>ROUND(SUM(B118+C118+F118)*O113,2)</f>
        <v>0</v>
      </c>
      <c r="P118" s="27">
        <f t="shared" si="13"/>
        <v>0</v>
      </c>
    </row>
    <row r="119" spans="1:16" x14ac:dyDescent="0.2">
      <c r="A119" s="100" t="str">
        <f>$A$31</f>
        <v>Jun 2022</v>
      </c>
      <c r="B119" s="24">
        <f>ROUND(IF(N99=0,0,IFERROR(((LOOKUP(2,1/(A102:A105=A119),G102:G105))*N99*4.348),B118/N99*N99)),2)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ROUND(IF(N99=0,0,IFERROR(((LOOKUP(2,1/(A102:A105=A119),H102:H105))/N91*N99),F118/N99*N99)),2)</f>
        <v>0</v>
      </c>
      <c r="G119" s="27">
        <f t="shared" si="12"/>
        <v>0</v>
      </c>
      <c r="H119" s="76">
        <f>ROUND(IF(SUM(B114:F118)&lt;(L129*5),IF((SUM(B114:F119))&gt;(L129*6),(((L129*6)-(SUM(B114:F119)-C118))*H113)+((SUM(B119:F119)-C118)*H113),SUM(B119:F119)*H113),IF(SUM(B114:F119)&gt;(L129*6),L129*H113,SUM(B119:F119)*H113)),2)</f>
        <v>0</v>
      </c>
      <c r="I119" s="76">
        <f>ROUND(IF(SUM(B114:F118)&lt;(L130*5),IF((SUM(B114:F119))&gt;(L130*6),(((L130*6)-(SUM(B114:F119)-C118))*I113)+((SUM(B119:F119)-C118)*I113),SUM(B119:F119)*I113),IF(SUM(B114:F119)&gt;(L130*6),L130*I113,SUM(B119:F119)*I113)),2)</f>
        <v>0</v>
      </c>
      <c r="J119" s="76">
        <f>ROUND(IF(SUM(B114:F118)&lt;(L130*5),IF((SUM(B114:F119))&gt;(L130*6),(((L130*6)-(SUM(B114:F119)-C118))*J113)+((SUM(B119:F119)-C118)*J113),SUM(B119:F119)*J113),IF(SUM(B114:F119)&gt;(L130*6),L130*J113,SUM(B119:F119)*J113)),2)</f>
        <v>0</v>
      </c>
      <c r="K119" s="76">
        <f>ROUND(IF(SUM(B114:F118)&lt;(L129*5),IF((SUM(B114:F119))&gt;(L129*6),(((L129*6)-(SUM(B114:F119)-C118))*K113)+((SUM(B119:F119)-C118)*K113),SUM(B119:F119)*K113),IF(SUM(B114:F119)&gt;(L129*6),L129*K113,SUM(B119:F119)*K113)),2)</f>
        <v>0</v>
      </c>
      <c r="L119" s="76">
        <f>ROUND(IF(SUM(B114:F118)&lt;(L130*5),IF((SUM(B114:F119))&gt;(L130*6),(((L130*6)-(SUM(B114:F119)-C119))*L113)+((SUM(B119:F119)-C119)*L113),(SUM(B119:F119)-C119)*L113),IF(SUM(B114:F119)&gt;(L130*6),L130*L113,SUM(B119:F119)*L113)),2)</f>
        <v>0</v>
      </c>
      <c r="M119" s="76">
        <f>ROUND(IF(SUM(B114:F118)&lt;(L130*5),IF((SUM(B114:F119))&gt;(L130*6),(((L130*6)-(SUM(B114:F119)-C119))*M113)+((SUM(B119:F119)-C119)*M113),(SUM(B119:F119)-C119)*M113),IF(SUM(B114:F119)&gt;(L130*6),L130*M113,SUM(B119:F119)*M113)),2)</f>
        <v>0</v>
      </c>
      <c r="N119" s="76">
        <f>ROUND(IF(SUM(B114:F118)&lt;(L130*5),IF((SUM(B114:F119))&gt;(L130*6),(((L130*6)-(SUM(B114:F119)-C118))*N113)+((SUM(B119:F119)-C118)*N113),SUM(B119:F119)*N113),IF(SUM(B114:F119)&gt;(L130*6),L130*N113,SUM(B119:F119)*N113)),2)</f>
        <v>0</v>
      </c>
      <c r="O119" s="23">
        <f>ROUND(SUM(B119+C119+F119)*O113,2)</f>
        <v>0</v>
      </c>
      <c r="P119" s="27">
        <f t="shared" si="13"/>
        <v>0</v>
      </c>
    </row>
    <row r="120" spans="1:16" x14ac:dyDescent="0.2">
      <c r="A120" s="100" t="str">
        <f>$A$32</f>
        <v>Jul 2022</v>
      </c>
      <c r="B120" s="24">
        <f>ROUND(IF(P94=0,0,IFERROR(((LOOKUP(2,1/(A102:A105=A120),G102:G105))*P94*4.348),B119/P94*P94)),2)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ROUND(IF(P94=0,0,IFERROR(((LOOKUP(2,1/(A102:A105=A120),H102:H105))/N91*P94),F119/P94*P94)),2)</f>
        <v>0</v>
      </c>
      <c r="G120" s="27">
        <f t="shared" si="12"/>
        <v>0</v>
      </c>
      <c r="H120" s="76">
        <f>ROUND(IF(SUM(B114:F119)&lt;(L129*6),IF((SUM(B114:F120))&gt;(L129*7),(((L129*7)-(SUM(B114:F120)-C119))*H113)+((SUM(B120:F120)-C119)*H113),SUM(B120:F120)*H113),IF(SUM(B114:F120)&gt;(L129*7),L129*H113,SUM(B120:F120)*H113)),2)</f>
        <v>0</v>
      </c>
      <c r="I120" s="76">
        <f>ROUND(IF(SUM(B114:F119)&lt;(L130*6),IF((SUM(B114:F120))&gt;(L130*7),(((L130*7)-(SUM(B114:F120)-C119))*I113)+((SUM(B120:F120)-C119)*I113),SUM(B120:F120)*I113),IF(SUM(B114:F120)&gt;(L130*7),L130*I113,SUM(B120:F120)*I113)),2)</f>
        <v>0</v>
      </c>
      <c r="J120" s="76">
        <f>ROUND(IF(SUM(B114:F119)&lt;(L130*6),IF((SUM(B114:F120))&gt;(L130*7),(((L130*7)-(SUM(B114:F120)-C119))*J113)+((SUM(B120:F120)-C119)*J113),SUM(B120:F120)*J113),IF(SUM(B114:F120)&gt;(L130*7),L130*J113,SUM(B120:F120)*J113)),2)</f>
        <v>0</v>
      </c>
      <c r="K120" s="76">
        <f>ROUND(IF(SUM(B114:F119)&lt;(L129*6),IF((SUM(B114:F120))&gt;(L129*7),(((L129*7)-(SUM(B114:F120)-C119))*K113)+((SUM(B120:F120)-C119)*K113),SUM(B120:F120)*K113),IF(SUM(B114:F120)&gt;(L129*7),L129*K113,SUM(B120:F120)*K113)),2)</f>
        <v>0</v>
      </c>
      <c r="L120" s="76">
        <f>ROUND(IF(SUM(B114:F119)&lt;(L130*6),IF((SUM(B114:F120))&gt;(L130*7),(((L130*7)-(SUM(B114:F120)-C120))*L113)+((SUM(B120:F120)-C120)*L113),(SUM(B120:F120)-C120)*L113),IF(SUM(B114:F120)&gt;(L130*7),L130*L113,SUM(B120:F120)*L113)),2)</f>
        <v>0</v>
      </c>
      <c r="M120" s="76">
        <f>ROUND(IF(SUM(B114:F119)&lt;(L130*6),IF((SUM(B114:F120))&gt;(L130*7),(((L130*7)-(SUM(B114:F120)-C120))*M113)+((SUM(B120:F120)-C120)*M113),(SUM(B120:F120)-C120)*M113),IF(SUM(B114:F120)&gt;(L130*7),L130*M113,SUM(B120:F120)*M113)),2)</f>
        <v>0</v>
      </c>
      <c r="N120" s="76">
        <f>ROUND(IF(SUM(B114:F119)&lt;(L130*6),IF((SUM(B114:F120))&gt;(L130*7),(((L130*7)-(SUM(B114:F120)-C119))*N113)+((SUM(B120:F120)-C119)*N113),SUM(B120:F120)*N113),IF(SUM(B114:F120)&gt;(L130*7),L130*N113,SUM(B120:F120)*N113)),2)</f>
        <v>0</v>
      </c>
      <c r="O120" s="23">
        <f>ROUND(SUM(B120+C120+F120)*O113,2)</f>
        <v>0</v>
      </c>
      <c r="P120" s="27">
        <f t="shared" si="13"/>
        <v>0</v>
      </c>
    </row>
    <row r="121" spans="1:16" x14ac:dyDescent="0.2">
      <c r="A121" s="100" t="str">
        <f>$A$33</f>
        <v>Aug 2022</v>
      </c>
      <c r="B121" s="24">
        <f>ROUND(IF(P95=0,0,IFERROR(((LOOKUP(2,1/(A102:A105=A121),G102:G105))*P95*4.348),B120/P95*P95)),2)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ROUND(IF(P95=0,0,IFERROR(((LOOKUP(2,1/(A102:A105=A121),H102:H105))/N91*P95),F120/P95*P95)),2)</f>
        <v>0</v>
      </c>
      <c r="G121" s="27">
        <f t="shared" si="12"/>
        <v>0</v>
      </c>
      <c r="H121" s="76">
        <f>ROUND(IF(SUM(B114:F120)&lt;(L129*7),IF((SUM(B114:F121))&gt;(L129*8),(((L129*8)-(SUM(B114:F121)-C120))*H113)+((SUM(B121:F121)-C120)*H113),SUM(B121:F121)*H113),IF(SUM(B114:F121)&gt;(L129*8),L129*H113,SUM(B121:F121)*H113)),2)</f>
        <v>0</v>
      </c>
      <c r="I121" s="76">
        <f>ROUND(IF(SUM(B114:F120)&lt;(L130*7),IF((SUM(B114:F121))&gt;(L130*8),(((L130*8)-(SUM(B114:F121)-C120))*I113)+((SUM(B121:F121)-C120)*I113),SUM(B121:F121)*I113),IF(SUM(B114:F121)&gt;(L130*8),L130*I113,SUM(B121:F121)*I113)),2)</f>
        <v>0</v>
      </c>
      <c r="J121" s="76">
        <f>ROUND(IF(SUM(B114:F120)&lt;(L130*7),IF((SUM(B114:F121))&gt;(L130*8),(((L130*8)-(SUM(B114:F121)-C120))*J113)+((SUM(B121:F121)-C120)*J113),SUM(B121:F121)*J113),IF(SUM(B114:F121)&gt;(L130*8),L130*J113,SUM(B121:F121)*J113)),2)</f>
        <v>0</v>
      </c>
      <c r="K121" s="76">
        <f>ROUND(IF(SUM(B114:F120)&lt;(L129*7),IF((SUM(B114:F121))&gt;(L129*8),(((L129*8)-(SUM(B114:F121)-C120))*K113)+((SUM(B121:F121)-C120)*K113),SUM(B121:F121)*K113),IF(SUM(B114:F121)&gt;(L129*8),L129*K113,SUM(B121:F121)*K113)),2)</f>
        <v>0</v>
      </c>
      <c r="L121" s="76">
        <f>ROUND(IF(SUM(B114:F120)&lt;(L130*7),IF((SUM(B114:F121))&gt;(L130*8),(((L130*8)-(SUM(B114:F121)-C121))*L113)+((SUM(B121:F121)-C121)*L113),(SUM(B121:F121)-C121)*L113),IF(SUM(B114:F121)&gt;(L130*8),L130*L113,SUM(B121:F121)*L113)),2)</f>
        <v>0</v>
      </c>
      <c r="M121" s="76">
        <f>ROUND(IF(SUM(B114:F120)&lt;(L130*7),IF((SUM(B114:F121))&gt;(L130*8),(((L130*8)-(SUM(B114:F121)-C121))*M113)+((SUM(B121:F121)-C121)*M113),(SUM(B121:F121)-C121)*M113),IF(SUM(B114:F121)&gt;(L130*8),L130*M113,SUM(B121:F121)*M113)),2)</f>
        <v>0</v>
      </c>
      <c r="N121" s="76">
        <f>ROUND(IF(SUM(B114:F120)&lt;(L130*7),IF((SUM(B114:F121))&gt;(L130*8),(((L130*8)-(SUM(B114:F121)-C120))*N113)+((SUM(B121:F121)-C120)*N113),SUM(B121:F121)*N113),IF(SUM(B114:F121)&gt;(L130*8),L130*N113,SUM(B121:F121)*N113)),2)</f>
        <v>0</v>
      </c>
      <c r="O121" s="23">
        <f>ROUND(SUM(B121+C121+F121)*O113,2)</f>
        <v>0</v>
      </c>
      <c r="P121" s="27">
        <f t="shared" si="13"/>
        <v>0</v>
      </c>
    </row>
    <row r="122" spans="1:16" x14ac:dyDescent="0.2">
      <c r="A122" s="100" t="str">
        <f>$A$34</f>
        <v>Sep 2022</v>
      </c>
      <c r="B122" s="24">
        <f>ROUND(IF(P96=0,0,IFERROR(((LOOKUP(2,1/(A102:A105=A122),G102:G105))*P96*4.348),B121/P96*P96)),2)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ROUND(IF(P96=0,0,IFERROR(((LOOKUP(2,1/(A102:A105=A122),H102:H105))/N91*P96),F121/P96*P96)),2)</f>
        <v>0</v>
      </c>
      <c r="G122" s="27">
        <f t="shared" si="12"/>
        <v>0</v>
      </c>
      <c r="H122" s="76">
        <f>ROUND(IF(SUM(B114:F121)&lt;(L129*8),IF((SUM(B114:F122))&gt;(L129*9),(((L129*9)-(SUM(B114:F122)-C121))*H113)+((SUM(B122:F122)-C121)*H113),SUM(B122:F122)*H113),IF(SUM(B114:F122)&gt;(L129*9),L129*H113,SUM(B122:F122)*H113)),2)</f>
        <v>0</v>
      </c>
      <c r="I122" s="76">
        <f>ROUND(IF(SUM(B114:F121)&lt;(L130*8),IF((SUM(B114:F122))&gt;(L130*9),(((L130*9)-(SUM(B114:F122)-C121))*I113)+((SUM(B122:F122)-C121)*I113),SUM(B122:F122)*I113),IF(SUM(B114:F122)&gt;(L130*9),L130*I113,SUM(B122:F122)*I113)),2)</f>
        <v>0</v>
      </c>
      <c r="J122" s="76">
        <f>ROUND(IF(SUM(B114:F121)&lt;(L130*8),IF((SUM(B114:F122))&gt;(L130*9),(((L130*9)-(SUM(B114:F122)-C121))*J113)+((SUM(B122:F122)-C121)*J113),SUM(B122:F122)*J113),IF(SUM(B114:F122)&gt;(L130*9),L130*J113,SUM(B122:F122)*J113)),2)</f>
        <v>0</v>
      </c>
      <c r="K122" s="76">
        <f>ROUND(IF(SUM(B114:F121)&lt;(L129*8),IF((SUM(B114:F122))&gt;(L129*9),(((L129*9)-(SUM(B114:F122)-C121))*K113)+((SUM(B122:F122)-C121)*K113),SUM(B122:F122)*K113),IF(SUM(B114:F122)&gt;(L129*9),L129*K113,SUM(B122:F122)*K113)),2)</f>
        <v>0</v>
      </c>
      <c r="L122" s="76">
        <f>ROUND(IF(SUM(B114:F121)&lt;(L130*8),IF((SUM(B114:F122))&gt;(L130*9),(((L130*9)-(SUM(B114:F122)-C122))*L113)+((SUM(B122:F122)-C122)*L113),(SUM(B122:F122)-C122)*L113),IF(SUM(B114:F122)&gt;(L130*9),L130*L113,SUM(B122:F122)*L113)),2)</f>
        <v>0</v>
      </c>
      <c r="M122" s="76">
        <f>ROUND(IF(SUM(B114:F121)&lt;(L130*8),IF((SUM(B114:F122))&gt;(L130*9),(((L130*9)-(SUM(B114:F122)-C122))*M113)+((SUM(B122:F122)-C122)*M113),(SUM(B122:F122)-C122)*M113),IF(SUM(B114:F122)&gt;(L130*9),L130*M113,SUM(B122:F122)*M113)),2)</f>
        <v>0</v>
      </c>
      <c r="N122" s="76">
        <f>ROUND(IF(SUM(B114:F121)&lt;(L130*8),IF((SUM(B114:F122))&gt;(L130*9),(((L130*9)-(SUM(B114:F122)-C121))*N113)+((SUM(B122:F122)-C121)*N113),SUM(B122:F122)*N113),IF(SUM(B114:F122)&gt;(L130*9),L130*N113,SUM(B122:F122)*N113)),2)</f>
        <v>0</v>
      </c>
      <c r="O122" s="23">
        <f>ROUND(SUM(B122+C122+F122)*O113,2)</f>
        <v>0</v>
      </c>
      <c r="P122" s="27">
        <f t="shared" si="13"/>
        <v>0</v>
      </c>
    </row>
    <row r="123" spans="1:16" x14ac:dyDescent="0.2">
      <c r="A123" s="100" t="str">
        <f>$A$35</f>
        <v>Okt 2022</v>
      </c>
      <c r="B123" s="24">
        <f>ROUND(IF(P97=0,0,IFERROR(((LOOKUP(2,1/(A102:A105=A123),G102:G105))*P97*4.348),B122/P97*P97)),2)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ROUND(IF(P97=0,0,IFERROR(((LOOKUP(2,1/(A102:A105=A123),H102:H105))/N91*P97),F122/P97*P97)),2)</f>
        <v>0</v>
      </c>
      <c r="G123" s="27">
        <f t="shared" si="12"/>
        <v>0</v>
      </c>
      <c r="H123" s="76">
        <f>ROUND(IF(SUM(B114:F122)&lt;(L129*9),IF((SUM(B114:F123))&gt;(L129*10),(((L129*10)-(SUM(B114:F123)-C122))*H113)+((SUM(B123:F123)-C122)*H113),SUM(B123:F123)*H113),IF(SUM(B114:F123)&gt;(L129*10),L129*H113,SUM(B123:F123)*H113)),2)</f>
        <v>0</v>
      </c>
      <c r="I123" s="76">
        <f>ROUND(IF(SUM(B114:F122)&lt;(L130*9),IF((SUM(B114:F123))&gt;(L130*10),(((L130*10)-(SUM(B114:F123)-C122))*I113)+((SUM(B123:F123)-C122)*I113),SUM(B123:F123)*I113),IF(SUM(B114:F123)&gt;(L130*10),L130*I113,SUM(B123:F123)*I113)),2)</f>
        <v>0</v>
      </c>
      <c r="J123" s="76">
        <f>ROUND(IF(SUM(B114:F122)&lt;(L130*9),IF((SUM(B114:F123))&gt;(L130*10),(((L130*10)-(SUM(B114:F123)-C122))*J113)+((SUM(B123:F123)-C122)*J113),SUM(B123:F123)*J113),IF(SUM(B114:F123)&gt;(L130*10),L130*J113,SUM(B123:F123)*J113)),2)</f>
        <v>0</v>
      </c>
      <c r="K123" s="76">
        <f>ROUND(IF(SUM(B114:F122)&lt;(L129*9),IF((SUM(B114:F123))&gt;(L129*10),(((L129*10)-(SUM(B114:F123)-C122))*K113)+((SUM(B123:F123)-C122)*K113),SUM(B123:F123)*K113),IF(SUM(B114:F123)&gt;(L129*10),L129*K113,SUM(B123:F123)*K113)),2)</f>
        <v>0</v>
      </c>
      <c r="L123" s="76">
        <f>ROUND(IF(SUM(B114:F122)&lt;(L130*9),IF((SUM(B114:F123))&gt;(L130*10),(((L130*10)-(SUM(B114:F123)-C123))*L113)+((SUM(B123:F123)-C123)*L113),(SUM(B123:F123)-C123)*L113),IF(SUM(B114:F123)&gt;(L130*10),L130*L113,SUM(B123:F123)*L113)),2)</f>
        <v>0</v>
      </c>
      <c r="M123" s="76">
        <f>ROUND(IF(SUM(B114:F122)&lt;(L130*9),IF((SUM(B114:F123))&gt;(L130*10),(((L130*10)-(SUM(B114:F123)-C123))*M113)+((SUM(B123:F123)-C123)*M113),(SUM(B123:F123)-C123)*M113),IF(SUM(B114:F123)&gt;(L130*10),L130*M113,SUM(B123:F123)*M113)),2)</f>
        <v>0</v>
      </c>
      <c r="N123" s="76">
        <f>ROUND(IF(SUM(B114:F122)&lt;(L130*9),IF((SUM(B114:F123))&gt;(L130*10),(((L130*10)-(SUM(B114:F123)-C122))*N113)+((SUM(B123:F123)-C122)*N113),SUM(B123:F123)*N113),IF(SUM(B114:F123)&gt;(L130*10),L130*N113,SUM(B123:F123)*N113)),2)</f>
        <v>0</v>
      </c>
      <c r="O123" s="23">
        <f>ROUND(SUM(B123+C123+F123)*O113,2)</f>
        <v>0</v>
      </c>
      <c r="P123" s="27">
        <f t="shared" si="13"/>
        <v>0</v>
      </c>
    </row>
    <row r="124" spans="1:16" x14ac:dyDescent="0.2">
      <c r="A124" s="100" t="str">
        <f>$A$36</f>
        <v>Nov 2022</v>
      </c>
      <c r="B124" s="24">
        <f>ROUND(IF(P98=0,0,IFERROR(((LOOKUP(2,1/(A102:A105=A124),G102:G105))*P98*4.348),B123/P98*P98)),2)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ROUND(IF(P98=0,0,IFERROR(((LOOKUP(2,1/(A102:A105=A124),H102:H105))/N91*P98),F123/P98*P98)),2)</f>
        <v>0</v>
      </c>
      <c r="G124" s="27">
        <f t="shared" si="12"/>
        <v>0</v>
      </c>
      <c r="H124" s="76">
        <f>ROUND(IF(SUM(B114:F123)&lt;(L129*10),IF((SUM(B114:F124))&gt;(L129*11),(((L129*11)-(SUM(B114:F124)-C123))*H113)+((SUM(B124:F124)-C123)*H113),SUM(B124:F124)*H113),IF(SUM(B114:F124)&gt;(L129*11),L129*H113,SUM(B124:F124)*H113)),2)</f>
        <v>0</v>
      </c>
      <c r="I124" s="76">
        <f>ROUND(IF(SUM(B114:F123)&lt;(L130*10),IF((SUM(B114:F124))&gt;(L130*11),(((L130*11)-(SUM(B114:F124)-C123))*I113)+((SUM(B124:F124)-C123)*I113),SUM(B124:F124)*I113),IF(SUM(B114:F124)&gt;(L130*11),L130*I113,SUM(B124:F124)*I113)),2)</f>
        <v>0</v>
      </c>
      <c r="J124" s="76">
        <f>ROUND(IF(SUM(B114:F123)&lt;(L130*10),IF((SUM(B114:F124))&gt;(L130*11),(((L130*11)-(SUM(B114:F124)-C123))*J113)+((SUM(B124:F124)-C123)*J113),SUM(B124:F124)*J113),IF(SUM(B114:F124)&gt;(L130*11),L130*J113,SUM(B124:F124)*J113)),2)</f>
        <v>0</v>
      </c>
      <c r="K124" s="76">
        <f>ROUND(IF(SUM(B114:F123)&lt;(L129*10),IF((SUM(B114:F124))&gt;(L129*11),(((L129*11)-(SUM(B114:F124)-C123))*K113)+((SUM(B124:F124)-C123)*K113),SUM(B124:F124)*K113),IF(SUM(B114:F124)&gt;(L129*11),L129*K113,SUM(B124:F124)*K113)),2)</f>
        <v>0</v>
      </c>
      <c r="L124" s="76">
        <f>ROUND(IF(SUM(B114:F123)&lt;(L130*10),IF((SUM(B114:F124))&gt;(L130*11),(((L130*11)-(SUM(B114:F124)-C124))*L113)+((SUM(B124:F124)-C124)*L113),(SUM(B124:F124)-C124)*L113),IF(SUM(B114:F124)&gt;(L130*11),L130*L113,SUM(B124:F124)*L113)),2)</f>
        <v>0</v>
      </c>
      <c r="M124" s="76">
        <f>ROUND(IF(SUM(B114:F123)&lt;(L130*10),IF((SUM(B114:F124))&gt;(L130*11),(((L130*11)-(SUM(B114:F124)-C124))*M113)+((SUM(B124:F124)-C124)*M113),(SUM(B124:F124)-C124)*M113),IF(SUM(B114:F124)&gt;(L130*11),L130*M113,SUM(B124:F124)*M113)),2)</f>
        <v>0</v>
      </c>
      <c r="N124" s="76">
        <f>ROUND(IF(SUM(B114:F123)&lt;(L130*10),IF((SUM(B114:F124))&gt;(L130*11),(((L130*11)-(SUM(B114:F124)-C123))*N113)+((SUM(B124:F124)-C123)*N113),SUM(B124:F124)*N113),IF(SUM(B114:F124)&gt;(L130*11),L130*N113,SUM(B124:F124)*N113)),2)</f>
        <v>0</v>
      </c>
      <c r="O124" s="23">
        <f>ROUND(SUM(B124+C124+F124)*O113,2)</f>
        <v>0</v>
      </c>
      <c r="P124" s="27">
        <f t="shared" si="13"/>
        <v>0</v>
      </c>
    </row>
    <row r="125" spans="1:16" x14ac:dyDescent="0.2">
      <c r="A125" s="100" t="str">
        <f>$A$37</f>
        <v>Dez 2022</v>
      </c>
      <c r="B125" s="24">
        <f>ROUND(IF(P99=0,0,IFERROR(((LOOKUP(2,1/(A102:A105=A125),G102:G105))*P99*4.348),B124/P99*P99)),2)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ROUND(IF(P99=0,0,IFERROR(((LOOKUP(2,1/(A102:A105=A125),H102:H105))/N91*P99),F124/P99*P99)),2)</f>
        <v>0</v>
      </c>
      <c r="G125" s="27">
        <f t="shared" si="12"/>
        <v>0</v>
      </c>
      <c r="H125" s="76">
        <f>ROUND(IF(SUM(B114:F124)&lt;(L129*11),IF((SUM(B114:F125))&gt;(L129*12),(((L129*12)-(SUM(B114:F125)-C124))*H113)+((SUM(B125:F125)-C124)*H113),SUM(B125:F125)*H113),IF(SUM(B114:F125)&gt;(L129*12),L129*H113,SUM(B125:F125)*H113)),2)</f>
        <v>0</v>
      </c>
      <c r="I125" s="76">
        <f>ROUND(IF(SUM(B114:F124)&lt;(L130*11),IF((SUM(B114:F125))&gt;(L130*12),(((L130*12)-(SUM(B114:F125)-C124))*I113)+((SUM(B125:F125)-C124)*I113),SUM(B125:F125)*I113),IF(SUM(B114:F125)&gt;(L130*12),L130*I113,SUM(B125:F125)*I113)),2)</f>
        <v>0</v>
      </c>
      <c r="J125" s="76">
        <f>ROUND(IF(SUM(B114:F124)&lt;(L130*11),IF((SUM(B114:F125))&gt;(L130*12),(((L130*12)-(SUM(B114:F125)-C124))*J113)+((SUM(B125:F125)-C124)*J113),SUM(B125:F125)*J113),IF(SUM(B114:F125)&gt;(L130*12),L130*J113,SUM(B125:F125)*J113)),2)</f>
        <v>0</v>
      </c>
      <c r="K125" s="76">
        <f>ROUND(IF(SUM(B114:F124)&lt;(L129*11),IF((SUM(B114:F125))&gt;(L129*12),(((L129*12)-(SUM(B114:F125)-C124))*K113)+((SUM(B125:F125)-C124)*K113),SUM(B125:F125)*K113),IF(SUM(B114:F125)&gt;(L129*12),L129*K113,SUM(B125:F125)*K113)),2)</f>
        <v>0</v>
      </c>
      <c r="L125" s="76">
        <f>ROUND(IF(SUM(B114:F124)&lt;(L130*11),IF((SUM(B114:F125))&gt;(L130*12),(((L130*12)-(SUM(B114:F125)-C125))*L113)+((SUM(B125:F125)-C125)*L113),(SUM(B125:F125)-C125)*L113),IF(SUM(B114:F125)&gt;(L130*12),L130*L113,SUM(B125:F125)*L113)),2)</f>
        <v>0</v>
      </c>
      <c r="M125" s="76">
        <f>ROUND(IF(SUM(B114:F124)&lt;(L130*11),IF((SUM(B114:F125))&gt;(L130*12),(((L130*12)-(SUM(B114:F125)-C125))*M113)+((SUM(B125:F125)-C125)*M113),(SUM(B125:F125)-C125)*M113),IF(SUM(B114:F125)&gt;(L130*12),L130*M113,SUM(B125:F125)*M113)),2)</f>
        <v>0</v>
      </c>
      <c r="N125" s="76">
        <f>ROUND(IF(SUM(B114:F124)&lt;(L130*11),IF((SUM(B114:F125))&gt;(L130*12),(((L130*12)-(SUM(B114:F125)-C124))*N113)+((SUM(B125:F125)-C124)*N113),SUM(B125:F125)*N113),IF(SUM(B114:F125)&gt;(L130*12),L130*N113,SUM(B125:F125)*N113)),2)</f>
        <v>0</v>
      </c>
      <c r="O125" s="23">
        <f>ROUND(SUM(B125+C125+F125)*O113,2)</f>
        <v>0</v>
      </c>
      <c r="P125" s="27">
        <f t="shared" si="13"/>
        <v>0</v>
      </c>
    </row>
    <row r="126" spans="1:16"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133">
        <f>SUM(H114:N125)</f>
        <v>0</v>
      </c>
      <c r="I126" s="1134"/>
      <c r="J126" s="1134"/>
      <c r="K126" s="1134"/>
      <c r="L126" s="1134"/>
      <c r="M126" s="1134"/>
      <c r="N126" s="1135"/>
      <c r="O126" s="27">
        <f>SUM(O114:O125)</f>
        <v>0</v>
      </c>
      <c r="P126" s="27">
        <f>SUM(P114:P125)</f>
        <v>0</v>
      </c>
    </row>
    <row r="127" spans="1:16" s="13" customFormat="1" ht="11.25" x14ac:dyDescent="0.2">
      <c r="A127" s="3" t="s">
        <v>1</v>
      </c>
      <c r="B127" s="2"/>
      <c r="C127" s="2"/>
      <c r="D127" s="2"/>
      <c r="E127" s="2"/>
      <c r="F127" s="2"/>
      <c r="G127" s="2"/>
      <c r="H127" s="2"/>
      <c r="I127" s="2"/>
      <c r="J127" s="2"/>
      <c r="K127" s="2"/>
      <c r="L127" s="2"/>
      <c r="M127" s="2"/>
      <c r="N127" s="2"/>
      <c r="O127" s="2"/>
      <c r="P127" s="2"/>
    </row>
    <row r="128" spans="1:16" ht="14.25" customHeight="1" x14ac:dyDescent="0.2">
      <c r="A128" s="1136" t="s">
        <v>133</v>
      </c>
      <c r="B128" s="1137"/>
      <c r="C128" s="1137"/>
      <c r="D128" s="1137" t="s">
        <v>134</v>
      </c>
      <c r="E128" s="1137"/>
      <c r="F128" s="94" t="str">
        <f>IF(IF(G126=0,"",$F$40)=0,"",IF(G126=0,"",$F$40))</f>
        <v/>
      </c>
      <c r="G128" s="77" t="s">
        <v>135</v>
      </c>
      <c r="H128" s="96" t="str">
        <f>IF(IF(G126=0,"",$H$40)=0,"",IF(G126=0,"",$H$40))</f>
        <v/>
      </c>
      <c r="I128" s="73"/>
      <c r="J128" s="194" t="s">
        <v>160</v>
      </c>
      <c r="K128" s="194" t="str">
        <f>$K$40</f>
        <v>2021</v>
      </c>
      <c r="L128" s="194" t="str">
        <f>$L$40</f>
        <v>anteilig 2021</v>
      </c>
      <c r="M128" s="1138" t="s">
        <v>140</v>
      </c>
      <c r="N128" s="1138"/>
      <c r="O128" s="1139"/>
      <c r="P128" s="27">
        <f>ROUND(IF(F128="",IF(E132="",0,(E132*H132/K132)/L95*L96),G126*F128*H128/1000),2)</f>
        <v>0</v>
      </c>
    </row>
    <row r="129" spans="1:16" ht="15" customHeight="1" x14ac:dyDescent="0.2">
      <c r="A129" s="1140" t="s">
        <v>145</v>
      </c>
      <c r="B129" s="1141"/>
      <c r="C129" s="1141"/>
      <c r="D129" s="18"/>
      <c r="E129" s="107" t="s">
        <v>135</v>
      </c>
      <c r="F129" s="95" t="str">
        <f>IF(IF(G126=0,"",$F$41)=0,"",IF(G126=0,"",$F$41))</f>
        <v/>
      </c>
      <c r="G129" s="48"/>
      <c r="H129" s="47"/>
      <c r="I129" s="48"/>
      <c r="J129" s="195" t="s">
        <v>158</v>
      </c>
      <c r="K129" s="198">
        <f>$K$41</f>
        <v>4837.5</v>
      </c>
      <c r="L129" s="197">
        <f>IF(L95="",K129,K129/L95*L96)</f>
        <v>4837.5</v>
      </c>
      <c r="M129" s="1138" t="s">
        <v>139</v>
      </c>
      <c r="N129" s="1138"/>
      <c r="O129" s="1139"/>
      <c r="P129" s="27">
        <f>ROUND(IF(F129="",0,G126*F129/1000),2)</f>
        <v>0</v>
      </c>
    </row>
    <row r="130" spans="1:16" ht="15.75" customHeight="1" x14ac:dyDescent="0.2">
      <c r="A130" s="1142" t="s">
        <v>141</v>
      </c>
      <c r="B130" s="1143"/>
      <c r="C130" s="1143"/>
      <c r="D130" s="1144" t="s">
        <v>143</v>
      </c>
      <c r="E130" s="1144"/>
      <c r="F130" s="1145" t="str">
        <f>IF(IF(G126=0,"",$F$42)=0,"",IF(G126=0,"",$F$42))</f>
        <v/>
      </c>
      <c r="G130" s="1145"/>
      <c r="H130" s="72"/>
      <c r="I130" s="18"/>
      <c r="J130" s="195" t="s">
        <v>159</v>
      </c>
      <c r="K130" s="198">
        <f>$K$42</f>
        <v>6700</v>
      </c>
      <c r="L130" s="197">
        <f>IF(L95="",K130,K130/L95*L96)</f>
        <v>6700</v>
      </c>
      <c r="M130" s="1138" t="s">
        <v>141</v>
      </c>
      <c r="N130" s="1138"/>
      <c r="O130" s="1139"/>
      <c r="P130" s="23">
        <f>ROUND(IF(F130="",0,IF(G126=0,0,F130/L95*L96)),2)</f>
        <v>0</v>
      </c>
    </row>
    <row r="131" spans="1:16" ht="14.25" customHeight="1" x14ac:dyDescent="0.2">
      <c r="A131" s="18"/>
      <c r="B131" s="18"/>
      <c r="C131" s="18"/>
      <c r="D131" s="18"/>
      <c r="E131" s="18"/>
      <c r="F131" s="18"/>
      <c r="G131" s="18"/>
      <c r="H131" s="18"/>
      <c r="I131" s="18"/>
      <c r="J131" s="18"/>
      <c r="K131" s="74"/>
      <c r="L131" s="82"/>
      <c r="M131" s="1127" t="s">
        <v>146</v>
      </c>
      <c r="N131" s="1127"/>
      <c r="O131" s="1128"/>
      <c r="P131" s="23">
        <f>ROUND(IF(G126=0,0,$P$43),2)</f>
        <v>0</v>
      </c>
    </row>
    <row r="132" spans="1:16" ht="14.25" customHeight="1" x14ac:dyDescent="0.2">
      <c r="A132" s="1129" t="s">
        <v>142</v>
      </c>
      <c r="B132" s="1130"/>
      <c r="C132" s="148" t="s">
        <v>136</v>
      </c>
      <c r="D132" s="148" t="s">
        <v>137</v>
      </c>
      <c r="E132" s="1131" t="str">
        <f>IF(IF(G126=0,"",$E$44)=0,"",IF(G126=0,"",$E$44))</f>
        <v/>
      </c>
      <c r="F132" s="1131"/>
      <c r="G132" s="83" t="s">
        <v>138</v>
      </c>
      <c r="H132" s="97" t="str">
        <f>IF(IF(G126=0,"",$H$44)=0,"",IF(G126=0,"",$H$44))</f>
        <v/>
      </c>
      <c r="I132" s="1132" t="s">
        <v>144</v>
      </c>
      <c r="J132" s="1132"/>
      <c r="K132" s="98" t="str">
        <f>IF(IF(G126=0,"",$K$44)=0,"",IF(G126=0,"",$K$44))</f>
        <v/>
      </c>
      <c r="L132" s="29"/>
      <c r="M132" s="29"/>
      <c r="N132" s="29"/>
      <c r="O132" s="28" t="s">
        <v>0</v>
      </c>
      <c r="P132" s="27">
        <f>P126+SUM(P128:P131)</f>
        <v>0</v>
      </c>
    </row>
    <row r="133" spans="1:16" s="12" customFormat="1" ht="13.5" customHeight="1" x14ac:dyDescent="0.2">
      <c r="A133" s="1178" t="s">
        <v>18</v>
      </c>
      <c r="B133" s="1178"/>
      <c r="C133" s="1178"/>
      <c r="D133" s="1179" t="str">
        <f>IF($D$1="","",$D$1)</f>
        <v/>
      </c>
      <c r="E133" s="1179"/>
      <c r="F133" s="1179"/>
      <c r="G133" s="1179"/>
      <c r="H133" s="1179"/>
      <c r="I133" s="1179"/>
      <c r="J133" s="1179"/>
      <c r="K133" s="1179"/>
      <c r="L133" s="1179"/>
      <c r="M133" s="1179"/>
      <c r="N133" s="1179"/>
    </row>
    <row r="134" spans="1:16" s="12" customFormat="1" ht="15" customHeight="1" x14ac:dyDescent="0.2">
      <c r="A134" s="1178" t="s">
        <v>17</v>
      </c>
      <c r="B134" s="1178"/>
      <c r="C134" s="1178" t="s">
        <v>15</v>
      </c>
      <c r="D134" s="1179" t="str">
        <f>IF($D$2="","",$D$2)</f>
        <v/>
      </c>
      <c r="E134" s="1179"/>
      <c r="F134" s="1179"/>
      <c r="G134" s="1179"/>
      <c r="H134" s="1179"/>
      <c r="I134" s="1179"/>
      <c r="J134" s="1179"/>
      <c r="K134" s="1179"/>
      <c r="L134" s="1179"/>
      <c r="M134" s="1179"/>
      <c r="N134" s="1179"/>
    </row>
    <row r="135" spans="1:16" s="12" customFormat="1" ht="15" customHeight="1" x14ac:dyDescent="0.2">
      <c r="A135" s="1178" t="s">
        <v>16</v>
      </c>
      <c r="B135" s="1178"/>
      <c r="C135" s="1178" t="s">
        <v>15</v>
      </c>
      <c r="D135" s="1179" t="str">
        <f>IF($D$3="","",$D$3)</f>
        <v/>
      </c>
      <c r="E135" s="1179"/>
      <c r="F135" s="1179"/>
      <c r="G135" s="1179"/>
      <c r="H135" s="1179"/>
      <c r="I135" s="1179"/>
      <c r="J135" s="1179"/>
      <c r="K135" s="1178" t="s">
        <v>103</v>
      </c>
      <c r="L135" s="1178"/>
      <c r="M135" s="1178"/>
      <c r="N135" s="41" t="str">
        <f>IF($N$3="","",$N$3)</f>
        <v/>
      </c>
    </row>
    <row r="136" spans="1:16" s="13" customFormat="1" ht="11.25" x14ac:dyDescent="0.2">
      <c r="A136" s="1182"/>
      <c r="B136" s="1182"/>
      <c r="C136" s="1182"/>
      <c r="D136" s="1183"/>
      <c r="E136" s="1183"/>
      <c r="F136" s="1183"/>
      <c r="G136" s="1183"/>
      <c r="H136" s="1183"/>
      <c r="I136" s="1183"/>
      <c r="J136" s="1183"/>
      <c r="K136" s="11"/>
      <c r="L136" s="11"/>
      <c r="M136" s="11"/>
      <c r="N136" s="11"/>
      <c r="O136" s="11"/>
      <c r="P136" s="11"/>
    </row>
    <row r="137" spans="1:16" s="15" customFormat="1" ht="13.5" customHeight="1" x14ac:dyDescent="0.2">
      <c r="A137" s="1177" t="s">
        <v>224</v>
      </c>
      <c r="B137" s="1177"/>
      <c r="C137" s="1177"/>
      <c r="D137" s="1177"/>
      <c r="E137" s="1177"/>
      <c r="F137" s="1177"/>
      <c r="G137" s="1177"/>
      <c r="H137" s="1177"/>
      <c r="I137" s="1177"/>
      <c r="J137" s="1177"/>
      <c r="K137" s="9"/>
      <c r="L137" s="9"/>
      <c r="M137" s="9"/>
      <c r="N137" s="59" t="s">
        <v>154</v>
      </c>
      <c r="O137" s="191">
        <f>$O$5</f>
        <v>2022</v>
      </c>
      <c r="P137" s="59" t="s">
        <v>154</v>
      </c>
    </row>
    <row r="138" spans="1:16" s="10" customFormat="1" ht="13.5" customHeight="1" x14ac:dyDescent="0.25">
      <c r="B138" s="32"/>
      <c r="C138" s="32"/>
      <c r="D138" s="5" t="s">
        <v>34</v>
      </c>
      <c r="E138" s="31"/>
      <c r="F138" s="31"/>
      <c r="G138" s="31"/>
      <c r="H138" s="31"/>
      <c r="I138" s="26"/>
      <c r="J138" s="1174" t="s">
        <v>14</v>
      </c>
      <c r="K138" s="1174"/>
      <c r="L138" s="180"/>
      <c r="N138" s="84">
        <f>IF(L140="","",L140)</f>
        <v>0</v>
      </c>
      <c r="O138" s="58" t="str">
        <f>$O$6</f>
        <v>Jan                Jul</v>
      </c>
      <c r="P138" s="85">
        <f>IF(N143="","",N143)</f>
        <v>0</v>
      </c>
    </row>
    <row r="139" spans="1:16" s="7" customFormat="1" ht="13.5" customHeight="1" x14ac:dyDescent="0.25">
      <c r="A139" s="1180" t="s">
        <v>71</v>
      </c>
      <c r="B139" s="1180"/>
      <c r="C139" s="1180"/>
      <c r="D139" s="1184"/>
      <c r="E139" s="1184"/>
      <c r="F139" s="1184"/>
      <c r="G139" s="1184"/>
      <c r="H139" s="1184"/>
      <c r="I139" s="1184"/>
      <c r="J139" s="1174" t="s">
        <v>104</v>
      </c>
      <c r="K139" s="1174"/>
      <c r="L139" s="145"/>
      <c r="N139" s="85">
        <f>IF(N138="","",N138)</f>
        <v>0</v>
      </c>
      <c r="O139" s="58" t="str">
        <f>$O$7</f>
        <v>Feb              Aug</v>
      </c>
      <c r="P139" s="85">
        <f>IF(P138="","",P138)</f>
        <v>0</v>
      </c>
    </row>
    <row r="140" spans="1:16" ht="13.5" customHeight="1" x14ac:dyDescent="0.2">
      <c r="A140" s="1180" t="s">
        <v>13</v>
      </c>
      <c r="B140" s="1180"/>
      <c r="C140" s="1180"/>
      <c r="D140" s="1181"/>
      <c r="E140" s="1181"/>
      <c r="F140" s="1181"/>
      <c r="G140" s="1181"/>
      <c r="H140" s="1181"/>
      <c r="I140" s="1181"/>
      <c r="J140" s="1174" t="s">
        <v>222</v>
      </c>
      <c r="K140" s="1174"/>
      <c r="L140" s="145">
        <f>IF(L141&gt;L139,0,L139-L141)</f>
        <v>0</v>
      </c>
      <c r="N140" s="85">
        <f>IF(N139="","",N139)</f>
        <v>0</v>
      </c>
      <c r="O140" s="58" t="str">
        <f>$O$8</f>
        <v>Mrz              Sep</v>
      </c>
      <c r="P140" s="85">
        <f>IF(P139="","",P139)</f>
        <v>0</v>
      </c>
    </row>
    <row r="141" spans="1:16" ht="13.5" customHeight="1" x14ac:dyDescent="0.2">
      <c r="A141" s="1180" t="s">
        <v>12</v>
      </c>
      <c r="B141" s="1180"/>
      <c r="C141" s="1180"/>
      <c r="D141" s="1181"/>
      <c r="E141" s="1181"/>
      <c r="F141" s="1181"/>
      <c r="G141" s="1181"/>
      <c r="H141" s="1181"/>
      <c r="I141" s="1181"/>
      <c r="J141" s="1174" t="s">
        <v>223</v>
      </c>
      <c r="K141" s="1174"/>
      <c r="L141" s="145"/>
      <c r="N141" s="85">
        <f>IF(N140="","",N140)</f>
        <v>0</v>
      </c>
      <c r="O141" s="58" t="str">
        <f>$O$9</f>
        <v>Apr               Okt</v>
      </c>
      <c r="P141" s="85">
        <f t="shared" ref="P141:P143" si="15">IF(P140="","",P140)</f>
        <v>0</v>
      </c>
    </row>
    <row r="142" spans="1:16" ht="13.5" customHeight="1" x14ac:dyDescent="0.2">
      <c r="A142" s="1180" t="s">
        <v>19</v>
      </c>
      <c r="B142" s="1180"/>
      <c r="C142" s="1180"/>
      <c r="D142" s="1181"/>
      <c r="E142" s="1181"/>
      <c r="F142" s="1181"/>
      <c r="G142" s="1181"/>
      <c r="H142" s="1181"/>
      <c r="I142" s="1181"/>
      <c r="J142" s="1174" t="s">
        <v>97</v>
      </c>
      <c r="K142" s="1174"/>
      <c r="L142" s="17" t="str">
        <f>IF(IF((COUNTIF(B158:B169,"&gt;0"))=0,0,(COUNTIF(B158:B169,"&gt;0")))&gt;Grundlagen!$C$24,Grundlagen!$C$24,IF((COUNTIF(B158:B169,"&gt;0"))=0,"",(COUNTIF(B158:B169,"&gt;0"))))</f>
        <v/>
      </c>
      <c r="M142" s="92"/>
      <c r="N142" s="85">
        <f>IF(N141="","",N141)</f>
        <v>0</v>
      </c>
      <c r="O142" s="58" t="str">
        <f>'päd.Personal - Leitung'!$O$10</f>
        <v>Mai               Nov</v>
      </c>
      <c r="P142" s="85">
        <f t="shared" si="15"/>
        <v>0</v>
      </c>
    </row>
    <row r="143" spans="1:16" ht="13.5" customHeight="1" x14ac:dyDescent="0.2">
      <c r="B143" s="8"/>
      <c r="C143" s="141" t="s">
        <v>162</v>
      </c>
      <c r="D143" s="1175"/>
      <c r="E143" s="1175"/>
      <c r="F143" s="1176" t="s">
        <v>106</v>
      </c>
      <c r="G143" s="1176"/>
      <c r="H143" s="1186"/>
      <c r="I143" s="1186"/>
      <c r="L143" s="147" t="str">
        <f>IF((SUM(F146:F149))=0,"",IF(P144&gt;L140,L140,IF(L140="","",IF(L142="","",P144))))</f>
        <v/>
      </c>
      <c r="N143" s="85">
        <f>IF(N142="","",N142)</f>
        <v>0</v>
      </c>
      <c r="O143" s="58" t="str">
        <f>'päd.Personal - Leitung'!$O$11</f>
        <v>Jun               Dez</v>
      </c>
      <c r="P143" s="85">
        <f t="shared" si="15"/>
        <v>0</v>
      </c>
    </row>
    <row r="144" spans="1:16" ht="13.5" customHeight="1" x14ac:dyDescent="0.2">
      <c r="I144" s="6"/>
      <c r="O144" s="174" t="s">
        <v>251</v>
      </c>
      <c r="P144" s="175">
        <f>IF(L142="",0,((IF(SUMIF(B158,"&gt;0"),N138,0))+(IF(SUMIF(B159,"&gt;0"),N139,0))+(IF(SUMIF(B160,"&gt;0"),N140,0))+(IF(SUMIF(B161,"&gt;0"),N141,0))+(IF(SUMIF(B162,"&gt;0"),N142,0))+(IF(SUMIF(B163,"&gt;0"),N143,0))+(IF(SUMIF(B164,"&gt;0"),P138,0))+(IF(SUMIF(B165,"&gt;0"),P139,0))+(IF(SUMIF(B166,"&gt;0"),P140,0))+(IF(SUMIF(B167,"&gt;0"),P141,0))+(IF(SUMIF(B168,"&gt;0"),P142,0))+(IF(SUMIF(B169,"&gt;0"),P143,0)))/Grundlagen!$C$24)</f>
        <v>0</v>
      </c>
    </row>
    <row r="145" spans="1:16" s="52" customFormat="1" ht="13.5" customHeight="1" x14ac:dyDescent="0.2">
      <c r="A145" s="61" t="s">
        <v>148</v>
      </c>
      <c r="B145" s="1168" t="s">
        <v>149</v>
      </c>
      <c r="C145" s="1168"/>
      <c r="D145" s="62" t="s">
        <v>150</v>
      </c>
      <c r="E145" s="63" t="s">
        <v>151</v>
      </c>
      <c r="F145" s="64" t="str">
        <f>CONCATENATE("Entg. ",N135," h/Wo")</f>
        <v>Entg.  h/Wo</v>
      </c>
      <c r="G145" s="65" t="s">
        <v>152</v>
      </c>
      <c r="H145" s="65" t="s">
        <v>153</v>
      </c>
      <c r="K145" s="1169" t="str">
        <f>CONCATENATE("Zuschläge / Zulagen für ",N135,"h/Wo")</f>
        <v>Zuschläge / Zulagen für h/Wo</v>
      </c>
      <c r="L145" s="1169"/>
      <c r="M145" s="66" t="str">
        <f>IF(A146="","",A146)</f>
        <v>Jan 2022</v>
      </c>
      <c r="N145" s="66" t="str">
        <f>IF(A147="","",A147)</f>
        <v/>
      </c>
      <c r="O145" s="66" t="str">
        <f>IF(A148="","",A148)</f>
        <v/>
      </c>
      <c r="P145" s="66" t="str">
        <f>IF(A149="","",A149)</f>
        <v/>
      </c>
    </row>
    <row r="146" spans="1:16" s="52" customFormat="1" ht="13.5" customHeight="1" x14ac:dyDescent="0.25">
      <c r="A146" s="54" t="str">
        <f>A158</f>
        <v>Jan 2022</v>
      </c>
      <c r="B146" s="1170" t="str">
        <f>IF($D$3="","",$D$3)</f>
        <v/>
      </c>
      <c r="C146" s="1171"/>
      <c r="D146" s="181"/>
      <c r="E146" s="181"/>
      <c r="F146" s="87"/>
      <c r="G146" s="56">
        <f>IF(N135="",0,F146/N135/4.348)</f>
        <v>0</v>
      </c>
      <c r="H146" s="53">
        <f>IF(G146=0,0,M151)</f>
        <v>0</v>
      </c>
      <c r="K146" s="1146"/>
      <c r="L146" s="1146"/>
      <c r="M146" s="86"/>
      <c r="N146" s="86"/>
      <c r="O146" s="86"/>
      <c r="P146" s="86"/>
    </row>
    <row r="147" spans="1:16" s="52" customFormat="1" ht="13.5" customHeight="1" x14ac:dyDescent="0.25">
      <c r="A147" s="55"/>
      <c r="B147" s="1172" t="str">
        <f>IF(A147="","",B146)</f>
        <v/>
      </c>
      <c r="C147" s="1173"/>
      <c r="D147" s="181"/>
      <c r="E147" s="181"/>
      <c r="F147" s="87"/>
      <c r="G147" s="56">
        <f>IF(N135="",0,F147/N135/4.348)</f>
        <v>0</v>
      </c>
      <c r="H147" s="53">
        <f>IF(G147=0,0,N151)</f>
        <v>0</v>
      </c>
      <c r="K147" s="1146"/>
      <c r="L147" s="1146"/>
      <c r="M147" s="86"/>
      <c r="N147" s="86"/>
      <c r="O147" s="86"/>
      <c r="P147" s="86"/>
    </row>
    <row r="148" spans="1:16" s="52" customFormat="1" ht="13.5" customHeight="1" x14ac:dyDescent="0.25">
      <c r="A148" s="55"/>
      <c r="B148" s="1172" t="str">
        <f>IF(A148="","",B147)</f>
        <v/>
      </c>
      <c r="C148" s="1173"/>
      <c r="D148" s="181"/>
      <c r="E148" s="181"/>
      <c r="F148" s="87"/>
      <c r="G148" s="56">
        <f>IF(N135="",0,F148/N135/4.348)</f>
        <v>0</v>
      </c>
      <c r="H148" s="53">
        <f>IF(G148=0,0,O151)</f>
        <v>0</v>
      </c>
      <c r="K148" s="1146"/>
      <c r="L148" s="1146"/>
      <c r="M148" s="86"/>
      <c r="N148" s="86"/>
      <c r="O148" s="86"/>
      <c r="P148" s="86"/>
    </row>
    <row r="149" spans="1:16" s="52" customFormat="1" ht="13.5" customHeight="1" x14ac:dyDescent="0.25">
      <c r="A149" s="55"/>
      <c r="B149" s="1172" t="str">
        <f>IF(A149="","",B148)</f>
        <v/>
      </c>
      <c r="C149" s="1173"/>
      <c r="D149" s="181"/>
      <c r="E149" s="181"/>
      <c r="F149" s="87"/>
      <c r="G149" s="56">
        <f>IF(N135="",0,F149/N135/4.348)</f>
        <v>0</v>
      </c>
      <c r="H149" s="53">
        <f>IF(G149=0,0,P151)</f>
        <v>0</v>
      </c>
      <c r="K149" s="1146"/>
      <c r="L149" s="1146"/>
      <c r="M149" s="86"/>
      <c r="N149" s="86"/>
      <c r="O149" s="86"/>
      <c r="P149" s="86"/>
    </row>
    <row r="150" spans="1:16" s="52" customFormat="1" ht="13.5" customHeight="1" x14ac:dyDescent="0.25">
      <c r="B150" s="1167" t="s">
        <v>157</v>
      </c>
      <c r="C150" s="1167"/>
      <c r="E150" s="1167" t="s">
        <v>156</v>
      </c>
      <c r="F150" s="1167"/>
      <c r="J150" s="69"/>
      <c r="K150" s="1146"/>
      <c r="L150" s="1146"/>
      <c r="M150" s="86"/>
      <c r="N150" s="86"/>
      <c r="O150" s="86"/>
      <c r="P150" s="86"/>
    </row>
    <row r="151" spans="1:16" s="52" customFormat="1" ht="13.5" customHeight="1" x14ac:dyDescent="0.25">
      <c r="A151" s="70" t="s">
        <v>167</v>
      </c>
      <c r="B151" s="67"/>
      <c r="C151" s="99" t="str">
        <f>IF(C107="","",C107)</f>
        <v/>
      </c>
      <c r="D151" s="70" t="s">
        <v>167</v>
      </c>
      <c r="E151" s="67"/>
      <c r="F151" s="99" t="str">
        <f>IF(F107="","",F107)</f>
        <v/>
      </c>
      <c r="J151" s="68"/>
      <c r="M151" s="57">
        <f>SUM(M146:M150)</f>
        <v>0</v>
      </c>
      <c r="N151" s="57">
        <f t="shared" ref="N151:P151" si="16">SUM(N146:N150)</f>
        <v>0</v>
      </c>
      <c r="O151" s="57">
        <f t="shared" si="16"/>
        <v>0</v>
      </c>
      <c r="P151" s="57">
        <f t="shared" si="16"/>
        <v>0</v>
      </c>
    </row>
    <row r="152" spans="1:16" s="52" customFormat="1" ht="13.5" customHeight="1" x14ac:dyDescent="0.2">
      <c r="A152" s="60" t="s">
        <v>155</v>
      </c>
    </row>
    <row r="153" spans="1:16" ht="14.25" customHeight="1" x14ac:dyDescent="0.2">
      <c r="A153" s="1147"/>
      <c r="B153" s="1149" t="s">
        <v>9</v>
      </c>
      <c r="C153" s="1150"/>
      <c r="D153" s="1150"/>
      <c r="E153" s="1150"/>
      <c r="F153" s="1150"/>
      <c r="G153" s="1151"/>
      <c r="H153" s="1152" t="s">
        <v>119</v>
      </c>
      <c r="I153" s="1153"/>
      <c r="J153" s="1153"/>
      <c r="K153" s="1153"/>
      <c r="L153" s="1153"/>
      <c r="M153" s="1153"/>
      <c r="N153" s="1153"/>
      <c r="O153" s="33"/>
      <c r="P153" s="1154" t="s">
        <v>0</v>
      </c>
    </row>
    <row r="154" spans="1:16" ht="14.25" customHeight="1" x14ac:dyDescent="0.2">
      <c r="A154" s="1148"/>
      <c r="B154" s="1157" t="s">
        <v>117</v>
      </c>
      <c r="C154" s="144" t="s">
        <v>115</v>
      </c>
      <c r="D154" s="1159" t="s">
        <v>277</v>
      </c>
      <c r="E154" s="1161" t="s">
        <v>147</v>
      </c>
      <c r="F154" s="149" t="s">
        <v>7</v>
      </c>
      <c r="G154" s="1162" t="s">
        <v>6</v>
      </c>
      <c r="H154" s="1161" t="s">
        <v>129</v>
      </c>
      <c r="I154" s="1161" t="s">
        <v>5</v>
      </c>
      <c r="J154" s="1161" t="s">
        <v>4</v>
      </c>
      <c r="K154" s="1161" t="s">
        <v>3</v>
      </c>
      <c r="L154" s="1161" t="s">
        <v>121</v>
      </c>
      <c r="M154" s="1161" t="s">
        <v>122</v>
      </c>
      <c r="N154" s="1161" t="s">
        <v>123</v>
      </c>
      <c r="O154" s="1160" t="s">
        <v>114</v>
      </c>
      <c r="P154" s="1155"/>
    </row>
    <row r="155" spans="1:16" ht="14.25" customHeight="1" x14ac:dyDescent="0.2">
      <c r="A155" s="1148"/>
      <c r="B155" s="1157"/>
      <c r="C155" s="21" t="str">
        <f>IF(C151="","",C151)</f>
        <v/>
      </c>
      <c r="D155" s="1160"/>
      <c r="E155" s="1161"/>
      <c r="F155" s="1165" t="str">
        <f>IF(H146=0,"","siehe Zuschläge / Zulagen")</f>
        <v/>
      </c>
      <c r="G155" s="1162"/>
      <c r="H155" s="1164" t="s">
        <v>127</v>
      </c>
      <c r="I155" s="1164"/>
      <c r="J155" s="1164"/>
      <c r="K155" s="1164"/>
      <c r="L155" s="1164"/>
      <c r="M155" s="1164"/>
      <c r="N155" s="1164"/>
      <c r="O155" s="1160"/>
      <c r="P155" s="1155"/>
    </row>
    <row r="156" spans="1:16" x14ac:dyDescent="0.2">
      <c r="A156" s="1148"/>
      <c r="B156" s="1157"/>
      <c r="C156" s="142" t="s">
        <v>70</v>
      </c>
      <c r="D156" s="1160"/>
      <c r="E156" s="1161"/>
      <c r="F156" s="1165"/>
      <c r="G156" s="1162"/>
      <c r="H156" s="43" t="s">
        <v>128</v>
      </c>
      <c r="I156" s="43" t="s">
        <v>255</v>
      </c>
      <c r="J156" s="43" t="s">
        <v>256</v>
      </c>
      <c r="K156" s="43" t="s">
        <v>257</v>
      </c>
      <c r="L156" s="43"/>
      <c r="M156" s="43"/>
      <c r="N156" s="43" t="s">
        <v>254</v>
      </c>
      <c r="O156" s="1160"/>
      <c r="P156" s="1155"/>
    </row>
    <row r="157" spans="1:16" x14ac:dyDescent="0.2">
      <c r="A157" s="1148"/>
      <c r="B157" s="1158"/>
      <c r="C157" s="21" t="str">
        <f>IF(F151="","",F151)</f>
        <v/>
      </c>
      <c r="D157" s="51"/>
      <c r="E157" s="51"/>
      <c r="F157" s="1166"/>
      <c r="G157" s="1163"/>
      <c r="H157" s="93"/>
      <c r="I157" s="139">
        <f>$I$25</f>
        <v>0</v>
      </c>
      <c r="J157" s="139">
        <f>$J$25</f>
        <v>0</v>
      </c>
      <c r="K157" s="44">
        <f>$K$25</f>
        <v>0</v>
      </c>
      <c r="L157" s="21"/>
      <c r="M157" s="21"/>
      <c r="N157" s="139">
        <f>$N$25</f>
        <v>0</v>
      </c>
      <c r="O157" s="21">
        <f>O113</f>
        <v>0</v>
      </c>
      <c r="P157" s="1156"/>
    </row>
    <row r="158" spans="1:16" x14ac:dyDescent="0.2">
      <c r="A158" s="100" t="str">
        <f>$A$26</f>
        <v>Jan 2022</v>
      </c>
      <c r="B158" s="24">
        <f>ROUND(IF(N138=0,0,(LOOKUP(2,1/(A146:A149=A158),G146:G149))*N138*4.348),2)</f>
        <v>0</v>
      </c>
      <c r="C158" s="23">
        <f>ROUND(IFERROR(((LOOKUP(2,1/(B151=A158),((SUM(B164:B166)+SUM(F164:F166))/3)*C151))),0)+IFERROR(((LOOKUP(2,1/(E151=A158),(B170+F170)*F151))),0),2)</f>
        <v>0</v>
      </c>
      <c r="D158" s="23">
        <f>ROUND(IF(B158=0,0,D157/L139*N138),2)</f>
        <v>0</v>
      </c>
      <c r="E158" s="23">
        <f>ROUND(IF(B158=0,0,E157/N135*N138),2)</f>
        <v>0</v>
      </c>
      <c r="F158" s="24">
        <f>ROUND(IF(N138=0,0,(LOOKUP(2,1/(A146:A149=A158),H146:H149))/N135*N138),2)</f>
        <v>0</v>
      </c>
      <c r="G158" s="27">
        <f>SUM(B158+C158+E158+F158)</f>
        <v>0</v>
      </c>
      <c r="H158" s="76">
        <f>ROUND(IF((SUM(B158:F158))&gt;L173,L173*H157,SUM(B158:F158)*H157),2)</f>
        <v>0</v>
      </c>
      <c r="I158" s="76">
        <f>ROUND(IF((SUM(B158:F158))&gt;L174,L174*I157,SUM(B158:F158)*I157),2)</f>
        <v>0</v>
      </c>
      <c r="J158" s="76">
        <f>ROUND(IF((SUM(B158:F158))&gt;L174,L174*J157,SUM(B158:F158)*J157),2)</f>
        <v>0</v>
      </c>
      <c r="K158" s="76">
        <f>ROUND(IF((SUM(B158:F158))&gt;L173,L173*K157,SUM(B158:F158)*K157),2)</f>
        <v>0</v>
      </c>
      <c r="L158" s="76">
        <f>ROUND(IF((SUM(B158:F158))&gt;L174,L174*L157,(SUM(B158:F158)-C158)*L157),2)</f>
        <v>0</v>
      </c>
      <c r="M158" s="76">
        <f>ROUND(IF((SUM(B158:F158))&gt;L174,L174*M157,(SUM(B158:F158)-C158)*M157),2)</f>
        <v>0</v>
      </c>
      <c r="N158" s="76">
        <f>ROUND(IF((SUM(B158:F158))&gt;L174,L174*N157,SUM(B158:F158)*N157),2)</f>
        <v>0</v>
      </c>
      <c r="O158" s="23">
        <f>ROUND(SUM(B158+C158+F158)*O157,2)</f>
        <v>0</v>
      </c>
      <c r="P158" s="27">
        <f>SUM(G158:O158)</f>
        <v>0</v>
      </c>
    </row>
    <row r="159" spans="1:16" x14ac:dyDescent="0.2">
      <c r="A159" s="100" t="str">
        <f>$A$27</f>
        <v>Feb 2022</v>
      </c>
      <c r="B159" s="24">
        <f>ROUND(IF(N139=0,0,IFERROR(((LOOKUP(2,1/(A146:A149=A159),G146:G149))*N139*4.348),B158/N139*N139)),2)</f>
        <v>0</v>
      </c>
      <c r="C159" s="23">
        <f>ROUND(IFERROR(((LOOKUP(2,1/(B151=A159),((SUM(B164:B166)+SUM(F164:F166))/3)*C151))),0)+IFERROR(((LOOKUP(2,1/(E151=A159),(B170+F170)*F151))),0),2)</f>
        <v>0</v>
      </c>
      <c r="D159" s="23">
        <f>ROUND(IF(B159=0,0,D157/L139*N139),2)</f>
        <v>0</v>
      </c>
      <c r="E159" s="23">
        <f>ROUND(IF(B159=0,0,E157/N135*N139),2)</f>
        <v>0</v>
      </c>
      <c r="F159" s="24">
        <f>ROUND(IF(N139=0,0,IFERROR(((LOOKUP(2,1/(A146:A149=A159),H146:H149))/N135*N139),F158/N139*N139)),2)</f>
        <v>0</v>
      </c>
      <c r="G159" s="27">
        <f t="shared" ref="G159:G169" si="17">SUM(B159+C159+E159+F159)</f>
        <v>0</v>
      </c>
      <c r="H159" s="76">
        <f>ROUND(IF(SUM(B158:F158)&lt;(L173*1),IF((SUM(B158:F159))&gt;(L173*2),(((L173*2)-(SUM(B158:F159)-C158))*H157)+((SUM(B159:F159)-C158)*H157),SUM(B159:F159)*H157),IF(SUM(B158:F159)&gt;(L173*2),L173*H157,SUM(B159:F159)*H157)),2)</f>
        <v>0</v>
      </c>
      <c r="I159" s="76">
        <f>ROUND(IF(SUM(B158:F158)&lt;(L174*1),IF((SUM(B158:F159))&gt;(L174*2),(((L174*2)-(SUM(B158:F159)-C158))*I157)+((SUM(B159:F159)-C158)*I157),SUM(B159:F159)*I157),IF(SUM(B158:F159)&gt;(L174*2),L174*I157,SUM(B159:F159)*I157)),2)</f>
        <v>0</v>
      </c>
      <c r="J159" s="76">
        <f>ROUND(IF(SUM(B158:F158)&lt;(L174*1),IF((SUM(B158:F159))&gt;(L174*2),(((L174*2)-(SUM(B158:F159)-C158))*J157)+((SUM(B159:F159)-C158)*J157),SUM(B159:F159)*J157),IF(SUM(B158:F159)&gt;(L174*2),L174*J157,SUM(B159:F159)*J157)),2)</f>
        <v>0</v>
      </c>
      <c r="K159" s="76">
        <f>ROUND(IF(SUM(B158:F158)&lt;(L173*1),IF((SUM(B158:F159))&gt;(L173*2),(((L173*2)-(SUM(B158:F159)-C158))*K157)+((SUM(B159:F159)-C158)*K157),SUM(B159:F159)*K157),IF(SUM(B158:F159)&gt;(L173*2),L173*K157,SUM(B159:F159)*K157)),2)</f>
        <v>0</v>
      </c>
      <c r="L159" s="76">
        <f>ROUND(IF(SUM(B158:F158)&lt;(L174*1),IF((SUM(B158:F159))&gt;(L174*2),(((L174*2)-(SUM(B158:F159)-C159))*L157)+((SUM(B159:F159)-C159)*L157),(SUM(B159:F159)-C159)*L157),IF(SUM(B158:F159)&gt;(L174*2),L174*L157,SUM(B159:F159)*L157)),2)</f>
        <v>0</v>
      </c>
      <c r="M159" s="76">
        <f>ROUND(IF(SUM(B158:F158)&lt;(L174*1),IF((SUM(B158:F159))&gt;(L174*2),(((L174*2)-(SUM(B158:F159)-C159))*M157)+((SUM(B159:F159)-C159)*M157),(SUM(B159:F159)-C159)*M157),IF(SUM(B158:F159)&gt;(L174*2),L174*M157,SUM(B159:F159)*M157)),2)</f>
        <v>0</v>
      </c>
      <c r="N159" s="76">
        <f>ROUND(IF(SUM(B158:F158)&lt;(L174*1),IF((SUM(B158:F159))&gt;(L174*2),(((L174*2)-(SUM(B158:F159)-C158))*N157)+((SUM(B159:F159)-C158)*N157),SUM(B159:F159)*N157),IF(SUM(B158:F159)&gt;(L174*2),L174*N157,SUM(B159:F159)*N157)),2)</f>
        <v>0</v>
      </c>
      <c r="O159" s="23">
        <f>ROUND(SUM(B159+C159+F159)*O157,2)</f>
        <v>0</v>
      </c>
      <c r="P159" s="27">
        <f>SUM(G159:O159)</f>
        <v>0</v>
      </c>
    </row>
    <row r="160" spans="1:16" x14ac:dyDescent="0.2">
      <c r="A160" s="100" t="str">
        <f>$A$28</f>
        <v>Mrz 2022</v>
      </c>
      <c r="B160" s="24">
        <f>ROUND(IF(N140=0,0,IFERROR(((LOOKUP(2,1/(A146:A149=A160),G146:G149))*N140*4.348),B159/N140*N140)),2)</f>
        <v>0</v>
      </c>
      <c r="C160" s="23">
        <f>ROUND(IFERROR(((LOOKUP(2,1/(B151=A160),((SUM(B164:B166)+SUM(F164:F166))/3)*C151))),0)+IFERROR(((LOOKUP(2,1/(E151=A160),(B170+F170)*F151))),0),2)</f>
        <v>0</v>
      </c>
      <c r="D160" s="23">
        <f>ROUND(IF(B160=0,0,D157/L139*N140),2)</f>
        <v>0</v>
      </c>
      <c r="E160" s="23">
        <f>ROUND(IF(B160=0,0,E157/N135*N140),2)</f>
        <v>0</v>
      </c>
      <c r="F160" s="24">
        <f>ROUND(IF(N140=0,0,IFERROR(((LOOKUP(2,1/(A146:A149=A160),H146:H149))/N135*N140),F159/N140*N140)),2)</f>
        <v>0</v>
      </c>
      <c r="G160" s="27">
        <f t="shared" si="17"/>
        <v>0</v>
      </c>
      <c r="H160" s="76">
        <f>ROUND(IF(SUM(B158:F159)&lt;(L173*2),IF((SUM(B158:F160))&gt;(L173*3),(((L173*3)-(SUM(B158:F160)-C159))*H157)+((SUM(B160:F160)-C159)*H157),SUM(B160:F160)*H157),IF(SUM(B158:F160)&gt;(L173*3),L173*H157,SUM(B160:F160)*H157)),2)</f>
        <v>0</v>
      </c>
      <c r="I160" s="76">
        <f>ROUND(IF(SUM(B158:F159)&lt;(L174*2),IF((SUM(B158:F160))&gt;(L174*3),(((L174*3)-(SUM(B158:F160)-C159))*I157)+((SUM(B160:F160)-C159)*I157),SUM(B160:F160)*I157),IF(SUM(B158:F160)&gt;(L174*3),L174*I157,SUM(B160:F160)*I157)),2)</f>
        <v>0</v>
      </c>
      <c r="J160" s="76">
        <f>ROUND(IF(SUM(B158:F159)&lt;(L174*2),IF((SUM(B158:F160))&gt;(L174*3),(((L174*3)-(SUM(B158:F160)-C159))*J157)+((SUM(B160:F160)-C159)*J157),SUM(B160:F160)*J157),IF(SUM(B158:F160)&gt;(L174*3),L174*J157,SUM(B160:F160)*J157)),2)</f>
        <v>0</v>
      </c>
      <c r="K160" s="76">
        <f>ROUND(IF(SUM(B158:F159)&lt;(L173*2),IF((SUM(B158:F160))&gt;(L173*3),(((L173*3)-(SUM(B158:F160)-C159))*K157)+((SUM(B160:F160)-C159)*K157),SUM(B160:F160)*K157),IF(SUM(B158:F160)&gt;(L173*3),L173*K157,SUM(B160:F160)*K157)),2)</f>
        <v>0</v>
      </c>
      <c r="L160" s="76">
        <f>ROUND(IF(SUM(B158:F159)&lt;(L174*2),IF((SUM(B158:F160))&gt;(L174*3),(((L174*3)-(SUM(B158:F160)-C160))*L157)+((SUM(B160:F160)-C160)*L157),(SUM(B160:F160)-C160)*L157),IF(SUM(B158:F160)&gt;(L174*3),L174*L157,SUM(B160:F160)*L157)),2)</f>
        <v>0</v>
      </c>
      <c r="M160" s="76">
        <f>ROUND(IF(SUM(B158:F159)&lt;(L174*2),IF((SUM(B158:F160))&gt;(L174*3),(((L174*3)-(SUM(B158:F160)-C160))*M157)+((SUM(B160:F160)-C160)*M157),(SUM(B160:F160)-C160)*M157),IF(SUM(B158:F160)&gt;(L174*3),L174*M157,SUM(B160:F160)*M157)),2)</f>
        <v>0</v>
      </c>
      <c r="N160" s="76">
        <f>ROUND(IF(SUM(B158:F159)&lt;(L174*2),IF((SUM(B158:F160))&gt;(L174*3),(((L174*3)-(SUM(B158:F160)-C159))*N157)+((SUM(B160:F160)-C159)*N157),SUM(B160:F160)*N157),IF(SUM(B158:F160)&gt;(L174*3),L174*N157,SUM(B160:F160)*N157)),2)</f>
        <v>0</v>
      </c>
      <c r="O160" s="23">
        <f>ROUND(SUM(B160+C160+F160)*O157,2)</f>
        <v>0</v>
      </c>
      <c r="P160" s="27">
        <f t="shared" ref="P160:P169" si="18">SUM(G160:O160)</f>
        <v>0</v>
      </c>
    </row>
    <row r="161" spans="1:16" x14ac:dyDescent="0.2">
      <c r="A161" s="100" t="str">
        <f>$A$29</f>
        <v>Apr 2022</v>
      </c>
      <c r="B161" s="24">
        <f>ROUND(IF(N141=0,0,IFERROR(((LOOKUP(2,1/(A146:A149=A161),G146:G149))*N141*4.348),B160/N141*N141)),2)</f>
        <v>0</v>
      </c>
      <c r="C161" s="23">
        <f>ROUND(IFERROR(((LOOKUP(2,1/(B151=A161),((SUM(B164:B166)+SUM(F164:F166))/3)*C151))),0)+IFERROR(((LOOKUP(2,1/(E151=A161),(B170+F170)*F151))),0),2)</f>
        <v>0</v>
      </c>
      <c r="D161" s="23">
        <f>ROUND(IF(B161=0,0,D157/L139*N141),2)</f>
        <v>0</v>
      </c>
      <c r="E161" s="23">
        <f>ROUND(IF(B161=0,0,E157/N135*N141),2)</f>
        <v>0</v>
      </c>
      <c r="F161" s="24">
        <f>ROUND(IF(N141=0,0,IFERROR(((LOOKUP(2,1/(A146:A149=A161),H146:H149))/N135*N141),F160/N141*N141)),2)</f>
        <v>0</v>
      </c>
      <c r="G161" s="27">
        <f t="shared" si="17"/>
        <v>0</v>
      </c>
      <c r="H161" s="76">
        <f>ROUND(IF(SUM(B158:F160)&lt;(L173*3),IF((SUM(B158:F161))&gt;(L173*4),(((L173*4)-(SUM(B158:F161)-C160))*H157)+((SUM(B161:F161)-C160)*H157),SUM(B161:F161)*H157),IF(SUM(B158:F161)&gt;(L173*4),L173*H157,SUM(B161:F161)*H157)),2)</f>
        <v>0</v>
      </c>
      <c r="I161" s="76">
        <f>ROUND(IF(SUM(B158:F160)&lt;(L174*3),IF((SUM(B158:F161))&gt;(L174*4),(((L174*4)-(SUM(B158:F161)-C160))*I157)+((SUM(B161:F161)-C160)*I157),SUM(B161:F161)*I157),IF(SUM(B158:F161)&gt;(L174*4),L174*I157,SUM(B161:F161)*I157)),2)</f>
        <v>0</v>
      </c>
      <c r="J161" s="76">
        <f>ROUND(IF(SUM(B158:F160)&lt;(L174*3),IF((SUM(B158:F161))&gt;(L174*4),(((L174*4)-(SUM(B158:F161)-C160))*J157)+((SUM(B161:F161)-C160)*J157),SUM(B161:F161)*J157),IF(SUM(B158:F161)&gt;(L174*4),L174*J157,SUM(B161:F161)*J157)),2)</f>
        <v>0</v>
      </c>
      <c r="K161" s="76">
        <f>ROUND(IF(SUM(B158:F160)&lt;(L173*3),IF((SUM(B158:F161))&gt;(L173*4),(((L173*4)-(SUM(B158:F161)-C160))*K157)+((SUM(B161:F161)-C160)*K157),SUM(B161:F161)*K157),IF(SUM(B158:F161)&gt;(L173*4),L173*K157,SUM(B161:F161)*K157)),2)</f>
        <v>0</v>
      </c>
      <c r="L161" s="76">
        <f>ROUND(IF(SUM(B158:F160)&lt;(L174*3),IF((SUM(B158:F161))&gt;(L174*4),(((L174*4)-(SUM(B158:F161)-C161))*L157)+((SUM(B161:F161)-C161)*L157),(SUM(B161:F161)-C161)*L157),IF(SUM(B158:F161)&gt;(L174*4),L174*L157,SUM(B161:F161)*L157)),2)</f>
        <v>0</v>
      </c>
      <c r="M161" s="76">
        <f>ROUND(IF(SUM(B158:F160)&lt;(L174*3),IF((SUM(B158:F161))&gt;(L174*4),(((L174*4)-(SUM(B158:F161)-C161))*M157)+((SUM(B161:F161)-C161)*M157),(SUM(B161:F161)-C161)*M157),IF(SUM(B158:F161)&gt;(L174*4),L174*M157,SUM(B161:F161)*M157)),2)</f>
        <v>0</v>
      </c>
      <c r="N161" s="76">
        <f>ROUND(IF(SUM(B158:F160)&lt;(L174*3),IF((SUM(B158:F161))&gt;(L174*4),(((L174*4)-(SUM(B158:F161)-C160))*N157)+((SUM(B161:F161)-C160)*N157),SUM(B161:F161)*N157),IF(SUM(B158:F161)&gt;(L174*4),L174*N157,SUM(B161:F161)*N157)),2)</f>
        <v>0</v>
      </c>
      <c r="O161" s="23">
        <f>ROUND(SUM(B161+C161+F161)*O157,2)</f>
        <v>0</v>
      </c>
      <c r="P161" s="27">
        <f t="shared" si="18"/>
        <v>0</v>
      </c>
    </row>
    <row r="162" spans="1:16" x14ac:dyDescent="0.2">
      <c r="A162" s="100" t="str">
        <f>$A$30</f>
        <v>Mai 2022</v>
      </c>
      <c r="B162" s="24">
        <f>ROUND(IF(N142=0,0,IFERROR(((LOOKUP(2,1/(A146:A149=A162),G146:G149))*N142*4.348),B161/N142*N142)),2)</f>
        <v>0</v>
      </c>
      <c r="C162" s="23">
        <f>ROUND(IFERROR(((LOOKUP(2,1/(B151=A162),((SUM(B164:B166)+SUM(F164:F166))/3)*C151))),0)+IFERROR(((LOOKUP(2,1/(E151=A162),(B170+F170)*F151))),0),2)</f>
        <v>0</v>
      </c>
      <c r="D162" s="23">
        <f>ROUND(IF(B162=0,0,D157/L139*N142),2)</f>
        <v>0</v>
      </c>
      <c r="E162" s="23">
        <f>ROUND(IF(B162=0,0,E157/N135*N142),2)</f>
        <v>0</v>
      </c>
      <c r="F162" s="24">
        <f>ROUND(IF(N142=0,0,IFERROR(((LOOKUP(2,1/(A146:A149=A162),H146:H149))/N135*N142),F161/N142*N142)),2)</f>
        <v>0</v>
      </c>
      <c r="G162" s="27">
        <f t="shared" si="17"/>
        <v>0</v>
      </c>
      <c r="H162" s="76">
        <f>ROUND(IF(SUM(B158:F161)&lt;(L173*4),IF((SUM(B158:F162))&gt;(L173*5),(((L173*5)-(SUM(B158:F162)-C161))*H157)+((SUM(B162:F162)-C161)*H157),SUM(B162:F162)*H157),IF(SUM(B158:F162)&gt;(L173*5),L173*H157,SUM(B162:F162)*H157)),2)</f>
        <v>0</v>
      </c>
      <c r="I162" s="76">
        <f>ROUND(IF(SUM(B158:F161)&lt;(L174*4),IF((SUM(B158:F162))&gt;(L174*5),(((L174*5)-(SUM(B158:F162)-C161))*I157)+((SUM(B162:F162)-C161)*I157),SUM(B162:F162)*I157),IF(SUM(B158:F162)&gt;(L174*5),L174*I157,SUM(B162:F162)*I157)),2)</f>
        <v>0</v>
      </c>
      <c r="J162" s="76">
        <f>ROUND(IF(SUM(B158:F161)&lt;(L174*4),IF((SUM(B158:F162))&gt;(L174*5),(((L174*5)-(SUM(B158:F162)-C161))*J157)+((SUM(B162:F162)-C161)*J157),SUM(B162:F162)*J157),IF(SUM(B158:F162)&gt;(L174*5),L174*J157,SUM(B162:F162)*J157)),2)</f>
        <v>0</v>
      </c>
      <c r="K162" s="76">
        <f>ROUND(IF(SUM(B158:F161)&lt;(L173*4),IF((SUM(B158:F162))&gt;(L173*5),(((L173*5)-(SUM(B158:F162)-C161))*K157)+((SUM(B162:F162)-C161)*K157),SUM(B162:F162)*K157),IF(SUM(B158:F162)&gt;(L173*5),L173*K157,SUM(B162:F162)*K157)),2)</f>
        <v>0</v>
      </c>
      <c r="L162" s="76">
        <f>ROUND(IF(SUM(B158:F161)&lt;(L174*4),IF((SUM(B158:F162))&gt;(L174*5),(((L174*5)-(SUM(B158:F162)-C162))*L157)+((SUM(B162:F162)-C162)*L157),(SUM(B162:F162)-C162)*L157),IF(SUM(B158:F162)&gt;(L174*5),L174*L157,SUM(B162:F162)*L157)),2)</f>
        <v>0</v>
      </c>
      <c r="M162" s="76">
        <f>ROUND(IF(SUM(B158:F161)&lt;(L174*4),IF((SUM(B158:F162))&gt;(L174*5),(((L174*5)-(SUM(B158:F162)-C162))*M157)+((SUM(B162:F162)-C162)*M157),(SUM(B162:F162)-C162)*M157),IF(SUM(B158:F162)&gt;(L174*5),L174*M157,SUM(B162:F162)*M157)),2)</f>
        <v>0</v>
      </c>
      <c r="N162" s="76">
        <f>ROUND(IF(SUM(B158:F161)&lt;(L174*4),IF((SUM(B158:F162))&gt;(L174*5),(((L174*5)-(SUM(B158:F162)-C161))*N157)+((SUM(B162:F162)-C161)*N157),SUM(B162:F162)*N157),IF(SUM(B158:F162)&gt;(L174*5),L174*N157,SUM(B162:F162)*N157)),2)</f>
        <v>0</v>
      </c>
      <c r="O162" s="23">
        <f>ROUND(SUM(B162+C162+F162)*O157,2)</f>
        <v>0</v>
      </c>
      <c r="P162" s="27">
        <f t="shared" si="18"/>
        <v>0</v>
      </c>
    </row>
    <row r="163" spans="1:16" x14ac:dyDescent="0.2">
      <c r="A163" s="100" t="str">
        <f>$A$31</f>
        <v>Jun 2022</v>
      </c>
      <c r="B163" s="24">
        <f>ROUND(IF(N143=0,0,IFERROR(((LOOKUP(2,1/(A146:A149=A163),G146:G149))*N143*4.348),B162/N143*N143)),2)</f>
        <v>0</v>
      </c>
      <c r="C163" s="23">
        <f>ROUND(IFERROR(((LOOKUP(2,1/(B151=A163),((SUM(B164:B166)+SUM(F164:F166))/3)*C151))),0)+IFERROR(((LOOKUP(2,1/(E151=A163),(B170+F170)*F151))),0),2)</f>
        <v>0</v>
      </c>
      <c r="D163" s="23">
        <f>ROUND(IF(B163=0,0,D157/L139*N143),2)</f>
        <v>0</v>
      </c>
      <c r="E163" s="23">
        <f>ROUND(IF(B163=0,0,E157/N135*N143),2)</f>
        <v>0</v>
      </c>
      <c r="F163" s="24">
        <f>ROUND(IF(N143=0,0,IFERROR(((LOOKUP(2,1/(A146:A149=A163),H146:H149))/N135*N143),F162/N143*N143)),2)</f>
        <v>0</v>
      </c>
      <c r="G163" s="27">
        <f t="shared" si="17"/>
        <v>0</v>
      </c>
      <c r="H163" s="76">
        <f>ROUND(IF(SUM(B158:F162)&lt;(L173*5),IF((SUM(B158:F163))&gt;(L173*6),(((L173*6)-(SUM(B158:F163)-C162))*H157)+((SUM(B163:F163)-C162)*H157),SUM(B163:F163)*H157),IF(SUM(B158:F163)&gt;(L173*6),L173*H157,SUM(B163:F163)*H157)),2)</f>
        <v>0</v>
      </c>
      <c r="I163" s="76">
        <f>ROUND(IF(SUM(B158:F162)&lt;(L174*5),IF((SUM(B158:F163))&gt;(L174*6),(((L174*6)-(SUM(B158:F163)-C162))*I157)+((SUM(B163:F163)-C162)*I157),SUM(B163:F163)*I157),IF(SUM(B158:F163)&gt;(L174*6),L174*I157,SUM(B163:F163)*I157)),2)</f>
        <v>0</v>
      </c>
      <c r="J163" s="76">
        <f>ROUND(IF(SUM(B158:F162)&lt;(L174*5),IF((SUM(B158:F163))&gt;(L174*6),(((L174*6)-(SUM(B158:F163)-C162))*J157)+((SUM(B163:F163)-C162)*J157),SUM(B163:F163)*J157),IF(SUM(B158:F163)&gt;(L174*6),L174*J157,SUM(B163:F163)*J157)),2)</f>
        <v>0</v>
      </c>
      <c r="K163" s="76">
        <f>ROUND(IF(SUM(B158:F162)&lt;(L173*5),IF((SUM(B158:F163))&gt;(L173*6),(((L173*6)-(SUM(B158:F163)-C162))*K157)+((SUM(B163:F163)-C162)*K157),SUM(B163:F163)*K157),IF(SUM(B158:F163)&gt;(L173*6),L173*K157,SUM(B163:F163)*K157)),2)</f>
        <v>0</v>
      </c>
      <c r="L163" s="76">
        <f>ROUND(IF(SUM(B158:F162)&lt;(L174*5),IF((SUM(B158:F163))&gt;(L174*6),(((L174*6)-(SUM(B158:F163)-C163))*L157)+((SUM(B163:F163)-C163)*L157),(SUM(B163:F163)-C163)*L157),IF(SUM(B158:F163)&gt;(L174*6),L174*L157,SUM(B163:F163)*L157)),2)</f>
        <v>0</v>
      </c>
      <c r="M163" s="76">
        <f>ROUND(IF(SUM(B158:F162)&lt;(L174*5),IF((SUM(B158:F163))&gt;(L174*6),(((L174*6)-(SUM(B158:F163)-C163))*M157)+((SUM(B163:F163)-C163)*M157),(SUM(B163:F163)-C163)*M157),IF(SUM(B158:F163)&gt;(L174*6),L174*M157,SUM(B163:F163)*M157)),2)</f>
        <v>0</v>
      </c>
      <c r="N163" s="76">
        <f>ROUND(IF(SUM(B158:F162)&lt;(L174*5),IF((SUM(B158:F163))&gt;(L174*6),(((L174*6)-(SUM(B158:F163)-C162))*N157)+((SUM(B163:F163)-C162)*N157),SUM(B163:F163)*N157),IF(SUM(B158:F163)&gt;(L174*6),L174*N157,SUM(B163:F163)*N157)),2)</f>
        <v>0</v>
      </c>
      <c r="O163" s="23">
        <f>ROUND(SUM(B163+C163+F163)*O157,2)</f>
        <v>0</v>
      </c>
      <c r="P163" s="27">
        <f t="shared" si="18"/>
        <v>0</v>
      </c>
    </row>
    <row r="164" spans="1:16" x14ac:dyDescent="0.2">
      <c r="A164" s="100" t="str">
        <f>$A$32</f>
        <v>Jul 2022</v>
      </c>
      <c r="B164" s="24">
        <f>ROUND(IF(P138=0,0,IFERROR(((LOOKUP(2,1/(A146:A149=A164),G146:G149))*P138*4.348),B163/P138*P138)),2)</f>
        <v>0</v>
      </c>
      <c r="C164" s="23">
        <f>ROUND(IFERROR(((LOOKUP(2,1/(B151=A164),((SUM(B164:B166)+SUM(F164:F166))/3)*C151))),0)+IFERROR(((LOOKUP(2,1/(E151=A164),(B170+F170)*F151))),0),2)</f>
        <v>0</v>
      </c>
      <c r="D164" s="23">
        <f>ROUND(IF(B164=0,0,D157/L139*P138),2)</f>
        <v>0</v>
      </c>
      <c r="E164" s="23">
        <f>ROUND(IF(B164=0,0,E157/N135*P138),2)</f>
        <v>0</v>
      </c>
      <c r="F164" s="24">
        <f>ROUND(IF(P138=0,0,IFERROR(((LOOKUP(2,1/(A146:A149=A164),H146:H149))/N135*P138),F163/P138*P138)),2)</f>
        <v>0</v>
      </c>
      <c r="G164" s="27">
        <f t="shared" si="17"/>
        <v>0</v>
      </c>
      <c r="H164" s="76">
        <f>ROUND(IF(SUM(B158:F163)&lt;(L173*6),IF((SUM(B158:F164))&gt;(L173*7),(((L173*7)-(SUM(B158:F164)-C163))*H157)+((SUM(B164:F164)-C163)*H157),SUM(B164:F164)*H157),IF(SUM(B158:F164)&gt;(L173*7),L173*H157,SUM(B164:F164)*H157)),2)</f>
        <v>0</v>
      </c>
      <c r="I164" s="76">
        <f>ROUND(IF(SUM(B158:F163)&lt;(L174*6),IF((SUM(B158:F164))&gt;(L174*7),(((L174*7)-(SUM(B158:F164)-C163))*I157)+((SUM(B164:F164)-C163)*I157),SUM(B164:F164)*I157),IF(SUM(B158:F164)&gt;(L174*7),L174*I157,SUM(B164:F164)*I157)),2)</f>
        <v>0</v>
      </c>
      <c r="J164" s="76">
        <f>ROUND(IF(SUM(B158:F163)&lt;(L174*6),IF((SUM(B158:F164))&gt;(L174*7),(((L174*7)-(SUM(B158:F164)-C163))*J157)+((SUM(B164:F164)-C163)*J157),SUM(B164:F164)*J157),IF(SUM(B158:F164)&gt;(L174*7),L174*J157,SUM(B164:F164)*J157)),2)</f>
        <v>0</v>
      </c>
      <c r="K164" s="76">
        <f>ROUND(IF(SUM(B158:F163)&lt;(L173*6),IF((SUM(B158:F164))&gt;(L173*7),(((L173*7)-(SUM(B158:F164)-C163))*K157)+((SUM(B164:F164)-C163)*K157),SUM(B164:F164)*K157),IF(SUM(B158:F164)&gt;(L173*7),L173*K157,SUM(B164:F164)*K157)),2)</f>
        <v>0</v>
      </c>
      <c r="L164" s="76">
        <f>ROUND(IF(SUM(B158:F163)&lt;(L174*6),IF((SUM(B158:F164))&gt;(L174*7),(((L174*7)-(SUM(B158:F164)-C164))*L157)+((SUM(B164:F164)-C164)*L157),(SUM(B164:F164)-C164)*L157),IF(SUM(B158:F164)&gt;(L174*7),L174*L157,SUM(B164:F164)*L157)),2)</f>
        <v>0</v>
      </c>
      <c r="M164" s="76">
        <f>ROUND(IF(SUM(B158:F163)&lt;(L174*6),IF((SUM(B158:F164))&gt;(L174*7),(((L174*7)-(SUM(B158:F164)-C164))*M157)+((SUM(B164:F164)-C164)*M157),(SUM(B164:F164)-C164)*M157),IF(SUM(B158:F164)&gt;(L174*7),L174*M157,SUM(B164:F164)*M157)),2)</f>
        <v>0</v>
      </c>
      <c r="N164" s="76">
        <f>ROUND(IF(SUM(B158:F163)&lt;(L174*6),IF((SUM(B158:F164))&gt;(L174*7),(((L174*7)-(SUM(B158:F164)-C163))*N157)+((SUM(B164:F164)-C163)*N157),SUM(B164:F164)*N157),IF(SUM(B158:F164)&gt;(L174*7),L174*N157,SUM(B164:F164)*N157)),2)</f>
        <v>0</v>
      </c>
      <c r="O164" s="23">
        <f>ROUND(SUM(B164+C164+F164)*O157,2)</f>
        <v>0</v>
      </c>
      <c r="P164" s="27">
        <f t="shared" si="18"/>
        <v>0</v>
      </c>
    </row>
    <row r="165" spans="1:16" x14ac:dyDescent="0.2">
      <c r="A165" s="100" t="str">
        <f>$A$33</f>
        <v>Aug 2022</v>
      </c>
      <c r="B165" s="24">
        <f>ROUND(IF(P139=0,0,IFERROR(((LOOKUP(2,1/(A146:A149=A165),G146:G149))*P139*4.348),B164/P139*P139)),2)</f>
        <v>0</v>
      </c>
      <c r="C165" s="23">
        <f>ROUND(IFERROR(((LOOKUP(2,1/(B151=A165),((SUM(B164:B166)+SUM(F164:F166))/3)*C151))),0)+IFERROR(((LOOKUP(2,1/(E151=A165),(B170+F170)*F151))),0),2)</f>
        <v>0</v>
      </c>
      <c r="D165" s="23">
        <f>ROUND(IF(B165=0,0,D157/L139*P139),2)</f>
        <v>0</v>
      </c>
      <c r="E165" s="23">
        <f>ROUND(IF(B165=0,0,E157/N135*P139),2)</f>
        <v>0</v>
      </c>
      <c r="F165" s="24">
        <f>ROUND(IF(P139=0,0,IFERROR(((LOOKUP(2,1/(A146:A149=A165),H146:H149))/N135*P139),F164/P139*P139)),2)</f>
        <v>0</v>
      </c>
      <c r="G165" s="27">
        <f t="shared" si="17"/>
        <v>0</v>
      </c>
      <c r="H165" s="76">
        <f>ROUND(IF(SUM(B158:F164)&lt;(L173*7),IF((SUM(B158:F165))&gt;(L173*8),(((L173*8)-(SUM(B158:F165)-C164))*H157)+((SUM(B165:F165)-C164)*H157),SUM(B165:F165)*H157),IF(SUM(B158:F165)&gt;(L173*8),L173*H157,SUM(B165:F165)*H157)),2)</f>
        <v>0</v>
      </c>
      <c r="I165" s="76">
        <f>ROUND(IF(SUM(B158:F164)&lt;(L174*7),IF((SUM(B158:F165))&gt;(L174*8),(((L174*8)-(SUM(B158:F165)-C164))*I157)+((SUM(B165:F165)-C164)*I157),SUM(B165:F165)*I157),IF(SUM(B158:F165)&gt;(L174*8),L174*I157,SUM(B165:F165)*I157)),2)</f>
        <v>0</v>
      </c>
      <c r="J165" s="76">
        <f>ROUND(IF(SUM(B158:F164)&lt;(L174*7),IF((SUM(B158:F165))&gt;(L174*8),(((L174*8)-(SUM(B158:F165)-C164))*J157)+((SUM(B165:F165)-C164)*J157),SUM(B165:F165)*J157),IF(SUM(B158:F165)&gt;(L174*8),L174*J157,SUM(B165:F165)*J157)),2)</f>
        <v>0</v>
      </c>
      <c r="K165" s="76">
        <f>ROUND(IF(SUM(B158:F164)&lt;(L173*7),IF((SUM(B158:F165))&gt;(L173*8),(((L173*8)-(SUM(B158:F165)-C164))*K157)+((SUM(B165:F165)-C164)*K157),SUM(B165:F165)*K157),IF(SUM(B158:F165)&gt;(L173*8),L173*K157,SUM(B165:F165)*K157)),2)</f>
        <v>0</v>
      </c>
      <c r="L165" s="76">
        <f>ROUND(IF(SUM(B158:F164)&lt;(L174*7),IF((SUM(B158:F165))&gt;(L174*8),(((L174*8)-(SUM(B158:F165)-C165))*L157)+((SUM(B165:F165)-C165)*L157),(SUM(B165:F165)-C165)*L157),IF(SUM(B158:F165)&gt;(L174*8),L174*L157,SUM(B165:F165)*L157)),2)</f>
        <v>0</v>
      </c>
      <c r="M165" s="76">
        <f>ROUND(IF(SUM(B158:F164)&lt;(L174*7),IF((SUM(B158:F165))&gt;(L174*8),(((L174*8)-(SUM(B158:F165)-C165))*M157)+((SUM(B165:F165)-C165)*M157),(SUM(B165:F165)-C165)*M157),IF(SUM(B158:F165)&gt;(L174*8),L174*M157,SUM(B165:F165)*M157)),2)</f>
        <v>0</v>
      </c>
      <c r="N165" s="76">
        <f>ROUND(IF(SUM(B158:F164)&lt;(L174*7),IF((SUM(B158:F165))&gt;(L174*8),(((L174*8)-(SUM(B158:F165)-C164))*N157)+((SUM(B165:F165)-C164)*N157),SUM(B165:F165)*N157),IF(SUM(B158:F165)&gt;(L174*8),L174*N157,SUM(B165:F165)*N157)),2)</f>
        <v>0</v>
      </c>
      <c r="O165" s="23">
        <f>ROUND(SUM(B165+C165+F165)*O157,2)</f>
        <v>0</v>
      </c>
      <c r="P165" s="27">
        <f t="shared" si="18"/>
        <v>0</v>
      </c>
    </row>
    <row r="166" spans="1:16" x14ac:dyDescent="0.2">
      <c r="A166" s="100" t="str">
        <f>$A$34</f>
        <v>Sep 2022</v>
      </c>
      <c r="B166" s="24">
        <f>ROUND(IF(P140=0,0,IFERROR(((LOOKUP(2,1/(A146:A149=A166),G146:G149))*P140*4.348),B165/P140*P140)),2)</f>
        <v>0</v>
      </c>
      <c r="C166" s="23">
        <f>ROUND(IFERROR(((LOOKUP(2,1/(B151=A166),((SUM(B164:B166)+SUM(F164:F166))/3)*C151))),0)+IFERROR(((LOOKUP(2,1/(E151=A166),(B170+F170)*F151))),0),2)</f>
        <v>0</v>
      </c>
      <c r="D166" s="23">
        <f>ROUND(IF(B166=0,0,D157/L139*P140),2)</f>
        <v>0</v>
      </c>
      <c r="E166" s="23">
        <f>ROUND(IF(B166=0,0,E157/N135*P140),2)</f>
        <v>0</v>
      </c>
      <c r="F166" s="24">
        <f>ROUND(IF(P140=0,0,IFERROR(((LOOKUP(2,1/(A146:A149=A166),H146:H149))/N135*P140),F165/P140*P140)),2)</f>
        <v>0</v>
      </c>
      <c r="G166" s="27">
        <f t="shared" si="17"/>
        <v>0</v>
      </c>
      <c r="H166" s="76">
        <f>ROUND(IF(SUM(B158:F165)&lt;(L173*8),IF((SUM(B158:F166))&gt;(L173*9),(((L173*9)-(SUM(B158:F166)-C165))*H157)+((SUM(B166:F166)-C165)*H157),SUM(B166:F166)*H157),IF(SUM(B158:F166)&gt;(L173*9),L173*H157,SUM(B166:F166)*H157)),2)</f>
        <v>0</v>
      </c>
      <c r="I166" s="76">
        <f>ROUND(IF(SUM(B158:F165)&lt;(L174*8),IF((SUM(B158:F166))&gt;(L174*9),(((L174*9)-(SUM(B158:F166)-C165))*I157)+((SUM(B166:F166)-C165)*I157),SUM(B166:F166)*I157),IF(SUM(B158:F166)&gt;(L174*9),L174*I157,SUM(B166:F166)*I157)),2)</f>
        <v>0</v>
      </c>
      <c r="J166" s="76">
        <f>ROUND(IF(SUM(B158:F165)&lt;(L174*8),IF((SUM(B158:F166))&gt;(L174*9),(((L174*9)-(SUM(B158:F166)-C165))*J157)+((SUM(B166:F166)-C165)*J157),SUM(B166:F166)*J157),IF(SUM(B158:F166)&gt;(L174*9),L174*J157,SUM(B166:F166)*J157)),2)</f>
        <v>0</v>
      </c>
      <c r="K166" s="76">
        <f>ROUND(IF(SUM(B158:F165)&lt;(L173*8),IF((SUM(B158:F166))&gt;(L173*9),(((L173*9)-(SUM(B158:F166)-C165))*K157)+((SUM(B166:F166)-C165)*K157),SUM(B166:F166)*K157),IF(SUM(B158:F166)&gt;(L173*9),L173*K157,SUM(B166:F166)*K157)),2)</f>
        <v>0</v>
      </c>
      <c r="L166" s="76">
        <f>ROUND(IF(SUM(B158:F165)&lt;(L174*8),IF((SUM(B158:F166))&gt;(L174*9),(((L174*9)-(SUM(B158:F166)-C166))*L157)+((SUM(B166:F166)-C166)*L157),(SUM(B166:F166)-C166)*L157),IF(SUM(B158:F166)&gt;(L174*9),L174*L157,SUM(B166:F166)*L157)),2)</f>
        <v>0</v>
      </c>
      <c r="M166" s="76">
        <f>ROUND(IF(SUM(B158:F165)&lt;(L174*8),IF((SUM(B158:F166))&gt;(L174*9),(((L174*9)-(SUM(B158:F166)-C166))*M157)+((SUM(B166:F166)-C166)*M157),(SUM(B166:F166)-C166)*M157),IF(SUM(B158:F166)&gt;(L174*9),L174*M157,SUM(B166:F166)*M157)),2)</f>
        <v>0</v>
      </c>
      <c r="N166" s="76">
        <f>ROUND(IF(SUM(B158:F165)&lt;(L174*8),IF((SUM(B158:F166))&gt;(L174*9),(((L174*9)-(SUM(B158:F166)-C165))*N157)+((SUM(B166:F166)-C165)*N157),SUM(B166:F166)*N157),IF(SUM(B158:F166)&gt;(L174*9),L174*N157,SUM(B166:F166)*N157)),2)</f>
        <v>0</v>
      </c>
      <c r="O166" s="23">
        <f>ROUND(SUM(B166+C166+F166)*O157,2)</f>
        <v>0</v>
      </c>
      <c r="P166" s="27">
        <f t="shared" si="18"/>
        <v>0</v>
      </c>
    </row>
    <row r="167" spans="1:16" x14ac:dyDescent="0.2">
      <c r="A167" s="100" t="str">
        <f>$A$35</f>
        <v>Okt 2022</v>
      </c>
      <c r="B167" s="24">
        <f>ROUND(IF(P141=0,0,IFERROR(((LOOKUP(2,1/(A146:A149=A167),G146:G149))*P141*4.348),B166/P141*P141)),2)</f>
        <v>0</v>
      </c>
      <c r="C167" s="23">
        <f>ROUND(IFERROR(((LOOKUP(2,1/(B151=A167),((SUM(B164:B166)+SUM(F164:F166))/3)*C151))),0)+IFERROR(((LOOKUP(2,1/(E151=A167),(B170+F170)*F151))),0),2)</f>
        <v>0</v>
      </c>
      <c r="D167" s="23">
        <f>ROUND(IF(B167=0,0,D157/L139*P141),2)</f>
        <v>0</v>
      </c>
      <c r="E167" s="23">
        <f>ROUND(IF(B167=0,0,E157/N135*P141),2)</f>
        <v>0</v>
      </c>
      <c r="F167" s="24">
        <f>ROUND(IF(P141=0,0,IFERROR(((LOOKUP(2,1/(A146:A149=A167),H146:H149))/N135*P141),F166/P141*P141)),2)</f>
        <v>0</v>
      </c>
      <c r="G167" s="27">
        <f t="shared" si="17"/>
        <v>0</v>
      </c>
      <c r="H167" s="76">
        <f>ROUND(IF(SUM(B158:F166)&lt;(L173*9),IF((SUM(B158:F167))&gt;(L173*10),(((L173*10)-(SUM(B158:F167)-C166))*H157)+((SUM(B167:F167)-C166)*H157),SUM(B167:F167)*H157),IF(SUM(B158:F167)&gt;(L173*10),L173*H157,SUM(B167:F167)*H157)),2)</f>
        <v>0</v>
      </c>
      <c r="I167" s="76">
        <f>ROUND(IF(SUM(B158:F166)&lt;(L174*9),IF((SUM(B158:F167))&gt;(L174*10),(((L174*10)-(SUM(B158:F167)-C166))*I157)+((SUM(B167:F167)-C166)*I157),SUM(B167:F167)*I157),IF(SUM(B158:F167)&gt;(L174*10),L174*I157,SUM(B167:F167)*I157)),2)</f>
        <v>0</v>
      </c>
      <c r="J167" s="76">
        <f>ROUND(IF(SUM(B158:F166)&lt;(L174*9),IF((SUM(B158:F167))&gt;(L174*10),(((L174*10)-(SUM(B158:F167)-C166))*J157)+((SUM(B167:F167)-C166)*J157),SUM(B167:F167)*J157),IF(SUM(B158:F167)&gt;(L174*10),L174*J157,SUM(B167:F167)*J157)),2)</f>
        <v>0</v>
      </c>
      <c r="K167" s="76">
        <f>ROUND(IF(SUM(B158:F166)&lt;(L173*9),IF((SUM(B158:F167))&gt;(L173*10),(((L173*10)-(SUM(B158:F167)-C166))*K157)+((SUM(B167:F167)-C166)*K157),SUM(B167:F167)*K157),IF(SUM(B158:F167)&gt;(L173*10),L173*K157,SUM(B167:F167)*K157)),2)</f>
        <v>0</v>
      </c>
      <c r="L167" s="76">
        <f>ROUND(IF(SUM(B158:F166)&lt;(L174*9),IF((SUM(B158:F167))&gt;(L174*10),(((L174*10)-(SUM(B158:F167)-C167))*L157)+((SUM(B167:F167)-C167)*L157),(SUM(B167:F167)-C167)*L157),IF(SUM(B158:F167)&gt;(L174*10),L174*L157,SUM(B167:F167)*L157)),2)</f>
        <v>0</v>
      </c>
      <c r="M167" s="76">
        <f>ROUND(IF(SUM(B158:F166)&lt;(L174*9),IF((SUM(B158:F167))&gt;(L174*10),(((L174*10)-(SUM(B158:F167)-C167))*M157)+((SUM(B167:F167)-C167)*M157),(SUM(B167:F167)-C167)*M157),IF(SUM(B158:F167)&gt;(L174*10),L174*M157,SUM(B167:F167)*M157)),2)</f>
        <v>0</v>
      </c>
      <c r="N167" s="76">
        <f>ROUND(IF(SUM(B158:F166)&lt;(L174*9),IF((SUM(B158:F167))&gt;(L174*10),(((L174*10)-(SUM(B158:F167)-C166))*N157)+((SUM(B167:F167)-C166)*N157),SUM(B167:F167)*N157),IF(SUM(B158:F167)&gt;(L174*10),L174*N157,SUM(B167:F167)*N157)),2)</f>
        <v>0</v>
      </c>
      <c r="O167" s="23">
        <f>ROUND(SUM(B167+C167+F167)*O157,2)</f>
        <v>0</v>
      </c>
      <c r="P167" s="27">
        <f t="shared" si="18"/>
        <v>0</v>
      </c>
    </row>
    <row r="168" spans="1:16" x14ac:dyDescent="0.2">
      <c r="A168" s="100" t="str">
        <f>$A$36</f>
        <v>Nov 2022</v>
      </c>
      <c r="B168" s="24">
        <f>ROUND(IF(P142=0,0,IFERROR(((LOOKUP(2,1/(A146:A149=A168),G146:G149))*P142*4.348),B167/P142*P142)),2)</f>
        <v>0</v>
      </c>
      <c r="C168" s="23">
        <f>ROUND(IFERROR(((LOOKUP(2,1/(B151=A168),((SUM(B164:B166)+SUM(F164:F166))/3)*C151))),0)+IFERROR(((LOOKUP(2,1/(E151=A168),(B170+F170)*F151))),0),2)</f>
        <v>0</v>
      </c>
      <c r="D168" s="23">
        <f>ROUND(IF(B168=0,0,D157/L139*P142),2)</f>
        <v>0</v>
      </c>
      <c r="E168" s="23">
        <f>ROUND(IF(B168=0,0,E157/N135*P142),2)</f>
        <v>0</v>
      </c>
      <c r="F168" s="24">
        <f>ROUND(IF(P142=0,0,IFERROR(((LOOKUP(2,1/(A146:A149=A168),H146:H149))/N135*P142),F167/P142*P142)),2)</f>
        <v>0</v>
      </c>
      <c r="G168" s="27">
        <f t="shared" si="17"/>
        <v>0</v>
      </c>
      <c r="H168" s="76">
        <f>ROUND(IF(SUM(B158:F167)&lt;(L173*10),IF((SUM(B158:F168))&gt;(L173*11),(((L173*11)-(SUM(B158:F168)-C167))*H157)+((SUM(B168:F168)-C167)*H157),SUM(B168:F168)*H157),IF(SUM(B158:F168)&gt;(L173*11),L173*H157,SUM(B168:F168)*H157)),2)</f>
        <v>0</v>
      </c>
      <c r="I168" s="76">
        <f>ROUND(IF(SUM(B158:F167)&lt;(L174*10),IF((SUM(B158:F168))&gt;(L174*11),(((L174*11)-(SUM(B158:F168)-C167))*I157)+((SUM(B168:F168)-C167)*I157),SUM(B168:F168)*I157),IF(SUM(B158:F168)&gt;(L174*11),L174*I157,SUM(B168:F168)*I157)),2)</f>
        <v>0</v>
      </c>
      <c r="J168" s="76">
        <f>ROUND(IF(SUM(B158:F167)&lt;(L174*10),IF((SUM(B158:F168))&gt;(L174*11),(((L174*11)-(SUM(B158:F168)-C167))*J157)+((SUM(B168:F168)-C167)*J157),SUM(B168:F168)*J157),IF(SUM(B158:F168)&gt;(L174*11),L174*J157,SUM(B168:F168)*J157)),2)</f>
        <v>0</v>
      </c>
      <c r="K168" s="76">
        <f>ROUND(IF(SUM(B158:F167)&lt;(L173*10),IF((SUM(B158:F168))&gt;(L173*11),(((L173*11)-(SUM(B158:F168)-C167))*K157)+((SUM(B168:F168)-C167)*K157),SUM(B168:F168)*K157),IF(SUM(B158:F168)&gt;(L173*11),L173*K157,SUM(B168:F168)*K157)),2)</f>
        <v>0</v>
      </c>
      <c r="L168" s="76">
        <f>ROUND(IF(SUM(B158:F167)&lt;(L174*10),IF((SUM(B158:F168))&gt;(L174*11),(((L174*11)-(SUM(B158:F168)-C168))*L157)+((SUM(B168:F168)-C168)*L157),(SUM(B168:F168)-C168)*L157),IF(SUM(B158:F168)&gt;(L174*11),L174*L157,SUM(B168:F168)*L157)),2)</f>
        <v>0</v>
      </c>
      <c r="M168" s="76">
        <f>ROUND(IF(SUM(B158:F167)&lt;(L174*10),IF((SUM(B158:F168))&gt;(L174*11),(((L174*11)-(SUM(B158:F168)-C168))*M157)+((SUM(B168:F168)-C168)*M157),(SUM(B168:F168)-C168)*M157),IF(SUM(B158:F168)&gt;(L174*11),L174*M157,SUM(B168:F168)*M157)),2)</f>
        <v>0</v>
      </c>
      <c r="N168" s="76">
        <f>ROUND(IF(SUM(B158:F167)&lt;(L174*10),IF((SUM(B158:F168))&gt;(L174*11),(((L174*11)-(SUM(B158:F168)-C167))*N157)+((SUM(B168:F168)-C167)*N157),SUM(B168:F168)*N157),IF(SUM(B158:F168)&gt;(L174*11),L174*N157,SUM(B168:F168)*N157)),2)</f>
        <v>0</v>
      </c>
      <c r="O168" s="23">
        <f>ROUND(SUM(B168+C168+F168)*O157,2)</f>
        <v>0</v>
      </c>
      <c r="P168" s="27">
        <f t="shared" si="18"/>
        <v>0</v>
      </c>
    </row>
    <row r="169" spans="1:16" x14ac:dyDescent="0.2">
      <c r="A169" s="100" t="str">
        <f>$A$37</f>
        <v>Dez 2022</v>
      </c>
      <c r="B169" s="24">
        <f>ROUND(IF(P143=0,0,IFERROR(((LOOKUP(2,1/(A146:A149=A169),G146:G149))*P143*4.348),B168/P143*P143)),2)</f>
        <v>0</v>
      </c>
      <c r="C169" s="23">
        <f>ROUND(IFERROR(((LOOKUP(2,1/(B151=A169),((SUM(B164:B166)+SUM(F164:F166))/3)*C151))),0)+IFERROR(((LOOKUP(2,1/(E151=A169),(B170+F170)*F151))),0),2)</f>
        <v>0</v>
      </c>
      <c r="D169" s="23">
        <f>ROUND(IF(B169=0,0,D157/L139*P143),2)</f>
        <v>0</v>
      </c>
      <c r="E169" s="23">
        <f>ROUND(IF(B169=0,0,E157/N135*P143),2)</f>
        <v>0</v>
      </c>
      <c r="F169" s="24">
        <f>ROUND(IF(P143=0,0,IFERROR(((LOOKUP(2,1/(A146:A149=A169),H146:H149))/N135*P143),F168/P143*P143)),2)</f>
        <v>0</v>
      </c>
      <c r="G169" s="27">
        <f t="shared" si="17"/>
        <v>0</v>
      </c>
      <c r="H169" s="76">
        <f>ROUND(IF(SUM(B158:F168)&lt;(L173*11),IF((SUM(B158:F169))&gt;(L173*12),(((L173*12)-(SUM(B158:F169)-C168))*H157)+((SUM(B169:F169)-C168)*H157),SUM(B169:F169)*H157),IF(SUM(B158:F169)&gt;(L173*12),L173*H157,SUM(B169:F169)*H157)),2)</f>
        <v>0</v>
      </c>
      <c r="I169" s="76">
        <f>ROUND(IF(SUM(B158:F168)&lt;(L174*11),IF((SUM(B158:F169))&gt;(L174*12),(((L174*12)-(SUM(B158:F169)-C168))*I157)+((SUM(B169:F169)-C168)*I157),SUM(B169:F169)*I157),IF(SUM(B158:F169)&gt;(L174*12),L174*I157,SUM(B169:F169)*I157)),2)</f>
        <v>0</v>
      </c>
      <c r="J169" s="76">
        <f>ROUND(IF(SUM(B158:F168)&lt;(L174*11),IF((SUM(B158:F169))&gt;(L174*12),(((L174*12)-(SUM(B158:F169)-C168))*J157)+((SUM(B169:F169)-C168)*J157),SUM(B169:F169)*J157),IF(SUM(B158:F169)&gt;(L174*12),L174*J157,SUM(B169:F169)*J157)),2)</f>
        <v>0</v>
      </c>
      <c r="K169" s="76">
        <f>ROUND(IF(SUM(B158:F168)&lt;(L173*11),IF((SUM(B158:F169))&gt;(L173*12),(((L173*12)-(SUM(B158:F169)-C168))*K157)+((SUM(B169:F169)-C168)*K157),SUM(B169:F169)*K157),IF(SUM(B158:F169)&gt;(L173*12),L173*K157,SUM(B169:F169)*K157)),2)</f>
        <v>0</v>
      </c>
      <c r="L169" s="76">
        <f>ROUND(IF(SUM(B158:F168)&lt;(L174*11),IF((SUM(B158:F169))&gt;(L174*12),(((L174*12)-(SUM(B158:F169)-C169))*L157)+((SUM(B169:F169)-C169)*L157),(SUM(B169:F169)-C169)*L157),IF(SUM(B158:F169)&gt;(L174*12),L174*L157,SUM(B169:F169)*L157)),2)</f>
        <v>0</v>
      </c>
      <c r="M169" s="76">
        <f>ROUND(IF(SUM(B158:F168)&lt;(L174*11),IF((SUM(B158:F169))&gt;(L174*12),(((L174*12)-(SUM(B158:F169)-C169))*M157)+((SUM(B169:F169)-C169)*M157),(SUM(B169:F169)-C169)*M157),IF(SUM(B158:F169)&gt;(L174*12),L174*M157,SUM(B169:F169)*M157)),2)</f>
        <v>0</v>
      </c>
      <c r="N169" s="76">
        <f>ROUND(IF(SUM(B158:F168)&lt;(L174*11),IF((SUM(B158:F169))&gt;(L174*12),(((L174*12)-(SUM(B158:F169)-C168))*N157)+((SUM(B169:F169)-C168)*N157),SUM(B169:F169)*N157),IF(SUM(B158:F169)&gt;(L174*12),L174*N157,SUM(B169:F169)*N157)),2)</f>
        <v>0</v>
      </c>
      <c r="O169" s="23">
        <f>ROUND(SUM(B169+C169+F169)*O157,2)</f>
        <v>0</v>
      </c>
      <c r="P169" s="27">
        <f t="shared" si="18"/>
        <v>0</v>
      </c>
    </row>
    <row r="170" spans="1:16" s="14" customFormat="1" ht="15" x14ac:dyDescent="0.25">
      <c r="A170" s="4" t="s">
        <v>2</v>
      </c>
      <c r="B170" s="27">
        <f>SUM(B158:B169)</f>
        <v>0</v>
      </c>
      <c r="C170" s="27">
        <f t="shared" ref="C170:D170" si="19">SUM(C158:C169)</f>
        <v>0</v>
      </c>
      <c r="D170" s="27">
        <f t="shared" si="19"/>
        <v>0</v>
      </c>
      <c r="E170" s="27">
        <f>SUM(E158:E169)</f>
        <v>0</v>
      </c>
      <c r="F170" s="27">
        <f>SUM(F158:F169)</f>
        <v>0</v>
      </c>
      <c r="G170" s="27">
        <f>SUM(G158:G169)</f>
        <v>0</v>
      </c>
      <c r="H170" s="1133">
        <f>SUM(H158:N169)</f>
        <v>0</v>
      </c>
      <c r="I170" s="1134"/>
      <c r="J170" s="1134"/>
      <c r="K170" s="1134"/>
      <c r="L170" s="1134"/>
      <c r="M170" s="1134"/>
      <c r="N170" s="1135"/>
      <c r="O170" s="27">
        <f>SUM(O158:O169)</f>
        <v>0</v>
      </c>
      <c r="P170" s="27">
        <f>SUM(P158:P169)</f>
        <v>0</v>
      </c>
    </row>
    <row r="171" spans="1:16" s="13" customFormat="1" ht="11.25" x14ac:dyDescent="0.2">
      <c r="A171" s="3" t="s">
        <v>1</v>
      </c>
      <c r="B171" s="2"/>
      <c r="C171" s="2"/>
      <c r="D171" s="2"/>
      <c r="E171" s="2"/>
      <c r="F171" s="2"/>
      <c r="G171" s="2"/>
      <c r="H171" s="2"/>
      <c r="I171" s="2"/>
      <c r="J171" s="2"/>
      <c r="K171" s="2"/>
      <c r="L171" s="2"/>
      <c r="M171" s="2"/>
      <c r="N171" s="2"/>
      <c r="O171" s="2"/>
      <c r="P171" s="2"/>
    </row>
    <row r="172" spans="1:16" ht="14.25" customHeight="1" x14ac:dyDescent="0.2">
      <c r="A172" s="1136" t="s">
        <v>133</v>
      </c>
      <c r="B172" s="1137"/>
      <c r="C172" s="1137"/>
      <c r="D172" s="1137" t="s">
        <v>134</v>
      </c>
      <c r="E172" s="1137"/>
      <c r="F172" s="94" t="str">
        <f>IF(IF(G170=0,"",$F$40)=0,"",IF(G170=0,"",$F$40))</f>
        <v/>
      </c>
      <c r="G172" s="77" t="s">
        <v>135</v>
      </c>
      <c r="H172" s="96" t="str">
        <f>IF(IF(G170=0,"",$H$40)=0,"",IF(G170=0,"",$H$40))</f>
        <v/>
      </c>
      <c r="I172" s="73"/>
      <c r="J172" s="194" t="s">
        <v>160</v>
      </c>
      <c r="K172" s="194" t="str">
        <f>$K$40</f>
        <v>2021</v>
      </c>
      <c r="L172" s="194" t="str">
        <f>$L$40</f>
        <v>anteilig 2021</v>
      </c>
      <c r="M172" s="1138" t="s">
        <v>140</v>
      </c>
      <c r="N172" s="1138"/>
      <c r="O172" s="1139"/>
      <c r="P172" s="27">
        <f>ROUND(IF(F172="",IF(E176="",0,(E176*H176/K176)/L139*L140),G170*F172*H172/1000),2)</f>
        <v>0</v>
      </c>
    </row>
    <row r="173" spans="1:16" ht="15" customHeight="1" x14ac:dyDescent="0.2">
      <c r="A173" s="1140" t="s">
        <v>145</v>
      </c>
      <c r="B173" s="1141"/>
      <c r="C173" s="1141"/>
      <c r="D173" s="18"/>
      <c r="E173" s="107" t="s">
        <v>135</v>
      </c>
      <c r="F173" s="95" t="str">
        <f>IF(IF(G170=0,"",$F$41)=0,"",IF(G170=0,"",$F$41))</f>
        <v/>
      </c>
      <c r="G173" s="48"/>
      <c r="H173" s="47"/>
      <c r="I173" s="48"/>
      <c r="J173" s="195" t="s">
        <v>158</v>
      </c>
      <c r="K173" s="198">
        <f>$K$41</f>
        <v>4837.5</v>
      </c>
      <c r="L173" s="197">
        <f>IF(L139="",K173,K173/L139*L140)</f>
        <v>4837.5</v>
      </c>
      <c r="M173" s="1138" t="s">
        <v>139</v>
      </c>
      <c r="N173" s="1138"/>
      <c r="O173" s="1139"/>
      <c r="P173" s="27">
        <f>ROUND(IF(F173="",0,G170*F173/1000),2)</f>
        <v>0</v>
      </c>
    </row>
    <row r="174" spans="1:16" ht="15.75" customHeight="1" x14ac:dyDescent="0.2">
      <c r="A174" s="1142" t="s">
        <v>141</v>
      </c>
      <c r="B174" s="1143"/>
      <c r="C174" s="1143"/>
      <c r="D174" s="1144" t="s">
        <v>143</v>
      </c>
      <c r="E174" s="1144"/>
      <c r="F174" s="1145" t="str">
        <f>IF(IF(G170=0,"",$F$42)=0,"",IF(G170=0,"",$F$42))</f>
        <v/>
      </c>
      <c r="G174" s="1145"/>
      <c r="H174" s="72"/>
      <c r="I174" s="18"/>
      <c r="J174" s="195" t="s">
        <v>159</v>
      </c>
      <c r="K174" s="198">
        <f>$K$42</f>
        <v>6700</v>
      </c>
      <c r="L174" s="197">
        <f>IF(L139="",K174,K174/L139*L140)</f>
        <v>6700</v>
      </c>
      <c r="M174" s="1138" t="s">
        <v>141</v>
      </c>
      <c r="N174" s="1138"/>
      <c r="O174" s="1139"/>
      <c r="P174" s="23">
        <f>ROUND(IF(F174="",0,IF(G170=0,0,F174/L139*L140)),2)</f>
        <v>0</v>
      </c>
    </row>
    <row r="175" spans="1:16" ht="14.25" customHeight="1" x14ac:dyDescent="0.2">
      <c r="A175" s="18"/>
      <c r="B175" s="18"/>
      <c r="C175" s="18"/>
      <c r="D175" s="18"/>
      <c r="E175" s="18"/>
      <c r="F175" s="18"/>
      <c r="G175" s="18"/>
      <c r="H175" s="18"/>
      <c r="I175" s="18"/>
      <c r="J175" s="18"/>
      <c r="K175" s="74"/>
      <c r="L175" s="82"/>
      <c r="M175" s="1127" t="s">
        <v>146</v>
      </c>
      <c r="N175" s="1127"/>
      <c r="O175" s="1128"/>
      <c r="P175" s="23">
        <f>ROUND(IF(G170=0,0,$P$43),2)</f>
        <v>0</v>
      </c>
    </row>
    <row r="176" spans="1:16" ht="14.25" customHeight="1" x14ac:dyDescent="0.2">
      <c r="A176" s="1129" t="s">
        <v>142</v>
      </c>
      <c r="B176" s="1130"/>
      <c r="C176" s="148" t="s">
        <v>136</v>
      </c>
      <c r="D176" s="148" t="s">
        <v>137</v>
      </c>
      <c r="E176" s="1131" t="str">
        <f>IF(IF(G170=0,"",$E$44)=0,"",IF(G170=0,"",$E$44))</f>
        <v/>
      </c>
      <c r="F176" s="1131"/>
      <c r="G176" s="83" t="s">
        <v>138</v>
      </c>
      <c r="H176" s="97" t="str">
        <f>IF(IF(G170=0,"",$H$44)=0,"",IF(G170=0,"",$H$44))</f>
        <v/>
      </c>
      <c r="I176" s="1132" t="s">
        <v>144</v>
      </c>
      <c r="J176" s="1132"/>
      <c r="K176" s="98" t="str">
        <f>IF(IF(G170=0,"",$K$44)=0,"",IF(G170=0,"",$K$44))</f>
        <v/>
      </c>
      <c r="L176" s="29"/>
      <c r="M176" s="29"/>
      <c r="N176" s="29"/>
      <c r="O176" s="28" t="s">
        <v>0</v>
      </c>
      <c r="P176" s="27">
        <f>P170+SUM(P172:P175)</f>
        <v>0</v>
      </c>
    </row>
    <row r="177" spans="1:16" s="12" customFormat="1" ht="13.5" customHeight="1" x14ac:dyDescent="0.2">
      <c r="A177" s="1178" t="s">
        <v>18</v>
      </c>
      <c r="B177" s="1178"/>
      <c r="C177" s="1178"/>
      <c r="D177" s="1179" t="str">
        <f>IF($D$1="","",$D$1)</f>
        <v/>
      </c>
      <c r="E177" s="1179"/>
      <c r="F177" s="1179"/>
      <c r="G177" s="1179"/>
      <c r="H177" s="1179"/>
      <c r="I177" s="1179"/>
      <c r="J177" s="1179"/>
      <c r="K177" s="1179"/>
      <c r="L177" s="1179"/>
      <c r="M177" s="1179"/>
      <c r="N177" s="1179"/>
    </row>
    <row r="178" spans="1:16" s="12" customFormat="1" ht="15" customHeight="1" x14ac:dyDescent="0.2">
      <c r="A178" s="1178" t="s">
        <v>17</v>
      </c>
      <c r="B178" s="1178"/>
      <c r="C178" s="1178" t="s">
        <v>15</v>
      </c>
      <c r="D178" s="1179" t="str">
        <f>IF($D$2="","",$D$2)</f>
        <v/>
      </c>
      <c r="E178" s="1179"/>
      <c r="F178" s="1179"/>
      <c r="G178" s="1179"/>
      <c r="H178" s="1179"/>
      <c r="I178" s="1179"/>
      <c r="J178" s="1179"/>
      <c r="K178" s="1179"/>
      <c r="L178" s="1179"/>
      <c r="M178" s="1179"/>
      <c r="N178" s="1179"/>
    </row>
    <row r="179" spans="1:16" s="12" customFormat="1" ht="15" customHeight="1" x14ac:dyDescent="0.2">
      <c r="A179" s="1178" t="s">
        <v>16</v>
      </c>
      <c r="B179" s="1178"/>
      <c r="C179" s="1178" t="s">
        <v>15</v>
      </c>
      <c r="D179" s="1179" t="str">
        <f>IF($D$3="","",$D$3)</f>
        <v/>
      </c>
      <c r="E179" s="1179"/>
      <c r="F179" s="1179"/>
      <c r="G179" s="1179"/>
      <c r="H179" s="1179"/>
      <c r="I179" s="1179"/>
      <c r="J179" s="1179"/>
      <c r="K179" s="1178" t="s">
        <v>103</v>
      </c>
      <c r="L179" s="1178"/>
      <c r="M179" s="1178"/>
      <c r="N179" s="41" t="str">
        <f>IF($N$3="","",$N$3)</f>
        <v/>
      </c>
    </row>
    <row r="180" spans="1:16" s="13" customFormat="1" ht="11.25" x14ac:dyDescent="0.2">
      <c r="A180" s="1182"/>
      <c r="B180" s="1182"/>
      <c r="C180" s="1182"/>
      <c r="D180" s="1183"/>
      <c r="E180" s="1183"/>
      <c r="F180" s="1183"/>
      <c r="G180" s="1183"/>
      <c r="H180" s="1183"/>
      <c r="I180" s="1183"/>
      <c r="J180" s="1183"/>
      <c r="K180" s="11"/>
      <c r="L180" s="11"/>
      <c r="M180" s="11"/>
      <c r="N180" s="11"/>
      <c r="O180" s="11"/>
      <c r="P180" s="11"/>
    </row>
    <row r="181" spans="1:16" s="15" customFormat="1" ht="13.5" customHeight="1" x14ac:dyDescent="0.2">
      <c r="A181" s="1177" t="s">
        <v>224</v>
      </c>
      <c r="B181" s="1177"/>
      <c r="C181" s="1177"/>
      <c r="D181" s="1177"/>
      <c r="E181" s="1177"/>
      <c r="F181" s="1177"/>
      <c r="G181" s="1177"/>
      <c r="H181" s="1177"/>
      <c r="I181" s="1177"/>
      <c r="J181" s="1177"/>
      <c r="K181" s="9"/>
      <c r="L181" s="9"/>
      <c r="M181" s="9"/>
      <c r="N181" s="59" t="s">
        <v>154</v>
      </c>
      <c r="O181" s="191">
        <f>$O$5</f>
        <v>2022</v>
      </c>
      <c r="P181" s="59" t="s">
        <v>154</v>
      </c>
    </row>
    <row r="182" spans="1:16" s="10" customFormat="1" ht="13.5" customHeight="1" x14ac:dyDescent="0.25">
      <c r="B182" s="32"/>
      <c r="C182" s="32"/>
      <c r="D182" s="5" t="s">
        <v>35</v>
      </c>
      <c r="E182" s="31"/>
      <c r="F182" s="31"/>
      <c r="G182" s="31"/>
      <c r="H182" s="31"/>
      <c r="I182" s="26"/>
      <c r="J182" s="1174" t="s">
        <v>14</v>
      </c>
      <c r="K182" s="1174"/>
      <c r="L182" s="180"/>
      <c r="N182" s="84">
        <f>IF(L184="","",L184)</f>
        <v>0</v>
      </c>
      <c r="O182" s="58" t="str">
        <f>$O$6</f>
        <v>Jan                Jul</v>
      </c>
      <c r="P182" s="85">
        <f>IF(N187="","",N187)</f>
        <v>0</v>
      </c>
    </row>
    <row r="183" spans="1:16" s="7" customFormat="1" ht="13.5" customHeight="1" x14ac:dyDescent="0.25">
      <c r="A183" s="1180" t="s">
        <v>71</v>
      </c>
      <c r="B183" s="1180"/>
      <c r="C183" s="1180"/>
      <c r="D183" s="1184"/>
      <c r="E183" s="1184"/>
      <c r="F183" s="1184"/>
      <c r="G183" s="1184"/>
      <c r="H183" s="1184"/>
      <c r="I183" s="1184"/>
      <c r="J183" s="1174" t="s">
        <v>104</v>
      </c>
      <c r="K183" s="1174"/>
      <c r="L183" s="145"/>
      <c r="N183" s="85">
        <f>IF(N182="","",N182)</f>
        <v>0</v>
      </c>
      <c r="O183" s="58" t="str">
        <f>$O$7</f>
        <v>Feb              Aug</v>
      </c>
      <c r="P183" s="85">
        <f>IF(P182="","",P182)</f>
        <v>0</v>
      </c>
    </row>
    <row r="184" spans="1:16" ht="13.5" customHeight="1" x14ac:dyDescent="0.2">
      <c r="A184" s="1180" t="s">
        <v>13</v>
      </c>
      <c r="B184" s="1180"/>
      <c r="C184" s="1180"/>
      <c r="D184" s="1181"/>
      <c r="E184" s="1181"/>
      <c r="F184" s="1181"/>
      <c r="G184" s="1181"/>
      <c r="H184" s="1181"/>
      <c r="I184" s="1181"/>
      <c r="J184" s="1174" t="s">
        <v>222</v>
      </c>
      <c r="K184" s="1174"/>
      <c r="L184" s="145">
        <f>IF(L185&gt;L183,0,L183-L185)</f>
        <v>0</v>
      </c>
      <c r="N184" s="85">
        <f>IF(N183="","",N183)</f>
        <v>0</v>
      </c>
      <c r="O184" s="58" t="str">
        <f>$O$8</f>
        <v>Mrz              Sep</v>
      </c>
      <c r="P184" s="85">
        <f>IF(P183="","",P183)</f>
        <v>0</v>
      </c>
    </row>
    <row r="185" spans="1:16" ht="13.5" customHeight="1" x14ac:dyDescent="0.2">
      <c r="A185" s="1180" t="s">
        <v>12</v>
      </c>
      <c r="B185" s="1180"/>
      <c r="C185" s="1180"/>
      <c r="D185" s="1181"/>
      <c r="E185" s="1181"/>
      <c r="F185" s="1181"/>
      <c r="G185" s="1181"/>
      <c r="H185" s="1181"/>
      <c r="I185" s="1181"/>
      <c r="J185" s="1174" t="s">
        <v>223</v>
      </c>
      <c r="K185" s="1174"/>
      <c r="L185" s="145"/>
      <c r="N185" s="85">
        <f>IF(N184="","",N184)</f>
        <v>0</v>
      </c>
      <c r="O185" s="58" t="str">
        <f>$O$9</f>
        <v>Apr               Okt</v>
      </c>
      <c r="P185" s="85">
        <f t="shared" ref="P185:P187" si="20">IF(P184="","",P184)</f>
        <v>0</v>
      </c>
    </row>
    <row r="186" spans="1:16" ht="13.5" customHeight="1" x14ac:dyDescent="0.2">
      <c r="A186" s="1180" t="s">
        <v>19</v>
      </c>
      <c r="B186" s="1180"/>
      <c r="C186" s="1180"/>
      <c r="D186" s="1181"/>
      <c r="E186" s="1181"/>
      <c r="F186" s="1181"/>
      <c r="G186" s="1181"/>
      <c r="H186" s="1181"/>
      <c r="I186" s="1181"/>
      <c r="J186" s="1174" t="s">
        <v>97</v>
      </c>
      <c r="K186" s="1174"/>
      <c r="L186" s="17" t="str">
        <f>IF(IF((COUNTIF(B202:B213,"&gt;0"))=0,0,(COUNTIF(B202:B213,"&gt;0")))&gt;Grundlagen!$C$24,Grundlagen!$C$24,IF((COUNTIF(B202:B213,"&gt;0"))=0,"",(COUNTIF(B202:B213,"&gt;0"))))</f>
        <v/>
      </c>
      <c r="M186" s="92"/>
      <c r="N186" s="85">
        <f>IF(N185="","",N185)</f>
        <v>0</v>
      </c>
      <c r="O186" s="58" t="str">
        <f>'päd.Personal - Leitung'!$O$10</f>
        <v>Mai               Nov</v>
      </c>
      <c r="P186" s="85">
        <f t="shared" si="20"/>
        <v>0</v>
      </c>
    </row>
    <row r="187" spans="1:16" ht="13.5" customHeight="1" x14ac:dyDescent="0.2">
      <c r="B187" s="8"/>
      <c r="C187" s="141" t="s">
        <v>162</v>
      </c>
      <c r="D187" s="1175"/>
      <c r="E187" s="1175"/>
      <c r="F187" s="1176" t="s">
        <v>106</v>
      </c>
      <c r="G187" s="1176"/>
      <c r="H187" s="1186"/>
      <c r="I187" s="1186"/>
      <c r="L187" s="147" t="str">
        <f>IF((SUM(F190:F193))=0,"",IF(P188&gt;L184,L184,IF(L184="","",IF(L186="","",P188))))</f>
        <v/>
      </c>
      <c r="N187" s="85">
        <f>IF(N186="","",N186)</f>
        <v>0</v>
      </c>
      <c r="O187" s="58" t="str">
        <f>'päd.Personal - Leitung'!$O$11</f>
        <v>Jun               Dez</v>
      </c>
      <c r="P187" s="85">
        <f t="shared" si="20"/>
        <v>0</v>
      </c>
    </row>
    <row r="188" spans="1:16" ht="13.5" customHeight="1" x14ac:dyDescent="0.2">
      <c r="I188" s="6"/>
      <c r="O188" s="174" t="s">
        <v>251</v>
      </c>
      <c r="P188" s="175">
        <f>IF(L186="",0,((IF(SUMIF(B202,"&gt;0"),N182,0))+(IF(SUMIF(B203,"&gt;0"),N183,0))+(IF(SUMIF(B204,"&gt;0"),N184,0))+(IF(SUMIF(B205,"&gt;0"),N185,0))+(IF(SUMIF(B206,"&gt;0"),N186,0))+(IF(SUMIF(B207,"&gt;0"),N187,0))+(IF(SUMIF(B208,"&gt;0"),P182,0))+(IF(SUMIF(B209,"&gt;0"),P183,0))+(IF(SUMIF(B210,"&gt;0"),P184,0))+(IF(SUMIF(B211,"&gt;0"),P185,0))+(IF(SUMIF(B212,"&gt;0"),P186,0))+(IF(SUMIF(B213,"&gt;0"),P187,0)))/Grundlagen!$C$24)</f>
        <v>0</v>
      </c>
    </row>
    <row r="189" spans="1:16" s="52" customFormat="1" ht="13.5" customHeight="1" x14ac:dyDescent="0.2">
      <c r="A189" s="61" t="s">
        <v>148</v>
      </c>
      <c r="B189" s="1168" t="s">
        <v>149</v>
      </c>
      <c r="C189" s="1168"/>
      <c r="D189" s="62" t="s">
        <v>150</v>
      </c>
      <c r="E189" s="63" t="s">
        <v>151</v>
      </c>
      <c r="F189" s="64" t="str">
        <f>CONCATENATE("Entg. ",N179," h/Wo")</f>
        <v>Entg.  h/Wo</v>
      </c>
      <c r="G189" s="65" t="s">
        <v>152</v>
      </c>
      <c r="H189" s="65" t="s">
        <v>153</v>
      </c>
      <c r="K189" s="1169" t="str">
        <f>CONCATENATE("Zuschläge / Zulagen für ",N179,"h/Wo")</f>
        <v>Zuschläge / Zulagen für h/Wo</v>
      </c>
      <c r="L189" s="1169"/>
      <c r="M189" s="66" t="str">
        <f>IF(A190="","",A190)</f>
        <v>Jan 2022</v>
      </c>
      <c r="N189" s="66" t="str">
        <f>IF(A191="","",A191)</f>
        <v/>
      </c>
      <c r="O189" s="66" t="str">
        <f>IF(A192="","",A192)</f>
        <v/>
      </c>
      <c r="P189" s="66" t="str">
        <f>IF(A193="","",A193)</f>
        <v/>
      </c>
    </row>
    <row r="190" spans="1:16" s="52" customFormat="1" ht="13.5" customHeight="1" x14ac:dyDescent="0.25">
      <c r="A190" s="54" t="str">
        <f>A202</f>
        <v>Jan 2022</v>
      </c>
      <c r="B190" s="1170" t="str">
        <f>IF($D$3="","",$D$3)</f>
        <v/>
      </c>
      <c r="C190" s="1171"/>
      <c r="D190" s="181"/>
      <c r="E190" s="181"/>
      <c r="F190" s="87"/>
      <c r="G190" s="56">
        <f>IF(N179="",0,F190/N179/4.348)</f>
        <v>0</v>
      </c>
      <c r="H190" s="53">
        <f>IF(G190=0,0,M195)</f>
        <v>0</v>
      </c>
      <c r="K190" s="1146"/>
      <c r="L190" s="1146"/>
      <c r="M190" s="86"/>
      <c r="N190" s="86"/>
      <c r="O190" s="86"/>
      <c r="P190" s="86"/>
    </row>
    <row r="191" spans="1:16" s="52" customFormat="1" ht="13.5" customHeight="1" x14ac:dyDescent="0.25">
      <c r="A191" s="55"/>
      <c r="B191" s="1172" t="str">
        <f>IF(A191="","",B190)</f>
        <v/>
      </c>
      <c r="C191" s="1173"/>
      <c r="D191" s="181"/>
      <c r="E191" s="181"/>
      <c r="F191" s="87"/>
      <c r="G191" s="56">
        <f>IF(N179="",0,F191/N179/4.348)</f>
        <v>0</v>
      </c>
      <c r="H191" s="53">
        <f>IF(G191=0,0,N195)</f>
        <v>0</v>
      </c>
      <c r="K191" s="1146"/>
      <c r="L191" s="1146"/>
      <c r="M191" s="86"/>
      <c r="N191" s="86"/>
      <c r="O191" s="86"/>
      <c r="P191" s="86"/>
    </row>
    <row r="192" spans="1:16" s="52" customFormat="1" ht="13.5" customHeight="1" x14ac:dyDescent="0.25">
      <c r="A192" s="55"/>
      <c r="B192" s="1172" t="str">
        <f>IF(A192="","",B191)</f>
        <v/>
      </c>
      <c r="C192" s="1173"/>
      <c r="D192" s="181"/>
      <c r="E192" s="181"/>
      <c r="F192" s="87"/>
      <c r="G192" s="56">
        <f>IF(N179="",0,F192/N179/4.348)</f>
        <v>0</v>
      </c>
      <c r="H192" s="53">
        <f>IF(G192=0,0,O195)</f>
        <v>0</v>
      </c>
      <c r="K192" s="1146"/>
      <c r="L192" s="1146"/>
      <c r="M192" s="86"/>
      <c r="N192" s="86"/>
      <c r="O192" s="86"/>
      <c r="P192" s="86"/>
    </row>
    <row r="193" spans="1:16" s="52" customFormat="1" ht="13.5" customHeight="1" x14ac:dyDescent="0.25">
      <c r="A193" s="55"/>
      <c r="B193" s="1172" t="str">
        <f>IF(A193="","",B192)</f>
        <v/>
      </c>
      <c r="C193" s="1173"/>
      <c r="D193" s="181"/>
      <c r="E193" s="181"/>
      <c r="F193" s="87"/>
      <c r="G193" s="56">
        <f>IF(N179="",0,F193/N179/4.348)</f>
        <v>0</v>
      </c>
      <c r="H193" s="53">
        <f>IF(G193=0,0,P195)</f>
        <v>0</v>
      </c>
      <c r="K193" s="1146"/>
      <c r="L193" s="1146"/>
      <c r="M193" s="86"/>
      <c r="N193" s="86"/>
      <c r="O193" s="86"/>
      <c r="P193" s="86"/>
    </row>
    <row r="194" spans="1:16" s="52" customFormat="1" ht="13.5" customHeight="1" x14ac:dyDescent="0.25">
      <c r="B194" s="1167" t="s">
        <v>157</v>
      </c>
      <c r="C194" s="1167"/>
      <c r="E194" s="1167" t="s">
        <v>156</v>
      </c>
      <c r="F194" s="1167"/>
      <c r="J194" s="69"/>
      <c r="K194" s="1146"/>
      <c r="L194" s="1146"/>
      <c r="M194" s="86"/>
      <c r="N194" s="86"/>
      <c r="O194" s="86"/>
      <c r="P194" s="86"/>
    </row>
    <row r="195" spans="1:16" s="52" customFormat="1" ht="13.5" customHeight="1" x14ac:dyDescent="0.25">
      <c r="A195" s="70" t="s">
        <v>167</v>
      </c>
      <c r="B195" s="67"/>
      <c r="C195" s="99" t="str">
        <f>IF(C151="","",C151)</f>
        <v/>
      </c>
      <c r="D195" s="70" t="s">
        <v>167</v>
      </c>
      <c r="E195" s="67"/>
      <c r="F195" s="99" t="str">
        <f>IF(F151="","",F151)</f>
        <v/>
      </c>
      <c r="J195" s="68"/>
      <c r="M195" s="57">
        <f>SUM(M190:M194)</f>
        <v>0</v>
      </c>
      <c r="N195" s="57">
        <f t="shared" ref="N195:P195" si="21">SUM(N190:N194)</f>
        <v>0</v>
      </c>
      <c r="O195" s="57">
        <f t="shared" si="21"/>
        <v>0</v>
      </c>
      <c r="P195" s="57">
        <f t="shared" si="21"/>
        <v>0</v>
      </c>
    </row>
    <row r="196" spans="1:16" s="52" customFormat="1" ht="13.5" customHeight="1" x14ac:dyDescent="0.2">
      <c r="A196" s="60" t="s">
        <v>155</v>
      </c>
    </row>
    <row r="197" spans="1:16" ht="14.25" customHeight="1" x14ac:dyDescent="0.2">
      <c r="A197" s="1147"/>
      <c r="B197" s="1149" t="s">
        <v>9</v>
      </c>
      <c r="C197" s="1150"/>
      <c r="D197" s="1150"/>
      <c r="E197" s="1150"/>
      <c r="F197" s="1150"/>
      <c r="G197" s="1151"/>
      <c r="H197" s="1152" t="s">
        <v>119</v>
      </c>
      <c r="I197" s="1153"/>
      <c r="J197" s="1153"/>
      <c r="K197" s="1153"/>
      <c r="L197" s="1153"/>
      <c r="M197" s="1153"/>
      <c r="N197" s="1153"/>
      <c r="O197" s="33"/>
      <c r="P197" s="1154" t="s">
        <v>0</v>
      </c>
    </row>
    <row r="198" spans="1:16" ht="14.25" customHeight="1" x14ac:dyDescent="0.2">
      <c r="A198" s="1148"/>
      <c r="B198" s="1157" t="s">
        <v>117</v>
      </c>
      <c r="C198" s="144" t="s">
        <v>115</v>
      </c>
      <c r="D198" s="1159" t="s">
        <v>277</v>
      </c>
      <c r="E198" s="1161" t="s">
        <v>147</v>
      </c>
      <c r="F198" s="149" t="s">
        <v>7</v>
      </c>
      <c r="G198" s="1162" t="s">
        <v>6</v>
      </c>
      <c r="H198" s="1161" t="s">
        <v>129</v>
      </c>
      <c r="I198" s="1161" t="s">
        <v>5</v>
      </c>
      <c r="J198" s="1161" t="s">
        <v>4</v>
      </c>
      <c r="K198" s="1161" t="s">
        <v>3</v>
      </c>
      <c r="L198" s="1161" t="s">
        <v>121</v>
      </c>
      <c r="M198" s="1161" t="s">
        <v>122</v>
      </c>
      <c r="N198" s="1161" t="s">
        <v>123</v>
      </c>
      <c r="O198" s="1160" t="s">
        <v>114</v>
      </c>
      <c r="P198" s="1155"/>
    </row>
    <row r="199" spans="1:16" ht="14.25" customHeight="1" x14ac:dyDescent="0.2">
      <c r="A199" s="1148"/>
      <c r="B199" s="1157"/>
      <c r="C199" s="21" t="str">
        <f>IF(C195="","",C195)</f>
        <v/>
      </c>
      <c r="D199" s="1160"/>
      <c r="E199" s="1161"/>
      <c r="F199" s="1165" t="str">
        <f>IF(H190=0,"","siehe Zuschläge / Zulagen")</f>
        <v/>
      </c>
      <c r="G199" s="1162"/>
      <c r="H199" s="1164" t="s">
        <v>127</v>
      </c>
      <c r="I199" s="1164"/>
      <c r="J199" s="1164"/>
      <c r="K199" s="1164"/>
      <c r="L199" s="1164"/>
      <c r="M199" s="1164"/>
      <c r="N199" s="1164"/>
      <c r="O199" s="1160"/>
      <c r="P199" s="1155"/>
    </row>
    <row r="200" spans="1:16" x14ac:dyDescent="0.2">
      <c r="A200" s="1148"/>
      <c r="B200" s="1157"/>
      <c r="C200" s="142" t="s">
        <v>70</v>
      </c>
      <c r="D200" s="1160"/>
      <c r="E200" s="1161"/>
      <c r="F200" s="1165"/>
      <c r="G200" s="1162"/>
      <c r="H200" s="43" t="s">
        <v>128</v>
      </c>
      <c r="I200" s="43" t="s">
        <v>255</v>
      </c>
      <c r="J200" s="43" t="s">
        <v>256</v>
      </c>
      <c r="K200" s="43" t="s">
        <v>257</v>
      </c>
      <c r="L200" s="43"/>
      <c r="M200" s="43"/>
      <c r="N200" s="43" t="s">
        <v>254</v>
      </c>
      <c r="O200" s="1160"/>
      <c r="P200" s="1155"/>
    </row>
    <row r="201" spans="1:16" x14ac:dyDescent="0.2">
      <c r="A201" s="1148"/>
      <c r="B201" s="1158"/>
      <c r="C201" s="21" t="str">
        <f>IF(F195="","",F195)</f>
        <v/>
      </c>
      <c r="D201" s="51"/>
      <c r="E201" s="51"/>
      <c r="F201" s="1166"/>
      <c r="G201" s="1163"/>
      <c r="H201" s="93"/>
      <c r="I201" s="139">
        <f>$I$25</f>
        <v>0</v>
      </c>
      <c r="J201" s="139">
        <f>$J$25</f>
        <v>0</v>
      </c>
      <c r="K201" s="44">
        <f>$K$25</f>
        <v>0</v>
      </c>
      <c r="L201" s="21"/>
      <c r="M201" s="21"/>
      <c r="N201" s="139">
        <f>$N$25</f>
        <v>0</v>
      </c>
      <c r="O201" s="21">
        <f>O157</f>
        <v>0</v>
      </c>
      <c r="P201" s="1156"/>
    </row>
    <row r="202" spans="1:16" x14ac:dyDescent="0.2">
      <c r="A202" s="100" t="str">
        <f>$A$26</f>
        <v>Jan 2022</v>
      </c>
      <c r="B202" s="24">
        <f>ROUND(IF(N182=0,0,(LOOKUP(2,1/(A190:A193=A202),G190:G193))*N182*4.348),2)</f>
        <v>0</v>
      </c>
      <c r="C202" s="23">
        <f>ROUND(IFERROR(((LOOKUP(2,1/(B195=A202),((SUM(B208:B210)+SUM(F208:F210))/3)*C195))),0)+IFERROR(((LOOKUP(2,1/(E195=A202),(B214+F214)*F195))),0),2)</f>
        <v>0</v>
      </c>
      <c r="D202" s="23">
        <f>ROUND(IF(B202=0,0,D201/L183*N182),2)</f>
        <v>0</v>
      </c>
      <c r="E202" s="23">
        <f>ROUND(IF(B202=0,0,E201/N179*N182),2)</f>
        <v>0</v>
      </c>
      <c r="F202" s="24">
        <f>ROUND(IF(N182=0,0,(LOOKUP(2,1/(A190:A193=A202),H190:H193))/N179*N182),2)</f>
        <v>0</v>
      </c>
      <c r="G202" s="27">
        <f>SUM(B202+C202+E202+F202)</f>
        <v>0</v>
      </c>
      <c r="H202" s="76">
        <f>ROUND(IF((SUM(B202:F202))&gt;L217,L217*H201,SUM(B202:F202)*H201),2)</f>
        <v>0</v>
      </c>
      <c r="I202" s="76">
        <f>ROUND(IF((SUM(B202:F202))&gt;L218,L218*I201,SUM(B202:F202)*I201),2)</f>
        <v>0</v>
      </c>
      <c r="J202" s="76">
        <f>ROUND(IF((SUM(B202:F202))&gt;L218,L218*J201,SUM(B202:F202)*J201),2)</f>
        <v>0</v>
      </c>
      <c r="K202" s="76">
        <f>ROUND(IF((SUM(B202:F202))&gt;L217,L217*K201,SUM(B202:F202)*K201),2)</f>
        <v>0</v>
      </c>
      <c r="L202" s="76">
        <f>ROUND(IF((SUM(B202:F202))&gt;L218,L218*L201,(SUM(B202:F202)-C202)*L201),2)</f>
        <v>0</v>
      </c>
      <c r="M202" s="76">
        <f>ROUND(IF((SUM(B202:F202))&gt;L218,L218*M201,(SUM(B202:F202)-C202)*M201),2)</f>
        <v>0</v>
      </c>
      <c r="N202" s="76">
        <f>ROUND(IF((SUM(B202:F202))&gt;L218,L218*N201,SUM(B202:F202)*N201),2)</f>
        <v>0</v>
      </c>
      <c r="O202" s="23">
        <f>ROUND(SUM(B202+C202+F202)*O201,2)</f>
        <v>0</v>
      </c>
      <c r="P202" s="27">
        <f>SUM(G202:O202)</f>
        <v>0</v>
      </c>
    </row>
    <row r="203" spans="1:16" x14ac:dyDescent="0.2">
      <c r="A203" s="100" t="str">
        <f>$A$27</f>
        <v>Feb 2022</v>
      </c>
      <c r="B203" s="24">
        <f>ROUND(IF(N183=0,0,IFERROR(((LOOKUP(2,1/(A190:A193=A203),G190:G193))*N183*4.348),B202/N183*N183)),2)</f>
        <v>0</v>
      </c>
      <c r="C203" s="23">
        <f>ROUND(IFERROR(((LOOKUP(2,1/(B195=A203),((SUM(B208:B210)+SUM(F208:F210))/3)*C195))),0)+IFERROR(((LOOKUP(2,1/(E195=A203),(B214+F214)*F195))),0),2)</f>
        <v>0</v>
      </c>
      <c r="D203" s="23">
        <f>ROUND(IF(B203=0,0,D201/L183*N183),2)</f>
        <v>0</v>
      </c>
      <c r="E203" s="23">
        <f>ROUND(IF(B203=0,0,E201/N179*N183),2)</f>
        <v>0</v>
      </c>
      <c r="F203" s="24">
        <f>ROUND(IF(N183=0,0,IFERROR(((LOOKUP(2,1/(A190:A193=A203),H190:H193))/N179*N183),F202/N183*N183)),2)</f>
        <v>0</v>
      </c>
      <c r="G203" s="27">
        <f t="shared" ref="G203:G213" si="22">SUM(B203+C203+E203+F203)</f>
        <v>0</v>
      </c>
      <c r="H203" s="76">
        <f>ROUND(IF(SUM(B202:F202)&lt;(L217*1),IF((SUM(B202:F203))&gt;(L217*2),(((L217*2)-(SUM(B202:F203)-C202))*H201)+((SUM(B203:F203)-C202)*H201),SUM(B203:F203)*H201),IF(SUM(B202:F203)&gt;(L217*2),L217*H201,SUM(B203:F203)*H201)),2)</f>
        <v>0</v>
      </c>
      <c r="I203" s="76">
        <f>ROUND(IF(SUM(B202:F202)&lt;(L218*1),IF((SUM(B202:F203))&gt;(L218*2),(((L218*2)-(SUM(B202:F203)-C202))*I201)+((SUM(B203:F203)-C202)*I201),SUM(B203:F203)*I201),IF(SUM(B202:F203)&gt;(L218*2),L218*I201,SUM(B203:F203)*I201)),2)</f>
        <v>0</v>
      </c>
      <c r="J203" s="76">
        <f>ROUND(IF(SUM(B202:F202)&lt;(L218*1),IF((SUM(B202:F203))&gt;(L218*2),(((L218*2)-(SUM(B202:F203)-C202))*J201)+((SUM(B203:F203)-C202)*J201),SUM(B203:F203)*J201),IF(SUM(B202:F203)&gt;(L218*2),L218*J201,SUM(B203:F203)*J201)),2)</f>
        <v>0</v>
      </c>
      <c r="K203" s="76">
        <f>ROUND(IF(SUM(B202:F202)&lt;(L217*1),IF((SUM(B202:F203))&gt;(L217*2),(((L217*2)-(SUM(B202:F203)-C202))*K201)+((SUM(B203:F203)-C202)*K201),SUM(B203:F203)*K201),IF(SUM(B202:F203)&gt;(L217*2),L217*K201,SUM(B203:F203)*K201)),2)</f>
        <v>0</v>
      </c>
      <c r="L203" s="76">
        <f>ROUND(IF(SUM(B202:F202)&lt;(L218*1),IF((SUM(B202:F203))&gt;(L218*2),(((L218*2)-(SUM(B202:F203)-C203))*L201)+((SUM(B203:F203)-C203)*L201),(SUM(B203:F203)-C203)*L201),IF(SUM(B202:F203)&gt;(L218*2),L218*L201,SUM(B203:F203)*L201)),2)</f>
        <v>0</v>
      </c>
      <c r="M203" s="76">
        <f>ROUND(IF(SUM(B202:F202)&lt;(L218*1),IF((SUM(B202:F203))&gt;(L218*2),(((L218*2)-(SUM(B202:F203)-C203))*M201)+((SUM(B203:F203)-C203)*M201),(SUM(B203:F203)-C203)*M201),IF(SUM(B202:F203)&gt;(L218*2),L218*M201,SUM(B203:F203)*M201)),2)</f>
        <v>0</v>
      </c>
      <c r="N203" s="76">
        <f>ROUND(IF(SUM(B202:F202)&lt;(L218*1),IF((SUM(B202:F203))&gt;(L218*2),(((L218*2)-(SUM(B202:F203)-C202))*N201)+((SUM(B203:F203)-C202)*N201),SUM(B203:F203)*N201),IF(SUM(B202:F203)&gt;(L218*2),L218*N201,SUM(B203:F203)*N201)),2)</f>
        <v>0</v>
      </c>
      <c r="O203" s="23">
        <f>ROUND(SUM(B203+C203+F203)*O201,2)</f>
        <v>0</v>
      </c>
      <c r="P203" s="27">
        <f>SUM(G203:O203)</f>
        <v>0</v>
      </c>
    </row>
    <row r="204" spans="1:16" x14ac:dyDescent="0.2">
      <c r="A204" s="100" t="str">
        <f>$A$28</f>
        <v>Mrz 2022</v>
      </c>
      <c r="B204" s="24">
        <f>ROUND(IF(N184=0,0,IFERROR(((LOOKUP(2,1/(A190:A193=A204),G190:G193))*N184*4.348),B203/N184*N184)),2)</f>
        <v>0</v>
      </c>
      <c r="C204" s="23">
        <f>ROUND(IFERROR(((LOOKUP(2,1/(B195=A204),((SUM(B208:B210)+SUM(F208:F210))/3)*C195))),0)+IFERROR(((LOOKUP(2,1/(E195=A204),(B214+F214)*F195))),0),2)</f>
        <v>0</v>
      </c>
      <c r="D204" s="23">
        <f>ROUND(IF(B204=0,0,D201/L183*N184),2)</f>
        <v>0</v>
      </c>
      <c r="E204" s="23">
        <f>ROUND(IF(B204=0,0,E201/N179*N184),2)</f>
        <v>0</v>
      </c>
      <c r="F204" s="24">
        <f>ROUND(IF(N184=0,0,IFERROR(((LOOKUP(2,1/(A190:A193=A204),H190:H193))/N179*N184),F203/N184*N184)),2)</f>
        <v>0</v>
      </c>
      <c r="G204" s="27">
        <f t="shared" si="22"/>
        <v>0</v>
      </c>
      <c r="H204" s="76">
        <f>ROUND(IF(SUM(B202:F203)&lt;(L217*2),IF((SUM(B202:F204))&gt;(L217*3),(((L217*3)-(SUM(B202:F204)-C203))*H201)+((SUM(B204:F204)-C203)*H201),SUM(B204:F204)*H201),IF(SUM(B202:F204)&gt;(L217*3),L217*H201,SUM(B204:F204)*H201)),2)</f>
        <v>0</v>
      </c>
      <c r="I204" s="76">
        <f>ROUND(IF(SUM(B202:F203)&lt;(L218*2),IF((SUM(B202:F204))&gt;(L218*3),(((L218*3)-(SUM(B202:F204)-C203))*I201)+((SUM(B204:F204)-C203)*I201),SUM(B204:F204)*I201),IF(SUM(B202:F204)&gt;(L218*3),L218*I201,SUM(B204:F204)*I201)),2)</f>
        <v>0</v>
      </c>
      <c r="J204" s="76">
        <f>ROUND(IF(SUM(B202:F203)&lt;(L218*2),IF((SUM(B202:F204))&gt;(L218*3),(((L218*3)-(SUM(B202:F204)-C203))*J201)+((SUM(B204:F204)-C203)*J201),SUM(B204:F204)*J201),IF(SUM(B202:F204)&gt;(L218*3),L218*J201,SUM(B204:F204)*J201)),2)</f>
        <v>0</v>
      </c>
      <c r="K204" s="76">
        <f>ROUND(IF(SUM(B202:F203)&lt;(L217*2),IF((SUM(B202:F204))&gt;(L217*3),(((L217*3)-(SUM(B202:F204)-C203))*K201)+((SUM(B204:F204)-C203)*K201),SUM(B204:F204)*K201),IF(SUM(B202:F204)&gt;(L217*3),L217*K201,SUM(B204:F204)*K201)),2)</f>
        <v>0</v>
      </c>
      <c r="L204" s="76">
        <f>ROUND(IF(SUM(B202:F203)&lt;(L218*2),IF((SUM(B202:F204))&gt;(L218*3),(((L218*3)-(SUM(B202:F204)-C204))*L201)+((SUM(B204:F204)-C204)*L201),(SUM(B204:F204)-C204)*L201),IF(SUM(B202:F204)&gt;(L218*3),L218*L201,SUM(B204:F204)*L201)),2)</f>
        <v>0</v>
      </c>
      <c r="M204" s="76">
        <f>ROUND(IF(SUM(B202:F203)&lt;(L218*2),IF((SUM(B202:F204))&gt;(L218*3),(((L218*3)-(SUM(B202:F204)-C204))*M201)+((SUM(B204:F204)-C204)*M201),(SUM(B204:F204)-C204)*M201),IF(SUM(B202:F204)&gt;(L218*3),L218*M201,SUM(B204:F204)*M201)),2)</f>
        <v>0</v>
      </c>
      <c r="N204" s="76">
        <f>ROUND(IF(SUM(B202:F203)&lt;(L218*2),IF((SUM(B202:F204))&gt;(L218*3),(((L218*3)-(SUM(B202:F204)-C203))*N201)+((SUM(B204:F204)-C203)*N201),SUM(B204:F204)*N201),IF(SUM(B202:F204)&gt;(L218*3),L218*N201,SUM(B204:F204)*N201)),2)</f>
        <v>0</v>
      </c>
      <c r="O204" s="23">
        <f>ROUND(SUM(B204+C204+F204)*O201,2)</f>
        <v>0</v>
      </c>
      <c r="P204" s="27">
        <f t="shared" ref="P204:P213" si="23">SUM(G204:O204)</f>
        <v>0</v>
      </c>
    </row>
    <row r="205" spans="1:16" x14ac:dyDescent="0.2">
      <c r="A205" s="100" t="str">
        <f>$A$29</f>
        <v>Apr 2022</v>
      </c>
      <c r="B205" s="24">
        <f>ROUND(IF(N185=0,0,IFERROR(((LOOKUP(2,1/(A190:A193=A205),G190:G193))*N185*4.348),B204/N185*N185)),2)</f>
        <v>0</v>
      </c>
      <c r="C205" s="23">
        <f>ROUND(IFERROR(((LOOKUP(2,1/(B195=A205),((SUM(B208:B210)+SUM(F208:F210))/3)*C195))),0)+IFERROR(((LOOKUP(2,1/(E195=A205),(B214+F214)*F195))),0),2)</f>
        <v>0</v>
      </c>
      <c r="D205" s="23">
        <f>ROUND(IF(B205=0,0,D201/L183*N185),2)</f>
        <v>0</v>
      </c>
      <c r="E205" s="23">
        <f>ROUND(IF(B205=0,0,E201/N179*N185),2)</f>
        <v>0</v>
      </c>
      <c r="F205" s="24">
        <f>ROUND(IF(N185=0,0,IFERROR(((LOOKUP(2,1/(A190:A193=A205),H190:H193))/N179*N185),F204/N185*N185)),2)</f>
        <v>0</v>
      </c>
      <c r="G205" s="27">
        <f t="shared" si="22"/>
        <v>0</v>
      </c>
      <c r="H205" s="76">
        <f>ROUND(IF(SUM(B202:F204)&lt;(L217*3),IF((SUM(B202:F205))&gt;(L217*4),(((L217*4)-(SUM(B202:F205)-C204))*H201)+((SUM(B205:F205)-C204)*H201),SUM(B205:F205)*H201),IF(SUM(B202:F205)&gt;(L217*4),L217*H201,SUM(B205:F205)*H201)),2)</f>
        <v>0</v>
      </c>
      <c r="I205" s="76">
        <f>ROUND(IF(SUM(B202:F204)&lt;(L218*3),IF((SUM(B202:F205))&gt;(L218*4),(((L218*4)-(SUM(B202:F205)-C204))*I201)+((SUM(B205:F205)-C204)*I201),SUM(B205:F205)*I201),IF(SUM(B202:F205)&gt;(L218*4),L218*I201,SUM(B205:F205)*I201)),2)</f>
        <v>0</v>
      </c>
      <c r="J205" s="76">
        <f>ROUND(IF(SUM(B202:F204)&lt;(L218*3),IF((SUM(B202:F205))&gt;(L218*4),(((L218*4)-(SUM(B202:F205)-C204))*J201)+((SUM(B205:F205)-C204)*J201),SUM(B205:F205)*J201),IF(SUM(B202:F205)&gt;(L218*4),L218*J201,SUM(B205:F205)*J201)),2)</f>
        <v>0</v>
      </c>
      <c r="K205" s="76">
        <f>ROUND(IF(SUM(B202:F204)&lt;(L217*3),IF((SUM(B202:F205))&gt;(L217*4),(((L217*4)-(SUM(B202:F205)-C204))*K201)+((SUM(B205:F205)-C204)*K201),SUM(B205:F205)*K201),IF(SUM(B202:F205)&gt;(L217*4),L217*K201,SUM(B205:F205)*K201)),2)</f>
        <v>0</v>
      </c>
      <c r="L205" s="76">
        <f>ROUND(IF(SUM(B202:F204)&lt;(L218*3),IF((SUM(B202:F205))&gt;(L218*4),(((L218*4)-(SUM(B202:F205)-C205))*L201)+((SUM(B205:F205)-C205)*L201),(SUM(B205:F205)-C205)*L201),IF(SUM(B202:F205)&gt;(L218*4),L218*L201,SUM(B205:F205)*L201)),2)</f>
        <v>0</v>
      </c>
      <c r="M205" s="76">
        <f>ROUND(IF(SUM(B202:F204)&lt;(L218*3),IF((SUM(B202:F205))&gt;(L218*4),(((L218*4)-(SUM(B202:F205)-C205))*M201)+((SUM(B205:F205)-C205)*M201),(SUM(B205:F205)-C205)*M201),IF(SUM(B202:F205)&gt;(L218*4),L218*M201,SUM(B205:F205)*M201)),2)</f>
        <v>0</v>
      </c>
      <c r="N205" s="76">
        <f>ROUND(IF(SUM(B202:F204)&lt;(L218*3),IF((SUM(B202:F205))&gt;(L218*4),(((L218*4)-(SUM(B202:F205)-C204))*N201)+((SUM(B205:F205)-C204)*N201),SUM(B205:F205)*N201),IF(SUM(B202:F205)&gt;(L218*4),L218*N201,SUM(B205:F205)*N201)),2)</f>
        <v>0</v>
      </c>
      <c r="O205" s="23">
        <f>ROUND(SUM(B205+C205+F205)*O201,2)</f>
        <v>0</v>
      </c>
      <c r="P205" s="27">
        <f t="shared" si="23"/>
        <v>0</v>
      </c>
    </row>
    <row r="206" spans="1:16" x14ac:dyDescent="0.2">
      <c r="A206" s="100" t="str">
        <f>$A$30</f>
        <v>Mai 2022</v>
      </c>
      <c r="B206" s="24">
        <f>ROUND(IF(N186=0,0,IFERROR(((LOOKUP(2,1/(A190:A193=A206),G190:G193))*N186*4.348),B205/N186*N186)),2)</f>
        <v>0</v>
      </c>
      <c r="C206" s="23">
        <f>ROUND(IFERROR(((LOOKUP(2,1/(B195=A206),((SUM(B208:B210)+SUM(F208:F210))/3)*C195))),0)+IFERROR(((LOOKUP(2,1/(E195=A206),(B214+F214)*F195))),0),2)</f>
        <v>0</v>
      </c>
      <c r="D206" s="23">
        <f>ROUND(IF(B206=0,0,D201/L183*N186),2)</f>
        <v>0</v>
      </c>
      <c r="E206" s="23">
        <f>ROUND(IF(B206=0,0,E201/N179*N186),2)</f>
        <v>0</v>
      </c>
      <c r="F206" s="24">
        <f>ROUND(IF(N186=0,0,IFERROR(((LOOKUP(2,1/(A190:A193=A206),H190:H193))/N179*N186),F205/N186*N186)),2)</f>
        <v>0</v>
      </c>
      <c r="G206" s="27">
        <f t="shared" si="22"/>
        <v>0</v>
      </c>
      <c r="H206" s="76">
        <f>ROUND(IF(SUM(B202:F205)&lt;(L217*4),IF((SUM(B202:F206))&gt;(L217*5),(((L217*5)-(SUM(B202:F206)-C205))*H201)+((SUM(B206:F206)-C205)*H201),SUM(B206:F206)*H201),IF(SUM(B202:F206)&gt;(L217*5),L217*H201,SUM(B206:F206)*H201)),2)</f>
        <v>0</v>
      </c>
      <c r="I206" s="76">
        <f>ROUND(IF(SUM(B202:F205)&lt;(L218*4),IF((SUM(B202:F206))&gt;(L218*5),(((L218*5)-(SUM(B202:F206)-C205))*I201)+((SUM(B206:F206)-C205)*I201),SUM(B206:F206)*I201),IF(SUM(B202:F206)&gt;(L218*5),L218*I201,SUM(B206:F206)*I201)),2)</f>
        <v>0</v>
      </c>
      <c r="J206" s="76">
        <f>ROUND(IF(SUM(B202:F205)&lt;(L218*4),IF((SUM(B202:F206))&gt;(L218*5),(((L218*5)-(SUM(B202:F206)-C205))*J201)+((SUM(B206:F206)-C205)*J201),SUM(B206:F206)*J201),IF(SUM(B202:F206)&gt;(L218*5),L218*J201,SUM(B206:F206)*J201)),2)</f>
        <v>0</v>
      </c>
      <c r="K206" s="76">
        <f>ROUND(IF(SUM(B202:F205)&lt;(L217*4),IF((SUM(B202:F206))&gt;(L217*5),(((L217*5)-(SUM(B202:F206)-C205))*K201)+((SUM(B206:F206)-C205)*K201),SUM(B206:F206)*K201),IF(SUM(B202:F206)&gt;(L217*5),L217*K201,SUM(B206:F206)*K201)),2)</f>
        <v>0</v>
      </c>
      <c r="L206" s="76">
        <f>ROUND(IF(SUM(B202:F205)&lt;(L218*4),IF((SUM(B202:F206))&gt;(L218*5),(((L218*5)-(SUM(B202:F206)-C206))*L201)+((SUM(B206:F206)-C206)*L201),(SUM(B206:F206)-C206)*L201),IF(SUM(B202:F206)&gt;(L218*5),L218*L201,SUM(B206:F206)*L201)),2)</f>
        <v>0</v>
      </c>
      <c r="M206" s="76">
        <f>ROUND(IF(SUM(B202:F205)&lt;(L218*4),IF((SUM(B202:F206))&gt;(L218*5),(((L218*5)-(SUM(B202:F206)-C206))*M201)+((SUM(B206:F206)-C206)*M201),(SUM(B206:F206)-C206)*M201),IF(SUM(B202:F206)&gt;(L218*5),L218*M201,SUM(B206:F206)*M201)),2)</f>
        <v>0</v>
      </c>
      <c r="N206" s="76">
        <f>ROUND(IF(SUM(B202:F205)&lt;(L218*4),IF((SUM(B202:F206))&gt;(L218*5),(((L218*5)-(SUM(B202:F206)-C205))*N201)+((SUM(B206:F206)-C205)*N201),SUM(B206:F206)*N201),IF(SUM(B202:F206)&gt;(L218*5),L218*N201,SUM(B206:F206)*N201)),2)</f>
        <v>0</v>
      </c>
      <c r="O206" s="23">
        <f>ROUND(SUM(B206+C206+F206)*O201,2)</f>
        <v>0</v>
      </c>
      <c r="P206" s="27">
        <f t="shared" si="23"/>
        <v>0</v>
      </c>
    </row>
    <row r="207" spans="1:16" x14ac:dyDescent="0.2">
      <c r="A207" s="100" t="str">
        <f>$A$31</f>
        <v>Jun 2022</v>
      </c>
      <c r="B207" s="24">
        <f>ROUND(IF(N187=0,0,IFERROR(((LOOKUP(2,1/(A190:A193=A207),G190:G193))*N187*4.348),B206/N187*N187)),2)</f>
        <v>0</v>
      </c>
      <c r="C207" s="23">
        <f>ROUND(IFERROR(((LOOKUP(2,1/(B195=A207),((SUM(B208:B210)+SUM(F208:F210))/3)*C195))),0)+IFERROR(((LOOKUP(2,1/(E195=A207),(B214+F214)*F195))),0),2)</f>
        <v>0</v>
      </c>
      <c r="D207" s="23">
        <f>ROUND(IF(B207=0,0,D201/L183*N187),2)</f>
        <v>0</v>
      </c>
      <c r="E207" s="23">
        <f>ROUND(IF(B207=0,0,E201/N179*N187),2)</f>
        <v>0</v>
      </c>
      <c r="F207" s="24">
        <f>ROUND(IF(N187=0,0,IFERROR(((LOOKUP(2,1/(A190:A193=A207),H190:H193))/N179*N187),F206/N187*N187)),2)</f>
        <v>0</v>
      </c>
      <c r="G207" s="27">
        <f t="shared" si="22"/>
        <v>0</v>
      </c>
      <c r="H207" s="76">
        <f>ROUND(IF(SUM(B202:F206)&lt;(L217*5),IF((SUM(B202:F207))&gt;(L217*6),(((L217*6)-(SUM(B202:F207)-C206))*H201)+((SUM(B207:F207)-C206)*H201),SUM(B207:F207)*H201),IF(SUM(B202:F207)&gt;(L217*6),L217*H201,SUM(B207:F207)*H201)),2)</f>
        <v>0</v>
      </c>
      <c r="I207" s="76">
        <f>ROUND(IF(SUM(B202:F206)&lt;(L218*5),IF((SUM(B202:F207))&gt;(L218*6),(((L218*6)-(SUM(B202:F207)-C206))*I201)+((SUM(B207:F207)-C206)*I201),SUM(B207:F207)*I201),IF(SUM(B202:F207)&gt;(L218*6),L218*I201,SUM(B207:F207)*I201)),2)</f>
        <v>0</v>
      </c>
      <c r="J207" s="76">
        <f>ROUND(IF(SUM(B202:F206)&lt;(L218*5),IF((SUM(B202:F207))&gt;(L218*6),(((L218*6)-(SUM(B202:F207)-C206))*J201)+((SUM(B207:F207)-C206)*J201),SUM(B207:F207)*J201),IF(SUM(B202:F207)&gt;(L218*6),L218*J201,SUM(B207:F207)*J201)),2)</f>
        <v>0</v>
      </c>
      <c r="K207" s="76">
        <f>ROUND(IF(SUM(B202:F206)&lt;(L217*5),IF((SUM(B202:F207))&gt;(L217*6),(((L217*6)-(SUM(B202:F207)-C206))*K201)+((SUM(B207:F207)-C206)*K201),SUM(B207:F207)*K201),IF(SUM(B202:F207)&gt;(L217*6),L217*K201,SUM(B207:F207)*K201)),2)</f>
        <v>0</v>
      </c>
      <c r="L207" s="76">
        <f>ROUND(IF(SUM(B202:F206)&lt;(L218*5),IF((SUM(B202:F207))&gt;(L218*6),(((L218*6)-(SUM(B202:F207)-C207))*L201)+((SUM(B207:F207)-C207)*L201),(SUM(B207:F207)-C207)*L201),IF(SUM(B202:F207)&gt;(L218*6),L218*L201,SUM(B207:F207)*L201)),2)</f>
        <v>0</v>
      </c>
      <c r="M207" s="76">
        <f>ROUND(IF(SUM(B202:F206)&lt;(L218*5),IF((SUM(B202:F207))&gt;(L218*6),(((L218*6)-(SUM(B202:F207)-C207))*M201)+((SUM(B207:F207)-C207)*M201),(SUM(B207:F207)-C207)*M201),IF(SUM(B202:F207)&gt;(L218*6),L218*M201,SUM(B207:F207)*M201)),2)</f>
        <v>0</v>
      </c>
      <c r="N207" s="76">
        <f>ROUND(IF(SUM(B202:F206)&lt;(L218*5),IF((SUM(B202:F207))&gt;(L218*6),(((L218*6)-(SUM(B202:F207)-C206))*N201)+((SUM(B207:F207)-C206)*N201),SUM(B207:F207)*N201),IF(SUM(B202:F207)&gt;(L218*6),L218*N201,SUM(B207:F207)*N201)),2)</f>
        <v>0</v>
      </c>
      <c r="O207" s="23">
        <f>ROUND(SUM(B207+C207+F207)*O201,2)</f>
        <v>0</v>
      </c>
      <c r="P207" s="27">
        <f t="shared" si="23"/>
        <v>0</v>
      </c>
    </row>
    <row r="208" spans="1:16" x14ac:dyDescent="0.2">
      <c r="A208" s="100" t="str">
        <f>$A$32</f>
        <v>Jul 2022</v>
      </c>
      <c r="B208" s="24">
        <f>ROUND(IF(P182=0,0,IFERROR(((LOOKUP(2,1/(A190:A193=A208),G190:G193))*P182*4.348),B207/P182*P182)),2)</f>
        <v>0</v>
      </c>
      <c r="C208" s="23">
        <f>ROUND(IFERROR(((LOOKUP(2,1/(B195=A208),((SUM(B208:B210)+SUM(F208:F210))/3)*C195))),0)+IFERROR(((LOOKUP(2,1/(E195=A208),(B214+F214)*F195))),0),2)</f>
        <v>0</v>
      </c>
      <c r="D208" s="23">
        <f>ROUND(IF(B208=0,0,D201/L183*P182),2)</f>
        <v>0</v>
      </c>
      <c r="E208" s="23">
        <f>ROUND(IF(B208=0,0,E201/N179*P182),2)</f>
        <v>0</v>
      </c>
      <c r="F208" s="24">
        <f>ROUND(IF(P182=0,0,IFERROR(((LOOKUP(2,1/(A190:A193=A208),H190:H193))/N179*P182),F207/P182*P182)),2)</f>
        <v>0</v>
      </c>
      <c r="G208" s="27">
        <f t="shared" si="22"/>
        <v>0</v>
      </c>
      <c r="H208" s="76">
        <f>ROUND(IF(SUM(B202:F207)&lt;(L217*6),IF((SUM(B202:F208))&gt;(L217*7),(((L217*7)-(SUM(B202:F208)-C207))*H201)+((SUM(B208:F208)-C207)*H201),SUM(B208:F208)*H201),IF(SUM(B202:F208)&gt;(L217*7),L217*H201,SUM(B208:F208)*H201)),2)</f>
        <v>0</v>
      </c>
      <c r="I208" s="76">
        <f>ROUND(IF(SUM(B202:F207)&lt;(L218*6),IF((SUM(B202:F208))&gt;(L218*7),(((L218*7)-(SUM(B202:F208)-C207))*I201)+((SUM(B208:F208)-C207)*I201),SUM(B208:F208)*I201),IF(SUM(B202:F208)&gt;(L218*7),L218*I201,SUM(B208:F208)*I201)),2)</f>
        <v>0</v>
      </c>
      <c r="J208" s="76">
        <f>ROUND(IF(SUM(B202:F207)&lt;(L218*6),IF((SUM(B202:F208))&gt;(L218*7),(((L218*7)-(SUM(B202:F208)-C207))*J201)+((SUM(B208:F208)-C207)*J201),SUM(B208:F208)*J201),IF(SUM(B202:F208)&gt;(L218*7),L218*J201,SUM(B208:F208)*J201)),2)</f>
        <v>0</v>
      </c>
      <c r="K208" s="76">
        <f>ROUND(IF(SUM(B202:F207)&lt;(L217*6),IF((SUM(B202:F208))&gt;(L217*7),(((L217*7)-(SUM(B202:F208)-C207))*K201)+((SUM(B208:F208)-C207)*K201),SUM(B208:F208)*K201),IF(SUM(B202:F208)&gt;(L217*7),L217*K201,SUM(B208:F208)*K201)),2)</f>
        <v>0</v>
      </c>
      <c r="L208" s="76">
        <f>ROUND(IF(SUM(B202:F207)&lt;(L218*6),IF((SUM(B202:F208))&gt;(L218*7),(((L218*7)-(SUM(B202:F208)-C208))*L201)+((SUM(B208:F208)-C208)*L201),(SUM(B208:F208)-C208)*L201),IF(SUM(B202:F208)&gt;(L218*7),L218*L201,SUM(B208:F208)*L201)),2)</f>
        <v>0</v>
      </c>
      <c r="M208" s="76">
        <f>ROUND(IF(SUM(B202:F207)&lt;(L218*6),IF((SUM(B202:F208))&gt;(L218*7),(((L218*7)-(SUM(B202:F208)-C208))*M201)+((SUM(B208:F208)-C208)*M201),(SUM(B208:F208)-C208)*M201),IF(SUM(B202:F208)&gt;(L218*7),L218*M201,SUM(B208:F208)*M201)),2)</f>
        <v>0</v>
      </c>
      <c r="N208" s="76">
        <f>ROUND(IF(SUM(B202:F207)&lt;(L218*6),IF((SUM(B202:F208))&gt;(L218*7),(((L218*7)-(SUM(B202:F208)-C207))*N201)+((SUM(B208:F208)-C207)*N201),SUM(B208:F208)*N201),IF(SUM(B202:F208)&gt;(L218*7),L218*N201,SUM(B208:F208)*N201)),2)</f>
        <v>0</v>
      </c>
      <c r="O208" s="23">
        <f>ROUND(SUM(B208+C208+F208)*O201,2)</f>
        <v>0</v>
      </c>
      <c r="P208" s="27">
        <f t="shared" si="23"/>
        <v>0</v>
      </c>
    </row>
    <row r="209" spans="1:16" x14ac:dyDescent="0.2">
      <c r="A209" s="100" t="str">
        <f>$A$33</f>
        <v>Aug 2022</v>
      </c>
      <c r="B209" s="24">
        <f>ROUND(IF(P183=0,0,IFERROR(((LOOKUP(2,1/(A190:A193=A209),G190:G193))*P183*4.348),B208/P183*P183)),2)</f>
        <v>0</v>
      </c>
      <c r="C209" s="23">
        <f>ROUND(IFERROR(((LOOKUP(2,1/(B195=A209),((SUM(B208:B210)+SUM(F208:F210))/3)*C195))),0)+IFERROR(((LOOKUP(2,1/(E195=A209),(B214+F214)*F195))),0),2)</f>
        <v>0</v>
      </c>
      <c r="D209" s="23">
        <f>ROUND(IF(B209=0,0,D201/L183*P183),2)</f>
        <v>0</v>
      </c>
      <c r="E209" s="23">
        <f>ROUND(IF(B209=0,0,E201/N179*P183),2)</f>
        <v>0</v>
      </c>
      <c r="F209" s="24">
        <f>ROUND(IF(P183=0,0,IFERROR(((LOOKUP(2,1/(A190:A193=A209),H190:H193))/N179*P183),F208/P183*P183)),2)</f>
        <v>0</v>
      </c>
      <c r="G209" s="27">
        <f t="shared" si="22"/>
        <v>0</v>
      </c>
      <c r="H209" s="76">
        <f>ROUND(IF(SUM(B202:F208)&lt;(L217*7),IF((SUM(B202:F209))&gt;(L217*8),(((L217*8)-(SUM(B202:F209)-C208))*H201)+((SUM(B209:F209)-C208)*H201),SUM(B209:F209)*H201),IF(SUM(B202:F209)&gt;(L217*8),L217*H201,SUM(B209:F209)*H201)),2)</f>
        <v>0</v>
      </c>
      <c r="I209" s="76">
        <f>ROUND(IF(SUM(B202:F208)&lt;(L218*7),IF((SUM(B202:F209))&gt;(L218*8),(((L218*8)-(SUM(B202:F209)-C208))*I201)+((SUM(B209:F209)-C208)*I201),SUM(B209:F209)*I201),IF(SUM(B202:F209)&gt;(L218*8),L218*I201,SUM(B209:F209)*I201)),2)</f>
        <v>0</v>
      </c>
      <c r="J209" s="76">
        <f>ROUND(IF(SUM(B202:F208)&lt;(L218*7),IF((SUM(B202:F209))&gt;(L218*8),(((L218*8)-(SUM(B202:F209)-C208))*J201)+((SUM(B209:F209)-C208)*J201),SUM(B209:F209)*J201),IF(SUM(B202:F209)&gt;(L218*8),L218*J201,SUM(B209:F209)*J201)),2)</f>
        <v>0</v>
      </c>
      <c r="K209" s="76">
        <f>ROUND(IF(SUM(B202:F208)&lt;(L217*7),IF((SUM(B202:F209))&gt;(L217*8),(((L217*8)-(SUM(B202:F209)-C208))*K201)+((SUM(B209:F209)-C208)*K201),SUM(B209:F209)*K201),IF(SUM(B202:F209)&gt;(L217*8),L217*K201,SUM(B209:F209)*K201)),2)</f>
        <v>0</v>
      </c>
      <c r="L209" s="76">
        <f>ROUND(IF(SUM(B202:F208)&lt;(L218*7),IF((SUM(B202:F209))&gt;(L218*8),(((L218*8)-(SUM(B202:F209)-C209))*L201)+((SUM(B209:F209)-C209)*L201),(SUM(B209:F209)-C209)*L201),IF(SUM(B202:F209)&gt;(L218*8),L218*L201,SUM(B209:F209)*L201)),2)</f>
        <v>0</v>
      </c>
      <c r="M209" s="76">
        <f>ROUND(IF(SUM(B202:F208)&lt;(L218*7),IF((SUM(B202:F209))&gt;(L218*8),(((L218*8)-(SUM(B202:F209)-C209))*M201)+((SUM(B209:F209)-C209)*M201),(SUM(B209:F209)-C209)*M201),IF(SUM(B202:F209)&gt;(L218*8),L218*M201,SUM(B209:F209)*M201)),2)</f>
        <v>0</v>
      </c>
      <c r="N209" s="76">
        <f>ROUND(IF(SUM(B202:F208)&lt;(L218*7),IF((SUM(B202:F209))&gt;(L218*8),(((L218*8)-(SUM(B202:F209)-C208))*N201)+((SUM(B209:F209)-C208)*N201),SUM(B209:F209)*N201),IF(SUM(B202:F209)&gt;(L218*8),L218*N201,SUM(B209:F209)*N201)),2)</f>
        <v>0</v>
      </c>
      <c r="O209" s="23">
        <f>ROUND(SUM(B209+C209+F209)*O201,2)</f>
        <v>0</v>
      </c>
      <c r="P209" s="27">
        <f t="shared" si="23"/>
        <v>0</v>
      </c>
    </row>
    <row r="210" spans="1:16" x14ac:dyDescent="0.2">
      <c r="A210" s="100" t="str">
        <f>$A$34</f>
        <v>Sep 2022</v>
      </c>
      <c r="B210" s="24">
        <f>ROUND(IF(P184=0,0,IFERROR(((LOOKUP(2,1/(A190:A193=A210),G190:G193))*P184*4.348),B209/P184*P184)),2)</f>
        <v>0</v>
      </c>
      <c r="C210" s="23">
        <f>ROUND(IFERROR(((LOOKUP(2,1/(B195=A210),((SUM(B208:B210)+SUM(F208:F210))/3)*C195))),0)+IFERROR(((LOOKUP(2,1/(E195=A210),(B214+F214)*F195))),0),2)</f>
        <v>0</v>
      </c>
      <c r="D210" s="23">
        <f>ROUND(IF(B210=0,0,D201/L183*P184),2)</f>
        <v>0</v>
      </c>
      <c r="E210" s="23">
        <f>ROUND(IF(B210=0,0,E201/N179*P184),2)</f>
        <v>0</v>
      </c>
      <c r="F210" s="24">
        <f>ROUND(IF(P184=0,0,IFERROR(((LOOKUP(2,1/(A190:A193=A210),H190:H193))/N179*P184),F209/P184*P184)),2)</f>
        <v>0</v>
      </c>
      <c r="G210" s="27">
        <f t="shared" si="22"/>
        <v>0</v>
      </c>
      <c r="H210" s="76">
        <f>ROUND(IF(SUM(B202:F209)&lt;(L217*8),IF((SUM(B202:F210))&gt;(L217*9),(((L217*9)-(SUM(B202:F210)-C209))*H201)+((SUM(B210:F210)-C209)*H201),SUM(B210:F210)*H201),IF(SUM(B202:F210)&gt;(L217*9),L217*H201,SUM(B210:F210)*H201)),2)</f>
        <v>0</v>
      </c>
      <c r="I210" s="76">
        <f>ROUND(IF(SUM(B202:F209)&lt;(L218*8),IF((SUM(B202:F210))&gt;(L218*9),(((L218*9)-(SUM(B202:F210)-C209))*I201)+((SUM(B210:F210)-C209)*I201),SUM(B210:F210)*I201),IF(SUM(B202:F210)&gt;(L218*9),L218*I201,SUM(B210:F210)*I201)),2)</f>
        <v>0</v>
      </c>
      <c r="J210" s="76">
        <f>ROUND(IF(SUM(B202:F209)&lt;(L218*8),IF((SUM(B202:F210))&gt;(L218*9),(((L218*9)-(SUM(B202:F210)-C209))*J201)+((SUM(B210:F210)-C209)*J201),SUM(B210:F210)*J201),IF(SUM(B202:F210)&gt;(L218*9),L218*J201,SUM(B210:F210)*J201)),2)</f>
        <v>0</v>
      </c>
      <c r="K210" s="76">
        <f>ROUND(IF(SUM(B202:F209)&lt;(L217*8),IF((SUM(B202:F210))&gt;(L217*9),(((L217*9)-(SUM(B202:F210)-C209))*K201)+((SUM(B210:F210)-C209)*K201),SUM(B210:F210)*K201),IF(SUM(B202:F210)&gt;(L217*9),L217*K201,SUM(B210:F210)*K201)),2)</f>
        <v>0</v>
      </c>
      <c r="L210" s="76">
        <f>ROUND(IF(SUM(B202:F209)&lt;(L218*8),IF((SUM(B202:F210))&gt;(L218*9),(((L218*9)-(SUM(B202:F210)-C210))*L201)+((SUM(B210:F210)-C210)*L201),(SUM(B210:F210)-C210)*L201),IF(SUM(B202:F210)&gt;(L218*9),L218*L201,SUM(B210:F210)*L201)),2)</f>
        <v>0</v>
      </c>
      <c r="M210" s="76">
        <f>ROUND(IF(SUM(B202:F209)&lt;(L218*8),IF((SUM(B202:F210))&gt;(L218*9),(((L218*9)-(SUM(B202:F210)-C210))*M201)+((SUM(B210:F210)-C210)*M201),(SUM(B210:F210)-C210)*M201),IF(SUM(B202:F210)&gt;(L218*9),L218*M201,SUM(B210:F210)*M201)),2)</f>
        <v>0</v>
      </c>
      <c r="N210" s="76">
        <f>ROUND(IF(SUM(B202:F209)&lt;(L218*8),IF((SUM(B202:F210))&gt;(L218*9),(((L218*9)-(SUM(B202:F210)-C209))*N201)+((SUM(B210:F210)-C209)*N201),SUM(B210:F210)*N201),IF(SUM(B202:F210)&gt;(L218*9),L218*N201,SUM(B210:F210)*N201)),2)</f>
        <v>0</v>
      </c>
      <c r="O210" s="23">
        <f>ROUND(SUM(B210+C210+F210)*O201,2)</f>
        <v>0</v>
      </c>
      <c r="P210" s="27">
        <f t="shared" si="23"/>
        <v>0</v>
      </c>
    </row>
    <row r="211" spans="1:16" x14ac:dyDescent="0.2">
      <c r="A211" s="100" t="str">
        <f>$A$35</f>
        <v>Okt 2022</v>
      </c>
      <c r="B211" s="24">
        <f>ROUND(IF(P185=0,0,IFERROR(((LOOKUP(2,1/(A190:A193=A211),G190:G193))*P185*4.348),B210/P185*P185)),2)</f>
        <v>0</v>
      </c>
      <c r="C211" s="23">
        <f>ROUND(IFERROR(((LOOKUP(2,1/(B195=A211),((SUM(B208:B210)+SUM(F208:F210))/3)*C195))),0)+IFERROR(((LOOKUP(2,1/(E195=A211),(B214+F214)*F195))),0),2)</f>
        <v>0</v>
      </c>
      <c r="D211" s="23">
        <f>ROUND(IF(B211=0,0,D201/L183*P185),2)</f>
        <v>0</v>
      </c>
      <c r="E211" s="23">
        <f>ROUND(IF(B211=0,0,E201/N179*P185),2)</f>
        <v>0</v>
      </c>
      <c r="F211" s="24">
        <f>ROUND(IF(P185=0,0,IFERROR(((LOOKUP(2,1/(A190:A193=A211),H190:H193))/N179*P185),F210/P185*P185)),2)</f>
        <v>0</v>
      </c>
      <c r="G211" s="27">
        <f t="shared" si="22"/>
        <v>0</v>
      </c>
      <c r="H211" s="76">
        <f>ROUND(IF(SUM(B202:F210)&lt;(L217*9),IF((SUM(B202:F211))&gt;(L217*10),(((L217*10)-(SUM(B202:F211)-C210))*H201)+((SUM(B211:F211)-C210)*H201),SUM(B211:F211)*H201),IF(SUM(B202:F211)&gt;(L217*10),L217*H201,SUM(B211:F211)*H201)),2)</f>
        <v>0</v>
      </c>
      <c r="I211" s="76">
        <f>ROUND(IF(SUM(B202:F210)&lt;(L218*9),IF((SUM(B202:F211))&gt;(L218*10),(((L218*10)-(SUM(B202:F211)-C210))*I201)+((SUM(B211:F211)-C210)*I201),SUM(B211:F211)*I201),IF(SUM(B202:F211)&gt;(L218*10),L218*I201,SUM(B211:F211)*I201)),2)</f>
        <v>0</v>
      </c>
      <c r="J211" s="76">
        <f>ROUND(IF(SUM(B202:F210)&lt;(L218*9),IF((SUM(B202:F211))&gt;(L218*10),(((L218*10)-(SUM(B202:F211)-C210))*J201)+((SUM(B211:F211)-C210)*J201),SUM(B211:F211)*J201),IF(SUM(B202:F211)&gt;(L218*10),L218*J201,SUM(B211:F211)*J201)),2)</f>
        <v>0</v>
      </c>
      <c r="K211" s="76">
        <f>ROUND(IF(SUM(B202:F210)&lt;(L217*9),IF((SUM(B202:F211))&gt;(L217*10),(((L217*10)-(SUM(B202:F211)-C210))*K201)+((SUM(B211:F211)-C210)*K201),SUM(B211:F211)*K201),IF(SUM(B202:F211)&gt;(L217*10),L217*K201,SUM(B211:F211)*K201)),2)</f>
        <v>0</v>
      </c>
      <c r="L211" s="76">
        <f>ROUND(IF(SUM(B202:F210)&lt;(L218*9),IF((SUM(B202:F211))&gt;(L218*10),(((L218*10)-(SUM(B202:F211)-C211))*L201)+((SUM(B211:F211)-C211)*L201),(SUM(B211:F211)-C211)*L201),IF(SUM(B202:F211)&gt;(L218*10),L218*L201,SUM(B211:F211)*L201)),2)</f>
        <v>0</v>
      </c>
      <c r="M211" s="76">
        <f>ROUND(IF(SUM(B202:F210)&lt;(L218*9),IF((SUM(B202:F211))&gt;(L218*10),(((L218*10)-(SUM(B202:F211)-C211))*M201)+((SUM(B211:F211)-C211)*M201),(SUM(B211:F211)-C211)*M201),IF(SUM(B202:F211)&gt;(L218*10),L218*M201,SUM(B211:F211)*M201)),2)</f>
        <v>0</v>
      </c>
      <c r="N211" s="76">
        <f>ROUND(IF(SUM(B202:F210)&lt;(L218*9),IF((SUM(B202:F211))&gt;(L218*10),(((L218*10)-(SUM(B202:F211)-C210))*N201)+((SUM(B211:F211)-C210)*N201),SUM(B211:F211)*N201),IF(SUM(B202:F211)&gt;(L218*10),L218*N201,SUM(B211:F211)*N201)),2)</f>
        <v>0</v>
      </c>
      <c r="O211" s="23">
        <f>ROUND(SUM(B211+C211+F211)*O201,2)</f>
        <v>0</v>
      </c>
      <c r="P211" s="27">
        <f t="shared" si="23"/>
        <v>0</v>
      </c>
    </row>
    <row r="212" spans="1:16" x14ac:dyDescent="0.2">
      <c r="A212" s="100" t="str">
        <f>$A$36</f>
        <v>Nov 2022</v>
      </c>
      <c r="B212" s="24">
        <f>ROUND(IF(P186=0,0,IFERROR(((LOOKUP(2,1/(A190:A193=A212),G190:G193))*P186*4.348),B211/P186*P186)),2)</f>
        <v>0</v>
      </c>
      <c r="C212" s="23">
        <f>ROUND(IFERROR(((LOOKUP(2,1/(B195=A212),((SUM(B208:B210)+SUM(F208:F210))/3)*C195))),0)+IFERROR(((LOOKUP(2,1/(E195=A212),(B214+F214)*F195))),0),2)</f>
        <v>0</v>
      </c>
      <c r="D212" s="23">
        <f>ROUND(IF(B212=0,0,D201/L183*P186),2)</f>
        <v>0</v>
      </c>
      <c r="E212" s="23">
        <f>ROUND(IF(B212=0,0,E201/N179*P186),2)</f>
        <v>0</v>
      </c>
      <c r="F212" s="24">
        <f>ROUND(IF(P186=0,0,IFERROR(((LOOKUP(2,1/(A190:A193=A212),H190:H193))/N179*P186),F211/P186*P186)),2)</f>
        <v>0</v>
      </c>
      <c r="G212" s="27">
        <f t="shared" si="22"/>
        <v>0</v>
      </c>
      <c r="H212" s="76">
        <f>ROUND(IF(SUM(B202:F211)&lt;(L217*10),IF((SUM(B202:F212))&gt;(L217*11),(((L217*11)-(SUM(B202:F212)-C211))*H201)+((SUM(B212:F212)-C211)*H201),SUM(B212:F212)*H201),IF(SUM(B202:F212)&gt;(L217*11),L217*H201,SUM(B212:F212)*H201)),2)</f>
        <v>0</v>
      </c>
      <c r="I212" s="76">
        <f>ROUND(IF(SUM(B202:F211)&lt;(L218*10),IF((SUM(B202:F212))&gt;(L218*11),(((L218*11)-(SUM(B202:F212)-C211))*I201)+((SUM(B212:F212)-C211)*I201),SUM(B212:F212)*I201),IF(SUM(B202:F212)&gt;(L218*11),L218*I201,SUM(B212:F212)*I201)),2)</f>
        <v>0</v>
      </c>
      <c r="J212" s="76">
        <f>ROUND(IF(SUM(B202:F211)&lt;(L218*10),IF((SUM(B202:F212))&gt;(L218*11),(((L218*11)-(SUM(B202:F212)-C211))*J201)+((SUM(B212:F212)-C211)*J201),SUM(B212:F212)*J201),IF(SUM(B202:F212)&gt;(L218*11),L218*J201,SUM(B212:F212)*J201)),2)</f>
        <v>0</v>
      </c>
      <c r="K212" s="76">
        <f>ROUND(IF(SUM(B202:F211)&lt;(L217*10),IF((SUM(B202:F212))&gt;(L217*11),(((L217*11)-(SUM(B202:F212)-C211))*K201)+((SUM(B212:F212)-C211)*K201),SUM(B212:F212)*K201),IF(SUM(B202:F212)&gt;(L217*11),L217*K201,SUM(B212:F212)*K201)),2)</f>
        <v>0</v>
      </c>
      <c r="L212" s="76">
        <f>ROUND(IF(SUM(B202:F211)&lt;(L218*10),IF((SUM(B202:F212))&gt;(L218*11),(((L218*11)-(SUM(B202:F212)-C212))*L201)+((SUM(B212:F212)-C212)*L201),(SUM(B212:F212)-C212)*L201),IF(SUM(B202:F212)&gt;(L218*11),L218*L201,SUM(B212:F212)*L201)),2)</f>
        <v>0</v>
      </c>
      <c r="M212" s="76">
        <f>ROUND(IF(SUM(B202:F211)&lt;(L218*10),IF((SUM(B202:F212))&gt;(L218*11),(((L218*11)-(SUM(B202:F212)-C212))*M201)+((SUM(B212:F212)-C212)*M201),(SUM(B212:F212)-C212)*M201),IF(SUM(B202:F212)&gt;(L218*11),L218*M201,SUM(B212:F212)*M201)),2)</f>
        <v>0</v>
      </c>
      <c r="N212" s="76">
        <f>ROUND(IF(SUM(B202:F211)&lt;(L218*10),IF((SUM(B202:F212))&gt;(L218*11),(((L218*11)-(SUM(B202:F212)-C211))*N201)+((SUM(B212:F212)-C211)*N201),SUM(B212:F212)*N201),IF(SUM(B202:F212)&gt;(L218*11),L218*N201,SUM(B212:F212)*N201)),2)</f>
        <v>0</v>
      </c>
      <c r="O212" s="23">
        <f>ROUND(SUM(B212+C212+F212)*O201,2)</f>
        <v>0</v>
      </c>
      <c r="P212" s="27">
        <f t="shared" si="23"/>
        <v>0</v>
      </c>
    </row>
    <row r="213" spans="1:16" x14ac:dyDescent="0.2">
      <c r="A213" s="100" t="str">
        <f>$A$37</f>
        <v>Dez 2022</v>
      </c>
      <c r="B213" s="24">
        <f>ROUND(IF(P187=0,0,IFERROR(((LOOKUP(2,1/(A190:A193=A213),G190:G193))*P187*4.348),B212/P187*P187)),2)</f>
        <v>0</v>
      </c>
      <c r="C213" s="23">
        <f>ROUND(IFERROR(((LOOKUP(2,1/(B195=A213),((SUM(B208:B210)+SUM(F208:F210))/3)*C195))),0)+IFERROR(((LOOKUP(2,1/(E195=A213),(B214+F214)*F195))),0),2)</f>
        <v>0</v>
      </c>
      <c r="D213" s="23">
        <f>ROUND(IF(B213=0,0,D201/L183*P187),2)</f>
        <v>0</v>
      </c>
      <c r="E213" s="23">
        <f>ROUND(IF(B213=0,0,E201/N179*P187),2)</f>
        <v>0</v>
      </c>
      <c r="F213" s="24">
        <f>ROUND(IF(P187=0,0,IFERROR(((LOOKUP(2,1/(A190:A193=A213),H190:H193))/N179*P187),F212/P187*P187)),2)</f>
        <v>0</v>
      </c>
      <c r="G213" s="27">
        <f t="shared" si="22"/>
        <v>0</v>
      </c>
      <c r="H213" s="76">
        <f>ROUND(IF(SUM(B202:F212)&lt;(L217*11),IF((SUM(B202:F213))&gt;(L217*12),(((L217*12)-(SUM(B202:F213)-C212))*H201)+((SUM(B213:F213)-C212)*H201),SUM(B213:F213)*H201),IF(SUM(B202:F213)&gt;(L217*12),L217*H201,SUM(B213:F213)*H201)),2)</f>
        <v>0</v>
      </c>
      <c r="I213" s="76">
        <f>ROUND(IF(SUM(B202:F212)&lt;(L218*11),IF((SUM(B202:F213))&gt;(L218*12),(((L218*12)-(SUM(B202:F213)-C212))*I201)+((SUM(B213:F213)-C212)*I201),SUM(B213:F213)*I201),IF(SUM(B202:F213)&gt;(L218*12),L218*I201,SUM(B213:F213)*I201)),2)</f>
        <v>0</v>
      </c>
      <c r="J213" s="76">
        <f>ROUND(IF(SUM(B202:F212)&lt;(L218*11),IF((SUM(B202:F213))&gt;(L218*12),(((L218*12)-(SUM(B202:F213)-C212))*J201)+((SUM(B213:F213)-C212)*J201),SUM(B213:F213)*J201),IF(SUM(B202:F213)&gt;(L218*12),L218*J201,SUM(B213:F213)*J201)),2)</f>
        <v>0</v>
      </c>
      <c r="K213" s="76">
        <f>ROUND(IF(SUM(B202:F212)&lt;(L217*11),IF((SUM(B202:F213))&gt;(L217*12),(((L217*12)-(SUM(B202:F213)-C212))*K201)+((SUM(B213:F213)-C212)*K201),SUM(B213:F213)*K201),IF(SUM(B202:F213)&gt;(L217*12),L217*K201,SUM(B213:F213)*K201)),2)</f>
        <v>0</v>
      </c>
      <c r="L213" s="76">
        <f>ROUND(IF(SUM(B202:F212)&lt;(L218*11),IF((SUM(B202:F213))&gt;(L218*12),(((L218*12)-(SUM(B202:F213)-C213))*L201)+((SUM(B213:F213)-C213)*L201),(SUM(B213:F213)-C213)*L201),IF(SUM(B202:F213)&gt;(L218*12),L218*L201,SUM(B213:F213)*L201)),2)</f>
        <v>0</v>
      </c>
      <c r="M213" s="76">
        <f>ROUND(IF(SUM(B202:F212)&lt;(L218*11),IF((SUM(B202:F213))&gt;(L218*12),(((L218*12)-(SUM(B202:F213)-C213))*M201)+((SUM(B213:F213)-C213)*M201),(SUM(B213:F213)-C213)*M201),IF(SUM(B202:F213)&gt;(L218*12),L218*M201,SUM(B213:F213)*M201)),2)</f>
        <v>0</v>
      </c>
      <c r="N213" s="76">
        <f>ROUND(IF(SUM(B202:F212)&lt;(L218*11),IF((SUM(B202:F213))&gt;(L218*12),(((L218*12)-(SUM(B202:F213)-C212))*N201)+((SUM(B213:F213)-C212)*N201),SUM(B213:F213)*N201),IF(SUM(B202:F213)&gt;(L218*12),L218*N201,SUM(B213:F213)*N201)),2)</f>
        <v>0</v>
      </c>
      <c r="O213" s="23">
        <f>ROUND(SUM(B213+C213+F213)*O201,2)</f>
        <v>0</v>
      </c>
      <c r="P213" s="27">
        <f t="shared" si="23"/>
        <v>0</v>
      </c>
    </row>
    <row r="214" spans="1:16" s="14" customFormat="1" ht="15" x14ac:dyDescent="0.25">
      <c r="A214" s="4" t="s">
        <v>2</v>
      </c>
      <c r="B214" s="27">
        <f>SUM(B202:B213)</f>
        <v>0</v>
      </c>
      <c r="C214" s="27">
        <f t="shared" ref="C214:D214" si="24">SUM(C202:C213)</f>
        <v>0</v>
      </c>
      <c r="D214" s="27">
        <f t="shared" si="24"/>
        <v>0</v>
      </c>
      <c r="E214" s="27">
        <f>SUM(E202:E213)</f>
        <v>0</v>
      </c>
      <c r="F214" s="27">
        <f>SUM(F202:F213)</f>
        <v>0</v>
      </c>
      <c r="G214" s="27">
        <f>SUM(G202:G213)</f>
        <v>0</v>
      </c>
      <c r="H214" s="1133">
        <f>SUM(H202:N213)</f>
        <v>0</v>
      </c>
      <c r="I214" s="1134"/>
      <c r="J214" s="1134"/>
      <c r="K214" s="1134"/>
      <c r="L214" s="1134"/>
      <c r="M214" s="1134"/>
      <c r="N214" s="1135"/>
      <c r="O214" s="27">
        <f>SUM(O202:O213)</f>
        <v>0</v>
      </c>
      <c r="P214" s="27">
        <f>SUM(P202:P213)</f>
        <v>0</v>
      </c>
    </row>
    <row r="215" spans="1:16" s="13" customFormat="1" ht="11.25" x14ac:dyDescent="0.2">
      <c r="A215" s="3" t="s">
        <v>1</v>
      </c>
      <c r="B215" s="2"/>
      <c r="C215" s="2"/>
      <c r="D215" s="2"/>
      <c r="E215" s="2"/>
      <c r="F215" s="2"/>
      <c r="G215" s="2"/>
      <c r="H215" s="2"/>
      <c r="I215" s="2"/>
      <c r="J215" s="2"/>
      <c r="K215" s="2"/>
      <c r="L215" s="2"/>
      <c r="M215" s="2"/>
      <c r="N215" s="2"/>
      <c r="O215" s="2"/>
      <c r="P215" s="2"/>
    </row>
    <row r="216" spans="1:16" ht="14.25" customHeight="1" x14ac:dyDescent="0.2">
      <c r="A216" s="1136" t="s">
        <v>133</v>
      </c>
      <c r="B216" s="1137"/>
      <c r="C216" s="1137"/>
      <c r="D216" s="1137" t="s">
        <v>134</v>
      </c>
      <c r="E216" s="1137"/>
      <c r="F216" s="94" t="str">
        <f>IF(IF(G214=0,"",$F$40)=0,"",IF(G214=0,"",$F$40))</f>
        <v/>
      </c>
      <c r="G216" s="77" t="s">
        <v>135</v>
      </c>
      <c r="H216" s="96" t="str">
        <f>IF(IF(G214=0,"",$H$40)=0,"",IF(G214=0,"",$H$40))</f>
        <v/>
      </c>
      <c r="I216" s="73"/>
      <c r="J216" s="194" t="s">
        <v>160</v>
      </c>
      <c r="K216" s="194" t="str">
        <f>$K$40</f>
        <v>2021</v>
      </c>
      <c r="L216" s="194" t="str">
        <f>$L$40</f>
        <v>anteilig 2021</v>
      </c>
      <c r="M216" s="1138" t="s">
        <v>140</v>
      </c>
      <c r="N216" s="1138"/>
      <c r="O216" s="1139"/>
      <c r="P216" s="27">
        <f>ROUND(IF(F216="",IF(E220="",0,(E220*H220/K220)/L183*L184),G214*F216*H216/1000),2)</f>
        <v>0</v>
      </c>
    </row>
    <row r="217" spans="1:16" ht="15" customHeight="1" x14ac:dyDescent="0.2">
      <c r="A217" s="1140" t="s">
        <v>145</v>
      </c>
      <c r="B217" s="1141"/>
      <c r="C217" s="1141"/>
      <c r="D217" s="18"/>
      <c r="E217" s="107" t="s">
        <v>135</v>
      </c>
      <c r="F217" s="95" t="str">
        <f>IF(IF(G214=0,"",$F$41)=0,"",IF(G214=0,"",$F$41))</f>
        <v/>
      </c>
      <c r="G217" s="48"/>
      <c r="H217" s="47"/>
      <c r="I217" s="48"/>
      <c r="J217" s="195" t="s">
        <v>158</v>
      </c>
      <c r="K217" s="198">
        <f>$K$41</f>
        <v>4837.5</v>
      </c>
      <c r="L217" s="197">
        <f>IF(L183="",K217,K217/L183*L184)</f>
        <v>4837.5</v>
      </c>
      <c r="M217" s="1138" t="s">
        <v>139</v>
      </c>
      <c r="N217" s="1138"/>
      <c r="O217" s="1139"/>
      <c r="P217" s="27">
        <f>ROUND(IF(F217="",0,G214*F217/1000),2)</f>
        <v>0</v>
      </c>
    </row>
    <row r="218" spans="1:16" ht="15.75" customHeight="1" x14ac:dyDescent="0.2">
      <c r="A218" s="1142" t="s">
        <v>141</v>
      </c>
      <c r="B218" s="1143"/>
      <c r="C218" s="1143"/>
      <c r="D218" s="1144" t="s">
        <v>143</v>
      </c>
      <c r="E218" s="1144"/>
      <c r="F218" s="1145" t="str">
        <f>IF(IF(G214=0,"",$F$42)=0,"",IF(G214=0,"",$F$42))</f>
        <v/>
      </c>
      <c r="G218" s="1145"/>
      <c r="H218" s="72"/>
      <c r="I218" s="18"/>
      <c r="J218" s="195" t="s">
        <v>159</v>
      </c>
      <c r="K218" s="198">
        <f>$K$42</f>
        <v>6700</v>
      </c>
      <c r="L218" s="197">
        <f>IF(L183="",K218,K218/L183*L184)</f>
        <v>6700</v>
      </c>
      <c r="M218" s="1138" t="s">
        <v>141</v>
      </c>
      <c r="N218" s="1138"/>
      <c r="O218" s="1139"/>
      <c r="P218" s="23">
        <f>ROUND(IF(F218="",0,IF(G214=0,0,F218/L183*L184)),2)</f>
        <v>0</v>
      </c>
    </row>
    <row r="219" spans="1:16" ht="14.25" customHeight="1" x14ac:dyDescent="0.2">
      <c r="A219" s="18"/>
      <c r="B219" s="18"/>
      <c r="C219" s="18"/>
      <c r="D219" s="18"/>
      <c r="E219" s="18"/>
      <c r="F219" s="18"/>
      <c r="G219" s="18"/>
      <c r="H219" s="18"/>
      <c r="I219" s="18"/>
      <c r="J219" s="18"/>
      <c r="K219" s="74"/>
      <c r="L219" s="82"/>
      <c r="M219" s="1127" t="s">
        <v>146</v>
      </c>
      <c r="N219" s="1127"/>
      <c r="O219" s="1128"/>
      <c r="P219" s="23">
        <f>ROUND(IF(G214=0,0,$P$43),2)</f>
        <v>0</v>
      </c>
    </row>
    <row r="220" spans="1:16" ht="14.25" customHeight="1" x14ac:dyDescent="0.2">
      <c r="A220" s="1129" t="s">
        <v>142</v>
      </c>
      <c r="B220" s="1130"/>
      <c r="C220" s="148" t="s">
        <v>136</v>
      </c>
      <c r="D220" s="148" t="s">
        <v>137</v>
      </c>
      <c r="E220" s="1131" t="str">
        <f>IF(IF(G214=0,"",$E$44)=0,"",IF(G214=0,"",$E$44))</f>
        <v/>
      </c>
      <c r="F220" s="1131"/>
      <c r="G220" s="83" t="s">
        <v>138</v>
      </c>
      <c r="H220" s="97" t="str">
        <f>IF(IF(G214=0,"",$H$44)=0,"",IF(G214=0,"",$H$44))</f>
        <v/>
      </c>
      <c r="I220" s="1132" t="s">
        <v>144</v>
      </c>
      <c r="J220" s="1132"/>
      <c r="K220" s="98" t="str">
        <f>IF(IF(G214=0,"",$K$44)=0,"",IF(G214=0,"",$K$44))</f>
        <v/>
      </c>
      <c r="L220" s="29"/>
      <c r="M220" s="29"/>
      <c r="N220" s="29"/>
      <c r="O220" s="28" t="s">
        <v>0</v>
      </c>
      <c r="P220" s="27">
        <f>P214+SUM(P216:P219)</f>
        <v>0</v>
      </c>
    </row>
    <row r="221" spans="1:16" s="12" customFormat="1" ht="13.5" customHeight="1" x14ac:dyDescent="0.2">
      <c r="A221" s="1178" t="s">
        <v>18</v>
      </c>
      <c r="B221" s="1178"/>
      <c r="C221" s="1178"/>
      <c r="D221" s="1179" t="str">
        <f>IF($D$1="","",$D$1)</f>
        <v/>
      </c>
      <c r="E221" s="1179"/>
      <c r="F221" s="1179"/>
      <c r="G221" s="1179"/>
      <c r="H221" s="1179"/>
      <c r="I221" s="1179"/>
      <c r="J221" s="1179"/>
      <c r="K221" s="1179"/>
      <c r="L221" s="1179"/>
      <c r="M221" s="1179"/>
      <c r="N221" s="1179"/>
    </row>
    <row r="222" spans="1:16" s="12" customFormat="1" ht="15" customHeight="1" x14ac:dyDescent="0.2">
      <c r="A222" s="1178" t="s">
        <v>17</v>
      </c>
      <c r="B222" s="1178"/>
      <c r="C222" s="1178" t="s">
        <v>15</v>
      </c>
      <c r="D222" s="1179" t="str">
        <f>IF($D$2="","",$D$2)</f>
        <v/>
      </c>
      <c r="E222" s="1179"/>
      <c r="F222" s="1179"/>
      <c r="G222" s="1179"/>
      <c r="H222" s="1179"/>
      <c r="I222" s="1179"/>
      <c r="J222" s="1179"/>
      <c r="K222" s="1179"/>
      <c r="L222" s="1179"/>
      <c r="M222" s="1179"/>
      <c r="N222" s="1179"/>
    </row>
    <row r="223" spans="1:16" s="12" customFormat="1" ht="15" customHeight="1" x14ac:dyDescent="0.2">
      <c r="A223" s="1178" t="s">
        <v>16</v>
      </c>
      <c r="B223" s="1178"/>
      <c r="C223" s="1178" t="s">
        <v>15</v>
      </c>
      <c r="D223" s="1179" t="str">
        <f>IF($D$3="","",$D$3)</f>
        <v/>
      </c>
      <c r="E223" s="1179"/>
      <c r="F223" s="1179"/>
      <c r="G223" s="1179"/>
      <c r="H223" s="1179"/>
      <c r="I223" s="1179"/>
      <c r="J223" s="1179"/>
      <c r="K223" s="1178" t="s">
        <v>103</v>
      </c>
      <c r="L223" s="1178"/>
      <c r="M223" s="1178"/>
      <c r="N223" s="41" t="str">
        <f>IF($N$3="","",$N$3)</f>
        <v/>
      </c>
    </row>
    <row r="224" spans="1:16" s="13" customFormat="1" ht="11.25" x14ac:dyDescent="0.2">
      <c r="A224" s="1182"/>
      <c r="B224" s="1182"/>
      <c r="C224" s="1182"/>
      <c r="D224" s="1183"/>
      <c r="E224" s="1183"/>
      <c r="F224" s="1183"/>
      <c r="G224" s="1183"/>
      <c r="H224" s="1183"/>
      <c r="I224" s="1183"/>
      <c r="J224" s="1183"/>
      <c r="K224" s="11"/>
      <c r="L224" s="11"/>
      <c r="M224" s="11"/>
      <c r="N224" s="11"/>
      <c r="O224" s="11"/>
      <c r="P224" s="11"/>
    </row>
    <row r="225" spans="1:16" s="15" customFormat="1" ht="13.5" customHeight="1" x14ac:dyDescent="0.2">
      <c r="A225" s="1177" t="s">
        <v>224</v>
      </c>
      <c r="B225" s="1177"/>
      <c r="C225" s="1177"/>
      <c r="D225" s="1177"/>
      <c r="E225" s="1177"/>
      <c r="F225" s="1177"/>
      <c r="G225" s="1177"/>
      <c r="H225" s="1177"/>
      <c r="I225" s="1177"/>
      <c r="J225" s="1177"/>
      <c r="K225" s="9"/>
      <c r="L225" s="9"/>
      <c r="M225" s="9"/>
      <c r="N225" s="59" t="s">
        <v>154</v>
      </c>
      <c r="O225" s="191">
        <f>$O$5</f>
        <v>2022</v>
      </c>
      <c r="P225" s="59" t="s">
        <v>154</v>
      </c>
    </row>
    <row r="226" spans="1:16" s="10" customFormat="1" ht="13.5" customHeight="1" x14ac:dyDescent="0.25">
      <c r="B226" s="32"/>
      <c r="C226" s="32"/>
      <c r="D226" s="5" t="s">
        <v>36</v>
      </c>
      <c r="E226" s="31"/>
      <c r="F226" s="31"/>
      <c r="G226" s="31"/>
      <c r="H226" s="31"/>
      <c r="I226" s="26"/>
      <c r="J226" s="1174" t="s">
        <v>14</v>
      </c>
      <c r="K226" s="1174"/>
      <c r="L226" s="180"/>
      <c r="N226" s="84">
        <f>IF(L228="","",L228)</f>
        <v>0</v>
      </c>
      <c r="O226" s="58" t="str">
        <f>$O$6</f>
        <v>Jan                Jul</v>
      </c>
      <c r="P226" s="85">
        <f>IF(N231="","",N231)</f>
        <v>0</v>
      </c>
    </row>
    <row r="227" spans="1:16" s="7" customFormat="1" ht="13.5" customHeight="1" x14ac:dyDescent="0.25">
      <c r="A227" s="1180" t="s">
        <v>71</v>
      </c>
      <c r="B227" s="1180"/>
      <c r="C227" s="1180"/>
      <c r="D227" s="1184"/>
      <c r="E227" s="1184"/>
      <c r="F227" s="1184"/>
      <c r="G227" s="1184"/>
      <c r="H227" s="1184"/>
      <c r="I227" s="1184"/>
      <c r="J227" s="1174" t="s">
        <v>104</v>
      </c>
      <c r="K227" s="1174"/>
      <c r="L227" s="145"/>
      <c r="N227" s="85">
        <f>IF(N226="","",N226)</f>
        <v>0</v>
      </c>
      <c r="O227" s="58" t="str">
        <f>$O$7</f>
        <v>Feb              Aug</v>
      </c>
      <c r="P227" s="85">
        <f>IF(P226="","",P226)</f>
        <v>0</v>
      </c>
    </row>
    <row r="228" spans="1:16" ht="13.5" customHeight="1" x14ac:dyDescent="0.2">
      <c r="A228" s="1180" t="s">
        <v>13</v>
      </c>
      <c r="B228" s="1180"/>
      <c r="C228" s="1180"/>
      <c r="D228" s="1181"/>
      <c r="E228" s="1181"/>
      <c r="F228" s="1181"/>
      <c r="G228" s="1181"/>
      <c r="H228" s="1181"/>
      <c r="I228" s="1181"/>
      <c r="J228" s="1174" t="s">
        <v>222</v>
      </c>
      <c r="K228" s="1174"/>
      <c r="L228" s="145">
        <f>IF(L229&gt;L227,0,L227-L229)</f>
        <v>0</v>
      </c>
      <c r="N228" s="85">
        <f>IF(N227="","",N227)</f>
        <v>0</v>
      </c>
      <c r="O228" s="58" t="str">
        <f>$O$8</f>
        <v>Mrz              Sep</v>
      </c>
      <c r="P228" s="85">
        <f>IF(P227="","",P227)</f>
        <v>0</v>
      </c>
    </row>
    <row r="229" spans="1:16" ht="13.5" customHeight="1" x14ac:dyDescent="0.2">
      <c r="A229" s="1180" t="s">
        <v>12</v>
      </c>
      <c r="B229" s="1180"/>
      <c r="C229" s="1180"/>
      <c r="D229" s="1181"/>
      <c r="E229" s="1181"/>
      <c r="F229" s="1181"/>
      <c r="G229" s="1181"/>
      <c r="H229" s="1181"/>
      <c r="I229" s="1181"/>
      <c r="J229" s="1174" t="s">
        <v>223</v>
      </c>
      <c r="K229" s="1174"/>
      <c r="L229" s="145"/>
      <c r="N229" s="85">
        <f>IF(N228="","",N228)</f>
        <v>0</v>
      </c>
      <c r="O229" s="58" t="str">
        <f>$O$9</f>
        <v>Apr               Okt</v>
      </c>
      <c r="P229" s="85">
        <f t="shared" ref="P229:P231" si="25">IF(P228="","",P228)</f>
        <v>0</v>
      </c>
    </row>
    <row r="230" spans="1:16" ht="13.5" customHeight="1" x14ac:dyDescent="0.2">
      <c r="A230" s="1180" t="s">
        <v>19</v>
      </c>
      <c r="B230" s="1180"/>
      <c r="C230" s="1180"/>
      <c r="D230" s="1181"/>
      <c r="E230" s="1181"/>
      <c r="F230" s="1181"/>
      <c r="G230" s="1181"/>
      <c r="H230" s="1181"/>
      <c r="I230" s="1181"/>
      <c r="J230" s="1174" t="s">
        <v>97</v>
      </c>
      <c r="K230" s="1174"/>
      <c r="L230" s="17" t="str">
        <f>IF(IF((COUNTIF(B246:B257,"&gt;0"))=0,0,(COUNTIF(B246:B257,"&gt;0")))&gt;Grundlagen!$C$24,Grundlagen!$C$24,IF((COUNTIF(B246:B257,"&gt;0"))=0,"",(COUNTIF(B246:B257,"&gt;0"))))</f>
        <v/>
      </c>
      <c r="M230" s="92"/>
      <c r="N230" s="85">
        <f>IF(N229="","",N229)</f>
        <v>0</v>
      </c>
      <c r="O230" s="58" t="str">
        <f>'päd.Personal - Leitung'!$O$10</f>
        <v>Mai               Nov</v>
      </c>
      <c r="P230" s="85">
        <f t="shared" si="25"/>
        <v>0</v>
      </c>
    </row>
    <row r="231" spans="1:16" ht="13.5" customHeight="1" x14ac:dyDescent="0.2">
      <c r="B231" s="8"/>
      <c r="C231" s="141" t="s">
        <v>162</v>
      </c>
      <c r="D231" s="1175"/>
      <c r="E231" s="1175"/>
      <c r="F231" s="1176" t="s">
        <v>106</v>
      </c>
      <c r="G231" s="1176"/>
      <c r="H231" s="1186"/>
      <c r="I231" s="1186"/>
      <c r="L231" s="147" t="str">
        <f>IF((SUM(F234:F237))=0,"",IF(P232&gt;L228,L228,IF(L228="","",IF(L230="","",P232))))</f>
        <v/>
      </c>
      <c r="N231" s="85">
        <f>IF(N230="","",N230)</f>
        <v>0</v>
      </c>
      <c r="O231" s="58" t="str">
        <f>'päd.Personal - Leitung'!$O$11</f>
        <v>Jun               Dez</v>
      </c>
      <c r="P231" s="85">
        <f t="shared" si="25"/>
        <v>0</v>
      </c>
    </row>
    <row r="232" spans="1:16" ht="13.5" customHeight="1" x14ac:dyDescent="0.2">
      <c r="I232" s="6"/>
      <c r="O232" s="174" t="s">
        <v>251</v>
      </c>
      <c r="P232" s="175">
        <f>IF(L230="",0,((IF(SUMIF(B246,"&gt;0"),N226,0))+(IF(SUMIF(B247,"&gt;0"),N227,0))+(IF(SUMIF(B248,"&gt;0"),N228,0))+(IF(SUMIF(B249,"&gt;0"),N229,0))+(IF(SUMIF(B250,"&gt;0"),N230,0))+(IF(SUMIF(B251,"&gt;0"),N231,0))+(IF(SUMIF(B252,"&gt;0"),P226,0))+(IF(SUMIF(B253,"&gt;0"),P227,0))+(IF(SUMIF(B254,"&gt;0"),P228,0))+(IF(SUMIF(B255,"&gt;0"),P229,0))+(IF(SUMIF(B256,"&gt;0"),P230,0))+(IF(SUMIF(B257,"&gt;0"),P231,0)))/Grundlagen!$C$24)</f>
        <v>0</v>
      </c>
    </row>
    <row r="233" spans="1:16" s="52" customFormat="1" ht="13.5" customHeight="1" x14ac:dyDescent="0.2">
      <c r="A233" s="61" t="s">
        <v>148</v>
      </c>
      <c r="B233" s="1168" t="s">
        <v>149</v>
      </c>
      <c r="C233" s="1168"/>
      <c r="D233" s="62" t="s">
        <v>150</v>
      </c>
      <c r="E233" s="63" t="s">
        <v>151</v>
      </c>
      <c r="F233" s="64" t="str">
        <f>CONCATENATE("Entg. ",N223," h/Wo")</f>
        <v>Entg.  h/Wo</v>
      </c>
      <c r="G233" s="65" t="s">
        <v>152</v>
      </c>
      <c r="H233" s="65" t="s">
        <v>153</v>
      </c>
      <c r="K233" s="1169" t="str">
        <f>CONCATENATE("Zuschläge / Zulagen für ",N223,"h/Wo")</f>
        <v>Zuschläge / Zulagen für h/Wo</v>
      </c>
      <c r="L233" s="1169"/>
      <c r="M233" s="66" t="str">
        <f>IF(A234="","",A234)</f>
        <v>Jan 2022</v>
      </c>
      <c r="N233" s="66" t="str">
        <f>IF(A235="","",A235)</f>
        <v/>
      </c>
      <c r="O233" s="66" t="str">
        <f>IF(A236="","",A236)</f>
        <v/>
      </c>
      <c r="P233" s="66" t="str">
        <f>IF(A237="","",A237)</f>
        <v/>
      </c>
    </row>
    <row r="234" spans="1:16" s="52" customFormat="1" ht="13.5" customHeight="1" x14ac:dyDescent="0.25">
      <c r="A234" s="54" t="str">
        <f>A246</f>
        <v>Jan 2022</v>
      </c>
      <c r="B234" s="1170" t="str">
        <f>IF($D$3="","",$D$3)</f>
        <v/>
      </c>
      <c r="C234" s="1171"/>
      <c r="D234" s="181"/>
      <c r="E234" s="181"/>
      <c r="F234" s="87"/>
      <c r="G234" s="56">
        <f>IF(N223="",0,F234/N223/4.348)</f>
        <v>0</v>
      </c>
      <c r="H234" s="53">
        <f>IF(G234=0,0,M239)</f>
        <v>0</v>
      </c>
      <c r="K234" s="1146"/>
      <c r="L234" s="1146"/>
      <c r="M234" s="86"/>
      <c r="N234" s="86"/>
      <c r="O234" s="86"/>
      <c r="P234" s="86"/>
    </row>
    <row r="235" spans="1:16" s="52" customFormat="1" ht="13.5" customHeight="1" x14ac:dyDescent="0.25">
      <c r="A235" s="55"/>
      <c r="B235" s="1172" t="str">
        <f>IF(A235="","",B234)</f>
        <v/>
      </c>
      <c r="C235" s="1173"/>
      <c r="D235" s="181"/>
      <c r="E235" s="181"/>
      <c r="F235" s="87"/>
      <c r="G235" s="56">
        <f>IF(N223="",0,F235/N223/4.348)</f>
        <v>0</v>
      </c>
      <c r="H235" s="53">
        <f>IF(G235=0,0,N239)</f>
        <v>0</v>
      </c>
      <c r="K235" s="1146"/>
      <c r="L235" s="1146"/>
      <c r="M235" s="86"/>
      <c r="N235" s="86"/>
      <c r="O235" s="86"/>
      <c r="P235" s="86"/>
    </row>
    <row r="236" spans="1:16" s="52" customFormat="1" ht="13.5" customHeight="1" x14ac:dyDescent="0.25">
      <c r="A236" s="55"/>
      <c r="B236" s="1172" t="str">
        <f>IF(A236="","",B235)</f>
        <v/>
      </c>
      <c r="C236" s="1173"/>
      <c r="D236" s="181"/>
      <c r="E236" s="181"/>
      <c r="F236" s="87"/>
      <c r="G236" s="56">
        <f>IF(N223="",0,F236/N223/4.348)</f>
        <v>0</v>
      </c>
      <c r="H236" s="53">
        <f>IF(G236=0,0,O239)</f>
        <v>0</v>
      </c>
      <c r="K236" s="1146"/>
      <c r="L236" s="1146"/>
      <c r="M236" s="86"/>
      <c r="N236" s="86"/>
      <c r="O236" s="86"/>
      <c r="P236" s="86"/>
    </row>
    <row r="237" spans="1:16" s="52" customFormat="1" ht="13.5" customHeight="1" x14ac:dyDescent="0.25">
      <c r="A237" s="55"/>
      <c r="B237" s="1172" t="str">
        <f>IF(A237="","",B236)</f>
        <v/>
      </c>
      <c r="C237" s="1173"/>
      <c r="D237" s="181"/>
      <c r="E237" s="181"/>
      <c r="F237" s="87"/>
      <c r="G237" s="56">
        <f>IF(N223="",0,F237/N223/4.348)</f>
        <v>0</v>
      </c>
      <c r="H237" s="53">
        <f>IF(G237=0,0,P239)</f>
        <v>0</v>
      </c>
      <c r="K237" s="1146"/>
      <c r="L237" s="1146"/>
      <c r="M237" s="86"/>
      <c r="N237" s="86"/>
      <c r="O237" s="86"/>
      <c r="P237" s="86"/>
    </row>
    <row r="238" spans="1:16" s="52" customFormat="1" ht="13.5" customHeight="1" x14ac:dyDescent="0.25">
      <c r="B238" s="1167" t="s">
        <v>157</v>
      </c>
      <c r="C238" s="1167"/>
      <c r="E238" s="1167" t="s">
        <v>156</v>
      </c>
      <c r="F238" s="1167"/>
      <c r="J238" s="69"/>
      <c r="K238" s="1146"/>
      <c r="L238" s="1146"/>
      <c r="M238" s="86"/>
      <c r="N238" s="86"/>
      <c r="O238" s="86"/>
      <c r="P238" s="86"/>
    </row>
    <row r="239" spans="1:16" s="52" customFormat="1" ht="13.5" customHeight="1" x14ac:dyDescent="0.25">
      <c r="A239" s="70" t="s">
        <v>167</v>
      </c>
      <c r="B239" s="67"/>
      <c r="C239" s="99" t="str">
        <f>IF(C195="","",C195)</f>
        <v/>
      </c>
      <c r="D239" s="70" t="s">
        <v>167</v>
      </c>
      <c r="E239" s="67"/>
      <c r="F239" s="99" t="str">
        <f>IF(F195="","",F195)</f>
        <v/>
      </c>
      <c r="J239" s="68"/>
      <c r="M239" s="57">
        <f>SUM(M234:M238)</f>
        <v>0</v>
      </c>
      <c r="N239" s="57">
        <f t="shared" ref="N239:P239" si="26">SUM(N234:N238)</f>
        <v>0</v>
      </c>
      <c r="O239" s="57">
        <f t="shared" si="26"/>
        <v>0</v>
      </c>
      <c r="P239" s="57">
        <f t="shared" si="26"/>
        <v>0</v>
      </c>
    </row>
    <row r="240" spans="1:16" s="52" customFormat="1" ht="13.5" customHeight="1" x14ac:dyDescent="0.2">
      <c r="A240" s="60" t="s">
        <v>155</v>
      </c>
    </row>
    <row r="241" spans="1:16" ht="14.25" customHeight="1" x14ac:dyDescent="0.2">
      <c r="A241" s="1147"/>
      <c r="B241" s="1149" t="s">
        <v>9</v>
      </c>
      <c r="C241" s="1150"/>
      <c r="D241" s="1150"/>
      <c r="E241" s="1150"/>
      <c r="F241" s="1150"/>
      <c r="G241" s="1151"/>
      <c r="H241" s="1152" t="s">
        <v>119</v>
      </c>
      <c r="I241" s="1153"/>
      <c r="J241" s="1153"/>
      <c r="K241" s="1153"/>
      <c r="L241" s="1153"/>
      <c r="M241" s="1153"/>
      <c r="N241" s="1153"/>
      <c r="O241" s="33"/>
      <c r="P241" s="1154" t="s">
        <v>0</v>
      </c>
    </row>
    <row r="242" spans="1:16" ht="14.25" customHeight="1" x14ac:dyDescent="0.2">
      <c r="A242" s="1148"/>
      <c r="B242" s="1157" t="s">
        <v>117</v>
      </c>
      <c r="C242" s="144" t="s">
        <v>115</v>
      </c>
      <c r="D242" s="1159" t="s">
        <v>277</v>
      </c>
      <c r="E242" s="1161" t="s">
        <v>147</v>
      </c>
      <c r="F242" s="149" t="s">
        <v>7</v>
      </c>
      <c r="G242" s="1162" t="s">
        <v>6</v>
      </c>
      <c r="H242" s="1161" t="s">
        <v>129</v>
      </c>
      <c r="I242" s="1161" t="s">
        <v>5</v>
      </c>
      <c r="J242" s="1161" t="s">
        <v>4</v>
      </c>
      <c r="K242" s="1161" t="s">
        <v>3</v>
      </c>
      <c r="L242" s="1161" t="s">
        <v>121</v>
      </c>
      <c r="M242" s="1161" t="s">
        <v>122</v>
      </c>
      <c r="N242" s="1161" t="s">
        <v>123</v>
      </c>
      <c r="O242" s="1160" t="s">
        <v>114</v>
      </c>
      <c r="P242" s="1155"/>
    </row>
    <row r="243" spans="1:16" ht="14.25" customHeight="1" x14ac:dyDescent="0.2">
      <c r="A243" s="1148"/>
      <c r="B243" s="1157"/>
      <c r="C243" s="21" t="str">
        <f>IF(C239="","",C239)</f>
        <v/>
      </c>
      <c r="D243" s="1160"/>
      <c r="E243" s="1161"/>
      <c r="F243" s="1165" t="str">
        <f>IF(H234=0,"","siehe Zuschläge / Zulagen")</f>
        <v/>
      </c>
      <c r="G243" s="1162"/>
      <c r="H243" s="1164" t="s">
        <v>127</v>
      </c>
      <c r="I243" s="1164"/>
      <c r="J243" s="1164"/>
      <c r="K243" s="1164"/>
      <c r="L243" s="1164"/>
      <c r="M243" s="1164"/>
      <c r="N243" s="1164"/>
      <c r="O243" s="1160"/>
      <c r="P243" s="1155"/>
    </row>
    <row r="244" spans="1:16" x14ac:dyDescent="0.2">
      <c r="A244" s="1148"/>
      <c r="B244" s="1157"/>
      <c r="C244" s="142" t="s">
        <v>70</v>
      </c>
      <c r="D244" s="1160"/>
      <c r="E244" s="1161"/>
      <c r="F244" s="1165"/>
      <c r="G244" s="1162"/>
      <c r="H244" s="43" t="s">
        <v>128</v>
      </c>
      <c r="I244" s="43" t="s">
        <v>255</v>
      </c>
      <c r="J244" s="43" t="s">
        <v>256</v>
      </c>
      <c r="K244" s="43" t="s">
        <v>257</v>
      </c>
      <c r="L244" s="43"/>
      <c r="M244" s="43"/>
      <c r="N244" s="43" t="s">
        <v>254</v>
      </c>
      <c r="O244" s="1160"/>
      <c r="P244" s="1155"/>
    </row>
    <row r="245" spans="1:16" x14ac:dyDescent="0.2">
      <c r="A245" s="1148"/>
      <c r="B245" s="1158"/>
      <c r="C245" s="21" t="str">
        <f>IF(F239="","",F239)</f>
        <v/>
      </c>
      <c r="D245" s="51"/>
      <c r="E245" s="51"/>
      <c r="F245" s="1166"/>
      <c r="G245" s="1163"/>
      <c r="H245" s="93"/>
      <c r="I245" s="139">
        <f>$I$25</f>
        <v>0</v>
      </c>
      <c r="J245" s="139">
        <f>$J$25</f>
        <v>0</v>
      </c>
      <c r="K245" s="44">
        <f>$K$25</f>
        <v>0</v>
      </c>
      <c r="L245" s="21"/>
      <c r="M245" s="21"/>
      <c r="N245" s="139">
        <f>$N$25</f>
        <v>0</v>
      </c>
      <c r="O245" s="21">
        <f>O201</f>
        <v>0</v>
      </c>
      <c r="P245" s="1156"/>
    </row>
    <row r="246" spans="1:16" x14ac:dyDescent="0.2">
      <c r="A246" s="100" t="str">
        <f>$A$26</f>
        <v>Jan 2022</v>
      </c>
      <c r="B246" s="24">
        <f>ROUND(IF(N226=0,0,(LOOKUP(2,1/(A234:A237=A246),G234:G237))*N226*4.348),2)</f>
        <v>0</v>
      </c>
      <c r="C246" s="23">
        <f>ROUND(IFERROR(((LOOKUP(2,1/(B239=A246),((SUM(B252:B254)+SUM(F252:F254))/3)*C239))),0)+IFERROR(((LOOKUP(2,1/(E239=A246),(B258+F258)*F239))),0),2)</f>
        <v>0</v>
      </c>
      <c r="D246" s="23">
        <f>ROUND(IF(B246=0,0,D245/L227*N226),2)</f>
        <v>0</v>
      </c>
      <c r="E246" s="23">
        <f>ROUND(IF(B246=0,0,E245/N223*N226),2)</f>
        <v>0</v>
      </c>
      <c r="F246" s="24">
        <f>ROUND(IF(N226=0,0,(LOOKUP(2,1/(A234:A237=A246),H234:H237))/N223*N226),2)</f>
        <v>0</v>
      </c>
      <c r="G246" s="27">
        <f>SUM(B246+C246+E246+F246)</f>
        <v>0</v>
      </c>
      <c r="H246" s="76">
        <f>ROUND(IF((SUM(B246:F246))&gt;L261,L261*H245,SUM(B246:F246)*H245),2)</f>
        <v>0</v>
      </c>
      <c r="I246" s="76">
        <f>ROUND(IF((SUM(B246:F246))&gt;L262,L262*I245,SUM(B246:F246)*I245),2)</f>
        <v>0</v>
      </c>
      <c r="J246" s="76">
        <f>ROUND(IF((SUM(B246:F246))&gt;L262,L262*J245,SUM(B246:F246)*J245),2)</f>
        <v>0</v>
      </c>
      <c r="K246" s="76">
        <f>ROUND(IF((SUM(B246:F246))&gt;L261,L261*K245,SUM(B246:F246)*K245),2)</f>
        <v>0</v>
      </c>
      <c r="L246" s="76">
        <f>ROUND(IF((SUM(B246:F246))&gt;L262,L262*L245,(SUM(B246:F246)-C246)*L245),2)</f>
        <v>0</v>
      </c>
      <c r="M246" s="76">
        <f>ROUND(IF((SUM(B246:F246))&gt;L262,L262*M245,(SUM(B246:F246)-C246)*M245),2)</f>
        <v>0</v>
      </c>
      <c r="N246" s="76">
        <f>ROUND(IF((SUM(B246:F246))&gt;L262,L262*N245,SUM(B246:F246)*N245),2)</f>
        <v>0</v>
      </c>
      <c r="O246" s="23">
        <f>ROUND(SUM(B246+C246+F246)*O245,2)</f>
        <v>0</v>
      </c>
      <c r="P246" s="27">
        <f>SUM(G246:O246)</f>
        <v>0</v>
      </c>
    </row>
    <row r="247" spans="1:16" x14ac:dyDescent="0.2">
      <c r="A247" s="100" t="str">
        <f>$A$27</f>
        <v>Feb 2022</v>
      </c>
      <c r="B247" s="24">
        <f>ROUND(IF(N227=0,0,IFERROR(((LOOKUP(2,1/(A234:A237=A247),G234:G237))*N227*4.348),B246/N227*N227)),2)</f>
        <v>0</v>
      </c>
      <c r="C247" s="23">
        <f>ROUND(IFERROR(((LOOKUP(2,1/(B239=A247),((SUM(B252:B254)+SUM(F252:F254))/3)*C239))),0)+IFERROR(((LOOKUP(2,1/(E239=A247),(B258+F258)*F239))),0),2)</f>
        <v>0</v>
      </c>
      <c r="D247" s="23">
        <f>ROUND(IF(B247=0,0,D245/L227*N227),2)</f>
        <v>0</v>
      </c>
      <c r="E247" s="23">
        <f>ROUND(IF(B247=0,0,E245/N223*N227),2)</f>
        <v>0</v>
      </c>
      <c r="F247" s="24">
        <f>ROUND(IF(N227=0,0,IFERROR(((LOOKUP(2,1/(A234:A237=A247),H234:H237))/N223*N227),F246/N227*N227)),2)</f>
        <v>0</v>
      </c>
      <c r="G247" s="27">
        <f t="shared" ref="G247:G257" si="27">SUM(B247+C247+E247+F247)</f>
        <v>0</v>
      </c>
      <c r="H247" s="76">
        <f>ROUND(IF(SUM(B246:F246)&lt;(L261*1),IF((SUM(B246:F247))&gt;(L261*2),(((L261*2)-(SUM(B246:F247)-C246))*H245)+((SUM(B247:F247)-C246)*H245),SUM(B247:F247)*H245),IF(SUM(B246:F247)&gt;(L261*2),L261*H245,SUM(B247:F247)*H245)),2)</f>
        <v>0</v>
      </c>
      <c r="I247" s="76">
        <f>ROUND(IF(SUM(B246:F246)&lt;(L262*1),IF((SUM(B246:F247))&gt;(L262*2),(((L262*2)-(SUM(B246:F247)-C246))*I245)+((SUM(B247:F247)-C246)*I245),SUM(B247:F247)*I245),IF(SUM(B246:F247)&gt;(L262*2),L262*I245,SUM(B247:F247)*I245)),2)</f>
        <v>0</v>
      </c>
      <c r="J247" s="76">
        <f>ROUND(IF(SUM(B246:F246)&lt;(L262*1),IF((SUM(B246:F247))&gt;(L262*2),(((L262*2)-(SUM(B246:F247)-C246))*J245)+((SUM(B247:F247)-C246)*J245),SUM(B247:F247)*J245),IF(SUM(B246:F247)&gt;(L262*2),L262*J245,SUM(B247:F247)*J245)),2)</f>
        <v>0</v>
      </c>
      <c r="K247" s="76">
        <f>ROUND(IF(SUM(B246:F246)&lt;(L261*1),IF((SUM(B246:F247))&gt;(L261*2),(((L261*2)-(SUM(B246:F247)-C246))*K245)+((SUM(B247:F247)-C246)*K245),SUM(B247:F247)*K245),IF(SUM(B246:F247)&gt;(L261*2),L261*K245,SUM(B247:F247)*K245)),2)</f>
        <v>0</v>
      </c>
      <c r="L247" s="76">
        <f>ROUND(IF(SUM(B246:F246)&lt;(L262*1),IF((SUM(B246:F247))&gt;(L262*2),(((L262*2)-(SUM(B246:F247)-C247))*L245)+((SUM(B247:F247)-C247)*L245),(SUM(B247:F247)-C247)*L245),IF(SUM(B246:F247)&gt;(L262*2),L262*L245,SUM(B247:F247)*L245)),2)</f>
        <v>0</v>
      </c>
      <c r="M247" s="76">
        <f>ROUND(IF(SUM(B246:F246)&lt;(L262*1),IF((SUM(B246:F247))&gt;(L262*2),(((L262*2)-(SUM(B246:F247)-C247))*M245)+((SUM(B247:F247)-C247)*M245),(SUM(B247:F247)-C247)*M245),IF(SUM(B246:F247)&gt;(L262*2),L262*M245,SUM(B247:F247)*M245)),2)</f>
        <v>0</v>
      </c>
      <c r="N247" s="76">
        <f>ROUND(IF(SUM(B246:F246)&lt;(L262*1),IF((SUM(B246:F247))&gt;(L262*2),(((L262*2)-(SUM(B246:F247)-C246))*N245)+((SUM(B247:F247)-C246)*N245),SUM(B247:F247)*N245),IF(SUM(B246:F247)&gt;(L262*2),L262*N245,SUM(B247:F247)*N245)),2)</f>
        <v>0</v>
      </c>
      <c r="O247" s="23">
        <f>ROUND(SUM(B247+C247+F247)*O245,2)</f>
        <v>0</v>
      </c>
      <c r="P247" s="27">
        <f>SUM(G247:O247)</f>
        <v>0</v>
      </c>
    </row>
    <row r="248" spans="1:16" x14ac:dyDescent="0.2">
      <c r="A248" s="100" t="str">
        <f>$A$28</f>
        <v>Mrz 2022</v>
      </c>
      <c r="B248" s="24">
        <f>ROUND(IF(N228=0,0,IFERROR(((LOOKUP(2,1/(A234:A237=A248),G234:G237))*N228*4.348),B247/N228*N228)),2)</f>
        <v>0</v>
      </c>
      <c r="C248" s="23">
        <f>ROUND(IFERROR(((LOOKUP(2,1/(B239=A248),((SUM(B252:B254)+SUM(F252:F254))/3)*C239))),0)+IFERROR(((LOOKUP(2,1/(E239=A248),(B258+F258)*F239))),0),2)</f>
        <v>0</v>
      </c>
      <c r="D248" s="23">
        <f>ROUND(IF(B248=0,0,D245/L227*N228),2)</f>
        <v>0</v>
      </c>
      <c r="E248" s="23">
        <f>ROUND(IF(B248=0,0,E245/N223*N228),2)</f>
        <v>0</v>
      </c>
      <c r="F248" s="24">
        <f>ROUND(IF(N228=0,0,IFERROR(((LOOKUP(2,1/(A234:A237=A248),H234:H237))/N223*N228),F247/N228*N228)),2)</f>
        <v>0</v>
      </c>
      <c r="G248" s="27">
        <f t="shared" si="27"/>
        <v>0</v>
      </c>
      <c r="H248" s="76">
        <f>ROUND(IF(SUM(B246:F247)&lt;(L261*2),IF((SUM(B246:F248))&gt;(L261*3),(((L261*3)-(SUM(B246:F248)-C247))*H245)+((SUM(B248:F248)-C247)*H245),SUM(B248:F248)*H245),IF(SUM(B246:F248)&gt;(L261*3),L261*H245,SUM(B248:F248)*H245)),2)</f>
        <v>0</v>
      </c>
      <c r="I248" s="76">
        <f>ROUND(IF(SUM(B246:F247)&lt;(L262*2),IF((SUM(B246:F248))&gt;(L262*3),(((L262*3)-(SUM(B246:F248)-C247))*I245)+((SUM(B248:F248)-C247)*I245),SUM(B248:F248)*I245),IF(SUM(B246:F248)&gt;(L262*3),L262*I245,SUM(B248:F248)*I245)),2)</f>
        <v>0</v>
      </c>
      <c r="J248" s="76">
        <f>ROUND(IF(SUM(B246:F247)&lt;(L262*2),IF((SUM(B246:F248))&gt;(L262*3),(((L262*3)-(SUM(B246:F248)-C247))*J245)+((SUM(B248:F248)-C247)*J245),SUM(B248:F248)*J245),IF(SUM(B246:F248)&gt;(L262*3),L262*J245,SUM(B248:F248)*J245)),2)</f>
        <v>0</v>
      </c>
      <c r="K248" s="76">
        <f>ROUND(IF(SUM(B246:F247)&lt;(L261*2),IF((SUM(B246:F248))&gt;(L261*3),(((L261*3)-(SUM(B246:F248)-C247))*K245)+((SUM(B248:F248)-C247)*K245),SUM(B248:F248)*K245),IF(SUM(B246:F248)&gt;(L261*3),L261*K245,SUM(B248:F248)*K245)),2)</f>
        <v>0</v>
      </c>
      <c r="L248" s="76">
        <f>ROUND(IF(SUM(B246:F247)&lt;(L262*2),IF((SUM(B246:F248))&gt;(L262*3),(((L262*3)-(SUM(B246:F248)-C248))*L245)+((SUM(B248:F248)-C248)*L245),(SUM(B248:F248)-C248)*L245),IF(SUM(B246:F248)&gt;(L262*3),L262*L245,SUM(B248:F248)*L245)),2)</f>
        <v>0</v>
      </c>
      <c r="M248" s="76">
        <f>ROUND(IF(SUM(B246:F247)&lt;(L262*2),IF((SUM(B246:F248))&gt;(L262*3),(((L262*3)-(SUM(B246:F248)-C248))*M245)+((SUM(B248:F248)-C248)*M245),(SUM(B248:F248)-C248)*M245),IF(SUM(B246:F248)&gt;(L262*3),L262*M245,SUM(B248:F248)*M245)),2)</f>
        <v>0</v>
      </c>
      <c r="N248" s="76">
        <f>ROUND(IF(SUM(B246:F247)&lt;(L262*2),IF((SUM(B246:F248))&gt;(L262*3),(((L262*3)-(SUM(B246:F248)-C247))*N245)+((SUM(B248:F248)-C247)*N245),SUM(B248:F248)*N245),IF(SUM(B246:F248)&gt;(L262*3),L262*N245,SUM(B248:F248)*N245)),2)</f>
        <v>0</v>
      </c>
      <c r="O248" s="23">
        <f>ROUND(SUM(B248+C248+F248)*O245,2)</f>
        <v>0</v>
      </c>
      <c r="P248" s="27">
        <f t="shared" ref="P248:P257" si="28">SUM(G248:O248)</f>
        <v>0</v>
      </c>
    </row>
    <row r="249" spans="1:16" x14ac:dyDescent="0.2">
      <c r="A249" s="100" t="str">
        <f>$A$29</f>
        <v>Apr 2022</v>
      </c>
      <c r="B249" s="24">
        <f>ROUND(IF(N229=0,0,IFERROR(((LOOKUP(2,1/(A234:A237=A249),G234:G237))*N229*4.348),B248/N229*N229)),2)</f>
        <v>0</v>
      </c>
      <c r="C249" s="23">
        <f>ROUND(IFERROR(((LOOKUP(2,1/(B239=A249),((SUM(B252:B254)+SUM(F252:F254))/3)*C239))),0)+IFERROR(((LOOKUP(2,1/(E239=A249),(B258+F258)*F239))),0),2)</f>
        <v>0</v>
      </c>
      <c r="D249" s="23">
        <f>ROUND(IF(B249=0,0,D245/L227*N229),2)</f>
        <v>0</v>
      </c>
      <c r="E249" s="23">
        <f>ROUND(IF(B249=0,0,E245/N223*N229),2)</f>
        <v>0</v>
      </c>
      <c r="F249" s="24">
        <f>ROUND(IF(N229=0,0,IFERROR(((LOOKUP(2,1/(A234:A237=A249),H234:H237))/N223*N229),F248/N229*N229)),2)</f>
        <v>0</v>
      </c>
      <c r="G249" s="27">
        <f t="shared" si="27"/>
        <v>0</v>
      </c>
      <c r="H249" s="76">
        <f>ROUND(IF(SUM(B246:F248)&lt;(L261*3),IF((SUM(B246:F249))&gt;(L261*4),(((L261*4)-(SUM(B246:F249)-C248))*H245)+((SUM(B249:F249)-C248)*H245),SUM(B249:F249)*H245),IF(SUM(B246:F249)&gt;(L261*4),L261*H245,SUM(B249:F249)*H245)),2)</f>
        <v>0</v>
      </c>
      <c r="I249" s="76">
        <f>ROUND(IF(SUM(B246:F248)&lt;(L262*3),IF((SUM(B246:F249))&gt;(L262*4),(((L262*4)-(SUM(B246:F249)-C248))*I245)+((SUM(B249:F249)-C248)*I245),SUM(B249:F249)*I245),IF(SUM(B246:F249)&gt;(L262*4),L262*I245,SUM(B249:F249)*I245)),2)</f>
        <v>0</v>
      </c>
      <c r="J249" s="76">
        <f>ROUND(IF(SUM(B246:F248)&lt;(L262*3),IF((SUM(B246:F249))&gt;(L262*4),(((L262*4)-(SUM(B246:F249)-C248))*J245)+((SUM(B249:F249)-C248)*J245),SUM(B249:F249)*J245),IF(SUM(B246:F249)&gt;(L262*4),L262*J245,SUM(B249:F249)*J245)),2)</f>
        <v>0</v>
      </c>
      <c r="K249" s="76">
        <f>ROUND(IF(SUM(B246:F248)&lt;(L261*3),IF((SUM(B246:F249))&gt;(L261*4),(((L261*4)-(SUM(B246:F249)-C248))*K245)+((SUM(B249:F249)-C248)*K245),SUM(B249:F249)*K245),IF(SUM(B246:F249)&gt;(L261*4),L261*K245,SUM(B249:F249)*K245)),2)</f>
        <v>0</v>
      </c>
      <c r="L249" s="76">
        <f>ROUND(IF(SUM(B246:F248)&lt;(L262*3),IF((SUM(B246:F249))&gt;(L262*4),(((L262*4)-(SUM(B246:F249)-C249))*L245)+((SUM(B249:F249)-C249)*L245),(SUM(B249:F249)-C249)*L245),IF(SUM(B246:F249)&gt;(L262*4),L262*L245,SUM(B249:F249)*L245)),2)</f>
        <v>0</v>
      </c>
      <c r="M249" s="76">
        <f>ROUND(IF(SUM(B246:F248)&lt;(L262*3),IF((SUM(B246:F249))&gt;(L262*4),(((L262*4)-(SUM(B246:F249)-C249))*M245)+((SUM(B249:F249)-C249)*M245),(SUM(B249:F249)-C249)*M245),IF(SUM(B246:F249)&gt;(L262*4),L262*M245,SUM(B249:F249)*M245)),2)</f>
        <v>0</v>
      </c>
      <c r="N249" s="76">
        <f>ROUND(IF(SUM(B246:F248)&lt;(L262*3),IF((SUM(B246:F249))&gt;(L262*4),(((L262*4)-(SUM(B246:F249)-C248))*N245)+((SUM(B249:F249)-C248)*N245),SUM(B249:F249)*N245),IF(SUM(B246:F249)&gt;(L262*4),L262*N245,SUM(B249:F249)*N245)),2)</f>
        <v>0</v>
      </c>
      <c r="O249" s="23">
        <f>ROUND(SUM(B249+C249+F249)*O245,2)</f>
        <v>0</v>
      </c>
      <c r="P249" s="27">
        <f t="shared" si="28"/>
        <v>0</v>
      </c>
    </row>
    <row r="250" spans="1:16" x14ac:dyDescent="0.2">
      <c r="A250" s="100" t="str">
        <f>$A$30</f>
        <v>Mai 2022</v>
      </c>
      <c r="B250" s="24">
        <f>ROUND(IF(N230=0,0,IFERROR(((LOOKUP(2,1/(A234:A237=A250),G234:G237))*N230*4.348),B249/N230*N230)),2)</f>
        <v>0</v>
      </c>
      <c r="C250" s="23">
        <f>ROUND(IFERROR(((LOOKUP(2,1/(B239=A250),((SUM(B252:B254)+SUM(F252:F254))/3)*C239))),0)+IFERROR(((LOOKUP(2,1/(E239=A250),(B258+F258)*F239))),0),2)</f>
        <v>0</v>
      </c>
      <c r="D250" s="23">
        <f>ROUND(IF(B250=0,0,D245/L227*N230),2)</f>
        <v>0</v>
      </c>
      <c r="E250" s="23">
        <f>ROUND(IF(B250=0,0,E245/N223*N230),2)</f>
        <v>0</v>
      </c>
      <c r="F250" s="24">
        <f>ROUND(IF(N230=0,0,IFERROR(((LOOKUP(2,1/(A234:A237=A250),H234:H237))/N223*N230),F249/N230*N230)),2)</f>
        <v>0</v>
      </c>
      <c r="G250" s="27">
        <f t="shared" si="27"/>
        <v>0</v>
      </c>
      <c r="H250" s="76">
        <f>ROUND(IF(SUM(B246:F249)&lt;(L261*4),IF((SUM(B246:F250))&gt;(L261*5),(((L261*5)-(SUM(B246:F250)-C249))*H245)+((SUM(B250:F250)-C249)*H245),SUM(B250:F250)*H245),IF(SUM(B246:F250)&gt;(L261*5),L261*H245,SUM(B250:F250)*H245)),2)</f>
        <v>0</v>
      </c>
      <c r="I250" s="76">
        <f>ROUND(IF(SUM(B246:F249)&lt;(L262*4),IF((SUM(B246:F250))&gt;(L262*5),(((L262*5)-(SUM(B246:F250)-C249))*I245)+((SUM(B250:F250)-C249)*I245),SUM(B250:F250)*I245),IF(SUM(B246:F250)&gt;(L262*5),L262*I245,SUM(B250:F250)*I245)),2)</f>
        <v>0</v>
      </c>
      <c r="J250" s="76">
        <f>ROUND(IF(SUM(B246:F249)&lt;(L262*4),IF((SUM(B246:F250))&gt;(L262*5),(((L262*5)-(SUM(B246:F250)-C249))*J245)+((SUM(B250:F250)-C249)*J245),SUM(B250:F250)*J245),IF(SUM(B246:F250)&gt;(L262*5),L262*J245,SUM(B250:F250)*J245)),2)</f>
        <v>0</v>
      </c>
      <c r="K250" s="76">
        <f>ROUND(IF(SUM(B246:F249)&lt;(L261*4),IF((SUM(B246:F250))&gt;(L261*5),(((L261*5)-(SUM(B246:F250)-C249))*K245)+((SUM(B250:F250)-C249)*K245),SUM(B250:F250)*K245),IF(SUM(B246:F250)&gt;(L261*5),L261*K245,SUM(B250:F250)*K245)),2)</f>
        <v>0</v>
      </c>
      <c r="L250" s="76">
        <f>ROUND(IF(SUM(B246:F249)&lt;(L262*4),IF((SUM(B246:F250))&gt;(L262*5),(((L262*5)-(SUM(B246:F250)-C250))*L245)+((SUM(B250:F250)-C250)*L245),(SUM(B250:F250)-C250)*L245),IF(SUM(B246:F250)&gt;(L262*5),L262*L245,SUM(B250:F250)*L245)),2)</f>
        <v>0</v>
      </c>
      <c r="M250" s="76">
        <f>ROUND(IF(SUM(B246:F249)&lt;(L262*4),IF((SUM(B246:F250))&gt;(L262*5),(((L262*5)-(SUM(B246:F250)-C250))*M245)+((SUM(B250:F250)-C250)*M245),(SUM(B250:F250)-C250)*M245),IF(SUM(B246:F250)&gt;(L262*5),L262*M245,SUM(B250:F250)*M245)),2)</f>
        <v>0</v>
      </c>
      <c r="N250" s="76">
        <f>ROUND(IF(SUM(B246:F249)&lt;(L262*4),IF((SUM(B246:F250))&gt;(L262*5),(((L262*5)-(SUM(B246:F250)-C249))*N245)+((SUM(B250:F250)-C249)*N245),SUM(B250:F250)*N245),IF(SUM(B246:F250)&gt;(L262*5),L262*N245,SUM(B250:F250)*N245)),2)</f>
        <v>0</v>
      </c>
      <c r="O250" s="23">
        <f>ROUND(SUM(B250+C250+F250)*O245,2)</f>
        <v>0</v>
      </c>
      <c r="P250" s="27">
        <f t="shared" si="28"/>
        <v>0</v>
      </c>
    </row>
    <row r="251" spans="1:16" x14ac:dyDescent="0.2">
      <c r="A251" s="100" t="str">
        <f>$A$31</f>
        <v>Jun 2022</v>
      </c>
      <c r="B251" s="24">
        <f>ROUND(IF(N231=0,0,IFERROR(((LOOKUP(2,1/(A234:A237=A251),G234:G237))*N231*4.348),B250/N231*N231)),2)</f>
        <v>0</v>
      </c>
      <c r="C251" s="23">
        <f>ROUND(IFERROR(((LOOKUP(2,1/(B239=A251),((SUM(B252:B254)+SUM(F252:F254))/3)*C239))),0)+IFERROR(((LOOKUP(2,1/(E239=A251),(B258+F258)*F239))),0),2)</f>
        <v>0</v>
      </c>
      <c r="D251" s="23">
        <f>ROUND(IF(B251=0,0,D245/L227*N231),2)</f>
        <v>0</v>
      </c>
      <c r="E251" s="23">
        <f>ROUND(IF(B251=0,0,E245/N223*N231),2)</f>
        <v>0</v>
      </c>
      <c r="F251" s="24">
        <f>ROUND(IF(N231=0,0,IFERROR(((LOOKUP(2,1/(A234:A237=A251),H234:H237))/N223*N231),F250/N231*N231)),2)</f>
        <v>0</v>
      </c>
      <c r="G251" s="27">
        <f t="shared" si="27"/>
        <v>0</v>
      </c>
      <c r="H251" s="76">
        <f>ROUND(IF(SUM(B246:F250)&lt;(L261*5),IF((SUM(B246:F251))&gt;(L261*6),(((L261*6)-(SUM(B246:F251)-C250))*H245)+((SUM(B251:F251)-C250)*H245),SUM(B251:F251)*H245),IF(SUM(B246:F251)&gt;(L261*6),L261*H245,SUM(B251:F251)*H245)),2)</f>
        <v>0</v>
      </c>
      <c r="I251" s="76">
        <f>ROUND(IF(SUM(B246:F250)&lt;(L262*5),IF((SUM(B246:F251))&gt;(L262*6),(((L262*6)-(SUM(B246:F251)-C250))*I245)+((SUM(B251:F251)-C250)*I245),SUM(B251:F251)*I245),IF(SUM(B246:F251)&gt;(L262*6),L262*I245,SUM(B251:F251)*I245)),2)</f>
        <v>0</v>
      </c>
      <c r="J251" s="76">
        <f>ROUND(IF(SUM(B246:F250)&lt;(L262*5),IF((SUM(B246:F251))&gt;(L262*6),(((L262*6)-(SUM(B246:F251)-C250))*J245)+((SUM(B251:F251)-C250)*J245),SUM(B251:F251)*J245),IF(SUM(B246:F251)&gt;(L262*6),L262*J245,SUM(B251:F251)*J245)),2)</f>
        <v>0</v>
      </c>
      <c r="K251" s="76">
        <f>ROUND(IF(SUM(B246:F250)&lt;(L261*5),IF((SUM(B246:F251))&gt;(L261*6),(((L261*6)-(SUM(B246:F251)-C250))*K245)+((SUM(B251:F251)-C250)*K245),SUM(B251:F251)*K245),IF(SUM(B246:F251)&gt;(L261*6),L261*K245,SUM(B251:F251)*K245)),2)</f>
        <v>0</v>
      </c>
      <c r="L251" s="76">
        <f>ROUND(IF(SUM(B246:F250)&lt;(L262*5),IF((SUM(B246:F251))&gt;(L262*6),(((L262*6)-(SUM(B246:F251)-C251))*L245)+((SUM(B251:F251)-C251)*L245),(SUM(B251:F251)-C251)*L245),IF(SUM(B246:F251)&gt;(L262*6),L262*L245,SUM(B251:F251)*L245)),2)</f>
        <v>0</v>
      </c>
      <c r="M251" s="76">
        <f>ROUND(IF(SUM(B246:F250)&lt;(L262*5),IF((SUM(B246:F251))&gt;(L262*6),(((L262*6)-(SUM(B246:F251)-C251))*M245)+((SUM(B251:F251)-C251)*M245),(SUM(B251:F251)-C251)*M245),IF(SUM(B246:F251)&gt;(L262*6),L262*M245,SUM(B251:F251)*M245)),2)</f>
        <v>0</v>
      </c>
      <c r="N251" s="76">
        <f>ROUND(IF(SUM(B246:F250)&lt;(L262*5),IF((SUM(B246:F251))&gt;(L262*6),(((L262*6)-(SUM(B246:F251)-C250))*N245)+((SUM(B251:F251)-C250)*N245),SUM(B251:F251)*N245),IF(SUM(B246:F251)&gt;(L262*6),L262*N245,SUM(B251:F251)*N245)),2)</f>
        <v>0</v>
      </c>
      <c r="O251" s="23">
        <f>ROUND(SUM(B251+C251+F251)*O245,2)</f>
        <v>0</v>
      </c>
      <c r="P251" s="27">
        <f t="shared" si="28"/>
        <v>0</v>
      </c>
    </row>
    <row r="252" spans="1:16" x14ac:dyDescent="0.2">
      <c r="A252" s="100" t="str">
        <f>$A$32</f>
        <v>Jul 2022</v>
      </c>
      <c r="B252" s="24">
        <f>ROUND(IF(P226=0,0,IFERROR(((LOOKUP(2,1/(A234:A237=A252),G234:G237))*P226*4.348),B251/P226*P226)),2)</f>
        <v>0</v>
      </c>
      <c r="C252" s="23">
        <f>ROUND(IFERROR(((LOOKUP(2,1/(B239=A252),((SUM(B252:B254)+SUM(F252:F254))/3)*C239))),0)+IFERROR(((LOOKUP(2,1/(E239=A252),(B258+F258)*F239))),0),2)</f>
        <v>0</v>
      </c>
      <c r="D252" s="23">
        <f>ROUND(IF(B252=0,0,D245/L227*P226),2)</f>
        <v>0</v>
      </c>
      <c r="E252" s="23">
        <f>ROUND(IF(B252=0,0,E245/N223*P226),2)</f>
        <v>0</v>
      </c>
      <c r="F252" s="24">
        <f>ROUND(IF(P226=0,0,IFERROR(((LOOKUP(2,1/(A234:A237=A252),H234:H237))/N223*P226),F251/P226*P226)),2)</f>
        <v>0</v>
      </c>
      <c r="G252" s="27">
        <f t="shared" si="27"/>
        <v>0</v>
      </c>
      <c r="H252" s="76">
        <f>ROUND(IF(SUM(B246:F251)&lt;(L261*6),IF((SUM(B246:F252))&gt;(L261*7),(((L261*7)-(SUM(B246:F252)-C251))*H245)+((SUM(B252:F252)-C251)*H245),SUM(B252:F252)*H245),IF(SUM(B246:F252)&gt;(L261*7),L261*H245,SUM(B252:F252)*H245)),2)</f>
        <v>0</v>
      </c>
      <c r="I252" s="76">
        <f>ROUND(IF(SUM(B246:F251)&lt;(L262*6),IF((SUM(B246:F252))&gt;(L262*7),(((L262*7)-(SUM(B246:F252)-C251))*I245)+((SUM(B252:F252)-C251)*I245),SUM(B252:F252)*I245),IF(SUM(B246:F252)&gt;(L262*7),L262*I245,SUM(B252:F252)*I245)),2)</f>
        <v>0</v>
      </c>
      <c r="J252" s="76">
        <f>ROUND(IF(SUM(B246:F251)&lt;(L262*6),IF((SUM(B246:F252))&gt;(L262*7),(((L262*7)-(SUM(B246:F252)-C251))*J245)+((SUM(B252:F252)-C251)*J245),SUM(B252:F252)*J245),IF(SUM(B246:F252)&gt;(L262*7),L262*J245,SUM(B252:F252)*J245)),2)</f>
        <v>0</v>
      </c>
      <c r="K252" s="76">
        <f>ROUND(IF(SUM(B246:F251)&lt;(L261*6),IF((SUM(B246:F252))&gt;(L261*7),(((L261*7)-(SUM(B246:F252)-C251))*K245)+((SUM(B252:F252)-C251)*K245),SUM(B252:F252)*K245),IF(SUM(B246:F252)&gt;(L261*7),L261*K245,SUM(B252:F252)*K245)),2)</f>
        <v>0</v>
      </c>
      <c r="L252" s="76">
        <f>ROUND(IF(SUM(B246:F251)&lt;(L262*6),IF((SUM(B246:F252))&gt;(L262*7),(((L262*7)-(SUM(B246:F252)-C252))*L245)+((SUM(B252:F252)-C252)*L245),(SUM(B252:F252)-C252)*L245),IF(SUM(B246:F252)&gt;(L262*7),L262*L245,SUM(B252:F252)*L245)),2)</f>
        <v>0</v>
      </c>
      <c r="M252" s="76">
        <f>ROUND(IF(SUM(B246:F251)&lt;(L262*6),IF((SUM(B246:F252))&gt;(L262*7),(((L262*7)-(SUM(B246:F252)-C252))*M245)+((SUM(B252:F252)-C252)*M245),(SUM(B252:F252)-C252)*M245),IF(SUM(B246:F252)&gt;(L262*7),L262*M245,SUM(B252:F252)*M245)),2)</f>
        <v>0</v>
      </c>
      <c r="N252" s="76">
        <f>ROUND(IF(SUM(B246:F251)&lt;(L262*6),IF((SUM(B246:F252))&gt;(L262*7),(((L262*7)-(SUM(B246:F252)-C251))*N245)+((SUM(B252:F252)-C251)*N245),SUM(B252:F252)*N245),IF(SUM(B246:F252)&gt;(L262*7),L262*N245,SUM(B252:F252)*N245)),2)</f>
        <v>0</v>
      </c>
      <c r="O252" s="23">
        <f>ROUND(SUM(B252+C252+F252)*O245,2)</f>
        <v>0</v>
      </c>
      <c r="P252" s="27">
        <f t="shared" si="28"/>
        <v>0</v>
      </c>
    </row>
    <row r="253" spans="1:16" x14ac:dyDescent="0.2">
      <c r="A253" s="100" t="str">
        <f>$A$33</f>
        <v>Aug 2022</v>
      </c>
      <c r="B253" s="24">
        <f>ROUND(IF(P227=0,0,IFERROR(((LOOKUP(2,1/(A234:A237=A253),G234:G237))*P227*4.348),B252/P227*P227)),2)</f>
        <v>0</v>
      </c>
      <c r="C253" s="23">
        <f>ROUND(IFERROR(((LOOKUP(2,1/(B239=A253),((SUM(B252:B254)+SUM(F252:F254))/3)*C239))),0)+IFERROR(((LOOKUP(2,1/(E239=A253),(B258+F258)*F239))),0),2)</f>
        <v>0</v>
      </c>
      <c r="D253" s="23">
        <f>ROUND(IF(B253=0,0,D245/L227*P227),2)</f>
        <v>0</v>
      </c>
      <c r="E253" s="23">
        <f>ROUND(IF(B253=0,0,E245/N223*P227),2)</f>
        <v>0</v>
      </c>
      <c r="F253" s="24">
        <f>ROUND(IF(P227=0,0,IFERROR(((LOOKUP(2,1/(A234:A237=A253),H234:H237))/N223*P227),F252/P227*P227)),2)</f>
        <v>0</v>
      </c>
      <c r="G253" s="27">
        <f t="shared" si="27"/>
        <v>0</v>
      </c>
      <c r="H253" s="76">
        <f>ROUND(IF(SUM(B246:F252)&lt;(L261*7),IF((SUM(B246:F253))&gt;(L261*8),(((L261*8)-(SUM(B246:F253)-C252))*H245)+((SUM(B253:F253)-C252)*H245),SUM(B253:F253)*H245),IF(SUM(B246:F253)&gt;(L261*8),L261*H245,SUM(B253:F253)*H245)),2)</f>
        <v>0</v>
      </c>
      <c r="I253" s="76">
        <f>ROUND(IF(SUM(B246:F252)&lt;(L262*7),IF((SUM(B246:F253))&gt;(L262*8),(((L262*8)-(SUM(B246:F253)-C252))*I245)+((SUM(B253:F253)-C252)*I245),SUM(B253:F253)*I245),IF(SUM(B246:F253)&gt;(L262*8),L262*I245,SUM(B253:F253)*I245)),2)</f>
        <v>0</v>
      </c>
      <c r="J253" s="76">
        <f>ROUND(IF(SUM(B246:F252)&lt;(L262*7),IF((SUM(B246:F253))&gt;(L262*8),(((L262*8)-(SUM(B246:F253)-C252))*J245)+((SUM(B253:F253)-C252)*J245),SUM(B253:F253)*J245),IF(SUM(B246:F253)&gt;(L262*8),L262*J245,SUM(B253:F253)*J245)),2)</f>
        <v>0</v>
      </c>
      <c r="K253" s="76">
        <f>ROUND(IF(SUM(B246:F252)&lt;(L261*7),IF((SUM(B246:F253))&gt;(L261*8),(((L261*8)-(SUM(B246:F253)-C252))*K245)+((SUM(B253:F253)-C252)*K245),SUM(B253:F253)*K245),IF(SUM(B246:F253)&gt;(L261*8),L261*K245,SUM(B253:F253)*K245)),2)</f>
        <v>0</v>
      </c>
      <c r="L253" s="76">
        <f>ROUND(IF(SUM(B246:F252)&lt;(L262*7),IF((SUM(B246:F253))&gt;(L262*8),(((L262*8)-(SUM(B246:F253)-C253))*L245)+((SUM(B253:F253)-C253)*L245),(SUM(B253:F253)-C253)*L245),IF(SUM(B246:F253)&gt;(L262*8),L262*L245,SUM(B253:F253)*L245)),2)</f>
        <v>0</v>
      </c>
      <c r="M253" s="76">
        <f>ROUND(IF(SUM(B246:F252)&lt;(L262*7),IF((SUM(B246:F253))&gt;(L262*8),(((L262*8)-(SUM(B246:F253)-C253))*M245)+((SUM(B253:F253)-C253)*M245),(SUM(B253:F253)-C253)*M245),IF(SUM(B246:F253)&gt;(L262*8),L262*M245,SUM(B253:F253)*M245)),2)</f>
        <v>0</v>
      </c>
      <c r="N253" s="76">
        <f>ROUND(IF(SUM(B246:F252)&lt;(L262*7),IF((SUM(B246:F253))&gt;(L262*8),(((L262*8)-(SUM(B246:F253)-C252))*N245)+((SUM(B253:F253)-C252)*N245),SUM(B253:F253)*N245),IF(SUM(B246:F253)&gt;(L262*8),L262*N245,SUM(B253:F253)*N245)),2)</f>
        <v>0</v>
      </c>
      <c r="O253" s="23">
        <f>ROUND(SUM(B253+C253+F253)*O245,2)</f>
        <v>0</v>
      </c>
      <c r="P253" s="27">
        <f t="shared" si="28"/>
        <v>0</v>
      </c>
    </row>
    <row r="254" spans="1:16" x14ac:dyDescent="0.2">
      <c r="A254" s="100" t="str">
        <f>$A$34</f>
        <v>Sep 2022</v>
      </c>
      <c r="B254" s="24">
        <f>ROUND(IF(P228=0,0,IFERROR(((LOOKUP(2,1/(A234:A237=A254),G234:G237))*P228*4.348),B253/P228*P228)),2)</f>
        <v>0</v>
      </c>
      <c r="C254" s="23">
        <f>ROUND(IFERROR(((LOOKUP(2,1/(B239=A254),((SUM(B252:B254)+SUM(F252:F254))/3)*C239))),0)+IFERROR(((LOOKUP(2,1/(E239=A254),(B258+F258)*F239))),0),2)</f>
        <v>0</v>
      </c>
      <c r="D254" s="23">
        <f>ROUND(IF(B254=0,0,D245/L227*P228),2)</f>
        <v>0</v>
      </c>
      <c r="E254" s="23">
        <f>ROUND(IF(B254=0,0,E245/N223*P228),2)</f>
        <v>0</v>
      </c>
      <c r="F254" s="24">
        <f>ROUND(IF(P228=0,0,IFERROR(((LOOKUP(2,1/(A234:A237=A254),H234:H237))/N223*P228),F253/P228*P228)),2)</f>
        <v>0</v>
      </c>
      <c r="G254" s="27">
        <f t="shared" si="27"/>
        <v>0</v>
      </c>
      <c r="H254" s="76">
        <f>ROUND(IF(SUM(B246:F253)&lt;(L261*8),IF((SUM(B246:F254))&gt;(L261*9),(((L261*9)-(SUM(B246:F254)-C253))*H245)+((SUM(B254:F254)-C253)*H245),SUM(B254:F254)*H245),IF(SUM(B246:F254)&gt;(L261*9),L261*H245,SUM(B254:F254)*H245)),2)</f>
        <v>0</v>
      </c>
      <c r="I254" s="76">
        <f>ROUND(IF(SUM(B246:F253)&lt;(L262*8),IF((SUM(B246:F254))&gt;(L262*9),(((L262*9)-(SUM(B246:F254)-C253))*I245)+((SUM(B254:F254)-C253)*I245),SUM(B254:F254)*I245),IF(SUM(B246:F254)&gt;(L262*9),L262*I245,SUM(B254:F254)*I245)),2)</f>
        <v>0</v>
      </c>
      <c r="J254" s="76">
        <f>ROUND(IF(SUM(B246:F253)&lt;(L262*8),IF((SUM(B246:F254))&gt;(L262*9),(((L262*9)-(SUM(B246:F254)-C253))*J245)+((SUM(B254:F254)-C253)*J245),SUM(B254:F254)*J245),IF(SUM(B246:F254)&gt;(L262*9),L262*J245,SUM(B254:F254)*J245)),2)</f>
        <v>0</v>
      </c>
      <c r="K254" s="76">
        <f>ROUND(IF(SUM(B246:F253)&lt;(L261*8),IF((SUM(B246:F254))&gt;(L261*9),(((L261*9)-(SUM(B246:F254)-C253))*K245)+((SUM(B254:F254)-C253)*K245),SUM(B254:F254)*K245),IF(SUM(B246:F254)&gt;(L261*9),L261*K245,SUM(B254:F254)*K245)),2)</f>
        <v>0</v>
      </c>
      <c r="L254" s="76">
        <f>ROUND(IF(SUM(B246:F253)&lt;(L262*8),IF((SUM(B246:F254))&gt;(L262*9),(((L262*9)-(SUM(B246:F254)-C254))*L245)+((SUM(B254:F254)-C254)*L245),(SUM(B254:F254)-C254)*L245),IF(SUM(B246:F254)&gt;(L262*9),L262*L245,SUM(B254:F254)*L245)),2)</f>
        <v>0</v>
      </c>
      <c r="M254" s="76">
        <f>ROUND(IF(SUM(B246:F253)&lt;(L262*8),IF((SUM(B246:F254))&gt;(L262*9),(((L262*9)-(SUM(B246:F254)-C254))*M245)+((SUM(B254:F254)-C254)*M245),(SUM(B254:F254)-C254)*M245),IF(SUM(B246:F254)&gt;(L262*9),L262*M245,SUM(B254:F254)*M245)),2)</f>
        <v>0</v>
      </c>
      <c r="N254" s="76">
        <f>ROUND(IF(SUM(B246:F253)&lt;(L262*8),IF((SUM(B246:F254))&gt;(L262*9),(((L262*9)-(SUM(B246:F254)-C253))*N245)+((SUM(B254:F254)-C253)*N245),SUM(B254:F254)*N245),IF(SUM(B246:F254)&gt;(L262*9),L262*N245,SUM(B254:F254)*N245)),2)</f>
        <v>0</v>
      </c>
      <c r="O254" s="23">
        <f>ROUND(SUM(B254+C254+F254)*O245,2)</f>
        <v>0</v>
      </c>
      <c r="P254" s="27">
        <f t="shared" si="28"/>
        <v>0</v>
      </c>
    </row>
    <row r="255" spans="1:16" x14ac:dyDescent="0.2">
      <c r="A255" s="100" t="str">
        <f>$A$35</f>
        <v>Okt 2022</v>
      </c>
      <c r="B255" s="24">
        <f>ROUND(IF(P229=0,0,IFERROR(((LOOKUP(2,1/(A234:A237=A255),G234:G237))*P229*4.348),B254/P229*P229)),2)</f>
        <v>0</v>
      </c>
      <c r="C255" s="23">
        <f>ROUND(IFERROR(((LOOKUP(2,1/(B239=A255),((SUM(B252:B254)+SUM(F252:F254))/3)*C239))),0)+IFERROR(((LOOKUP(2,1/(E239=A255),(B258+F258)*F239))),0),2)</f>
        <v>0</v>
      </c>
      <c r="D255" s="23">
        <f>ROUND(IF(B255=0,0,D245/L227*P229),2)</f>
        <v>0</v>
      </c>
      <c r="E255" s="23">
        <f>ROUND(IF(B255=0,0,E245/N223*P229),2)</f>
        <v>0</v>
      </c>
      <c r="F255" s="24">
        <f>ROUND(IF(P229=0,0,IFERROR(((LOOKUP(2,1/(A234:A237=A255),H234:H237))/N223*P229),F254/P229*P229)),2)</f>
        <v>0</v>
      </c>
      <c r="G255" s="27">
        <f t="shared" si="27"/>
        <v>0</v>
      </c>
      <c r="H255" s="76">
        <f>ROUND(IF(SUM(B246:F254)&lt;(L261*9),IF((SUM(B246:F255))&gt;(L261*10),(((L261*10)-(SUM(B246:F255)-C254))*H245)+((SUM(B255:F255)-C254)*H245),SUM(B255:F255)*H245),IF(SUM(B246:F255)&gt;(L261*10),L261*H245,SUM(B255:F255)*H245)),2)</f>
        <v>0</v>
      </c>
      <c r="I255" s="76">
        <f>ROUND(IF(SUM(B246:F254)&lt;(L262*9),IF((SUM(B246:F255))&gt;(L262*10),(((L262*10)-(SUM(B246:F255)-C254))*I245)+((SUM(B255:F255)-C254)*I245),SUM(B255:F255)*I245),IF(SUM(B246:F255)&gt;(L262*10),L262*I245,SUM(B255:F255)*I245)),2)</f>
        <v>0</v>
      </c>
      <c r="J255" s="76">
        <f>ROUND(IF(SUM(B246:F254)&lt;(L262*9),IF((SUM(B246:F255))&gt;(L262*10),(((L262*10)-(SUM(B246:F255)-C254))*J245)+((SUM(B255:F255)-C254)*J245),SUM(B255:F255)*J245),IF(SUM(B246:F255)&gt;(L262*10),L262*J245,SUM(B255:F255)*J245)),2)</f>
        <v>0</v>
      </c>
      <c r="K255" s="76">
        <f>ROUND(IF(SUM(B246:F254)&lt;(L261*9),IF((SUM(B246:F255))&gt;(L261*10),(((L261*10)-(SUM(B246:F255)-C254))*K245)+((SUM(B255:F255)-C254)*K245),SUM(B255:F255)*K245),IF(SUM(B246:F255)&gt;(L261*10),L261*K245,SUM(B255:F255)*K245)),2)</f>
        <v>0</v>
      </c>
      <c r="L255" s="76">
        <f>ROUND(IF(SUM(B246:F254)&lt;(L262*9),IF((SUM(B246:F255))&gt;(L262*10),(((L262*10)-(SUM(B246:F255)-C255))*L245)+((SUM(B255:F255)-C255)*L245),(SUM(B255:F255)-C255)*L245),IF(SUM(B246:F255)&gt;(L262*10),L262*L245,SUM(B255:F255)*L245)),2)</f>
        <v>0</v>
      </c>
      <c r="M255" s="76">
        <f>ROUND(IF(SUM(B246:F254)&lt;(L262*9),IF((SUM(B246:F255))&gt;(L262*10),(((L262*10)-(SUM(B246:F255)-C255))*M245)+((SUM(B255:F255)-C255)*M245),(SUM(B255:F255)-C255)*M245),IF(SUM(B246:F255)&gt;(L262*10),L262*M245,SUM(B255:F255)*M245)),2)</f>
        <v>0</v>
      </c>
      <c r="N255" s="76">
        <f>ROUND(IF(SUM(B246:F254)&lt;(L262*9),IF((SUM(B246:F255))&gt;(L262*10),(((L262*10)-(SUM(B246:F255)-C254))*N245)+((SUM(B255:F255)-C254)*N245),SUM(B255:F255)*N245),IF(SUM(B246:F255)&gt;(L262*10),L262*N245,SUM(B255:F255)*N245)),2)</f>
        <v>0</v>
      </c>
      <c r="O255" s="23">
        <f>ROUND(SUM(B255+C255+F255)*O245,2)</f>
        <v>0</v>
      </c>
      <c r="P255" s="27">
        <f t="shared" si="28"/>
        <v>0</v>
      </c>
    </row>
    <row r="256" spans="1:16" x14ac:dyDescent="0.2">
      <c r="A256" s="100" t="str">
        <f>$A$36</f>
        <v>Nov 2022</v>
      </c>
      <c r="B256" s="24">
        <f>ROUND(IF(P230=0,0,IFERROR(((LOOKUP(2,1/(A234:A237=A256),G234:G237))*P230*4.348),B255/P230*P230)),2)</f>
        <v>0</v>
      </c>
      <c r="C256" s="23">
        <f>ROUND(IFERROR(((LOOKUP(2,1/(B239=A256),((SUM(B252:B254)+SUM(F252:F254))/3)*C239))),0)+IFERROR(((LOOKUP(2,1/(E239=A256),(B258+F258)*F239))),0),2)</f>
        <v>0</v>
      </c>
      <c r="D256" s="23">
        <f>ROUND(IF(B256=0,0,D245/L227*P230),2)</f>
        <v>0</v>
      </c>
      <c r="E256" s="23">
        <f>ROUND(IF(B256=0,0,E245/N223*P230),2)</f>
        <v>0</v>
      </c>
      <c r="F256" s="24">
        <f>ROUND(IF(P230=0,0,IFERROR(((LOOKUP(2,1/(A234:A237=A256),H234:H237))/N223*P230),F255/P230*P230)),2)</f>
        <v>0</v>
      </c>
      <c r="G256" s="27">
        <f t="shared" si="27"/>
        <v>0</v>
      </c>
      <c r="H256" s="76">
        <f>ROUND(IF(SUM(B246:F255)&lt;(L261*10),IF((SUM(B246:F256))&gt;(L261*11),(((L261*11)-(SUM(B246:F256)-C255))*H245)+((SUM(B256:F256)-C255)*H245),SUM(B256:F256)*H245),IF(SUM(B246:F256)&gt;(L261*11),L261*H245,SUM(B256:F256)*H245)),2)</f>
        <v>0</v>
      </c>
      <c r="I256" s="76">
        <f>ROUND(IF(SUM(B246:F255)&lt;(L262*10),IF((SUM(B246:F256))&gt;(L262*11),(((L262*11)-(SUM(B246:F256)-C255))*I245)+((SUM(B256:F256)-C255)*I245),SUM(B256:F256)*I245),IF(SUM(B246:F256)&gt;(L262*11),L262*I245,SUM(B256:F256)*I245)),2)</f>
        <v>0</v>
      </c>
      <c r="J256" s="76">
        <f>ROUND(IF(SUM(B246:F255)&lt;(L262*10),IF((SUM(B246:F256))&gt;(L262*11),(((L262*11)-(SUM(B246:F256)-C255))*J245)+((SUM(B256:F256)-C255)*J245),SUM(B256:F256)*J245),IF(SUM(B246:F256)&gt;(L262*11),L262*J245,SUM(B256:F256)*J245)),2)</f>
        <v>0</v>
      </c>
      <c r="K256" s="76">
        <f>ROUND(IF(SUM(B246:F255)&lt;(L261*10),IF((SUM(B246:F256))&gt;(L261*11),(((L261*11)-(SUM(B246:F256)-C255))*K245)+((SUM(B256:F256)-C255)*K245),SUM(B256:F256)*K245),IF(SUM(B246:F256)&gt;(L261*11),L261*K245,SUM(B256:F256)*K245)),2)</f>
        <v>0</v>
      </c>
      <c r="L256" s="76">
        <f>ROUND(IF(SUM(B246:F255)&lt;(L262*10),IF((SUM(B246:F256))&gt;(L262*11),(((L262*11)-(SUM(B246:F256)-C256))*L245)+((SUM(B256:F256)-C256)*L245),(SUM(B256:F256)-C256)*L245),IF(SUM(B246:F256)&gt;(L262*11),L262*L245,SUM(B256:F256)*L245)),2)</f>
        <v>0</v>
      </c>
      <c r="M256" s="76">
        <f>ROUND(IF(SUM(B246:F255)&lt;(L262*10),IF((SUM(B246:F256))&gt;(L262*11),(((L262*11)-(SUM(B246:F256)-C256))*M245)+((SUM(B256:F256)-C256)*M245),(SUM(B256:F256)-C256)*M245),IF(SUM(B246:F256)&gt;(L262*11),L262*M245,SUM(B256:F256)*M245)),2)</f>
        <v>0</v>
      </c>
      <c r="N256" s="76">
        <f>ROUND(IF(SUM(B246:F255)&lt;(L262*10),IF((SUM(B246:F256))&gt;(L262*11),(((L262*11)-(SUM(B246:F256)-C255))*N245)+((SUM(B256:F256)-C255)*N245),SUM(B256:F256)*N245),IF(SUM(B246:F256)&gt;(L262*11),L262*N245,SUM(B256:F256)*N245)),2)</f>
        <v>0</v>
      </c>
      <c r="O256" s="23">
        <f>ROUND(SUM(B256+C256+F256)*O245,2)</f>
        <v>0</v>
      </c>
      <c r="P256" s="27">
        <f t="shared" si="28"/>
        <v>0</v>
      </c>
    </row>
    <row r="257" spans="1:16" x14ac:dyDescent="0.2">
      <c r="A257" s="100" t="str">
        <f>$A$37</f>
        <v>Dez 2022</v>
      </c>
      <c r="B257" s="24">
        <f>ROUND(IF(P231=0,0,IFERROR(((LOOKUP(2,1/(A234:A237=A257),G234:G237))*P231*4.348),B256/P231*P231)),2)</f>
        <v>0</v>
      </c>
      <c r="C257" s="23">
        <f>ROUND(IFERROR(((LOOKUP(2,1/(B239=A257),((SUM(B252:B254)+SUM(F252:F254))/3)*C239))),0)+IFERROR(((LOOKUP(2,1/(E239=A257),(B258+F258)*F239))),0),2)</f>
        <v>0</v>
      </c>
      <c r="D257" s="23">
        <f>ROUND(IF(B257=0,0,D245/L227*P231),2)</f>
        <v>0</v>
      </c>
      <c r="E257" s="23">
        <f>ROUND(IF(B257=0,0,E245/N223*P231),2)</f>
        <v>0</v>
      </c>
      <c r="F257" s="24">
        <f>ROUND(IF(P231=0,0,IFERROR(((LOOKUP(2,1/(A234:A237=A257),H234:H237))/N223*P231),F256/P231*P231)),2)</f>
        <v>0</v>
      </c>
      <c r="G257" s="27">
        <f t="shared" si="27"/>
        <v>0</v>
      </c>
      <c r="H257" s="76">
        <f>ROUND(IF(SUM(B246:F256)&lt;(L261*11),IF((SUM(B246:F257))&gt;(L261*12),(((L261*12)-(SUM(B246:F257)-C256))*H245)+((SUM(B257:F257)-C256)*H245),SUM(B257:F257)*H245),IF(SUM(B246:F257)&gt;(L261*12),L261*H245,SUM(B257:F257)*H245)),2)</f>
        <v>0</v>
      </c>
      <c r="I257" s="76">
        <f>ROUND(IF(SUM(B246:F256)&lt;(L262*11),IF((SUM(B246:F257))&gt;(L262*12),(((L262*12)-(SUM(B246:F257)-C256))*I245)+((SUM(B257:F257)-C256)*I245),SUM(B257:F257)*I245),IF(SUM(B246:F257)&gt;(L262*12),L262*I245,SUM(B257:F257)*I245)),2)</f>
        <v>0</v>
      </c>
      <c r="J257" s="76">
        <f>ROUND(IF(SUM(B246:F256)&lt;(L262*11),IF((SUM(B246:F257))&gt;(L262*12),(((L262*12)-(SUM(B246:F257)-C256))*J245)+((SUM(B257:F257)-C256)*J245),SUM(B257:F257)*J245),IF(SUM(B246:F257)&gt;(L262*12),L262*J245,SUM(B257:F257)*J245)),2)</f>
        <v>0</v>
      </c>
      <c r="K257" s="76">
        <f>ROUND(IF(SUM(B246:F256)&lt;(L261*11),IF((SUM(B246:F257))&gt;(L261*12),(((L261*12)-(SUM(B246:F257)-C256))*K245)+((SUM(B257:F257)-C256)*K245),SUM(B257:F257)*K245),IF(SUM(B246:F257)&gt;(L261*12),L261*K245,SUM(B257:F257)*K245)),2)</f>
        <v>0</v>
      </c>
      <c r="L257" s="76">
        <f>ROUND(IF(SUM(B246:F256)&lt;(L262*11),IF((SUM(B246:F257))&gt;(L262*12),(((L262*12)-(SUM(B246:F257)-C257))*L245)+((SUM(B257:F257)-C257)*L245),(SUM(B257:F257)-C257)*L245),IF(SUM(B246:F257)&gt;(L262*12),L262*L245,SUM(B257:F257)*L245)),2)</f>
        <v>0</v>
      </c>
      <c r="M257" s="76">
        <f>ROUND(IF(SUM(B246:F256)&lt;(L262*11),IF((SUM(B246:F257))&gt;(L262*12),(((L262*12)-(SUM(B246:F257)-C257))*M245)+((SUM(B257:F257)-C257)*M245),(SUM(B257:F257)-C257)*M245),IF(SUM(B246:F257)&gt;(L262*12),L262*M245,SUM(B257:F257)*M245)),2)</f>
        <v>0</v>
      </c>
      <c r="N257" s="76">
        <f>ROUND(IF(SUM(B246:F256)&lt;(L262*11),IF((SUM(B246:F257))&gt;(L262*12),(((L262*12)-(SUM(B246:F257)-C256))*N245)+((SUM(B257:F257)-C256)*N245),SUM(B257:F257)*N245),IF(SUM(B246:F257)&gt;(L262*12),L262*N245,SUM(B257:F257)*N245)),2)</f>
        <v>0</v>
      </c>
      <c r="O257" s="23">
        <f>ROUND(SUM(B257+C257+F257)*O245,2)</f>
        <v>0</v>
      </c>
      <c r="P257" s="27">
        <f t="shared" si="28"/>
        <v>0</v>
      </c>
    </row>
    <row r="258" spans="1:16" s="14" customFormat="1" ht="15" x14ac:dyDescent="0.25">
      <c r="A258" s="4" t="s">
        <v>2</v>
      </c>
      <c r="B258" s="27">
        <f>SUM(B246:B257)</f>
        <v>0</v>
      </c>
      <c r="C258" s="27">
        <f t="shared" ref="C258:D258" si="29">SUM(C246:C257)</f>
        <v>0</v>
      </c>
      <c r="D258" s="27">
        <f t="shared" si="29"/>
        <v>0</v>
      </c>
      <c r="E258" s="27">
        <f>SUM(E246:E257)</f>
        <v>0</v>
      </c>
      <c r="F258" s="27">
        <f>SUM(F246:F257)</f>
        <v>0</v>
      </c>
      <c r="G258" s="27">
        <f>SUM(G246:G257)</f>
        <v>0</v>
      </c>
      <c r="H258" s="1133">
        <f>SUM(H246:N257)</f>
        <v>0</v>
      </c>
      <c r="I258" s="1134"/>
      <c r="J258" s="1134"/>
      <c r="K258" s="1134"/>
      <c r="L258" s="1134"/>
      <c r="M258" s="1134"/>
      <c r="N258" s="1135"/>
      <c r="O258" s="27">
        <f>SUM(O246:O257)</f>
        <v>0</v>
      </c>
      <c r="P258" s="27">
        <f>SUM(P246:P257)</f>
        <v>0</v>
      </c>
    </row>
    <row r="259" spans="1:16" s="13" customFormat="1" ht="11.25" x14ac:dyDescent="0.2">
      <c r="A259" s="3" t="s">
        <v>1</v>
      </c>
      <c r="B259" s="2"/>
      <c r="C259" s="2"/>
      <c r="D259" s="2"/>
      <c r="E259" s="2"/>
      <c r="F259" s="2"/>
      <c r="G259" s="2"/>
      <c r="H259" s="2"/>
      <c r="I259" s="2"/>
      <c r="J259" s="2"/>
      <c r="K259" s="2"/>
      <c r="L259" s="2"/>
      <c r="M259" s="2"/>
      <c r="N259" s="2"/>
      <c r="O259" s="2"/>
      <c r="P259" s="2"/>
    </row>
    <row r="260" spans="1:16" ht="14.25" customHeight="1" x14ac:dyDescent="0.2">
      <c r="A260" s="1136" t="s">
        <v>133</v>
      </c>
      <c r="B260" s="1137"/>
      <c r="C260" s="1137"/>
      <c r="D260" s="1137" t="s">
        <v>134</v>
      </c>
      <c r="E260" s="1137"/>
      <c r="F260" s="94" t="str">
        <f>IF(IF(G258=0,"",$F$40)=0,"",IF(G258=0,"",$F$40))</f>
        <v/>
      </c>
      <c r="G260" s="77" t="s">
        <v>135</v>
      </c>
      <c r="H260" s="96" t="str">
        <f>IF(IF(G258=0,"",$H$40)=0,"",IF(G258=0,"",$H$40))</f>
        <v/>
      </c>
      <c r="I260" s="73"/>
      <c r="J260" s="194" t="s">
        <v>160</v>
      </c>
      <c r="K260" s="194" t="str">
        <f>$K$40</f>
        <v>2021</v>
      </c>
      <c r="L260" s="194" t="str">
        <f>$L$40</f>
        <v>anteilig 2021</v>
      </c>
      <c r="M260" s="1138" t="s">
        <v>140</v>
      </c>
      <c r="N260" s="1138"/>
      <c r="O260" s="1139"/>
      <c r="P260" s="27">
        <f>ROUND(IF(F260="",IF(E264="",0,(E264*H264/K264)/L227*L228),G258*F260*H260/1000),2)</f>
        <v>0</v>
      </c>
    </row>
    <row r="261" spans="1:16" ht="15" customHeight="1" x14ac:dyDescent="0.2">
      <c r="A261" s="1140" t="s">
        <v>145</v>
      </c>
      <c r="B261" s="1141"/>
      <c r="C261" s="1141"/>
      <c r="D261" s="18"/>
      <c r="E261" s="107" t="s">
        <v>135</v>
      </c>
      <c r="F261" s="95" t="str">
        <f>IF(IF(G258=0,"",$F$41)=0,"",IF(G258=0,"",$F$41))</f>
        <v/>
      </c>
      <c r="G261" s="48"/>
      <c r="H261" s="47"/>
      <c r="I261" s="48"/>
      <c r="J261" s="195" t="s">
        <v>158</v>
      </c>
      <c r="K261" s="198">
        <f>$K$41</f>
        <v>4837.5</v>
      </c>
      <c r="L261" s="197">
        <f>IF(L227="",K261,K261/L227*L228)</f>
        <v>4837.5</v>
      </c>
      <c r="M261" s="1138" t="s">
        <v>139</v>
      </c>
      <c r="N261" s="1138"/>
      <c r="O261" s="1139"/>
      <c r="P261" s="27">
        <f>ROUND(IF(F261="",0,G258*F261/1000),2)</f>
        <v>0</v>
      </c>
    </row>
    <row r="262" spans="1:16" ht="15.75" customHeight="1" x14ac:dyDescent="0.2">
      <c r="A262" s="1142" t="s">
        <v>141</v>
      </c>
      <c r="B262" s="1143"/>
      <c r="C262" s="1143"/>
      <c r="D262" s="1144" t="s">
        <v>143</v>
      </c>
      <c r="E262" s="1144"/>
      <c r="F262" s="1145" t="str">
        <f>IF(IF(G258=0,"",$F$42)=0,"",IF(G258=0,"",$F$42))</f>
        <v/>
      </c>
      <c r="G262" s="1145"/>
      <c r="H262" s="72"/>
      <c r="I262" s="18"/>
      <c r="J262" s="195" t="s">
        <v>159</v>
      </c>
      <c r="K262" s="198">
        <f>$K$42</f>
        <v>6700</v>
      </c>
      <c r="L262" s="197">
        <f>IF(L227="",K262,K262/L227*L228)</f>
        <v>6700</v>
      </c>
      <c r="M262" s="1138" t="s">
        <v>141</v>
      </c>
      <c r="N262" s="1138"/>
      <c r="O262" s="1139"/>
      <c r="P262" s="23">
        <f>ROUND(IF(F262="",0,IF(G258=0,0,F262/L227*L228)),2)</f>
        <v>0</v>
      </c>
    </row>
    <row r="263" spans="1:16" ht="14.25" customHeight="1" x14ac:dyDescent="0.2">
      <c r="A263" s="18"/>
      <c r="B263" s="18"/>
      <c r="C263" s="18"/>
      <c r="D263" s="18"/>
      <c r="E263" s="18"/>
      <c r="F263" s="18"/>
      <c r="G263" s="18"/>
      <c r="H263" s="18"/>
      <c r="I263" s="18"/>
      <c r="J263" s="18"/>
      <c r="K263" s="74"/>
      <c r="L263" s="82"/>
      <c r="M263" s="1127" t="s">
        <v>146</v>
      </c>
      <c r="N263" s="1127"/>
      <c r="O263" s="1128"/>
      <c r="P263" s="23">
        <f>ROUND(IF(G258=0,0,$P$43),2)</f>
        <v>0</v>
      </c>
    </row>
    <row r="264" spans="1:16" ht="14.25" customHeight="1" x14ac:dyDescent="0.2">
      <c r="A264" s="1129" t="s">
        <v>142</v>
      </c>
      <c r="B264" s="1130"/>
      <c r="C264" s="148" t="s">
        <v>136</v>
      </c>
      <c r="D264" s="148" t="s">
        <v>137</v>
      </c>
      <c r="E264" s="1131" t="str">
        <f>IF(IF(G258=0,"",$E$44)=0,"",IF(G258=0,"",$E$44))</f>
        <v/>
      </c>
      <c r="F264" s="1131"/>
      <c r="G264" s="83" t="s">
        <v>138</v>
      </c>
      <c r="H264" s="97" t="str">
        <f>IF(IF(G258=0,"",$H$44)=0,"",IF(G258=0,"",$H$44))</f>
        <v/>
      </c>
      <c r="I264" s="1132" t="s">
        <v>144</v>
      </c>
      <c r="J264" s="1132"/>
      <c r="K264" s="98" t="str">
        <f>IF(IF(G258=0,"",$K$44)=0,"",IF(G258=0,"",$K$44))</f>
        <v/>
      </c>
      <c r="L264" s="29"/>
      <c r="M264" s="29"/>
      <c r="N264" s="29"/>
      <c r="O264" s="28" t="s">
        <v>0</v>
      </c>
      <c r="P264" s="27">
        <f>P258+SUM(P260:P263)</f>
        <v>0</v>
      </c>
    </row>
    <row r="265" spans="1:16" s="12" customFormat="1" ht="13.5" customHeight="1" x14ac:dyDescent="0.2">
      <c r="A265" s="1178" t="s">
        <v>18</v>
      </c>
      <c r="B265" s="1178"/>
      <c r="C265" s="1178"/>
      <c r="D265" s="1179" t="str">
        <f>IF($D$1="","",$D$1)</f>
        <v/>
      </c>
      <c r="E265" s="1179"/>
      <c r="F265" s="1179"/>
      <c r="G265" s="1179"/>
      <c r="H265" s="1179"/>
      <c r="I265" s="1179"/>
      <c r="J265" s="1179"/>
      <c r="K265" s="1179"/>
      <c r="L265" s="1179"/>
      <c r="M265" s="1179"/>
      <c r="N265" s="1179"/>
    </row>
    <row r="266" spans="1:16" s="12" customFormat="1" ht="15" customHeight="1" x14ac:dyDescent="0.2">
      <c r="A266" s="1178" t="s">
        <v>17</v>
      </c>
      <c r="B266" s="1178"/>
      <c r="C266" s="1178" t="s">
        <v>15</v>
      </c>
      <c r="D266" s="1179" t="str">
        <f>IF($D$2="","",$D$2)</f>
        <v/>
      </c>
      <c r="E266" s="1179"/>
      <c r="F266" s="1179"/>
      <c r="G266" s="1179"/>
      <c r="H266" s="1179"/>
      <c r="I266" s="1179"/>
      <c r="J266" s="1179"/>
      <c r="K266" s="1179"/>
      <c r="L266" s="1179"/>
      <c r="M266" s="1179"/>
      <c r="N266" s="1179"/>
    </row>
    <row r="267" spans="1:16" s="12" customFormat="1" ht="15" customHeight="1" x14ac:dyDescent="0.2">
      <c r="A267" s="1178" t="s">
        <v>16</v>
      </c>
      <c r="B267" s="1178"/>
      <c r="C267" s="1178" t="s">
        <v>15</v>
      </c>
      <c r="D267" s="1179" t="str">
        <f>IF($D$3="","",$D$3)</f>
        <v/>
      </c>
      <c r="E267" s="1179"/>
      <c r="F267" s="1179"/>
      <c r="G267" s="1179"/>
      <c r="H267" s="1179"/>
      <c r="I267" s="1179"/>
      <c r="J267" s="1179"/>
      <c r="K267" s="1178" t="s">
        <v>103</v>
      </c>
      <c r="L267" s="1178"/>
      <c r="M267" s="1178"/>
      <c r="N267" s="41" t="str">
        <f>IF($N$3="","",$N$3)</f>
        <v/>
      </c>
    </row>
    <row r="268" spans="1:16" s="13" customFormat="1" ht="11.25" x14ac:dyDescent="0.2">
      <c r="A268" s="1182"/>
      <c r="B268" s="1182"/>
      <c r="C268" s="1182"/>
      <c r="D268" s="1183"/>
      <c r="E268" s="1183"/>
      <c r="F268" s="1183"/>
      <c r="G268" s="1183"/>
      <c r="H268" s="1183"/>
      <c r="I268" s="1183"/>
      <c r="J268" s="1183"/>
      <c r="K268" s="11"/>
      <c r="L268" s="11"/>
      <c r="M268" s="11"/>
      <c r="N268" s="11"/>
      <c r="O268" s="11"/>
      <c r="P268" s="11"/>
    </row>
    <row r="269" spans="1:16" s="15" customFormat="1" ht="13.5" customHeight="1" x14ac:dyDescent="0.2">
      <c r="A269" s="1177" t="s">
        <v>224</v>
      </c>
      <c r="B269" s="1177"/>
      <c r="C269" s="1177"/>
      <c r="D269" s="1177"/>
      <c r="E269" s="1177"/>
      <c r="F269" s="1177"/>
      <c r="G269" s="1177"/>
      <c r="H269" s="1177"/>
      <c r="I269" s="1177"/>
      <c r="J269" s="1177"/>
      <c r="K269" s="9"/>
      <c r="L269" s="9"/>
      <c r="M269" s="9"/>
      <c r="N269" s="59" t="s">
        <v>154</v>
      </c>
      <c r="O269" s="191">
        <f>$O$5</f>
        <v>2022</v>
      </c>
      <c r="P269" s="59" t="s">
        <v>154</v>
      </c>
    </row>
    <row r="270" spans="1:16" s="10" customFormat="1" ht="13.5" customHeight="1" x14ac:dyDescent="0.25">
      <c r="B270" s="32"/>
      <c r="C270" s="32"/>
      <c r="D270" s="5" t="s">
        <v>37</v>
      </c>
      <c r="E270" s="31"/>
      <c r="F270" s="31"/>
      <c r="G270" s="31"/>
      <c r="H270" s="31"/>
      <c r="I270" s="26"/>
      <c r="J270" s="1174" t="s">
        <v>14</v>
      </c>
      <c r="K270" s="1174"/>
      <c r="L270" s="180"/>
      <c r="N270" s="84">
        <f>IF(L272="","",L272)</f>
        <v>0</v>
      </c>
      <c r="O270" s="58" t="str">
        <f>$O$6</f>
        <v>Jan                Jul</v>
      </c>
      <c r="P270" s="85">
        <f>IF(N275="","",N275)</f>
        <v>0</v>
      </c>
    </row>
    <row r="271" spans="1:16" s="7" customFormat="1" ht="13.5" customHeight="1" x14ac:dyDescent="0.25">
      <c r="A271" s="1180" t="s">
        <v>71</v>
      </c>
      <c r="B271" s="1180"/>
      <c r="C271" s="1180"/>
      <c r="D271" s="1184"/>
      <c r="E271" s="1184"/>
      <c r="F271" s="1184"/>
      <c r="G271" s="1184"/>
      <c r="H271" s="1184"/>
      <c r="I271" s="1184"/>
      <c r="J271" s="1174" t="s">
        <v>104</v>
      </c>
      <c r="K271" s="1174"/>
      <c r="L271" s="145"/>
      <c r="N271" s="85">
        <f>IF(N270="","",N270)</f>
        <v>0</v>
      </c>
      <c r="O271" s="58" t="str">
        <f>$O$7</f>
        <v>Feb              Aug</v>
      </c>
      <c r="P271" s="85">
        <f>IF(P270="","",P270)</f>
        <v>0</v>
      </c>
    </row>
    <row r="272" spans="1:16" ht="13.5" customHeight="1" x14ac:dyDescent="0.2">
      <c r="A272" s="1180" t="s">
        <v>13</v>
      </c>
      <c r="B272" s="1180"/>
      <c r="C272" s="1180"/>
      <c r="D272" s="1181"/>
      <c r="E272" s="1181"/>
      <c r="F272" s="1181"/>
      <c r="G272" s="1181"/>
      <c r="H272" s="1181"/>
      <c r="I272" s="1181"/>
      <c r="J272" s="1174" t="s">
        <v>222</v>
      </c>
      <c r="K272" s="1174"/>
      <c r="L272" s="145">
        <f>IF(L273&gt;L271,0,L271-L273)</f>
        <v>0</v>
      </c>
      <c r="N272" s="85">
        <f>IF(N271="","",N271)</f>
        <v>0</v>
      </c>
      <c r="O272" s="58" t="str">
        <f>$O$8</f>
        <v>Mrz              Sep</v>
      </c>
      <c r="P272" s="85">
        <f>IF(P271="","",P271)</f>
        <v>0</v>
      </c>
    </row>
    <row r="273" spans="1:16" ht="13.5" customHeight="1" x14ac:dyDescent="0.2">
      <c r="A273" s="1180" t="s">
        <v>12</v>
      </c>
      <c r="B273" s="1180"/>
      <c r="C273" s="1180"/>
      <c r="D273" s="1181"/>
      <c r="E273" s="1181"/>
      <c r="F273" s="1181"/>
      <c r="G273" s="1181"/>
      <c r="H273" s="1181"/>
      <c r="I273" s="1181"/>
      <c r="J273" s="1174" t="s">
        <v>223</v>
      </c>
      <c r="K273" s="1174"/>
      <c r="L273" s="145"/>
      <c r="N273" s="85">
        <f>IF(N272="","",N272)</f>
        <v>0</v>
      </c>
      <c r="O273" s="58" t="str">
        <f>$O$9</f>
        <v>Apr               Okt</v>
      </c>
      <c r="P273" s="85">
        <f t="shared" ref="P273:P275" si="30">IF(P272="","",P272)</f>
        <v>0</v>
      </c>
    </row>
    <row r="274" spans="1:16" ht="13.5" customHeight="1" x14ac:dyDescent="0.2">
      <c r="A274" s="1180" t="s">
        <v>19</v>
      </c>
      <c r="B274" s="1180"/>
      <c r="C274" s="1180"/>
      <c r="D274" s="1181"/>
      <c r="E274" s="1181"/>
      <c r="F274" s="1181"/>
      <c r="G274" s="1181"/>
      <c r="H274" s="1181"/>
      <c r="I274" s="1181"/>
      <c r="J274" s="1174" t="s">
        <v>97</v>
      </c>
      <c r="K274" s="1174"/>
      <c r="L274" s="17" t="str">
        <f>IF(IF((COUNTIF(B290:B301,"&gt;0"))=0,0,(COUNTIF(B290:B301,"&gt;0")))&gt;Grundlagen!$C$24,Grundlagen!$C$24,IF((COUNTIF(B290:B301,"&gt;0"))=0,"",(COUNTIF(B290:B301,"&gt;0"))))</f>
        <v/>
      </c>
      <c r="M274" s="92"/>
      <c r="N274" s="85">
        <f>IF(N273="","",N273)</f>
        <v>0</v>
      </c>
      <c r="O274" s="58" t="str">
        <f>'päd.Personal - Leitung'!$O$10</f>
        <v>Mai               Nov</v>
      </c>
      <c r="P274" s="85">
        <f t="shared" si="30"/>
        <v>0</v>
      </c>
    </row>
    <row r="275" spans="1:16" ht="13.5" customHeight="1" x14ac:dyDescent="0.2">
      <c r="B275" s="8"/>
      <c r="C275" s="141" t="s">
        <v>162</v>
      </c>
      <c r="D275" s="1175"/>
      <c r="E275" s="1175"/>
      <c r="F275" s="1176" t="s">
        <v>106</v>
      </c>
      <c r="G275" s="1176"/>
      <c r="H275" s="1186"/>
      <c r="I275" s="1186"/>
      <c r="L275" s="147" t="str">
        <f>IF((SUM(F278:F281))=0,"",IF(P276&gt;L272,L272,IF(L272="","",IF(L274="","",P276))))</f>
        <v/>
      </c>
      <c r="N275" s="85">
        <f>IF(N274="","",N274)</f>
        <v>0</v>
      </c>
      <c r="O275" s="58" t="str">
        <f>'päd.Personal - Leitung'!$O$11</f>
        <v>Jun               Dez</v>
      </c>
      <c r="P275" s="85">
        <f t="shared" si="30"/>
        <v>0</v>
      </c>
    </row>
    <row r="276" spans="1:16" ht="13.5" customHeight="1" x14ac:dyDescent="0.2">
      <c r="I276" s="6"/>
      <c r="O276" s="174" t="s">
        <v>251</v>
      </c>
      <c r="P276" s="175">
        <f>IF(L274="",0,((IF(SUMIF(B290,"&gt;0"),N270,0))+(IF(SUMIF(B291,"&gt;0"),N271,0))+(IF(SUMIF(B292,"&gt;0"),N272,0))+(IF(SUMIF(B293,"&gt;0"),N273,0))+(IF(SUMIF(B294,"&gt;0"),N274,0))+(IF(SUMIF(B295,"&gt;0"),N275,0))+(IF(SUMIF(B296,"&gt;0"),P270,0))+(IF(SUMIF(B297,"&gt;0"),P271,0))+(IF(SUMIF(B298,"&gt;0"),P272,0))+(IF(SUMIF(B299,"&gt;0"),P273,0))+(IF(SUMIF(B300,"&gt;0"),P274,0))+(IF(SUMIF(B301,"&gt;0"),P275,0)))/Grundlagen!$C$24)</f>
        <v>0</v>
      </c>
    </row>
    <row r="277" spans="1:16" s="52" customFormat="1" ht="13.5" customHeight="1" x14ac:dyDescent="0.2">
      <c r="A277" s="61" t="s">
        <v>148</v>
      </c>
      <c r="B277" s="1168" t="s">
        <v>149</v>
      </c>
      <c r="C277" s="1168"/>
      <c r="D277" s="62" t="s">
        <v>150</v>
      </c>
      <c r="E277" s="63" t="s">
        <v>151</v>
      </c>
      <c r="F277" s="64" t="str">
        <f>CONCATENATE("Entg. ",N267," h/Wo")</f>
        <v>Entg.  h/Wo</v>
      </c>
      <c r="G277" s="65" t="s">
        <v>152</v>
      </c>
      <c r="H277" s="65" t="s">
        <v>153</v>
      </c>
      <c r="K277" s="1169" t="str">
        <f>CONCATENATE("Zuschläge / Zulagen für ",N267,"h/Wo")</f>
        <v>Zuschläge / Zulagen für h/Wo</v>
      </c>
      <c r="L277" s="1169"/>
      <c r="M277" s="66" t="str">
        <f>IF(A278="","",A278)</f>
        <v>Jan 2022</v>
      </c>
      <c r="N277" s="66" t="str">
        <f>IF(A279="","",A279)</f>
        <v/>
      </c>
      <c r="O277" s="66" t="str">
        <f>IF(A280="","",A280)</f>
        <v/>
      </c>
      <c r="P277" s="66" t="str">
        <f>IF(A281="","",A281)</f>
        <v/>
      </c>
    </row>
    <row r="278" spans="1:16" s="52" customFormat="1" ht="13.5" customHeight="1" x14ac:dyDescent="0.25">
      <c r="A278" s="54" t="str">
        <f>A290</f>
        <v>Jan 2022</v>
      </c>
      <c r="B278" s="1170" t="str">
        <f>IF($D$3="","",$D$3)</f>
        <v/>
      </c>
      <c r="C278" s="1171"/>
      <c r="D278" s="181"/>
      <c r="E278" s="181"/>
      <c r="F278" s="87"/>
      <c r="G278" s="56">
        <f>IF(N267="",0,F278/N267/4.348)</f>
        <v>0</v>
      </c>
      <c r="H278" s="53">
        <f>IF(G278=0,0,M283)</f>
        <v>0</v>
      </c>
      <c r="K278" s="1146"/>
      <c r="L278" s="1146"/>
      <c r="M278" s="86"/>
      <c r="N278" s="86"/>
      <c r="O278" s="86"/>
      <c r="P278" s="86"/>
    </row>
    <row r="279" spans="1:16" s="52" customFormat="1" ht="13.5" customHeight="1" x14ac:dyDescent="0.25">
      <c r="A279" s="55"/>
      <c r="B279" s="1172" t="str">
        <f>IF(A279="","",B278)</f>
        <v/>
      </c>
      <c r="C279" s="1173"/>
      <c r="D279" s="181"/>
      <c r="E279" s="181"/>
      <c r="F279" s="87"/>
      <c r="G279" s="56">
        <f>IF(N267="",0,F279/N267/4.348)</f>
        <v>0</v>
      </c>
      <c r="H279" s="53">
        <f>IF(G279=0,0,N283)</f>
        <v>0</v>
      </c>
      <c r="K279" s="1146"/>
      <c r="L279" s="1146"/>
      <c r="M279" s="86"/>
      <c r="N279" s="86"/>
      <c r="O279" s="86"/>
      <c r="P279" s="86"/>
    </row>
    <row r="280" spans="1:16" s="52" customFormat="1" ht="13.5" customHeight="1" x14ac:dyDescent="0.25">
      <c r="A280" s="55"/>
      <c r="B280" s="1172" t="str">
        <f>IF(A280="","",B279)</f>
        <v/>
      </c>
      <c r="C280" s="1173"/>
      <c r="D280" s="181"/>
      <c r="E280" s="181"/>
      <c r="F280" s="87"/>
      <c r="G280" s="56">
        <f>IF(N267="",0,F280/N267/4.348)</f>
        <v>0</v>
      </c>
      <c r="H280" s="53">
        <f>IF(G280=0,0,O283)</f>
        <v>0</v>
      </c>
      <c r="K280" s="1146"/>
      <c r="L280" s="1146"/>
      <c r="M280" s="86"/>
      <c r="N280" s="86"/>
      <c r="O280" s="86"/>
      <c r="P280" s="86"/>
    </row>
    <row r="281" spans="1:16" s="52" customFormat="1" ht="13.5" customHeight="1" x14ac:dyDescent="0.25">
      <c r="A281" s="55"/>
      <c r="B281" s="1172" t="str">
        <f>IF(A281="","",B280)</f>
        <v/>
      </c>
      <c r="C281" s="1173"/>
      <c r="D281" s="181"/>
      <c r="E281" s="181"/>
      <c r="F281" s="87"/>
      <c r="G281" s="56">
        <f>IF(N267="",0,F281/N267/4.348)</f>
        <v>0</v>
      </c>
      <c r="H281" s="53">
        <f>IF(G281=0,0,P283)</f>
        <v>0</v>
      </c>
      <c r="K281" s="1146"/>
      <c r="L281" s="1146"/>
      <c r="M281" s="86"/>
      <c r="N281" s="86"/>
      <c r="O281" s="86"/>
      <c r="P281" s="86"/>
    </row>
    <row r="282" spans="1:16" s="52" customFormat="1" ht="13.5" customHeight="1" x14ac:dyDescent="0.25">
      <c r="B282" s="1167" t="s">
        <v>157</v>
      </c>
      <c r="C282" s="1167"/>
      <c r="E282" s="1167" t="s">
        <v>156</v>
      </c>
      <c r="F282" s="1167"/>
      <c r="J282" s="69"/>
      <c r="K282" s="1146"/>
      <c r="L282" s="1146"/>
      <c r="M282" s="86"/>
      <c r="N282" s="86"/>
      <c r="O282" s="86"/>
      <c r="P282" s="86"/>
    </row>
    <row r="283" spans="1:16" s="52" customFormat="1" ht="13.5" customHeight="1" x14ac:dyDescent="0.25">
      <c r="A283" s="70" t="s">
        <v>167</v>
      </c>
      <c r="B283" s="67"/>
      <c r="C283" s="99" t="str">
        <f>IF(C239="","",C239)</f>
        <v/>
      </c>
      <c r="D283" s="70" t="s">
        <v>167</v>
      </c>
      <c r="E283" s="67"/>
      <c r="F283" s="99" t="str">
        <f>IF(F239="","",F239)</f>
        <v/>
      </c>
      <c r="J283" s="68"/>
      <c r="M283" s="57">
        <f>SUM(M278:M282)</f>
        <v>0</v>
      </c>
      <c r="N283" s="57">
        <f t="shared" ref="N283:P283" si="31">SUM(N278:N282)</f>
        <v>0</v>
      </c>
      <c r="O283" s="57">
        <f t="shared" si="31"/>
        <v>0</v>
      </c>
      <c r="P283" s="57">
        <f t="shared" si="31"/>
        <v>0</v>
      </c>
    </row>
    <row r="284" spans="1:16" s="52" customFormat="1" ht="13.5" customHeight="1" x14ac:dyDescent="0.2">
      <c r="A284" s="60" t="s">
        <v>155</v>
      </c>
    </row>
    <row r="285" spans="1:16" ht="14.25" customHeight="1" x14ac:dyDescent="0.2">
      <c r="A285" s="1147"/>
      <c r="B285" s="1149" t="s">
        <v>9</v>
      </c>
      <c r="C285" s="1150"/>
      <c r="D285" s="1150"/>
      <c r="E285" s="1150"/>
      <c r="F285" s="1150"/>
      <c r="G285" s="1151"/>
      <c r="H285" s="1152" t="s">
        <v>119</v>
      </c>
      <c r="I285" s="1153"/>
      <c r="J285" s="1153"/>
      <c r="K285" s="1153"/>
      <c r="L285" s="1153"/>
      <c r="M285" s="1153"/>
      <c r="N285" s="1153"/>
      <c r="O285" s="33"/>
      <c r="P285" s="1154" t="s">
        <v>0</v>
      </c>
    </row>
    <row r="286" spans="1:16" ht="14.25" customHeight="1" x14ac:dyDescent="0.2">
      <c r="A286" s="1148"/>
      <c r="B286" s="1157" t="s">
        <v>117</v>
      </c>
      <c r="C286" s="144" t="s">
        <v>115</v>
      </c>
      <c r="D286" s="1159" t="s">
        <v>277</v>
      </c>
      <c r="E286" s="1161" t="s">
        <v>147</v>
      </c>
      <c r="F286" s="149" t="s">
        <v>7</v>
      </c>
      <c r="G286" s="1162" t="s">
        <v>6</v>
      </c>
      <c r="H286" s="1161" t="s">
        <v>129</v>
      </c>
      <c r="I286" s="1161" t="s">
        <v>5</v>
      </c>
      <c r="J286" s="1161" t="s">
        <v>4</v>
      </c>
      <c r="K286" s="1161" t="s">
        <v>3</v>
      </c>
      <c r="L286" s="1161" t="s">
        <v>121</v>
      </c>
      <c r="M286" s="1161" t="s">
        <v>122</v>
      </c>
      <c r="N286" s="1161" t="s">
        <v>123</v>
      </c>
      <c r="O286" s="1160" t="s">
        <v>114</v>
      </c>
      <c r="P286" s="1155"/>
    </row>
    <row r="287" spans="1:16" ht="14.25" customHeight="1" x14ac:dyDescent="0.2">
      <c r="A287" s="1148"/>
      <c r="B287" s="1157"/>
      <c r="C287" s="21" t="str">
        <f>IF(C283="","",C283)</f>
        <v/>
      </c>
      <c r="D287" s="1160"/>
      <c r="E287" s="1161"/>
      <c r="F287" s="1165" t="str">
        <f>IF(H278=0,"","siehe Zuschläge / Zulagen")</f>
        <v/>
      </c>
      <c r="G287" s="1162"/>
      <c r="H287" s="1164" t="s">
        <v>127</v>
      </c>
      <c r="I287" s="1164"/>
      <c r="J287" s="1164"/>
      <c r="K287" s="1164"/>
      <c r="L287" s="1164"/>
      <c r="M287" s="1164"/>
      <c r="N287" s="1164"/>
      <c r="O287" s="1160"/>
      <c r="P287" s="1155"/>
    </row>
    <row r="288" spans="1:16" x14ac:dyDescent="0.2">
      <c r="A288" s="1148"/>
      <c r="B288" s="1157"/>
      <c r="C288" s="142" t="s">
        <v>70</v>
      </c>
      <c r="D288" s="1160"/>
      <c r="E288" s="1161"/>
      <c r="F288" s="1165"/>
      <c r="G288" s="1162"/>
      <c r="H288" s="43" t="s">
        <v>128</v>
      </c>
      <c r="I288" s="43" t="s">
        <v>255</v>
      </c>
      <c r="J288" s="43" t="s">
        <v>256</v>
      </c>
      <c r="K288" s="43" t="s">
        <v>257</v>
      </c>
      <c r="L288" s="43"/>
      <c r="M288" s="43"/>
      <c r="N288" s="43" t="s">
        <v>254</v>
      </c>
      <c r="O288" s="1160"/>
      <c r="P288" s="1155"/>
    </row>
    <row r="289" spans="1:16" x14ac:dyDescent="0.2">
      <c r="A289" s="1148"/>
      <c r="B289" s="1158"/>
      <c r="C289" s="21" t="str">
        <f>IF(F283="","",F283)</f>
        <v/>
      </c>
      <c r="D289" s="51"/>
      <c r="E289" s="51"/>
      <c r="F289" s="1166"/>
      <c r="G289" s="1163"/>
      <c r="H289" s="93"/>
      <c r="I289" s="139">
        <f>$I$25</f>
        <v>0</v>
      </c>
      <c r="J289" s="139">
        <f>$J$25</f>
        <v>0</v>
      </c>
      <c r="K289" s="44">
        <f>$K$25</f>
        <v>0</v>
      </c>
      <c r="L289" s="21"/>
      <c r="M289" s="21"/>
      <c r="N289" s="139">
        <f>$N$25</f>
        <v>0</v>
      </c>
      <c r="O289" s="21">
        <f>O245</f>
        <v>0</v>
      </c>
      <c r="P289" s="1156"/>
    </row>
    <row r="290" spans="1:16" x14ac:dyDescent="0.2">
      <c r="A290" s="100" t="str">
        <f>$A$26</f>
        <v>Jan 2022</v>
      </c>
      <c r="B290" s="24">
        <f>ROUND(IF(N270=0,0,(LOOKUP(2,1/(A278:A281=A290),G278:G281))*N270*4.348),2)</f>
        <v>0</v>
      </c>
      <c r="C290" s="23">
        <f>ROUND(IFERROR(((LOOKUP(2,1/(B283=A290),((SUM(B296:B298)+SUM(F296:F298))/3)*C283))),0)+IFERROR(((LOOKUP(2,1/(E283=A290),(B302+F302)*F283))),0),2)</f>
        <v>0</v>
      </c>
      <c r="D290" s="23">
        <f>ROUND(IF(B290=0,0,D289/L271*N270),2)</f>
        <v>0</v>
      </c>
      <c r="E290" s="23">
        <f>ROUND(IF(B290=0,0,E289/N267*N270),2)</f>
        <v>0</v>
      </c>
      <c r="F290" s="24">
        <f>ROUND(IF(N270=0,0,(LOOKUP(2,1/(A278:A281=A290),H278:H281))/N267*N270),2)</f>
        <v>0</v>
      </c>
      <c r="G290" s="27">
        <f>SUM(B290+C290+E290+F290)</f>
        <v>0</v>
      </c>
      <c r="H290" s="76">
        <f>ROUND(IF((SUM(B290:F290))&gt;L305,L305*H289,SUM(B290:F290)*H289),2)</f>
        <v>0</v>
      </c>
      <c r="I290" s="76">
        <f>ROUND(IF((SUM(B290:F290))&gt;L306,L306*I289,SUM(B290:F290)*I289),2)</f>
        <v>0</v>
      </c>
      <c r="J290" s="76">
        <f>ROUND(IF((SUM(B290:F290))&gt;L306,L306*J289,SUM(B290:F290)*J289),2)</f>
        <v>0</v>
      </c>
      <c r="K290" s="76">
        <f>ROUND(IF((SUM(B290:F290))&gt;L305,L305*K289,SUM(B290:F290)*K289),2)</f>
        <v>0</v>
      </c>
      <c r="L290" s="76">
        <f>ROUND(IF((SUM(B290:F290))&gt;L306,L306*L289,(SUM(B290:F290)-C290)*L289),2)</f>
        <v>0</v>
      </c>
      <c r="M290" s="76">
        <f>ROUND(IF((SUM(B290:F290))&gt;L306,L306*M289,(SUM(B290:F290)-C290)*M289),2)</f>
        <v>0</v>
      </c>
      <c r="N290" s="76">
        <f>ROUND(IF((SUM(B290:F290))&gt;L306,L306*N289,SUM(B290:F290)*N289),2)</f>
        <v>0</v>
      </c>
      <c r="O290" s="23">
        <f>ROUND(SUM(B290+C290+F290)*O289,2)</f>
        <v>0</v>
      </c>
      <c r="P290" s="27">
        <f>SUM(G290:O290)</f>
        <v>0</v>
      </c>
    </row>
    <row r="291" spans="1:16" x14ac:dyDescent="0.2">
      <c r="A291" s="100" t="str">
        <f>$A$27</f>
        <v>Feb 2022</v>
      </c>
      <c r="B291" s="24">
        <f>ROUND(IF(N271=0,0,IFERROR(((LOOKUP(2,1/(A278:A281=A291),G278:G281))*N271*4.348),B290/N271*N271)),2)</f>
        <v>0</v>
      </c>
      <c r="C291" s="23">
        <f>ROUND(IFERROR(((LOOKUP(2,1/(B283=A291),((SUM(B296:B298)+SUM(F296:F298))/3)*C283))),0)+IFERROR(((LOOKUP(2,1/(E283=A291),(B302+F302)*F283))),0),2)</f>
        <v>0</v>
      </c>
      <c r="D291" s="23">
        <f>ROUND(IF(B291=0,0,D289/L271*N271),2)</f>
        <v>0</v>
      </c>
      <c r="E291" s="23">
        <f>ROUND(IF(B291=0,0,E289/N267*N271),2)</f>
        <v>0</v>
      </c>
      <c r="F291" s="24">
        <f>ROUND(IF(N271=0,0,IFERROR(((LOOKUP(2,1/(A278:A281=A291),H278:H281))/N267*N271),F290/N271*N271)),2)</f>
        <v>0</v>
      </c>
      <c r="G291" s="27">
        <f t="shared" ref="G291:G301" si="32">SUM(B291+C291+E291+F291)</f>
        <v>0</v>
      </c>
      <c r="H291" s="76">
        <f>ROUND(IF(SUM(B290:F290)&lt;(L305*1),IF((SUM(B290:F291))&gt;(L305*2),(((L305*2)-(SUM(B290:F291)-C290))*H289)+((SUM(B291:F291)-C290)*H289),SUM(B291:F291)*H289),IF(SUM(B290:F291)&gt;(L305*2),L305*H289,SUM(B291:F291)*H289)),2)</f>
        <v>0</v>
      </c>
      <c r="I291" s="76">
        <f>ROUND(IF(SUM(B290:F290)&lt;(L306*1),IF((SUM(B290:F291))&gt;(L306*2),(((L306*2)-(SUM(B290:F291)-C290))*I289)+((SUM(B291:F291)-C290)*I289),SUM(B291:F291)*I289),IF(SUM(B290:F291)&gt;(L306*2),L306*I289,SUM(B291:F291)*I289)),2)</f>
        <v>0</v>
      </c>
      <c r="J291" s="76">
        <f>ROUND(IF(SUM(B290:F290)&lt;(L306*1),IF((SUM(B290:F291))&gt;(L306*2),(((L306*2)-(SUM(B290:F291)-C290))*J289)+((SUM(B291:F291)-C290)*J289),SUM(B291:F291)*J289),IF(SUM(B290:F291)&gt;(L306*2),L306*J289,SUM(B291:F291)*J289)),2)</f>
        <v>0</v>
      </c>
      <c r="K291" s="76">
        <f>ROUND(IF(SUM(B290:F290)&lt;(L305*1),IF((SUM(B290:F291))&gt;(L305*2),(((L305*2)-(SUM(B290:F291)-C290))*K289)+((SUM(B291:F291)-C290)*K289),SUM(B291:F291)*K289),IF(SUM(B290:F291)&gt;(L305*2),L305*K289,SUM(B291:F291)*K289)),2)</f>
        <v>0</v>
      </c>
      <c r="L291" s="76">
        <f>ROUND(IF(SUM(B290:F290)&lt;(L306*1),IF((SUM(B290:F291))&gt;(L306*2),(((L306*2)-(SUM(B290:F291)-C291))*L289)+((SUM(B291:F291)-C291)*L289),(SUM(B291:F291)-C291)*L289),IF(SUM(B290:F291)&gt;(L306*2),L306*L289,SUM(B291:F291)*L289)),2)</f>
        <v>0</v>
      </c>
      <c r="M291" s="76">
        <f>ROUND(IF(SUM(B290:F290)&lt;(L306*1),IF((SUM(B290:F291))&gt;(L306*2),(((L306*2)-(SUM(B290:F291)-C291))*M289)+((SUM(B291:F291)-C291)*M289),(SUM(B291:F291)-C291)*M289),IF(SUM(B290:F291)&gt;(L306*2),L306*M289,SUM(B291:F291)*M289)),2)</f>
        <v>0</v>
      </c>
      <c r="N291" s="76">
        <f>ROUND(IF(SUM(B290:F290)&lt;(L306*1),IF((SUM(B290:F291))&gt;(L306*2),(((L306*2)-(SUM(B290:F291)-C290))*N289)+((SUM(B291:F291)-C290)*N289),SUM(B291:F291)*N289),IF(SUM(B290:F291)&gt;(L306*2),L306*N289,SUM(B291:F291)*N289)),2)</f>
        <v>0</v>
      </c>
      <c r="O291" s="23">
        <f>ROUND(SUM(B291+C291+F291)*O289,2)</f>
        <v>0</v>
      </c>
      <c r="P291" s="27">
        <f>SUM(G291:O291)</f>
        <v>0</v>
      </c>
    </row>
    <row r="292" spans="1:16" x14ac:dyDescent="0.2">
      <c r="A292" s="100" t="str">
        <f>$A$28</f>
        <v>Mrz 2022</v>
      </c>
      <c r="B292" s="24">
        <f>ROUND(IF(N272=0,0,IFERROR(((LOOKUP(2,1/(A278:A281=A292),G278:G281))*N272*4.348),B291/N272*N272)),2)</f>
        <v>0</v>
      </c>
      <c r="C292" s="23">
        <f>ROUND(IFERROR(((LOOKUP(2,1/(B283=A292),((SUM(B296:B298)+SUM(F296:F298))/3)*C283))),0)+IFERROR(((LOOKUP(2,1/(E283=A292),(B302+F302)*F283))),0),2)</f>
        <v>0</v>
      </c>
      <c r="D292" s="23">
        <f>ROUND(IF(B292=0,0,D289/L271*N272),2)</f>
        <v>0</v>
      </c>
      <c r="E292" s="23">
        <f>ROUND(IF(B292=0,0,E289/N267*N272),2)</f>
        <v>0</v>
      </c>
      <c r="F292" s="24">
        <f>ROUND(IF(N272=0,0,IFERROR(((LOOKUP(2,1/(A278:A281=A292),H278:H281))/N267*N272),F291/N272*N272)),2)</f>
        <v>0</v>
      </c>
      <c r="G292" s="27">
        <f t="shared" si="32"/>
        <v>0</v>
      </c>
      <c r="H292" s="76">
        <f>ROUND(IF(SUM(B290:F291)&lt;(L305*2),IF((SUM(B290:F292))&gt;(L305*3),(((L305*3)-(SUM(B290:F292)-C291))*H289)+((SUM(B292:F292)-C291)*H289),SUM(B292:F292)*H289),IF(SUM(B290:F292)&gt;(L305*3),L305*H289,SUM(B292:F292)*H289)),2)</f>
        <v>0</v>
      </c>
      <c r="I292" s="76">
        <f>ROUND(IF(SUM(B290:F291)&lt;(L306*2),IF((SUM(B290:F292))&gt;(L306*3),(((L306*3)-(SUM(B290:F292)-C291))*I289)+((SUM(B292:F292)-C291)*I289),SUM(B292:F292)*I289),IF(SUM(B290:F292)&gt;(L306*3),L306*I289,SUM(B292:F292)*I289)),2)</f>
        <v>0</v>
      </c>
      <c r="J292" s="76">
        <f>ROUND(IF(SUM(B290:F291)&lt;(L306*2),IF((SUM(B290:F292))&gt;(L306*3),(((L306*3)-(SUM(B290:F292)-C291))*J289)+((SUM(B292:F292)-C291)*J289),SUM(B292:F292)*J289),IF(SUM(B290:F292)&gt;(L306*3),L306*J289,SUM(B292:F292)*J289)),2)</f>
        <v>0</v>
      </c>
      <c r="K292" s="76">
        <f>ROUND(IF(SUM(B290:F291)&lt;(L305*2),IF((SUM(B290:F292))&gt;(L305*3),(((L305*3)-(SUM(B290:F292)-C291))*K289)+((SUM(B292:F292)-C291)*K289),SUM(B292:F292)*K289),IF(SUM(B290:F292)&gt;(L305*3),L305*K289,SUM(B292:F292)*K289)),2)</f>
        <v>0</v>
      </c>
      <c r="L292" s="76">
        <f>ROUND(IF(SUM(B290:F291)&lt;(L306*2),IF((SUM(B290:F292))&gt;(L306*3),(((L306*3)-(SUM(B290:F292)-C292))*L289)+((SUM(B292:F292)-C292)*L289),(SUM(B292:F292)-C292)*L289),IF(SUM(B290:F292)&gt;(L306*3),L306*L289,SUM(B292:F292)*L289)),2)</f>
        <v>0</v>
      </c>
      <c r="M292" s="76">
        <f>ROUND(IF(SUM(B290:F291)&lt;(L306*2),IF((SUM(B290:F292))&gt;(L306*3),(((L306*3)-(SUM(B290:F292)-C292))*M289)+((SUM(B292:F292)-C292)*M289),(SUM(B292:F292)-C292)*M289),IF(SUM(B290:F292)&gt;(L306*3),L306*M289,SUM(B292:F292)*M289)),2)</f>
        <v>0</v>
      </c>
      <c r="N292" s="76">
        <f>ROUND(IF(SUM(B290:F291)&lt;(L306*2),IF((SUM(B290:F292))&gt;(L306*3),(((L306*3)-(SUM(B290:F292)-C291))*N289)+((SUM(B292:F292)-C291)*N289),SUM(B292:F292)*N289),IF(SUM(B290:F292)&gt;(L306*3),L306*N289,SUM(B292:F292)*N289)),2)</f>
        <v>0</v>
      </c>
      <c r="O292" s="23">
        <f>ROUND(SUM(B292+C292+F292)*O289,2)</f>
        <v>0</v>
      </c>
      <c r="P292" s="27">
        <f t="shared" ref="P292:P301" si="33">SUM(G292:O292)</f>
        <v>0</v>
      </c>
    </row>
    <row r="293" spans="1:16" x14ac:dyDescent="0.2">
      <c r="A293" s="100" t="str">
        <f>$A$29</f>
        <v>Apr 2022</v>
      </c>
      <c r="B293" s="24">
        <f>ROUND(IF(N273=0,0,IFERROR(((LOOKUP(2,1/(A278:A281=A293),G278:G281))*N273*4.348),B292/N273*N273)),2)</f>
        <v>0</v>
      </c>
      <c r="C293" s="23">
        <f>ROUND(IFERROR(((LOOKUP(2,1/(B283=A293),((SUM(B296:B298)+SUM(F296:F298))/3)*C283))),0)+IFERROR(((LOOKUP(2,1/(E283=A293),(B302+F302)*F283))),0),2)</f>
        <v>0</v>
      </c>
      <c r="D293" s="23">
        <f>ROUND(IF(B293=0,0,D289/L271*N273),2)</f>
        <v>0</v>
      </c>
      <c r="E293" s="23">
        <f>ROUND(IF(B293=0,0,E289/N267*N273),2)</f>
        <v>0</v>
      </c>
      <c r="F293" s="24">
        <f>ROUND(IF(N273=0,0,IFERROR(((LOOKUP(2,1/(A278:A281=A293),H278:H281))/N267*N273),F292/N273*N273)),2)</f>
        <v>0</v>
      </c>
      <c r="G293" s="27">
        <f t="shared" si="32"/>
        <v>0</v>
      </c>
      <c r="H293" s="76">
        <f>ROUND(IF(SUM(B290:F292)&lt;(L305*3),IF((SUM(B290:F293))&gt;(L305*4),(((L305*4)-(SUM(B290:F293)-C292))*H289)+((SUM(B293:F293)-C292)*H289),SUM(B293:F293)*H289),IF(SUM(B290:F293)&gt;(L305*4),L305*H289,SUM(B293:F293)*H289)),2)</f>
        <v>0</v>
      </c>
      <c r="I293" s="76">
        <f>ROUND(IF(SUM(B290:F292)&lt;(L306*3),IF((SUM(B290:F293))&gt;(L306*4),(((L306*4)-(SUM(B290:F293)-C292))*I289)+((SUM(B293:F293)-C292)*I289),SUM(B293:F293)*I289),IF(SUM(B290:F293)&gt;(L306*4),L306*I289,SUM(B293:F293)*I289)),2)</f>
        <v>0</v>
      </c>
      <c r="J293" s="76">
        <f>ROUND(IF(SUM(B290:F292)&lt;(L306*3),IF((SUM(B290:F293))&gt;(L306*4),(((L306*4)-(SUM(B290:F293)-C292))*J289)+((SUM(B293:F293)-C292)*J289),SUM(B293:F293)*J289),IF(SUM(B290:F293)&gt;(L306*4),L306*J289,SUM(B293:F293)*J289)),2)</f>
        <v>0</v>
      </c>
      <c r="K293" s="76">
        <f>ROUND(IF(SUM(B290:F292)&lt;(L305*3),IF((SUM(B290:F293))&gt;(L305*4),(((L305*4)-(SUM(B290:F293)-C292))*K289)+((SUM(B293:F293)-C292)*K289),SUM(B293:F293)*K289),IF(SUM(B290:F293)&gt;(L305*4),L305*K289,SUM(B293:F293)*K289)),2)</f>
        <v>0</v>
      </c>
      <c r="L293" s="76">
        <f>ROUND(IF(SUM(B290:F292)&lt;(L306*3),IF((SUM(B290:F293))&gt;(L306*4),(((L306*4)-(SUM(B290:F293)-C293))*L289)+((SUM(B293:F293)-C293)*L289),(SUM(B293:F293)-C293)*L289),IF(SUM(B290:F293)&gt;(L306*4),L306*L289,SUM(B293:F293)*L289)),2)</f>
        <v>0</v>
      </c>
      <c r="M293" s="76">
        <f>ROUND(IF(SUM(B290:F292)&lt;(L306*3),IF((SUM(B290:F293))&gt;(L306*4),(((L306*4)-(SUM(B290:F293)-C293))*M289)+((SUM(B293:F293)-C293)*M289),(SUM(B293:F293)-C293)*M289),IF(SUM(B290:F293)&gt;(L306*4),L306*M289,SUM(B293:F293)*M289)),2)</f>
        <v>0</v>
      </c>
      <c r="N293" s="76">
        <f>ROUND(IF(SUM(B290:F292)&lt;(L306*3),IF((SUM(B290:F293))&gt;(L306*4),(((L306*4)-(SUM(B290:F293)-C292))*N289)+((SUM(B293:F293)-C292)*N289),SUM(B293:F293)*N289),IF(SUM(B290:F293)&gt;(L306*4),L306*N289,SUM(B293:F293)*N289)),2)</f>
        <v>0</v>
      </c>
      <c r="O293" s="23">
        <f>ROUND(SUM(B293+C293+F293)*O289,2)</f>
        <v>0</v>
      </c>
      <c r="P293" s="27">
        <f t="shared" si="33"/>
        <v>0</v>
      </c>
    </row>
    <row r="294" spans="1:16" x14ac:dyDescent="0.2">
      <c r="A294" s="100" t="str">
        <f>$A$30</f>
        <v>Mai 2022</v>
      </c>
      <c r="B294" s="24">
        <f>ROUND(IF(N274=0,0,IFERROR(((LOOKUP(2,1/(A278:A281=A294),G278:G281))*N274*4.348),B293/N274*N274)),2)</f>
        <v>0</v>
      </c>
      <c r="C294" s="23">
        <f>ROUND(IFERROR(((LOOKUP(2,1/(B283=A294),((SUM(B296:B298)+SUM(F296:F298))/3)*C283))),0)+IFERROR(((LOOKUP(2,1/(E283=A294),(B302+F302)*F283))),0),2)</f>
        <v>0</v>
      </c>
      <c r="D294" s="23">
        <f>ROUND(IF(B294=0,0,D289/L271*N274),2)</f>
        <v>0</v>
      </c>
      <c r="E294" s="23">
        <f>ROUND(IF(B294=0,0,E289/N267*N274),2)</f>
        <v>0</v>
      </c>
      <c r="F294" s="24">
        <f>ROUND(IF(N274=0,0,IFERROR(((LOOKUP(2,1/(A278:A281=A294),H278:H281))/N267*N274),F293/N274*N274)),2)</f>
        <v>0</v>
      </c>
      <c r="G294" s="27">
        <f t="shared" si="32"/>
        <v>0</v>
      </c>
      <c r="H294" s="76">
        <f>ROUND(IF(SUM(B290:F293)&lt;(L305*4),IF((SUM(B290:F294))&gt;(L305*5),(((L305*5)-(SUM(B290:F294)-C293))*H289)+((SUM(B294:F294)-C293)*H289),SUM(B294:F294)*H289),IF(SUM(B290:F294)&gt;(L305*5),L305*H289,SUM(B294:F294)*H289)),2)</f>
        <v>0</v>
      </c>
      <c r="I294" s="76">
        <f>ROUND(IF(SUM(B290:F293)&lt;(L306*4),IF((SUM(B290:F294))&gt;(L306*5),(((L306*5)-(SUM(B290:F294)-C293))*I289)+((SUM(B294:F294)-C293)*I289),SUM(B294:F294)*I289),IF(SUM(B290:F294)&gt;(L306*5),L306*I289,SUM(B294:F294)*I289)),2)</f>
        <v>0</v>
      </c>
      <c r="J294" s="76">
        <f>ROUND(IF(SUM(B290:F293)&lt;(L306*4),IF((SUM(B290:F294))&gt;(L306*5),(((L306*5)-(SUM(B290:F294)-C293))*J289)+((SUM(B294:F294)-C293)*J289),SUM(B294:F294)*J289),IF(SUM(B290:F294)&gt;(L306*5),L306*J289,SUM(B294:F294)*J289)),2)</f>
        <v>0</v>
      </c>
      <c r="K294" s="76">
        <f>ROUND(IF(SUM(B290:F293)&lt;(L305*4),IF((SUM(B290:F294))&gt;(L305*5),(((L305*5)-(SUM(B290:F294)-C293))*K289)+((SUM(B294:F294)-C293)*K289),SUM(B294:F294)*K289),IF(SUM(B290:F294)&gt;(L305*5),L305*K289,SUM(B294:F294)*K289)),2)</f>
        <v>0</v>
      </c>
      <c r="L294" s="76">
        <f>ROUND(IF(SUM(B290:F293)&lt;(L306*4),IF((SUM(B290:F294))&gt;(L306*5),(((L306*5)-(SUM(B290:F294)-C294))*L289)+((SUM(B294:F294)-C294)*L289),(SUM(B294:F294)-C294)*L289),IF(SUM(B290:F294)&gt;(L306*5),L306*L289,SUM(B294:F294)*L289)),2)</f>
        <v>0</v>
      </c>
      <c r="M294" s="76">
        <f>ROUND(IF(SUM(B290:F293)&lt;(L306*4),IF((SUM(B290:F294))&gt;(L306*5),(((L306*5)-(SUM(B290:F294)-C294))*M289)+((SUM(B294:F294)-C294)*M289),(SUM(B294:F294)-C294)*M289),IF(SUM(B290:F294)&gt;(L306*5),L306*M289,SUM(B294:F294)*M289)),2)</f>
        <v>0</v>
      </c>
      <c r="N294" s="76">
        <f>ROUND(IF(SUM(B290:F293)&lt;(L306*4),IF((SUM(B290:F294))&gt;(L306*5),(((L306*5)-(SUM(B290:F294)-C293))*N289)+((SUM(B294:F294)-C293)*N289),SUM(B294:F294)*N289),IF(SUM(B290:F294)&gt;(L306*5),L306*N289,SUM(B294:F294)*N289)),2)</f>
        <v>0</v>
      </c>
      <c r="O294" s="23">
        <f>ROUND(SUM(B294+C294+F294)*O289,2)</f>
        <v>0</v>
      </c>
      <c r="P294" s="27">
        <f t="shared" si="33"/>
        <v>0</v>
      </c>
    </row>
    <row r="295" spans="1:16" x14ac:dyDescent="0.2">
      <c r="A295" s="100" t="str">
        <f>$A$31</f>
        <v>Jun 2022</v>
      </c>
      <c r="B295" s="24">
        <f>ROUND(IF(N275=0,0,IFERROR(((LOOKUP(2,1/(A278:A281=A295),G278:G281))*N275*4.348),B294/N275*N275)),2)</f>
        <v>0</v>
      </c>
      <c r="C295" s="23">
        <f>ROUND(IFERROR(((LOOKUP(2,1/(B283=A295),((SUM(B296:B298)+SUM(F296:F298))/3)*C283))),0)+IFERROR(((LOOKUP(2,1/(E283=A295),(B302+F302)*F283))),0),2)</f>
        <v>0</v>
      </c>
      <c r="D295" s="23">
        <f>ROUND(IF(B295=0,0,D289/L271*N275),2)</f>
        <v>0</v>
      </c>
      <c r="E295" s="23">
        <f>ROUND(IF(B295=0,0,E289/N267*N275),2)</f>
        <v>0</v>
      </c>
      <c r="F295" s="24">
        <f>ROUND(IF(N275=0,0,IFERROR(((LOOKUP(2,1/(A278:A281=A295),H278:H281))/N267*N275),F294/N275*N275)),2)</f>
        <v>0</v>
      </c>
      <c r="G295" s="27">
        <f t="shared" si="32"/>
        <v>0</v>
      </c>
      <c r="H295" s="76">
        <f>ROUND(IF(SUM(B290:F294)&lt;(L305*5),IF((SUM(B290:F295))&gt;(L305*6),(((L305*6)-(SUM(B290:F295)-C294))*H289)+((SUM(B295:F295)-C294)*H289),SUM(B295:F295)*H289),IF(SUM(B290:F295)&gt;(L305*6),L305*H289,SUM(B295:F295)*H289)),2)</f>
        <v>0</v>
      </c>
      <c r="I295" s="76">
        <f>ROUND(IF(SUM(B290:F294)&lt;(L306*5),IF((SUM(B290:F295))&gt;(L306*6),(((L306*6)-(SUM(B290:F295)-C294))*I289)+((SUM(B295:F295)-C294)*I289),SUM(B295:F295)*I289),IF(SUM(B290:F295)&gt;(L306*6),L306*I289,SUM(B295:F295)*I289)),2)</f>
        <v>0</v>
      </c>
      <c r="J295" s="76">
        <f>ROUND(IF(SUM(B290:F294)&lt;(L306*5),IF((SUM(B290:F295))&gt;(L306*6),(((L306*6)-(SUM(B290:F295)-C294))*J289)+((SUM(B295:F295)-C294)*J289),SUM(B295:F295)*J289),IF(SUM(B290:F295)&gt;(L306*6),L306*J289,SUM(B295:F295)*J289)),2)</f>
        <v>0</v>
      </c>
      <c r="K295" s="76">
        <f>ROUND(IF(SUM(B290:F294)&lt;(L305*5),IF((SUM(B290:F295))&gt;(L305*6),(((L305*6)-(SUM(B290:F295)-C294))*K289)+((SUM(B295:F295)-C294)*K289),SUM(B295:F295)*K289),IF(SUM(B290:F295)&gt;(L305*6),L305*K289,SUM(B295:F295)*K289)),2)</f>
        <v>0</v>
      </c>
      <c r="L295" s="76">
        <f>ROUND(IF(SUM(B290:F294)&lt;(L306*5),IF((SUM(B290:F295))&gt;(L306*6),(((L306*6)-(SUM(B290:F295)-C295))*L289)+((SUM(B295:F295)-C295)*L289),(SUM(B295:F295)-C295)*L289),IF(SUM(B290:F295)&gt;(L306*6),L306*L289,SUM(B295:F295)*L289)),2)</f>
        <v>0</v>
      </c>
      <c r="M295" s="76">
        <f>ROUND(IF(SUM(B290:F294)&lt;(L306*5),IF((SUM(B290:F295))&gt;(L306*6),(((L306*6)-(SUM(B290:F295)-C295))*M289)+((SUM(B295:F295)-C295)*M289),(SUM(B295:F295)-C295)*M289),IF(SUM(B290:F295)&gt;(L306*6),L306*M289,SUM(B295:F295)*M289)),2)</f>
        <v>0</v>
      </c>
      <c r="N295" s="76">
        <f>ROUND(IF(SUM(B290:F294)&lt;(L306*5),IF((SUM(B290:F295))&gt;(L306*6),(((L306*6)-(SUM(B290:F295)-C294))*N289)+((SUM(B295:F295)-C294)*N289),SUM(B295:F295)*N289),IF(SUM(B290:F295)&gt;(L306*6),L306*N289,SUM(B295:F295)*N289)),2)</f>
        <v>0</v>
      </c>
      <c r="O295" s="23">
        <f>ROUND(SUM(B295+C295+F295)*O289,2)</f>
        <v>0</v>
      </c>
      <c r="P295" s="27">
        <f t="shared" si="33"/>
        <v>0</v>
      </c>
    </row>
    <row r="296" spans="1:16" x14ac:dyDescent="0.2">
      <c r="A296" s="100" t="str">
        <f>$A$32</f>
        <v>Jul 2022</v>
      </c>
      <c r="B296" s="24">
        <f>ROUND(IF(P270=0,0,IFERROR(((LOOKUP(2,1/(A278:A281=A296),G278:G281))*P270*4.348),B295/P270*P270)),2)</f>
        <v>0</v>
      </c>
      <c r="C296" s="23">
        <f>ROUND(IFERROR(((LOOKUP(2,1/(B283=A296),((SUM(B296:B298)+SUM(F296:F298))/3)*C283))),0)+IFERROR(((LOOKUP(2,1/(E283=A296),(B302+F302)*F283))),0),2)</f>
        <v>0</v>
      </c>
      <c r="D296" s="23">
        <f>ROUND(IF(B296=0,0,D289/L271*P270),2)</f>
        <v>0</v>
      </c>
      <c r="E296" s="23">
        <f>ROUND(IF(B296=0,0,E289/N267*P270),2)</f>
        <v>0</v>
      </c>
      <c r="F296" s="24">
        <f>ROUND(IF(P270=0,0,IFERROR(((LOOKUP(2,1/(A278:A281=A296),H278:H281))/N267*P270),F295/P270*P270)),2)</f>
        <v>0</v>
      </c>
      <c r="G296" s="27">
        <f t="shared" si="32"/>
        <v>0</v>
      </c>
      <c r="H296" s="76">
        <f>ROUND(IF(SUM(B290:F295)&lt;(L305*6),IF((SUM(B290:F296))&gt;(L305*7),(((L305*7)-(SUM(B290:F296)-C295))*H289)+((SUM(B296:F296)-C295)*H289),SUM(B296:F296)*H289),IF(SUM(B290:F296)&gt;(L305*7),L305*H289,SUM(B296:F296)*H289)),2)</f>
        <v>0</v>
      </c>
      <c r="I296" s="76">
        <f>ROUND(IF(SUM(B290:F295)&lt;(L306*6),IF((SUM(B290:F296))&gt;(L306*7),(((L306*7)-(SUM(B290:F296)-C295))*I289)+((SUM(B296:F296)-C295)*I289),SUM(B296:F296)*I289),IF(SUM(B290:F296)&gt;(L306*7),L306*I289,SUM(B296:F296)*I289)),2)</f>
        <v>0</v>
      </c>
      <c r="J296" s="76">
        <f>ROUND(IF(SUM(B290:F295)&lt;(L306*6),IF((SUM(B290:F296))&gt;(L306*7),(((L306*7)-(SUM(B290:F296)-C295))*J289)+((SUM(B296:F296)-C295)*J289),SUM(B296:F296)*J289),IF(SUM(B290:F296)&gt;(L306*7),L306*J289,SUM(B296:F296)*J289)),2)</f>
        <v>0</v>
      </c>
      <c r="K296" s="76">
        <f>ROUND(IF(SUM(B290:F295)&lt;(L305*6),IF((SUM(B290:F296))&gt;(L305*7),(((L305*7)-(SUM(B290:F296)-C295))*K289)+((SUM(B296:F296)-C295)*K289),SUM(B296:F296)*K289),IF(SUM(B290:F296)&gt;(L305*7),L305*K289,SUM(B296:F296)*K289)),2)</f>
        <v>0</v>
      </c>
      <c r="L296" s="76">
        <f>ROUND(IF(SUM(B290:F295)&lt;(L306*6),IF((SUM(B290:F296))&gt;(L306*7),(((L306*7)-(SUM(B290:F296)-C296))*L289)+((SUM(B296:F296)-C296)*L289),(SUM(B296:F296)-C296)*L289),IF(SUM(B290:F296)&gt;(L306*7),L306*L289,SUM(B296:F296)*L289)),2)</f>
        <v>0</v>
      </c>
      <c r="M296" s="76">
        <f>ROUND(IF(SUM(B290:F295)&lt;(L306*6),IF((SUM(B290:F296))&gt;(L306*7),(((L306*7)-(SUM(B290:F296)-C296))*M289)+((SUM(B296:F296)-C296)*M289),(SUM(B296:F296)-C296)*M289),IF(SUM(B290:F296)&gt;(L306*7),L306*M289,SUM(B296:F296)*M289)),2)</f>
        <v>0</v>
      </c>
      <c r="N296" s="76">
        <f>ROUND(IF(SUM(B290:F295)&lt;(L306*6),IF((SUM(B290:F296))&gt;(L306*7),(((L306*7)-(SUM(B290:F296)-C295))*N289)+((SUM(B296:F296)-C295)*N289),SUM(B296:F296)*N289),IF(SUM(B290:F296)&gt;(L306*7),L306*N289,SUM(B296:F296)*N289)),2)</f>
        <v>0</v>
      </c>
      <c r="O296" s="23">
        <f>ROUND(SUM(B296+C296+F296)*O289,2)</f>
        <v>0</v>
      </c>
      <c r="P296" s="27">
        <f t="shared" si="33"/>
        <v>0</v>
      </c>
    </row>
    <row r="297" spans="1:16" x14ac:dyDescent="0.2">
      <c r="A297" s="100" t="str">
        <f>$A$33</f>
        <v>Aug 2022</v>
      </c>
      <c r="B297" s="24">
        <f>ROUND(IF(P271=0,0,IFERROR(((LOOKUP(2,1/(A278:A281=A297),G278:G281))*P271*4.348),B296/P271*P271)),2)</f>
        <v>0</v>
      </c>
      <c r="C297" s="23">
        <f>ROUND(IFERROR(((LOOKUP(2,1/(B283=A297),((SUM(B296:B298)+SUM(F296:F298))/3)*C283))),0)+IFERROR(((LOOKUP(2,1/(E283=A297),(B302+F302)*F283))),0),2)</f>
        <v>0</v>
      </c>
      <c r="D297" s="23">
        <f>ROUND(IF(B297=0,0,D289/L271*P271),2)</f>
        <v>0</v>
      </c>
      <c r="E297" s="23">
        <f>ROUND(IF(B297=0,0,E289/N267*P271),2)</f>
        <v>0</v>
      </c>
      <c r="F297" s="24">
        <f>ROUND(IF(P271=0,0,IFERROR(((LOOKUP(2,1/(A278:A281=A297),H278:H281))/N267*P271),F296/P271*P271)),2)</f>
        <v>0</v>
      </c>
      <c r="G297" s="27">
        <f t="shared" si="32"/>
        <v>0</v>
      </c>
      <c r="H297" s="76">
        <f>ROUND(IF(SUM(B290:F296)&lt;(L305*7),IF((SUM(B290:F297))&gt;(L305*8),(((L305*8)-(SUM(B290:F297)-C296))*H289)+((SUM(B297:F297)-C296)*H289),SUM(B297:F297)*H289),IF(SUM(B290:F297)&gt;(L305*8),L305*H289,SUM(B297:F297)*H289)),2)</f>
        <v>0</v>
      </c>
      <c r="I297" s="76">
        <f>ROUND(IF(SUM(B290:F296)&lt;(L306*7),IF((SUM(B290:F297))&gt;(L306*8),(((L306*8)-(SUM(B290:F297)-C296))*I289)+((SUM(B297:F297)-C296)*I289),SUM(B297:F297)*I289),IF(SUM(B290:F297)&gt;(L306*8),L306*I289,SUM(B297:F297)*I289)),2)</f>
        <v>0</v>
      </c>
      <c r="J297" s="76">
        <f>ROUND(IF(SUM(B290:F296)&lt;(L306*7),IF((SUM(B290:F297))&gt;(L306*8),(((L306*8)-(SUM(B290:F297)-C296))*J289)+((SUM(B297:F297)-C296)*J289),SUM(B297:F297)*J289),IF(SUM(B290:F297)&gt;(L306*8),L306*J289,SUM(B297:F297)*J289)),2)</f>
        <v>0</v>
      </c>
      <c r="K297" s="76">
        <f>ROUND(IF(SUM(B290:F296)&lt;(L305*7),IF((SUM(B290:F297))&gt;(L305*8),(((L305*8)-(SUM(B290:F297)-C296))*K289)+((SUM(B297:F297)-C296)*K289),SUM(B297:F297)*K289),IF(SUM(B290:F297)&gt;(L305*8),L305*K289,SUM(B297:F297)*K289)),2)</f>
        <v>0</v>
      </c>
      <c r="L297" s="76">
        <f>ROUND(IF(SUM(B290:F296)&lt;(L306*7),IF((SUM(B290:F297))&gt;(L306*8),(((L306*8)-(SUM(B290:F297)-C297))*L289)+((SUM(B297:F297)-C297)*L289),(SUM(B297:F297)-C297)*L289),IF(SUM(B290:F297)&gt;(L306*8),L306*L289,SUM(B297:F297)*L289)),2)</f>
        <v>0</v>
      </c>
      <c r="M297" s="76">
        <f>ROUND(IF(SUM(B290:F296)&lt;(L306*7),IF((SUM(B290:F297))&gt;(L306*8),(((L306*8)-(SUM(B290:F297)-C297))*M289)+((SUM(B297:F297)-C297)*M289),(SUM(B297:F297)-C297)*M289),IF(SUM(B290:F297)&gt;(L306*8),L306*M289,SUM(B297:F297)*M289)),2)</f>
        <v>0</v>
      </c>
      <c r="N297" s="76">
        <f>ROUND(IF(SUM(B290:F296)&lt;(L306*7),IF((SUM(B290:F297))&gt;(L306*8),(((L306*8)-(SUM(B290:F297)-C296))*N289)+((SUM(B297:F297)-C296)*N289),SUM(B297:F297)*N289),IF(SUM(B290:F297)&gt;(L306*8),L306*N289,SUM(B297:F297)*N289)),2)</f>
        <v>0</v>
      </c>
      <c r="O297" s="23">
        <f>ROUND(SUM(B297+C297+F297)*O289,2)</f>
        <v>0</v>
      </c>
      <c r="P297" s="27">
        <f t="shared" si="33"/>
        <v>0</v>
      </c>
    </row>
    <row r="298" spans="1:16" x14ac:dyDescent="0.2">
      <c r="A298" s="100" t="str">
        <f>$A$34</f>
        <v>Sep 2022</v>
      </c>
      <c r="B298" s="24">
        <f>ROUND(IF(P272=0,0,IFERROR(((LOOKUP(2,1/(A278:A281=A298),G278:G281))*P272*4.348),B297/P272*P272)),2)</f>
        <v>0</v>
      </c>
      <c r="C298" s="23">
        <f>ROUND(IFERROR(((LOOKUP(2,1/(B283=A298),((SUM(B296:B298)+SUM(F296:F298))/3)*C283))),0)+IFERROR(((LOOKUP(2,1/(E283=A298),(B302+F302)*F283))),0),2)</f>
        <v>0</v>
      </c>
      <c r="D298" s="23">
        <f>ROUND(IF(B298=0,0,D289/L271*P272),2)</f>
        <v>0</v>
      </c>
      <c r="E298" s="23">
        <f>ROUND(IF(B298=0,0,E289/N267*P272),2)</f>
        <v>0</v>
      </c>
      <c r="F298" s="24">
        <f>ROUND(IF(P272=0,0,IFERROR(((LOOKUP(2,1/(A278:A281=A298),H278:H281))/N267*P272),F297/P272*P272)),2)</f>
        <v>0</v>
      </c>
      <c r="G298" s="27">
        <f t="shared" si="32"/>
        <v>0</v>
      </c>
      <c r="H298" s="76">
        <f>ROUND(IF(SUM(B290:F297)&lt;(L305*8),IF((SUM(B290:F298))&gt;(L305*9),(((L305*9)-(SUM(B290:F298)-C297))*H289)+((SUM(B298:F298)-C297)*H289),SUM(B298:F298)*H289),IF(SUM(B290:F298)&gt;(L305*9),L305*H289,SUM(B298:F298)*H289)),2)</f>
        <v>0</v>
      </c>
      <c r="I298" s="76">
        <f>ROUND(IF(SUM(B290:F297)&lt;(L306*8),IF((SUM(B290:F298))&gt;(L306*9),(((L306*9)-(SUM(B290:F298)-C297))*I289)+((SUM(B298:F298)-C297)*I289),SUM(B298:F298)*I289),IF(SUM(B290:F298)&gt;(L306*9),L306*I289,SUM(B298:F298)*I289)),2)</f>
        <v>0</v>
      </c>
      <c r="J298" s="76">
        <f>ROUND(IF(SUM(B290:F297)&lt;(L306*8),IF((SUM(B290:F298))&gt;(L306*9),(((L306*9)-(SUM(B290:F298)-C297))*J289)+((SUM(B298:F298)-C297)*J289),SUM(B298:F298)*J289),IF(SUM(B290:F298)&gt;(L306*9),L306*J289,SUM(B298:F298)*J289)),2)</f>
        <v>0</v>
      </c>
      <c r="K298" s="76">
        <f>ROUND(IF(SUM(B290:F297)&lt;(L305*8),IF((SUM(B290:F298))&gt;(L305*9),(((L305*9)-(SUM(B290:F298)-C297))*K289)+((SUM(B298:F298)-C297)*K289),SUM(B298:F298)*K289),IF(SUM(B290:F298)&gt;(L305*9),L305*K289,SUM(B298:F298)*K289)),2)</f>
        <v>0</v>
      </c>
      <c r="L298" s="76">
        <f>ROUND(IF(SUM(B290:F297)&lt;(L306*8),IF((SUM(B290:F298))&gt;(L306*9),(((L306*9)-(SUM(B290:F298)-C298))*L289)+((SUM(B298:F298)-C298)*L289),(SUM(B298:F298)-C298)*L289),IF(SUM(B290:F298)&gt;(L306*9),L306*L289,SUM(B298:F298)*L289)),2)</f>
        <v>0</v>
      </c>
      <c r="M298" s="76">
        <f>ROUND(IF(SUM(B290:F297)&lt;(L306*8),IF((SUM(B290:F298))&gt;(L306*9),(((L306*9)-(SUM(B290:F298)-C298))*M289)+((SUM(B298:F298)-C298)*M289),(SUM(B298:F298)-C298)*M289),IF(SUM(B290:F298)&gt;(L306*9),L306*M289,SUM(B298:F298)*M289)),2)</f>
        <v>0</v>
      </c>
      <c r="N298" s="76">
        <f>ROUND(IF(SUM(B290:F297)&lt;(L306*8),IF((SUM(B290:F298))&gt;(L306*9),(((L306*9)-(SUM(B290:F298)-C297))*N289)+((SUM(B298:F298)-C297)*N289),SUM(B298:F298)*N289),IF(SUM(B290:F298)&gt;(L306*9),L306*N289,SUM(B298:F298)*N289)),2)</f>
        <v>0</v>
      </c>
      <c r="O298" s="23">
        <f>ROUND(SUM(B298+C298+F298)*O289,2)</f>
        <v>0</v>
      </c>
      <c r="P298" s="27">
        <f t="shared" si="33"/>
        <v>0</v>
      </c>
    </row>
    <row r="299" spans="1:16" x14ac:dyDescent="0.2">
      <c r="A299" s="100" t="str">
        <f>$A$35</f>
        <v>Okt 2022</v>
      </c>
      <c r="B299" s="24">
        <f>ROUND(IF(P273=0,0,IFERROR(((LOOKUP(2,1/(A278:A281=A299),G278:G281))*P273*4.348),B298/P273*P273)),2)</f>
        <v>0</v>
      </c>
      <c r="C299" s="23">
        <f>ROUND(IFERROR(((LOOKUP(2,1/(B283=A299),((SUM(B296:B298)+SUM(F296:F298))/3)*C283))),0)+IFERROR(((LOOKUP(2,1/(E283=A299),(B302+F302)*F283))),0),2)</f>
        <v>0</v>
      </c>
      <c r="D299" s="23">
        <f>ROUND(IF(B299=0,0,D289/L271*P273),2)</f>
        <v>0</v>
      </c>
      <c r="E299" s="23">
        <f>ROUND(IF(B299=0,0,E289/N267*P273),2)</f>
        <v>0</v>
      </c>
      <c r="F299" s="24">
        <f>ROUND(IF(P273=0,0,IFERROR(((LOOKUP(2,1/(A278:A281=A299),H278:H281))/N267*P273),F298/P273*P273)),2)</f>
        <v>0</v>
      </c>
      <c r="G299" s="27">
        <f t="shared" si="32"/>
        <v>0</v>
      </c>
      <c r="H299" s="76">
        <f>ROUND(IF(SUM(B290:F298)&lt;(L305*9),IF((SUM(B290:F299))&gt;(L305*10),(((L305*10)-(SUM(B290:F299)-C298))*H289)+((SUM(B299:F299)-C298)*H289),SUM(B299:F299)*H289),IF(SUM(B290:F299)&gt;(L305*10),L305*H289,SUM(B299:F299)*H289)),2)</f>
        <v>0</v>
      </c>
      <c r="I299" s="76">
        <f>ROUND(IF(SUM(B290:F298)&lt;(L306*9),IF((SUM(B290:F299))&gt;(L306*10),(((L306*10)-(SUM(B290:F299)-C298))*I289)+((SUM(B299:F299)-C298)*I289),SUM(B299:F299)*I289),IF(SUM(B290:F299)&gt;(L306*10),L306*I289,SUM(B299:F299)*I289)),2)</f>
        <v>0</v>
      </c>
      <c r="J299" s="76">
        <f>ROUND(IF(SUM(B290:F298)&lt;(L306*9),IF((SUM(B290:F299))&gt;(L306*10),(((L306*10)-(SUM(B290:F299)-C298))*J289)+((SUM(B299:F299)-C298)*J289),SUM(B299:F299)*J289),IF(SUM(B290:F299)&gt;(L306*10),L306*J289,SUM(B299:F299)*J289)),2)</f>
        <v>0</v>
      </c>
      <c r="K299" s="76">
        <f>ROUND(IF(SUM(B290:F298)&lt;(L305*9),IF((SUM(B290:F299))&gt;(L305*10),(((L305*10)-(SUM(B290:F299)-C298))*K289)+((SUM(B299:F299)-C298)*K289),SUM(B299:F299)*K289),IF(SUM(B290:F299)&gt;(L305*10),L305*K289,SUM(B299:F299)*K289)),2)</f>
        <v>0</v>
      </c>
      <c r="L299" s="76">
        <f>ROUND(IF(SUM(B290:F298)&lt;(L306*9),IF((SUM(B290:F299))&gt;(L306*10),(((L306*10)-(SUM(B290:F299)-C299))*L289)+((SUM(B299:F299)-C299)*L289),(SUM(B299:F299)-C299)*L289),IF(SUM(B290:F299)&gt;(L306*10),L306*L289,SUM(B299:F299)*L289)),2)</f>
        <v>0</v>
      </c>
      <c r="M299" s="76">
        <f>ROUND(IF(SUM(B290:F298)&lt;(L306*9),IF((SUM(B290:F299))&gt;(L306*10),(((L306*10)-(SUM(B290:F299)-C299))*M289)+((SUM(B299:F299)-C299)*M289),(SUM(B299:F299)-C299)*M289),IF(SUM(B290:F299)&gt;(L306*10),L306*M289,SUM(B299:F299)*M289)),2)</f>
        <v>0</v>
      </c>
      <c r="N299" s="76">
        <f>ROUND(IF(SUM(B290:F298)&lt;(L306*9),IF((SUM(B290:F299))&gt;(L306*10),(((L306*10)-(SUM(B290:F299)-C298))*N289)+((SUM(B299:F299)-C298)*N289),SUM(B299:F299)*N289),IF(SUM(B290:F299)&gt;(L306*10),L306*N289,SUM(B299:F299)*N289)),2)</f>
        <v>0</v>
      </c>
      <c r="O299" s="23">
        <f>ROUND(SUM(B299+C299+F299)*O289,2)</f>
        <v>0</v>
      </c>
      <c r="P299" s="27">
        <f t="shared" si="33"/>
        <v>0</v>
      </c>
    </row>
    <row r="300" spans="1:16" x14ac:dyDescent="0.2">
      <c r="A300" s="100" t="str">
        <f>$A$36</f>
        <v>Nov 2022</v>
      </c>
      <c r="B300" s="24">
        <f>ROUND(IF(P274=0,0,IFERROR(((LOOKUP(2,1/(A278:A281=A300),G278:G281))*P274*4.348),B299/P274*P274)),2)</f>
        <v>0</v>
      </c>
      <c r="C300" s="23">
        <f>ROUND(IFERROR(((LOOKUP(2,1/(B283=A300),((SUM(B296:B298)+SUM(F296:F298))/3)*C283))),0)+IFERROR(((LOOKUP(2,1/(E283=A300),(B302+F302)*F283))),0),2)</f>
        <v>0</v>
      </c>
      <c r="D300" s="23">
        <f>ROUND(IF(B300=0,0,D289/L271*P274),2)</f>
        <v>0</v>
      </c>
      <c r="E300" s="23">
        <f>ROUND(IF(B300=0,0,E289/N267*P274),2)</f>
        <v>0</v>
      </c>
      <c r="F300" s="24">
        <f>ROUND(IF(P274=0,0,IFERROR(((LOOKUP(2,1/(A278:A281=A300),H278:H281))/N267*P274),F299/P274*P274)),2)</f>
        <v>0</v>
      </c>
      <c r="G300" s="27">
        <f t="shared" si="32"/>
        <v>0</v>
      </c>
      <c r="H300" s="76">
        <f>ROUND(IF(SUM(B290:F299)&lt;(L305*10),IF((SUM(B290:F300))&gt;(L305*11),(((L305*11)-(SUM(B290:F300)-C299))*H289)+((SUM(B300:F300)-C299)*H289),SUM(B300:F300)*H289),IF(SUM(B290:F300)&gt;(L305*11),L305*H289,SUM(B300:F300)*H289)),2)</f>
        <v>0</v>
      </c>
      <c r="I300" s="76">
        <f>ROUND(IF(SUM(B290:F299)&lt;(L306*10),IF((SUM(B290:F300))&gt;(L306*11),(((L306*11)-(SUM(B290:F300)-C299))*I289)+((SUM(B300:F300)-C299)*I289),SUM(B300:F300)*I289),IF(SUM(B290:F300)&gt;(L306*11),L306*I289,SUM(B300:F300)*I289)),2)</f>
        <v>0</v>
      </c>
      <c r="J300" s="76">
        <f>ROUND(IF(SUM(B290:F299)&lt;(L306*10),IF((SUM(B290:F300))&gt;(L306*11),(((L306*11)-(SUM(B290:F300)-C299))*J289)+((SUM(B300:F300)-C299)*J289),SUM(B300:F300)*J289),IF(SUM(B290:F300)&gt;(L306*11),L306*J289,SUM(B300:F300)*J289)),2)</f>
        <v>0</v>
      </c>
      <c r="K300" s="76">
        <f>ROUND(IF(SUM(B290:F299)&lt;(L305*10),IF((SUM(B290:F300))&gt;(L305*11),(((L305*11)-(SUM(B290:F300)-C299))*K289)+((SUM(B300:F300)-C299)*K289),SUM(B300:F300)*K289),IF(SUM(B290:F300)&gt;(L305*11),L305*K289,SUM(B300:F300)*K289)),2)</f>
        <v>0</v>
      </c>
      <c r="L300" s="76">
        <f>ROUND(IF(SUM(B290:F299)&lt;(L306*10),IF((SUM(B290:F300))&gt;(L306*11),(((L306*11)-(SUM(B290:F300)-C300))*L289)+((SUM(B300:F300)-C300)*L289),(SUM(B300:F300)-C300)*L289),IF(SUM(B290:F300)&gt;(L306*11),L306*L289,SUM(B300:F300)*L289)),2)</f>
        <v>0</v>
      </c>
      <c r="M300" s="76">
        <f>ROUND(IF(SUM(B290:F299)&lt;(L306*10),IF((SUM(B290:F300))&gt;(L306*11),(((L306*11)-(SUM(B290:F300)-C300))*M289)+((SUM(B300:F300)-C300)*M289),(SUM(B300:F300)-C300)*M289),IF(SUM(B290:F300)&gt;(L306*11),L306*M289,SUM(B300:F300)*M289)),2)</f>
        <v>0</v>
      </c>
      <c r="N300" s="76">
        <f>ROUND(IF(SUM(B290:F299)&lt;(L306*10),IF((SUM(B290:F300))&gt;(L306*11),(((L306*11)-(SUM(B290:F300)-C299))*N289)+((SUM(B300:F300)-C299)*N289),SUM(B300:F300)*N289),IF(SUM(B290:F300)&gt;(L306*11),L306*N289,SUM(B300:F300)*N289)),2)</f>
        <v>0</v>
      </c>
      <c r="O300" s="23">
        <f>ROUND(SUM(B300+C300+F300)*O289,2)</f>
        <v>0</v>
      </c>
      <c r="P300" s="27">
        <f t="shared" si="33"/>
        <v>0</v>
      </c>
    </row>
    <row r="301" spans="1:16" x14ac:dyDescent="0.2">
      <c r="A301" s="100" t="str">
        <f>$A$37</f>
        <v>Dez 2022</v>
      </c>
      <c r="B301" s="24">
        <f>ROUND(IF(P275=0,0,IFERROR(((LOOKUP(2,1/(A278:A281=A301),G278:G281))*P275*4.348),B300/P275*P275)),2)</f>
        <v>0</v>
      </c>
      <c r="C301" s="23">
        <f>ROUND(IFERROR(((LOOKUP(2,1/(B283=A301),((SUM(B296:B298)+SUM(F296:F298))/3)*C283))),0)+IFERROR(((LOOKUP(2,1/(E283=A301),(B302+F302)*F283))),0),2)</f>
        <v>0</v>
      </c>
      <c r="D301" s="23">
        <f>ROUND(IF(B301=0,0,D289/L271*P275),2)</f>
        <v>0</v>
      </c>
      <c r="E301" s="23">
        <f>ROUND(IF(B301=0,0,E289/N267*P275),2)</f>
        <v>0</v>
      </c>
      <c r="F301" s="24">
        <f>ROUND(IF(P275=0,0,IFERROR(((LOOKUP(2,1/(A278:A281=A301),H278:H281))/N267*P275),F300/P275*P275)),2)</f>
        <v>0</v>
      </c>
      <c r="G301" s="27">
        <f t="shared" si="32"/>
        <v>0</v>
      </c>
      <c r="H301" s="76">
        <f>ROUND(IF(SUM(B290:F300)&lt;(L305*11),IF((SUM(B290:F301))&gt;(L305*12),(((L305*12)-(SUM(B290:F301)-C300))*H289)+((SUM(B301:F301)-C300)*H289),SUM(B301:F301)*H289),IF(SUM(B290:F301)&gt;(L305*12),L305*H289,SUM(B301:F301)*H289)),2)</f>
        <v>0</v>
      </c>
      <c r="I301" s="76">
        <f>ROUND(IF(SUM(B290:F300)&lt;(L306*11),IF((SUM(B290:F301))&gt;(L306*12),(((L306*12)-(SUM(B290:F301)-C300))*I289)+((SUM(B301:F301)-C300)*I289),SUM(B301:F301)*I289),IF(SUM(B290:F301)&gt;(L306*12),L306*I289,SUM(B301:F301)*I289)),2)</f>
        <v>0</v>
      </c>
      <c r="J301" s="76">
        <f>ROUND(IF(SUM(B290:F300)&lt;(L306*11),IF((SUM(B290:F301))&gt;(L306*12),(((L306*12)-(SUM(B290:F301)-C300))*J289)+((SUM(B301:F301)-C300)*J289),SUM(B301:F301)*J289),IF(SUM(B290:F301)&gt;(L306*12),L306*J289,SUM(B301:F301)*J289)),2)</f>
        <v>0</v>
      </c>
      <c r="K301" s="76">
        <f>ROUND(IF(SUM(B290:F300)&lt;(L305*11),IF((SUM(B290:F301))&gt;(L305*12),(((L305*12)-(SUM(B290:F301)-C300))*K289)+((SUM(B301:F301)-C300)*K289),SUM(B301:F301)*K289),IF(SUM(B290:F301)&gt;(L305*12),L305*K289,SUM(B301:F301)*K289)),2)</f>
        <v>0</v>
      </c>
      <c r="L301" s="76">
        <f>ROUND(IF(SUM(B290:F300)&lt;(L306*11),IF((SUM(B290:F301))&gt;(L306*12),(((L306*12)-(SUM(B290:F301)-C301))*L289)+((SUM(B301:F301)-C301)*L289),(SUM(B301:F301)-C301)*L289),IF(SUM(B290:F301)&gt;(L306*12),L306*L289,SUM(B301:F301)*L289)),2)</f>
        <v>0</v>
      </c>
      <c r="M301" s="76">
        <f>ROUND(IF(SUM(B290:F300)&lt;(L306*11),IF((SUM(B290:F301))&gt;(L306*12),(((L306*12)-(SUM(B290:F301)-C301))*M289)+((SUM(B301:F301)-C301)*M289),(SUM(B301:F301)-C301)*M289),IF(SUM(B290:F301)&gt;(L306*12),L306*M289,SUM(B301:F301)*M289)),2)</f>
        <v>0</v>
      </c>
      <c r="N301" s="76">
        <f>ROUND(IF(SUM(B290:F300)&lt;(L306*11),IF((SUM(B290:F301))&gt;(L306*12),(((L306*12)-(SUM(B290:F301)-C300))*N289)+((SUM(B301:F301)-C300)*N289),SUM(B301:F301)*N289),IF(SUM(B290:F301)&gt;(L306*12),L306*N289,SUM(B301:F301)*N289)),2)</f>
        <v>0</v>
      </c>
      <c r="O301" s="23">
        <f>ROUND(SUM(B301+C301+F301)*O289,2)</f>
        <v>0</v>
      </c>
      <c r="P301" s="27">
        <f t="shared" si="33"/>
        <v>0</v>
      </c>
    </row>
    <row r="302" spans="1:16" s="14" customFormat="1" ht="15" x14ac:dyDescent="0.25">
      <c r="A302" s="4" t="s">
        <v>2</v>
      </c>
      <c r="B302" s="27">
        <f>SUM(B290:B301)</f>
        <v>0</v>
      </c>
      <c r="C302" s="27">
        <f t="shared" ref="C302:D302" si="34">SUM(C290:C301)</f>
        <v>0</v>
      </c>
      <c r="D302" s="27">
        <f t="shared" si="34"/>
        <v>0</v>
      </c>
      <c r="E302" s="27">
        <f>SUM(E290:E301)</f>
        <v>0</v>
      </c>
      <c r="F302" s="27">
        <f>SUM(F290:F301)</f>
        <v>0</v>
      </c>
      <c r="G302" s="27">
        <f>SUM(G290:G301)</f>
        <v>0</v>
      </c>
      <c r="H302" s="1133">
        <f>SUM(H290:N301)</f>
        <v>0</v>
      </c>
      <c r="I302" s="1134"/>
      <c r="J302" s="1134"/>
      <c r="K302" s="1134"/>
      <c r="L302" s="1134"/>
      <c r="M302" s="1134"/>
      <c r="N302" s="1135"/>
      <c r="O302" s="27">
        <f>SUM(O290:O301)</f>
        <v>0</v>
      </c>
      <c r="P302" s="27">
        <f>SUM(P290:P301)</f>
        <v>0</v>
      </c>
    </row>
    <row r="303" spans="1:16" s="13" customFormat="1" ht="11.25" x14ac:dyDescent="0.2">
      <c r="A303" s="3" t="s">
        <v>1</v>
      </c>
      <c r="B303" s="2"/>
      <c r="C303" s="2"/>
      <c r="D303" s="2"/>
      <c r="E303" s="2"/>
      <c r="F303" s="2"/>
      <c r="G303" s="2"/>
      <c r="H303" s="2"/>
      <c r="I303" s="2"/>
      <c r="J303" s="2"/>
      <c r="K303" s="2"/>
      <c r="L303" s="2"/>
      <c r="M303" s="2"/>
      <c r="N303" s="2"/>
      <c r="O303" s="2"/>
      <c r="P303" s="2"/>
    </row>
    <row r="304" spans="1:16" ht="14.25" customHeight="1" x14ac:dyDescent="0.2">
      <c r="A304" s="1136" t="s">
        <v>133</v>
      </c>
      <c r="B304" s="1137"/>
      <c r="C304" s="1137"/>
      <c r="D304" s="1137" t="s">
        <v>134</v>
      </c>
      <c r="E304" s="1137"/>
      <c r="F304" s="94" t="str">
        <f>IF(IF(G302=0,"",$F$40)=0,"",IF(G302=0,"",$F$40))</f>
        <v/>
      </c>
      <c r="G304" s="77" t="s">
        <v>135</v>
      </c>
      <c r="H304" s="96" t="str">
        <f>IF(IF(G302=0,"",$H$40)=0,"",IF(G302=0,"",$H$40))</f>
        <v/>
      </c>
      <c r="I304" s="73"/>
      <c r="J304" s="194" t="s">
        <v>160</v>
      </c>
      <c r="K304" s="194" t="str">
        <f>$K$40</f>
        <v>2021</v>
      </c>
      <c r="L304" s="194" t="str">
        <f>$L$40</f>
        <v>anteilig 2021</v>
      </c>
      <c r="M304" s="1138" t="s">
        <v>140</v>
      </c>
      <c r="N304" s="1138"/>
      <c r="O304" s="1139"/>
      <c r="P304" s="27">
        <f>ROUND(IF(F304="",IF(E308="",0,(E308*H308/K308)/L271*L272),G302*F304*H304/1000),2)</f>
        <v>0</v>
      </c>
    </row>
    <row r="305" spans="1:16" ht="15" customHeight="1" x14ac:dyDescent="0.2">
      <c r="A305" s="1140" t="s">
        <v>145</v>
      </c>
      <c r="B305" s="1141"/>
      <c r="C305" s="1141"/>
      <c r="D305" s="18"/>
      <c r="E305" s="107" t="s">
        <v>135</v>
      </c>
      <c r="F305" s="95" t="str">
        <f>IF(IF(G302=0,"",$F$41)=0,"",IF(G302=0,"",$F$41))</f>
        <v/>
      </c>
      <c r="G305" s="48"/>
      <c r="H305" s="47"/>
      <c r="I305" s="48"/>
      <c r="J305" s="195" t="s">
        <v>158</v>
      </c>
      <c r="K305" s="198">
        <f>$K$41</f>
        <v>4837.5</v>
      </c>
      <c r="L305" s="197">
        <f>IF(L271="",K305,K305/L271*L272)</f>
        <v>4837.5</v>
      </c>
      <c r="M305" s="1138" t="s">
        <v>139</v>
      </c>
      <c r="N305" s="1138"/>
      <c r="O305" s="1139"/>
      <c r="P305" s="27">
        <f>ROUND(IF(F305="",0,G302*F305/1000),2)</f>
        <v>0</v>
      </c>
    </row>
    <row r="306" spans="1:16" ht="15.75" customHeight="1" x14ac:dyDescent="0.2">
      <c r="A306" s="1142" t="s">
        <v>141</v>
      </c>
      <c r="B306" s="1143"/>
      <c r="C306" s="1143"/>
      <c r="D306" s="1144" t="s">
        <v>143</v>
      </c>
      <c r="E306" s="1144"/>
      <c r="F306" s="1145" t="str">
        <f>IF(IF(G302=0,"",$F$42)=0,"",IF(G302=0,"",$F$42))</f>
        <v/>
      </c>
      <c r="G306" s="1145"/>
      <c r="H306" s="72"/>
      <c r="I306" s="18"/>
      <c r="J306" s="195" t="s">
        <v>159</v>
      </c>
      <c r="K306" s="198">
        <f>$K$42</f>
        <v>6700</v>
      </c>
      <c r="L306" s="197">
        <f>IF(L271="",K306,K306/L271*L272)</f>
        <v>6700</v>
      </c>
      <c r="M306" s="1138" t="s">
        <v>141</v>
      </c>
      <c r="N306" s="1138"/>
      <c r="O306" s="1139"/>
      <c r="P306" s="23">
        <f>ROUND(IF(F306="",0,IF(G302=0,0,F306/L271*L272)),2)</f>
        <v>0</v>
      </c>
    </row>
    <row r="307" spans="1:16" ht="14.25" customHeight="1" x14ac:dyDescent="0.2">
      <c r="A307" s="18"/>
      <c r="B307" s="18"/>
      <c r="C307" s="18"/>
      <c r="D307" s="18"/>
      <c r="E307" s="18"/>
      <c r="F307" s="18"/>
      <c r="G307" s="18"/>
      <c r="H307" s="18"/>
      <c r="I307" s="18"/>
      <c r="J307" s="18"/>
      <c r="K307" s="74"/>
      <c r="L307" s="82"/>
      <c r="M307" s="1127" t="s">
        <v>146</v>
      </c>
      <c r="N307" s="1127"/>
      <c r="O307" s="1128"/>
      <c r="P307" s="23">
        <f>ROUND(IF(G302=0,0,$P$43),2)</f>
        <v>0</v>
      </c>
    </row>
    <row r="308" spans="1:16" ht="14.25" customHeight="1" x14ac:dyDescent="0.2">
      <c r="A308" s="1129" t="s">
        <v>142</v>
      </c>
      <c r="B308" s="1130"/>
      <c r="C308" s="148" t="s">
        <v>136</v>
      </c>
      <c r="D308" s="148" t="s">
        <v>137</v>
      </c>
      <c r="E308" s="1131" t="str">
        <f>IF(IF(G302=0,"",$E$44)=0,"",IF(G302=0,"",$E$44))</f>
        <v/>
      </c>
      <c r="F308" s="1131"/>
      <c r="G308" s="83" t="s">
        <v>138</v>
      </c>
      <c r="H308" s="97" t="str">
        <f>IF(IF(G302=0,"",$H$44)=0,"",IF(G302=0,"",$H$44))</f>
        <v/>
      </c>
      <c r="I308" s="1132" t="s">
        <v>144</v>
      </c>
      <c r="J308" s="1132"/>
      <c r="K308" s="98" t="str">
        <f>IF(IF(G302=0,"",$K$44)=0,"",IF(G302=0,"",$K$44))</f>
        <v/>
      </c>
      <c r="L308" s="29"/>
      <c r="M308" s="29"/>
      <c r="N308" s="29"/>
      <c r="O308" s="28" t="s">
        <v>0</v>
      </c>
      <c r="P308" s="27">
        <f>P302+SUM(P304:P307)</f>
        <v>0</v>
      </c>
    </row>
    <row r="309" spans="1:16" s="12" customFormat="1" ht="13.5" customHeight="1" x14ac:dyDescent="0.2">
      <c r="A309" s="1178" t="s">
        <v>18</v>
      </c>
      <c r="B309" s="1178"/>
      <c r="C309" s="1178"/>
      <c r="D309" s="1179" t="str">
        <f>IF($D$1="","",$D$1)</f>
        <v/>
      </c>
      <c r="E309" s="1179"/>
      <c r="F309" s="1179"/>
      <c r="G309" s="1179"/>
      <c r="H309" s="1179"/>
      <c r="I309" s="1179"/>
      <c r="J309" s="1179"/>
      <c r="K309" s="1179"/>
      <c r="L309" s="1179"/>
      <c r="M309" s="1179"/>
      <c r="N309" s="1179"/>
    </row>
    <row r="310" spans="1:16" s="12" customFormat="1" ht="15" customHeight="1" x14ac:dyDescent="0.2">
      <c r="A310" s="1178" t="s">
        <v>17</v>
      </c>
      <c r="B310" s="1178"/>
      <c r="C310" s="1178" t="s">
        <v>15</v>
      </c>
      <c r="D310" s="1179" t="str">
        <f>IF($D$2="","",$D$2)</f>
        <v/>
      </c>
      <c r="E310" s="1179"/>
      <c r="F310" s="1179"/>
      <c r="G310" s="1179"/>
      <c r="H310" s="1179"/>
      <c r="I310" s="1179"/>
      <c r="J310" s="1179"/>
      <c r="K310" s="1179"/>
      <c r="L310" s="1179"/>
      <c r="M310" s="1179"/>
      <c r="N310" s="1179"/>
    </row>
    <row r="311" spans="1:16" s="12" customFormat="1" ht="15" customHeight="1" x14ac:dyDescent="0.2">
      <c r="A311" s="1178" t="s">
        <v>16</v>
      </c>
      <c r="B311" s="1178"/>
      <c r="C311" s="1178" t="s">
        <v>15</v>
      </c>
      <c r="D311" s="1179" t="str">
        <f>IF($D$3="","",$D$3)</f>
        <v/>
      </c>
      <c r="E311" s="1179"/>
      <c r="F311" s="1179"/>
      <c r="G311" s="1179"/>
      <c r="H311" s="1179"/>
      <c r="I311" s="1179"/>
      <c r="J311" s="1179"/>
      <c r="K311" s="1178" t="s">
        <v>103</v>
      </c>
      <c r="L311" s="1178"/>
      <c r="M311" s="1178"/>
      <c r="N311" s="41" t="str">
        <f>IF($N$3="","",$N$3)</f>
        <v/>
      </c>
    </row>
    <row r="312" spans="1:16" s="13" customFormat="1" ht="11.25" x14ac:dyDescent="0.2">
      <c r="A312" s="1182"/>
      <c r="B312" s="1182"/>
      <c r="C312" s="1182"/>
      <c r="D312" s="1183"/>
      <c r="E312" s="1183"/>
      <c r="F312" s="1183"/>
      <c r="G312" s="1183"/>
      <c r="H312" s="1183"/>
      <c r="I312" s="1183"/>
      <c r="J312" s="1183"/>
      <c r="K312" s="11"/>
      <c r="L312" s="11"/>
      <c r="M312" s="11"/>
      <c r="N312" s="11"/>
      <c r="O312" s="11"/>
      <c r="P312" s="11"/>
    </row>
    <row r="313" spans="1:16" s="15" customFormat="1" ht="13.5" customHeight="1" x14ac:dyDescent="0.2">
      <c r="A313" s="1177" t="s">
        <v>224</v>
      </c>
      <c r="B313" s="1177"/>
      <c r="C313" s="1177"/>
      <c r="D313" s="1177"/>
      <c r="E313" s="1177"/>
      <c r="F313" s="1177"/>
      <c r="G313" s="1177"/>
      <c r="H313" s="1177"/>
      <c r="I313" s="1177"/>
      <c r="J313" s="1177"/>
      <c r="K313" s="9"/>
      <c r="L313" s="9"/>
      <c r="M313" s="9"/>
      <c r="N313" s="59" t="s">
        <v>154</v>
      </c>
      <c r="O313" s="191">
        <f>$O$5</f>
        <v>2022</v>
      </c>
      <c r="P313" s="59" t="s">
        <v>154</v>
      </c>
    </row>
    <row r="314" spans="1:16" s="10" customFormat="1" ht="13.5" customHeight="1" x14ac:dyDescent="0.25">
      <c r="B314" s="32"/>
      <c r="C314" s="32"/>
      <c r="D314" s="5" t="s">
        <v>38</v>
      </c>
      <c r="E314" s="31"/>
      <c r="F314" s="31"/>
      <c r="G314" s="31"/>
      <c r="H314" s="31"/>
      <c r="I314" s="26"/>
      <c r="J314" s="1174" t="s">
        <v>14</v>
      </c>
      <c r="K314" s="1174"/>
      <c r="L314" s="180"/>
      <c r="N314" s="84">
        <f>IF(L316="","",L316)</f>
        <v>0</v>
      </c>
      <c r="O314" s="58" t="str">
        <f>$O$6</f>
        <v>Jan                Jul</v>
      </c>
      <c r="P314" s="85">
        <f>IF(N319="","",N319)</f>
        <v>0</v>
      </c>
    </row>
    <row r="315" spans="1:16" s="7" customFormat="1" ht="13.5" customHeight="1" x14ac:dyDescent="0.25">
      <c r="A315" s="1180" t="s">
        <v>71</v>
      </c>
      <c r="B315" s="1180"/>
      <c r="C315" s="1180"/>
      <c r="D315" s="1184"/>
      <c r="E315" s="1184"/>
      <c r="F315" s="1184"/>
      <c r="G315" s="1184"/>
      <c r="H315" s="1184"/>
      <c r="I315" s="1184"/>
      <c r="J315" s="1174" t="s">
        <v>104</v>
      </c>
      <c r="K315" s="1174"/>
      <c r="L315" s="145"/>
      <c r="N315" s="85">
        <f>IF(N314="","",N314)</f>
        <v>0</v>
      </c>
      <c r="O315" s="58" t="str">
        <f>$O$7</f>
        <v>Feb              Aug</v>
      </c>
      <c r="P315" s="85">
        <f>IF(P314="","",P314)</f>
        <v>0</v>
      </c>
    </row>
    <row r="316" spans="1:16" ht="13.5" customHeight="1" x14ac:dyDescent="0.2">
      <c r="A316" s="1180" t="s">
        <v>13</v>
      </c>
      <c r="B316" s="1180"/>
      <c r="C316" s="1180"/>
      <c r="D316" s="1181"/>
      <c r="E316" s="1181"/>
      <c r="F316" s="1181"/>
      <c r="G316" s="1181"/>
      <c r="H316" s="1181"/>
      <c r="I316" s="1181"/>
      <c r="J316" s="1174" t="s">
        <v>222</v>
      </c>
      <c r="K316" s="1174"/>
      <c r="L316" s="145">
        <f>IF(L317&gt;L315,0,L315-L317)</f>
        <v>0</v>
      </c>
      <c r="N316" s="85">
        <f>IF(N315="","",N315)</f>
        <v>0</v>
      </c>
      <c r="O316" s="58" t="str">
        <f>$O$8</f>
        <v>Mrz              Sep</v>
      </c>
      <c r="P316" s="85">
        <f>IF(P315="","",P315)</f>
        <v>0</v>
      </c>
    </row>
    <row r="317" spans="1:16" ht="13.5" customHeight="1" x14ac:dyDescent="0.2">
      <c r="A317" s="1180" t="s">
        <v>12</v>
      </c>
      <c r="B317" s="1180"/>
      <c r="C317" s="1180"/>
      <c r="D317" s="1181"/>
      <c r="E317" s="1181"/>
      <c r="F317" s="1181"/>
      <c r="G317" s="1181"/>
      <c r="H317" s="1181"/>
      <c r="I317" s="1181"/>
      <c r="J317" s="1174" t="s">
        <v>223</v>
      </c>
      <c r="K317" s="1174"/>
      <c r="L317" s="145"/>
      <c r="N317" s="85">
        <f>IF(N316="","",N316)</f>
        <v>0</v>
      </c>
      <c r="O317" s="58" t="str">
        <f>$O$9</f>
        <v>Apr               Okt</v>
      </c>
      <c r="P317" s="85">
        <f t="shared" ref="P317:P319" si="35">IF(P316="","",P316)</f>
        <v>0</v>
      </c>
    </row>
    <row r="318" spans="1:16" ht="13.5" customHeight="1" x14ac:dyDescent="0.2">
      <c r="A318" s="1180" t="s">
        <v>19</v>
      </c>
      <c r="B318" s="1180"/>
      <c r="C318" s="1180"/>
      <c r="D318" s="1181"/>
      <c r="E318" s="1181"/>
      <c r="F318" s="1181"/>
      <c r="G318" s="1181"/>
      <c r="H318" s="1181"/>
      <c r="I318" s="1181"/>
      <c r="J318" s="1174" t="s">
        <v>97</v>
      </c>
      <c r="K318" s="1174"/>
      <c r="L318" s="17" t="str">
        <f>IF(IF((COUNTIF(B334:B345,"&gt;0"))=0,0,(COUNTIF(B334:B345,"&gt;0")))&gt;Grundlagen!$C$24,Grundlagen!$C$24,IF((COUNTIF(B334:B345,"&gt;0"))=0,"",(COUNTIF(B334:B345,"&gt;0"))))</f>
        <v/>
      </c>
      <c r="M318" s="92"/>
      <c r="N318" s="85">
        <f>IF(N317="","",N317)</f>
        <v>0</v>
      </c>
      <c r="O318" s="58" t="str">
        <f>'päd.Personal - Leitung'!$O$10</f>
        <v>Mai               Nov</v>
      </c>
      <c r="P318" s="85">
        <f t="shared" si="35"/>
        <v>0</v>
      </c>
    </row>
    <row r="319" spans="1:16" ht="13.5" customHeight="1" x14ac:dyDescent="0.2">
      <c r="B319" s="8"/>
      <c r="C319" s="141" t="s">
        <v>162</v>
      </c>
      <c r="D319" s="1175"/>
      <c r="E319" s="1175"/>
      <c r="F319" s="1176" t="s">
        <v>106</v>
      </c>
      <c r="G319" s="1176"/>
      <c r="H319" s="1186"/>
      <c r="I319" s="1186"/>
      <c r="L319" s="147" t="str">
        <f>IF((SUM(F322:F325))=0,"",IF(P320&gt;L316,L316,IF(L316="","",IF(L318="","",P320))))</f>
        <v/>
      </c>
      <c r="N319" s="85">
        <f>IF(N318="","",N318)</f>
        <v>0</v>
      </c>
      <c r="O319" s="58" t="str">
        <f>'päd.Personal - Leitung'!$O$11</f>
        <v>Jun               Dez</v>
      </c>
      <c r="P319" s="85">
        <f t="shared" si="35"/>
        <v>0</v>
      </c>
    </row>
    <row r="320" spans="1:16" ht="13.5" customHeight="1" x14ac:dyDescent="0.2">
      <c r="I320" s="6"/>
      <c r="O320" s="174" t="s">
        <v>251</v>
      </c>
      <c r="P320" s="175">
        <f>IF(L318="",0,((IF(SUMIF(B334,"&gt;0"),N314,0))+(IF(SUMIF(B335,"&gt;0"),N315,0))+(IF(SUMIF(B336,"&gt;0"),N316,0))+(IF(SUMIF(B337,"&gt;0"),N317,0))+(IF(SUMIF(B338,"&gt;0"),N318,0))+(IF(SUMIF(B339,"&gt;0"),N319,0))+(IF(SUMIF(B340,"&gt;0"),P314,0))+(IF(SUMIF(B341,"&gt;0"),P315,0))+(IF(SUMIF(B342,"&gt;0"),P316,0))+(IF(SUMIF(B343,"&gt;0"),P317,0))+(IF(SUMIF(B344,"&gt;0"),P318,0))+(IF(SUMIF(B345,"&gt;0"),P319,0)))/Grundlagen!$C$24)</f>
        <v>0</v>
      </c>
    </row>
    <row r="321" spans="1:16" s="52" customFormat="1" ht="13.5" customHeight="1" x14ac:dyDescent="0.2">
      <c r="A321" s="61" t="s">
        <v>148</v>
      </c>
      <c r="B321" s="1168" t="s">
        <v>149</v>
      </c>
      <c r="C321" s="1168"/>
      <c r="D321" s="62" t="s">
        <v>150</v>
      </c>
      <c r="E321" s="63" t="s">
        <v>151</v>
      </c>
      <c r="F321" s="64" t="str">
        <f>CONCATENATE("Entg. ",N311," h/Wo")</f>
        <v>Entg.  h/Wo</v>
      </c>
      <c r="G321" s="65" t="s">
        <v>152</v>
      </c>
      <c r="H321" s="65" t="s">
        <v>153</v>
      </c>
      <c r="K321" s="1169" t="str">
        <f>CONCATENATE("Zuschläge / Zulagen für ",N311,"h/Wo")</f>
        <v>Zuschläge / Zulagen für h/Wo</v>
      </c>
      <c r="L321" s="1169"/>
      <c r="M321" s="66" t="str">
        <f>IF(A322="","",A322)</f>
        <v>Jan 2022</v>
      </c>
      <c r="N321" s="66" t="str">
        <f>IF(A323="","",A323)</f>
        <v/>
      </c>
      <c r="O321" s="66" t="str">
        <f>IF(A324="","",A324)</f>
        <v/>
      </c>
      <c r="P321" s="66" t="str">
        <f>IF(A325="","",A325)</f>
        <v/>
      </c>
    </row>
    <row r="322" spans="1:16" s="52" customFormat="1" ht="13.5" customHeight="1" x14ac:dyDescent="0.25">
      <c r="A322" s="54" t="str">
        <f>A334</f>
        <v>Jan 2022</v>
      </c>
      <c r="B322" s="1170" t="str">
        <f>IF($D$3="","",$D$3)</f>
        <v/>
      </c>
      <c r="C322" s="1171"/>
      <c r="D322" s="181"/>
      <c r="E322" s="181"/>
      <c r="F322" s="87"/>
      <c r="G322" s="56">
        <f>IF(N311="",0,F322/N311/4.348)</f>
        <v>0</v>
      </c>
      <c r="H322" s="53">
        <f>IF(G322=0,0,M327)</f>
        <v>0</v>
      </c>
      <c r="K322" s="1146"/>
      <c r="L322" s="1146"/>
      <c r="M322" s="86"/>
      <c r="N322" s="86"/>
      <c r="O322" s="86"/>
      <c r="P322" s="86"/>
    </row>
    <row r="323" spans="1:16" s="52" customFormat="1" ht="13.5" customHeight="1" x14ac:dyDescent="0.25">
      <c r="A323" s="55"/>
      <c r="B323" s="1172" t="str">
        <f>IF(A323="","",B322)</f>
        <v/>
      </c>
      <c r="C323" s="1173"/>
      <c r="D323" s="181"/>
      <c r="E323" s="181"/>
      <c r="F323" s="87"/>
      <c r="G323" s="56">
        <f>IF(N311="",0,F323/N311/4.348)</f>
        <v>0</v>
      </c>
      <c r="H323" s="53">
        <f>IF(G323=0,0,N327)</f>
        <v>0</v>
      </c>
      <c r="K323" s="1146"/>
      <c r="L323" s="1146"/>
      <c r="M323" s="86"/>
      <c r="N323" s="86"/>
      <c r="O323" s="86"/>
      <c r="P323" s="86"/>
    </row>
    <row r="324" spans="1:16" s="52" customFormat="1" ht="13.5" customHeight="1" x14ac:dyDescent="0.25">
      <c r="A324" s="55"/>
      <c r="B324" s="1172" t="str">
        <f>IF(A324="","",B323)</f>
        <v/>
      </c>
      <c r="C324" s="1173"/>
      <c r="D324" s="181"/>
      <c r="E324" s="181"/>
      <c r="F324" s="87"/>
      <c r="G324" s="56">
        <f>IF(N311="",0,F324/N311/4.348)</f>
        <v>0</v>
      </c>
      <c r="H324" s="53">
        <f>IF(G324=0,0,O327)</f>
        <v>0</v>
      </c>
      <c r="K324" s="1146"/>
      <c r="L324" s="1146"/>
      <c r="M324" s="86"/>
      <c r="N324" s="86"/>
      <c r="O324" s="86"/>
      <c r="P324" s="86"/>
    </row>
    <row r="325" spans="1:16" s="52" customFormat="1" ht="13.5" customHeight="1" x14ac:dyDescent="0.25">
      <c r="A325" s="55"/>
      <c r="B325" s="1172" t="str">
        <f>IF(A325="","",B324)</f>
        <v/>
      </c>
      <c r="C325" s="1173"/>
      <c r="D325" s="181"/>
      <c r="E325" s="181"/>
      <c r="F325" s="87"/>
      <c r="G325" s="56">
        <f>IF(N311="",0,F325/N311/4.348)</f>
        <v>0</v>
      </c>
      <c r="H325" s="53">
        <f>IF(G325=0,0,P327)</f>
        <v>0</v>
      </c>
      <c r="K325" s="1146"/>
      <c r="L325" s="1146"/>
      <c r="M325" s="86"/>
      <c r="N325" s="86"/>
      <c r="O325" s="86"/>
      <c r="P325" s="86"/>
    </row>
    <row r="326" spans="1:16" s="52" customFormat="1" ht="13.5" customHeight="1" x14ac:dyDescent="0.25">
      <c r="B326" s="1167" t="s">
        <v>157</v>
      </c>
      <c r="C326" s="1167"/>
      <c r="E326" s="1167" t="s">
        <v>156</v>
      </c>
      <c r="F326" s="1167"/>
      <c r="J326" s="69"/>
      <c r="K326" s="1146"/>
      <c r="L326" s="1146"/>
      <c r="M326" s="86"/>
      <c r="N326" s="86"/>
      <c r="O326" s="86"/>
      <c r="P326" s="86"/>
    </row>
    <row r="327" spans="1:16" s="52" customFormat="1" ht="13.5" customHeight="1" x14ac:dyDescent="0.25">
      <c r="A327" s="70" t="s">
        <v>167</v>
      </c>
      <c r="B327" s="67"/>
      <c r="C327" s="99" t="str">
        <f>IF(C283="","",C283)</f>
        <v/>
      </c>
      <c r="D327" s="70" t="s">
        <v>167</v>
      </c>
      <c r="E327" s="67"/>
      <c r="F327" s="99" t="str">
        <f>IF(F283="","",F283)</f>
        <v/>
      </c>
      <c r="J327" s="68"/>
      <c r="M327" s="57">
        <f>SUM(M322:M326)</f>
        <v>0</v>
      </c>
      <c r="N327" s="57">
        <f t="shared" ref="N327:P327" si="36">SUM(N322:N326)</f>
        <v>0</v>
      </c>
      <c r="O327" s="57">
        <f t="shared" si="36"/>
        <v>0</v>
      </c>
      <c r="P327" s="57">
        <f t="shared" si="36"/>
        <v>0</v>
      </c>
    </row>
    <row r="328" spans="1:16" s="52" customFormat="1" ht="13.5" customHeight="1" x14ac:dyDescent="0.2">
      <c r="A328" s="60" t="s">
        <v>155</v>
      </c>
    </row>
    <row r="329" spans="1:16" ht="14.25" customHeight="1" x14ac:dyDescent="0.2">
      <c r="A329" s="1147"/>
      <c r="B329" s="1149" t="s">
        <v>9</v>
      </c>
      <c r="C329" s="1150"/>
      <c r="D329" s="1150"/>
      <c r="E329" s="1150"/>
      <c r="F329" s="1150"/>
      <c r="G329" s="1151"/>
      <c r="H329" s="1152" t="s">
        <v>119</v>
      </c>
      <c r="I329" s="1153"/>
      <c r="J329" s="1153"/>
      <c r="K329" s="1153"/>
      <c r="L329" s="1153"/>
      <c r="M329" s="1153"/>
      <c r="N329" s="1153"/>
      <c r="O329" s="33"/>
      <c r="P329" s="1154" t="s">
        <v>0</v>
      </c>
    </row>
    <row r="330" spans="1:16" ht="14.25" customHeight="1" x14ac:dyDescent="0.2">
      <c r="A330" s="1148"/>
      <c r="B330" s="1157" t="s">
        <v>117</v>
      </c>
      <c r="C330" s="144" t="s">
        <v>115</v>
      </c>
      <c r="D330" s="1159" t="s">
        <v>277</v>
      </c>
      <c r="E330" s="1161" t="s">
        <v>147</v>
      </c>
      <c r="F330" s="149" t="s">
        <v>7</v>
      </c>
      <c r="G330" s="1162" t="s">
        <v>6</v>
      </c>
      <c r="H330" s="1161" t="s">
        <v>129</v>
      </c>
      <c r="I330" s="1161" t="s">
        <v>5</v>
      </c>
      <c r="J330" s="1161" t="s">
        <v>4</v>
      </c>
      <c r="K330" s="1161" t="s">
        <v>3</v>
      </c>
      <c r="L330" s="1161" t="s">
        <v>121</v>
      </c>
      <c r="M330" s="1161" t="s">
        <v>122</v>
      </c>
      <c r="N330" s="1161" t="s">
        <v>123</v>
      </c>
      <c r="O330" s="1160" t="s">
        <v>114</v>
      </c>
      <c r="P330" s="1155"/>
    </row>
    <row r="331" spans="1:16" ht="14.25" customHeight="1" x14ac:dyDescent="0.2">
      <c r="A331" s="1148"/>
      <c r="B331" s="1157"/>
      <c r="C331" s="21" t="str">
        <f>IF(C327="","",C327)</f>
        <v/>
      </c>
      <c r="D331" s="1160"/>
      <c r="E331" s="1161"/>
      <c r="F331" s="1165" t="str">
        <f>IF(H322=0,"","siehe Zuschläge / Zulagen")</f>
        <v/>
      </c>
      <c r="G331" s="1162"/>
      <c r="H331" s="1164" t="s">
        <v>127</v>
      </c>
      <c r="I331" s="1164"/>
      <c r="J331" s="1164"/>
      <c r="K331" s="1164"/>
      <c r="L331" s="1164"/>
      <c r="M331" s="1164"/>
      <c r="N331" s="1164"/>
      <c r="O331" s="1160"/>
      <c r="P331" s="1155"/>
    </row>
    <row r="332" spans="1:16" x14ac:dyDescent="0.2">
      <c r="A332" s="1148"/>
      <c r="B332" s="1157"/>
      <c r="C332" s="142" t="s">
        <v>70</v>
      </c>
      <c r="D332" s="1160"/>
      <c r="E332" s="1161"/>
      <c r="F332" s="1165"/>
      <c r="G332" s="1162"/>
      <c r="H332" s="43" t="s">
        <v>128</v>
      </c>
      <c r="I332" s="43" t="s">
        <v>255</v>
      </c>
      <c r="J332" s="43" t="s">
        <v>256</v>
      </c>
      <c r="K332" s="43" t="s">
        <v>257</v>
      </c>
      <c r="L332" s="43"/>
      <c r="M332" s="43"/>
      <c r="N332" s="43" t="s">
        <v>254</v>
      </c>
      <c r="O332" s="1160"/>
      <c r="P332" s="1155"/>
    </row>
    <row r="333" spans="1:16" x14ac:dyDescent="0.2">
      <c r="A333" s="1148"/>
      <c r="B333" s="1158"/>
      <c r="C333" s="21" t="str">
        <f>IF(F327="","",F327)</f>
        <v/>
      </c>
      <c r="D333" s="51"/>
      <c r="E333" s="51"/>
      <c r="F333" s="1166"/>
      <c r="G333" s="1163"/>
      <c r="H333" s="93"/>
      <c r="I333" s="139">
        <f>$I$25</f>
        <v>0</v>
      </c>
      <c r="J333" s="139">
        <f>$J$25</f>
        <v>0</v>
      </c>
      <c r="K333" s="44">
        <f>$K$25</f>
        <v>0</v>
      </c>
      <c r="L333" s="21"/>
      <c r="M333" s="21"/>
      <c r="N333" s="139">
        <f>$N$25</f>
        <v>0</v>
      </c>
      <c r="O333" s="21">
        <f>O289</f>
        <v>0</v>
      </c>
      <c r="P333" s="1156"/>
    </row>
    <row r="334" spans="1:16" x14ac:dyDescent="0.2">
      <c r="A334" s="100" t="str">
        <f>$A$26</f>
        <v>Jan 2022</v>
      </c>
      <c r="B334" s="24">
        <f>ROUND(IF(N314=0,0,(LOOKUP(2,1/(A322:A325=A334),G322:G325))*N314*4.348),2)</f>
        <v>0</v>
      </c>
      <c r="C334" s="23">
        <f>ROUND(IFERROR(((LOOKUP(2,1/(B327=A334),((SUM(B340:B342)+SUM(F340:F342))/3)*C327))),0)+IFERROR(((LOOKUP(2,1/(E327=A334),(B346+F346)*F327))),0),2)</f>
        <v>0</v>
      </c>
      <c r="D334" s="23">
        <f>ROUND(IF(B334=0,0,D333/L315*N314),2)</f>
        <v>0</v>
      </c>
      <c r="E334" s="23">
        <f>ROUND(IF(B334=0,0,E333/N311*N314),2)</f>
        <v>0</v>
      </c>
      <c r="F334" s="24">
        <f>ROUND(IF(N314=0,0,(LOOKUP(2,1/(A322:A325=A334),H322:H325))/N311*N314),2)</f>
        <v>0</v>
      </c>
      <c r="G334" s="27">
        <f>SUM(B334+C334+E334+F334)</f>
        <v>0</v>
      </c>
      <c r="H334" s="76">
        <f>ROUND(IF((SUM(B334:F334))&gt;L349,L349*H333,SUM(B334:F334)*H333),2)</f>
        <v>0</v>
      </c>
      <c r="I334" s="76">
        <f>ROUND(IF((SUM(B334:F334))&gt;L350,L350*I333,SUM(B334:F334)*I333),2)</f>
        <v>0</v>
      </c>
      <c r="J334" s="76">
        <f>ROUND(IF((SUM(B334:F334))&gt;L350,L350*J333,SUM(B334:F334)*J333),2)</f>
        <v>0</v>
      </c>
      <c r="K334" s="76">
        <f>ROUND(IF((SUM(B334:F334))&gt;L349,L349*K333,SUM(B334:F334)*K333),2)</f>
        <v>0</v>
      </c>
      <c r="L334" s="76">
        <f>ROUND(IF((SUM(B334:F334))&gt;L350,L350*L333,(SUM(B334:F334)-C334)*L333),2)</f>
        <v>0</v>
      </c>
      <c r="M334" s="76">
        <f>ROUND(IF((SUM(B334:F334))&gt;L350,L350*M333,(SUM(B334:F334)-C334)*M333),2)</f>
        <v>0</v>
      </c>
      <c r="N334" s="76">
        <f>ROUND(IF((SUM(B334:F334))&gt;L350,L350*N333,SUM(B334:F334)*N333),2)</f>
        <v>0</v>
      </c>
      <c r="O334" s="23">
        <f>ROUND(SUM(B334+C334+F334)*O333,2)</f>
        <v>0</v>
      </c>
      <c r="P334" s="27">
        <f>SUM(G334:O334)</f>
        <v>0</v>
      </c>
    </row>
    <row r="335" spans="1:16" x14ac:dyDescent="0.2">
      <c r="A335" s="100" t="str">
        <f>$A$27</f>
        <v>Feb 2022</v>
      </c>
      <c r="B335" s="24">
        <f>ROUND(IF(N315=0,0,IFERROR(((LOOKUP(2,1/(A322:A325=A335),G322:G325))*N315*4.348),B334/N315*N315)),2)</f>
        <v>0</v>
      </c>
      <c r="C335" s="23">
        <f>ROUND(IFERROR(((LOOKUP(2,1/(B327=A335),((SUM(B340:B342)+SUM(F340:F342))/3)*C327))),0)+IFERROR(((LOOKUP(2,1/(E327=A335),(B346+F346)*F327))),0),2)</f>
        <v>0</v>
      </c>
      <c r="D335" s="23">
        <f>ROUND(IF(B335=0,0,D333/L315*N315),2)</f>
        <v>0</v>
      </c>
      <c r="E335" s="23">
        <f>ROUND(IF(B335=0,0,E333/N311*N315),2)</f>
        <v>0</v>
      </c>
      <c r="F335" s="24">
        <f>ROUND(IF(N315=0,0,IFERROR(((LOOKUP(2,1/(A322:A325=A335),H322:H325))/N311*N315),F334/N315*N315)),2)</f>
        <v>0</v>
      </c>
      <c r="G335" s="27">
        <f t="shared" ref="G335:G345" si="37">SUM(B335+C335+E335+F335)</f>
        <v>0</v>
      </c>
      <c r="H335" s="76">
        <f>ROUND(IF(SUM(B334:F334)&lt;(L349*1),IF((SUM(B334:F335))&gt;(L349*2),(((L349*2)-(SUM(B334:F335)-C334))*H333)+((SUM(B335:F335)-C334)*H333),SUM(B335:F335)*H333),IF(SUM(B334:F335)&gt;(L349*2),L349*H333,SUM(B335:F335)*H333)),2)</f>
        <v>0</v>
      </c>
      <c r="I335" s="76">
        <f>ROUND(IF(SUM(B334:F334)&lt;(L350*1),IF((SUM(B334:F335))&gt;(L350*2),(((L350*2)-(SUM(B334:F335)-C334))*I333)+((SUM(B335:F335)-C334)*I333),SUM(B335:F335)*I333),IF(SUM(B334:F335)&gt;(L350*2),L350*I333,SUM(B335:F335)*I333)),2)</f>
        <v>0</v>
      </c>
      <c r="J335" s="76">
        <f>ROUND(IF(SUM(B334:F334)&lt;(L350*1),IF((SUM(B334:F335))&gt;(L350*2),(((L350*2)-(SUM(B334:F335)-C334))*J333)+((SUM(B335:F335)-C334)*J333),SUM(B335:F335)*J333),IF(SUM(B334:F335)&gt;(L350*2),L350*J333,SUM(B335:F335)*J333)),2)</f>
        <v>0</v>
      </c>
      <c r="K335" s="76">
        <f>ROUND(IF(SUM(B334:F334)&lt;(L349*1),IF((SUM(B334:F335))&gt;(L349*2),(((L349*2)-(SUM(B334:F335)-C334))*K333)+((SUM(B335:F335)-C334)*K333),SUM(B335:F335)*K333),IF(SUM(B334:F335)&gt;(L349*2),L349*K333,SUM(B335:F335)*K333)),2)</f>
        <v>0</v>
      </c>
      <c r="L335" s="76">
        <f>ROUND(IF(SUM(B334:F334)&lt;(L350*1),IF((SUM(B334:F335))&gt;(L350*2),(((L350*2)-(SUM(B334:F335)-C335))*L333)+((SUM(B335:F335)-C335)*L333),(SUM(B335:F335)-C335)*L333),IF(SUM(B334:F335)&gt;(L350*2),L350*L333,SUM(B335:F335)*L333)),2)</f>
        <v>0</v>
      </c>
      <c r="M335" s="76">
        <f>ROUND(IF(SUM(B334:F334)&lt;(L350*1),IF((SUM(B334:F335))&gt;(L350*2),(((L350*2)-(SUM(B334:F335)-C335))*M333)+((SUM(B335:F335)-C335)*M333),(SUM(B335:F335)-C335)*M333),IF(SUM(B334:F335)&gt;(L350*2),L350*M333,SUM(B335:F335)*M333)),2)</f>
        <v>0</v>
      </c>
      <c r="N335" s="76">
        <f>ROUND(IF(SUM(B334:F334)&lt;(L350*1),IF((SUM(B334:F335))&gt;(L350*2),(((L350*2)-(SUM(B334:F335)-C334))*N333)+((SUM(B335:F335)-C334)*N333),SUM(B335:F335)*N333),IF(SUM(B334:F335)&gt;(L350*2),L350*N333,SUM(B335:F335)*N333)),2)</f>
        <v>0</v>
      </c>
      <c r="O335" s="23">
        <f>ROUND(SUM(B335+C335+F335)*O333,2)</f>
        <v>0</v>
      </c>
      <c r="P335" s="27">
        <f>SUM(G335:O335)</f>
        <v>0</v>
      </c>
    </row>
    <row r="336" spans="1:16" x14ac:dyDescent="0.2">
      <c r="A336" s="100" t="str">
        <f>$A$28</f>
        <v>Mrz 2022</v>
      </c>
      <c r="B336" s="24">
        <f>ROUND(IF(N316=0,0,IFERROR(((LOOKUP(2,1/(A322:A325=A336),G322:G325))*N316*4.348),B335/N316*N316)),2)</f>
        <v>0</v>
      </c>
      <c r="C336" s="23">
        <f>ROUND(IFERROR(((LOOKUP(2,1/(B327=A336),((SUM(B340:B342)+SUM(F340:F342))/3)*C327))),0)+IFERROR(((LOOKUP(2,1/(E327=A336),(B346+F346)*F327))),0),2)</f>
        <v>0</v>
      </c>
      <c r="D336" s="23">
        <f>ROUND(IF(B336=0,0,D333/L315*N316),2)</f>
        <v>0</v>
      </c>
      <c r="E336" s="23">
        <f>ROUND(IF(B336=0,0,E333/N311*N316),2)</f>
        <v>0</v>
      </c>
      <c r="F336" s="24">
        <f>ROUND(IF(N316=0,0,IFERROR(((LOOKUP(2,1/(A322:A325=A336),H322:H325))/N311*N316),F335/N316*N316)),2)</f>
        <v>0</v>
      </c>
      <c r="G336" s="27">
        <f t="shared" si="37"/>
        <v>0</v>
      </c>
      <c r="H336" s="76">
        <f>ROUND(IF(SUM(B334:F335)&lt;(L349*2),IF((SUM(B334:F336))&gt;(L349*3),(((L349*3)-(SUM(B334:F336)-C335))*H333)+((SUM(B336:F336)-C335)*H333),SUM(B336:F336)*H333),IF(SUM(B334:F336)&gt;(L349*3),L349*H333,SUM(B336:F336)*H333)),2)</f>
        <v>0</v>
      </c>
      <c r="I336" s="76">
        <f>ROUND(IF(SUM(B334:F335)&lt;(L350*2),IF((SUM(B334:F336))&gt;(L350*3),(((L350*3)-(SUM(B334:F336)-C335))*I333)+((SUM(B336:F336)-C335)*I333),SUM(B336:F336)*I333),IF(SUM(B334:F336)&gt;(L350*3),L350*I333,SUM(B336:F336)*I333)),2)</f>
        <v>0</v>
      </c>
      <c r="J336" s="76">
        <f>ROUND(IF(SUM(B334:F335)&lt;(L350*2),IF((SUM(B334:F336))&gt;(L350*3),(((L350*3)-(SUM(B334:F336)-C335))*J333)+((SUM(B336:F336)-C335)*J333),SUM(B336:F336)*J333),IF(SUM(B334:F336)&gt;(L350*3),L350*J333,SUM(B336:F336)*J333)),2)</f>
        <v>0</v>
      </c>
      <c r="K336" s="76">
        <f>ROUND(IF(SUM(B334:F335)&lt;(L349*2),IF((SUM(B334:F336))&gt;(L349*3),(((L349*3)-(SUM(B334:F336)-C335))*K333)+((SUM(B336:F336)-C335)*K333),SUM(B336:F336)*K333),IF(SUM(B334:F336)&gt;(L349*3),L349*K333,SUM(B336:F336)*K333)),2)</f>
        <v>0</v>
      </c>
      <c r="L336" s="76">
        <f>ROUND(IF(SUM(B334:F335)&lt;(L350*2),IF((SUM(B334:F336))&gt;(L350*3),(((L350*3)-(SUM(B334:F336)-C336))*L333)+((SUM(B336:F336)-C336)*L333),(SUM(B336:F336)-C336)*L333),IF(SUM(B334:F336)&gt;(L350*3),L350*L333,SUM(B336:F336)*L333)),2)</f>
        <v>0</v>
      </c>
      <c r="M336" s="76">
        <f>ROUND(IF(SUM(B334:F335)&lt;(L350*2),IF((SUM(B334:F336))&gt;(L350*3),(((L350*3)-(SUM(B334:F336)-C336))*M333)+((SUM(B336:F336)-C336)*M333),(SUM(B336:F336)-C336)*M333),IF(SUM(B334:F336)&gt;(L350*3),L350*M333,SUM(B336:F336)*M333)),2)</f>
        <v>0</v>
      </c>
      <c r="N336" s="76">
        <f>ROUND(IF(SUM(B334:F335)&lt;(L350*2),IF((SUM(B334:F336))&gt;(L350*3),(((L350*3)-(SUM(B334:F336)-C335))*N333)+((SUM(B336:F336)-C335)*N333),SUM(B336:F336)*N333),IF(SUM(B334:F336)&gt;(L350*3),L350*N333,SUM(B336:F336)*N333)),2)</f>
        <v>0</v>
      </c>
      <c r="O336" s="23">
        <f>ROUND(SUM(B336+C336+F336)*O333,2)</f>
        <v>0</v>
      </c>
      <c r="P336" s="27">
        <f t="shared" ref="P336:P345" si="38">SUM(G336:O336)</f>
        <v>0</v>
      </c>
    </row>
    <row r="337" spans="1:16" x14ac:dyDescent="0.2">
      <c r="A337" s="100" t="str">
        <f>$A$29</f>
        <v>Apr 2022</v>
      </c>
      <c r="B337" s="24">
        <f>ROUND(IF(N317=0,0,IFERROR(((LOOKUP(2,1/(A322:A325=A337),G322:G325))*N317*4.348),B336/N317*N317)),2)</f>
        <v>0</v>
      </c>
      <c r="C337" s="23">
        <f>ROUND(IFERROR(((LOOKUP(2,1/(B327=A337),((SUM(B340:B342)+SUM(F340:F342))/3)*C327))),0)+IFERROR(((LOOKUP(2,1/(E327=A337),(B346+F346)*F327))),0),2)</f>
        <v>0</v>
      </c>
      <c r="D337" s="23">
        <f>ROUND(IF(B337=0,0,D333/L315*N317),2)</f>
        <v>0</v>
      </c>
      <c r="E337" s="23">
        <f>ROUND(IF(B337=0,0,E333/N311*N317),2)</f>
        <v>0</v>
      </c>
      <c r="F337" s="24">
        <f>ROUND(IF(N317=0,0,IFERROR(((LOOKUP(2,1/(A322:A325=A337),H322:H325))/N311*N317),F336/N317*N317)),2)</f>
        <v>0</v>
      </c>
      <c r="G337" s="27">
        <f t="shared" si="37"/>
        <v>0</v>
      </c>
      <c r="H337" s="76">
        <f>ROUND(IF(SUM(B334:F336)&lt;(L349*3),IF((SUM(B334:F337))&gt;(L349*4),(((L349*4)-(SUM(B334:F337)-C336))*H333)+((SUM(B337:F337)-C336)*H333),SUM(B337:F337)*H333),IF(SUM(B334:F337)&gt;(L349*4),L349*H333,SUM(B337:F337)*H333)),2)</f>
        <v>0</v>
      </c>
      <c r="I337" s="76">
        <f>ROUND(IF(SUM(B334:F336)&lt;(L350*3),IF((SUM(B334:F337))&gt;(L350*4),(((L350*4)-(SUM(B334:F337)-C336))*I333)+((SUM(B337:F337)-C336)*I333),SUM(B337:F337)*I333),IF(SUM(B334:F337)&gt;(L350*4),L350*I333,SUM(B337:F337)*I333)),2)</f>
        <v>0</v>
      </c>
      <c r="J337" s="76">
        <f>ROUND(IF(SUM(B334:F336)&lt;(L350*3),IF((SUM(B334:F337))&gt;(L350*4),(((L350*4)-(SUM(B334:F337)-C336))*J333)+((SUM(B337:F337)-C336)*J333),SUM(B337:F337)*J333),IF(SUM(B334:F337)&gt;(L350*4),L350*J333,SUM(B337:F337)*J333)),2)</f>
        <v>0</v>
      </c>
      <c r="K337" s="76">
        <f>ROUND(IF(SUM(B334:F336)&lt;(L349*3),IF((SUM(B334:F337))&gt;(L349*4),(((L349*4)-(SUM(B334:F337)-C336))*K333)+((SUM(B337:F337)-C336)*K333),SUM(B337:F337)*K333),IF(SUM(B334:F337)&gt;(L349*4),L349*K333,SUM(B337:F337)*K333)),2)</f>
        <v>0</v>
      </c>
      <c r="L337" s="76">
        <f>ROUND(IF(SUM(B334:F336)&lt;(L350*3),IF((SUM(B334:F337))&gt;(L350*4),(((L350*4)-(SUM(B334:F337)-C337))*L333)+((SUM(B337:F337)-C337)*L333),(SUM(B337:F337)-C337)*L333),IF(SUM(B334:F337)&gt;(L350*4),L350*L333,SUM(B337:F337)*L333)),2)</f>
        <v>0</v>
      </c>
      <c r="M337" s="76">
        <f>ROUND(IF(SUM(B334:F336)&lt;(L350*3),IF((SUM(B334:F337))&gt;(L350*4),(((L350*4)-(SUM(B334:F337)-C337))*M333)+((SUM(B337:F337)-C337)*M333),(SUM(B337:F337)-C337)*M333),IF(SUM(B334:F337)&gt;(L350*4),L350*M333,SUM(B337:F337)*M333)),2)</f>
        <v>0</v>
      </c>
      <c r="N337" s="76">
        <f>ROUND(IF(SUM(B334:F336)&lt;(L350*3),IF((SUM(B334:F337))&gt;(L350*4),(((L350*4)-(SUM(B334:F337)-C336))*N333)+((SUM(B337:F337)-C336)*N333),SUM(B337:F337)*N333),IF(SUM(B334:F337)&gt;(L350*4),L350*N333,SUM(B337:F337)*N333)),2)</f>
        <v>0</v>
      </c>
      <c r="O337" s="23">
        <f>ROUND(SUM(B337+C337+F337)*O333,2)</f>
        <v>0</v>
      </c>
      <c r="P337" s="27">
        <f t="shared" si="38"/>
        <v>0</v>
      </c>
    </row>
    <row r="338" spans="1:16" x14ac:dyDescent="0.2">
      <c r="A338" s="100" t="str">
        <f>$A$30</f>
        <v>Mai 2022</v>
      </c>
      <c r="B338" s="24">
        <f>ROUND(IF(N318=0,0,IFERROR(((LOOKUP(2,1/(A322:A325=A338),G322:G325))*N318*4.348),B337/N318*N318)),2)</f>
        <v>0</v>
      </c>
      <c r="C338" s="23">
        <f>ROUND(IFERROR(((LOOKUP(2,1/(B327=A338),((SUM(B340:B342)+SUM(F340:F342))/3)*C327))),0)+IFERROR(((LOOKUP(2,1/(E327=A338),(B346+F346)*F327))),0),2)</f>
        <v>0</v>
      </c>
      <c r="D338" s="23">
        <f>ROUND(IF(B338=0,0,D333/L315*N318),2)</f>
        <v>0</v>
      </c>
      <c r="E338" s="23">
        <f>ROUND(IF(B338=0,0,E333/N311*N318),2)</f>
        <v>0</v>
      </c>
      <c r="F338" s="24">
        <f>ROUND(IF(N318=0,0,IFERROR(((LOOKUP(2,1/(A322:A325=A338),H322:H325))/N311*N318),F337/N318*N318)),2)</f>
        <v>0</v>
      </c>
      <c r="G338" s="27">
        <f t="shared" si="37"/>
        <v>0</v>
      </c>
      <c r="H338" s="76">
        <f>ROUND(IF(SUM(B334:F337)&lt;(L349*4),IF((SUM(B334:F338))&gt;(L349*5),(((L349*5)-(SUM(B334:F338)-C337))*H333)+((SUM(B338:F338)-C337)*H333),SUM(B338:F338)*H333),IF(SUM(B334:F338)&gt;(L349*5),L349*H333,SUM(B338:F338)*H333)),2)</f>
        <v>0</v>
      </c>
      <c r="I338" s="76">
        <f>ROUND(IF(SUM(B334:F337)&lt;(L350*4),IF((SUM(B334:F338))&gt;(L350*5),(((L350*5)-(SUM(B334:F338)-C337))*I333)+((SUM(B338:F338)-C337)*I333),SUM(B338:F338)*I333),IF(SUM(B334:F338)&gt;(L350*5),L350*I333,SUM(B338:F338)*I333)),2)</f>
        <v>0</v>
      </c>
      <c r="J338" s="76">
        <f>ROUND(IF(SUM(B334:F337)&lt;(L350*4),IF((SUM(B334:F338))&gt;(L350*5),(((L350*5)-(SUM(B334:F338)-C337))*J333)+((SUM(B338:F338)-C337)*J333),SUM(B338:F338)*J333),IF(SUM(B334:F338)&gt;(L350*5),L350*J333,SUM(B338:F338)*J333)),2)</f>
        <v>0</v>
      </c>
      <c r="K338" s="76">
        <f>ROUND(IF(SUM(B334:F337)&lt;(L349*4),IF((SUM(B334:F338))&gt;(L349*5),(((L349*5)-(SUM(B334:F338)-C337))*K333)+((SUM(B338:F338)-C337)*K333),SUM(B338:F338)*K333),IF(SUM(B334:F338)&gt;(L349*5),L349*K333,SUM(B338:F338)*K333)),2)</f>
        <v>0</v>
      </c>
      <c r="L338" s="76">
        <f>ROUND(IF(SUM(B334:F337)&lt;(L350*4),IF((SUM(B334:F338))&gt;(L350*5),(((L350*5)-(SUM(B334:F338)-C338))*L333)+((SUM(B338:F338)-C338)*L333),(SUM(B338:F338)-C338)*L333),IF(SUM(B334:F338)&gt;(L350*5),L350*L333,SUM(B338:F338)*L333)),2)</f>
        <v>0</v>
      </c>
      <c r="M338" s="76">
        <f>ROUND(IF(SUM(B334:F337)&lt;(L350*4),IF((SUM(B334:F338))&gt;(L350*5),(((L350*5)-(SUM(B334:F338)-C338))*M333)+((SUM(B338:F338)-C338)*M333),(SUM(B338:F338)-C338)*M333),IF(SUM(B334:F338)&gt;(L350*5),L350*M333,SUM(B338:F338)*M333)),2)</f>
        <v>0</v>
      </c>
      <c r="N338" s="76">
        <f>ROUND(IF(SUM(B334:F337)&lt;(L350*4),IF((SUM(B334:F338))&gt;(L350*5),(((L350*5)-(SUM(B334:F338)-C337))*N333)+((SUM(B338:F338)-C337)*N333),SUM(B338:F338)*N333),IF(SUM(B334:F338)&gt;(L350*5),L350*N333,SUM(B338:F338)*N333)),2)</f>
        <v>0</v>
      </c>
      <c r="O338" s="23">
        <f>ROUND(SUM(B338+C338+F338)*O333,2)</f>
        <v>0</v>
      </c>
      <c r="P338" s="27">
        <f t="shared" si="38"/>
        <v>0</v>
      </c>
    </row>
    <row r="339" spans="1:16" x14ac:dyDescent="0.2">
      <c r="A339" s="100" t="str">
        <f>$A$31</f>
        <v>Jun 2022</v>
      </c>
      <c r="B339" s="24">
        <f>ROUND(IF(N319=0,0,IFERROR(((LOOKUP(2,1/(A322:A325=A339),G322:G325))*N319*4.348),B338/N319*N319)),2)</f>
        <v>0</v>
      </c>
      <c r="C339" s="23">
        <f>ROUND(IFERROR(((LOOKUP(2,1/(B327=A339),((SUM(B340:B342)+SUM(F340:F342))/3)*C327))),0)+IFERROR(((LOOKUP(2,1/(E327=A339),(B346+F346)*F327))),0),2)</f>
        <v>0</v>
      </c>
      <c r="D339" s="23">
        <f>ROUND(IF(B339=0,0,D333/L315*N319),2)</f>
        <v>0</v>
      </c>
      <c r="E339" s="23">
        <f>ROUND(IF(B339=0,0,E333/N311*N319),2)</f>
        <v>0</v>
      </c>
      <c r="F339" s="24">
        <f>ROUND(IF(N319=0,0,IFERROR(((LOOKUP(2,1/(A322:A325=A339),H322:H325))/N311*N319),F338/N319*N319)),2)</f>
        <v>0</v>
      </c>
      <c r="G339" s="27">
        <f t="shared" si="37"/>
        <v>0</v>
      </c>
      <c r="H339" s="76">
        <f>ROUND(IF(SUM(B334:F338)&lt;(L349*5),IF((SUM(B334:F339))&gt;(L349*6),(((L349*6)-(SUM(B334:F339)-C338))*H333)+((SUM(B339:F339)-C338)*H333),SUM(B339:F339)*H333),IF(SUM(B334:F339)&gt;(L349*6),L349*H333,SUM(B339:F339)*H333)),2)</f>
        <v>0</v>
      </c>
      <c r="I339" s="76">
        <f>ROUND(IF(SUM(B334:F338)&lt;(L350*5),IF((SUM(B334:F339))&gt;(L350*6),(((L350*6)-(SUM(B334:F339)-C338))*I333)+((SUM(B339:F339)-C338)*I333),SUM(B339:F339)*I333),IF(SUM(B334:F339)&gt;(L350*6),L350*I333,SUM(B339:F339)*I333)),2)</f>
        <v>0</v>
      </c>
      <c r="J339" s="76">
        <f>ROUND(IF(SUM(B334:F338)&lt;(L350*5),IF((SUM(B334:F339))&gt;(L350*6),(((L350*6)-(SUM(B334:F339)-C338))*J333)+((SUM(B339:F339)-C338)*J333),SUM(B339:F339)*J333),IF(SUM(B334:F339)&gt;(L350*6),L350*J333,SUM(B339:F339)*J333)),2)</f>
        <v>0</v>
      </c>
      <c r="K339" s="76">
        <f>ROUND(IF(SUM(B334:F338)&lt;(L349*5),IF((SUM(B334:F339))&gt;(L349*6),(((L349*6)-(SUM(B334:F339)-C338))*K333)+((SUM(B339:F339)-C338)*K333),SUM(B339:F339)*K333),IF(SUM(B334:F339)&gt;(L349*6),L349*K333,SUM(B339:F339)*K333)),2)</f>
        <v>0</v>
      </c>
      <c r="L339" s="76">
        <f>ROUND(IF(SUM(B334:F338)&lt;(L350*5),IF((SUM(B334:F339))&gt;(L350*6),(((L350*6)-(SUM(B334:F339)-C339))*L333)+((SUM(B339:F339)-C339)*L333),(SUM(B339:F339)-C339)*L333),IF(SUM(B334:F339)&gt;(L350*6),L350*L333,SUM(B339:F339)*L333)),2)</f>
        <v>0</v>
      </c>
      <c r="M339" s="76">
        <f>ROUND(IF(SUM(B334:F338)&lt;(L350*5),IF((SUM(B334:F339))&gt;(L350*6),(((L350*6)-(SUM(B334:F339)-C339))*M333)+((SUM(B339:F339)-C339)*M333),(SUM(B339:F339)-C339)*M333),IF(SUM(B334:F339)&gt;(L350*6),L350*M333,SUM(B339:F339)*M333)),2)</f>
        <v>0</v>
      </c>
      <c r="N339" s="76">
        <f>ROUND(IF(SUM(B334:F338)&lt;(L350*5),IF((SUM(B334:F339))&gt;(L350*6),(((L350*6)-(SUM(B334:F339)-C338))*N333)+((SUM(B339:F339)-C338)*N333),SUM(B339:F339)*N333),IF(SUM(B334:F339)&gt;(L350*6),L350*N333,SUM(B339:F339)*N333)),2)</f>
        <v>0</v>
      </c>
      <c r="O339" s="23">
        <f>ROUND(SUM(B339+C339+F339)*O333,2)</f>
        <v>0</v>
      </c>
      <c r="P339" s="27">
        <f t="shared" si="38"/>
        <v>0</v>
      </c>
    </row>
    <row r="340" spans="1:16" x14ac:dyDescent="0.2">
      <c r="A340" s="100" t="str">
        <f>$A$32</f>
        <v>Jul 2022</v>
      </c>
      <c r="B340" s="24">
        <f>ROUND(IF(P314=0,0,IFERROR(((LOOKUP(2,1/(A322:A325=A340),G322:G325))*P314*4.348),B339/P314*P314)),2)</f>
        <v>0</v>
      </c>
      <c r="C340" s="23">
        <f>ROUND(IFERROR(((LOOKUP(2,1/(B327=A340),((SUM(B340:B342)+SUM(F340:F342))/3)*C327))),0)+IFERROR(((LOOKUP(2,1/(E327=A340),(B346+F346)*F327))),0),2)</f>
        <v>0</v>
      </c>
      <c r="D340" s="23">
        <f>ROUND(IF(B340=0,0,D333/L315*P314),2)</f>
        <v>0</v>
      </c>
      <c r="E340" s="23">
        <f>ROUND(IF(B340=0,0,E333/N311*P314),2)</f>
        <v>0</v>
      </c>
      <c r="F340" s="24">
        <f>ROUND(IF(P314=0,0,IFERROR(((LOOKUP(2,1/(A322:A325=A340),H322:H325))/N311*P314),F339/P314*P314)),2)</f>
        <v>0</v>
      </c>
      <c r="G340" s="27">
        <f t="shared" si="37"/>
        <v>0</v>
      </c>
      <c r="H340" s="76">
        <f>ROUND(IF(SUM(B334:F339)&lt;(L349*6),IF((SUM(B334:F340))&gt;(L349*7),(((L349*7)-(SUM(B334:F340)-C339))*H333)+((SUM(B340:F340)-C339)*H333),SUM(B340:F340)*H333),IF(SUM(B334:F340)&gt;(L349*7),L349*H333,SUM(B340:F340)*H333)),2)</f>
        <v>0</v>
      </c>
      <c r="I340" s="76">
        <f>ROUND(IF(SUM(B334:F339)&lt;(L350*6),IF((SUM(B334:F340))&gt;(L350*7),(((L350*7)-(SUM(B334:F340)-C339))*I333)+((SUM(B340:F340)-C339)*I333),SUM(B340:F340)*I333),IF(SUM(B334:F340)&gt;(L350*7),L350*I333,SUM(B340:F340)*I333)),2)</f>
        <v>0</v>
      </c>
      <c r="J340" s="76">
        <f>ROUND(IF(SUM(B334:F339)&lt;(L350*6),IF((SUM(B334:F340))&gt;(L350*7),(((L350*7)-(SUM(B334:F340)-C339))*J333)+((SUM(B340:F340)-C339)*J333),SUM(B340:F340)*J333),IF(SUM(B334:F340)&gt;(L350*7),L350*J333,SUM(B340:F340)*J333)),2)</f>
        <v>0</v>
      </c>
      <c r="K340" s="76">
        <f>ROUND(IF(SUM(B334:F339)&lt;(L349*6),IF((SUM(B334:F340))&gt;(L349*7),(((L349*7)-(SUM(B334:F340)-C339))*K333)+((SUM(B340:F340)-C339)*K333),SUM(B340:F340)*K333),IF(SUM(B334:F340)&gt;(L349*7),L349*K333,SUM(B340:F340)*K333)),2)</f>
        <v>0</v>
      </c>
      <c r="L340" s="76">
        <f>ROUND(IF(SUM(B334:F339)&lt;(L350*6),IF((SUM(B334:F340))&gt;(L350*7),(((L350*7)-(SUM(B334:F340)-C340))*L333)+((SUM(B340:F340)-C340)*L333),(SUM(B340:F340)-C340)*L333),IF(SUM(B334:F340)&gt;(L350*7),L350*L333,SUM(B340:F340)*L333)),2)</f>
        <v>0</v>
      </c>
      <c r="M340" s="76">
        <f>ROUND(IF(SUM(B334:F339)&lt;(L350*6),IF((SUM(B334:F340))&gt;(L350*7),(((L350*7)-(SUM(B334:F340)-C340))*M333)+((SUM(B340:F340)-C340)*M333),(SUM(B340:F340)-C340)*M333),IF(SUM(B334:F340)&gt;(L350*7),L350*M333,SUM(B340:F340)*M333)),2)</f>
        <v>0</v>
      </c>
      <c r="N340" s="76">
        <f>ROUND(IF(SUM(B334:F339)&lt;(L350*6),IF((SUM(B334:F340))&gt;(L350*7),(((L350*7)-(SUM(B334:F340)-C339))*N333)+((SUM(B340:F340)-C339)*N333),SUM(B340:F340)*N333),IF(SUM(B334:F340)&gt;(L350*7),L350*N333,SUM(B340:F340)*N333)),2)</f>
        <v>0</v>
      </c>
      <c r="O340" s="23">
        <f>ROUND(SUM(B340+C340+F340)*O333,2)</f>
        <v>0</v>
      </c>
      <c r="P340" s="27">
        <f t="shared" si="38"/>
        <v>0</v>
      </c>
    </row>
    <row r="341" spans="1:16" x14ac:dyDescent="0.2">
      <c r="A341" s="100" t="str">
        <f>$A$33</f>
        <v>Aug 2022</v>
      </c>
      <c r="B341" s="24">
        <f>ROUND(IF(P315=0,0,IFERROR(((LOOKUP(2,1/(A322:A325=A341),G322:G325))*P315*4.348),B340/P315*P315)),2)</f>
        <v>0</v>
      </c>
      <c r="C341" s="23">
        <f>ROUND(IFERROR(((LOOKUP(2,1/(B327=A341),((SUM(B340:B342)+SUM(F340:F342))/3)*C327))),0)+IFERROR(((LOOKUP(2,1/(E327=A341),(B346+F346)*F327))),0),2)</f>
        <v>0</v>
      </c>
      <c r="D341" s="23">
        <f>ROUND(IF(B341=0,0,D333/L315*P315),2)</f>
        <v>0</v>
      </c>
      <c r="E341" s="23">
        <f>ROUND(IF(B341=0,0,E333/N311*P315),2)</f>
        <v>0</v>
      </c>
      <c r="F341" s="24">
        <f>ROUND(IF(P315=0,0,IFERROR(((LOOKUP(2,1/(A322:A325=A341),H322:H325))/N311*P315),F340/P315*P315)),2)</f>
        <v>0</v>
      </c>
      <c r="G341" s="27">
        <f t="shared" si="37"/>
        <v>0</v>
      </c>
      <c r="H341" s="76">
        <f>ROUND(IF(SUM(B334:F340)&lt;(L349*7),IF((SUM(B334:F341))&gt;(L349*8),(((L349*8)-(SUM(B334:F341)-C340))*H333)+((SUM(B341:F341)-C340)*H333),SUM(B341:F341)*H333),IF(SUM(B334:F341)&gt;(L349*8),L349*H333,SUM(B341:F341)*H333)),2)</f>
        <v>0</v>
      </c>
      <c r="I341" s="76">
        <f>ROUND(IF(SUM(B334:F340)&lt;(L350*7),IF((SUM(B334:F341))&gt;(L350*8),(((L350*8)-(SUM(B334:F341)-C340))*I333)+((SUM(B341:F341)-C340)*I333),SUM(B341:F341)*I333),IF(SUM(B334:F341)&gt;(L350*8),L350*I333,SUM(B341:F341)*I333)),2)</f>
        <v>0</v>
      </c>
      <c r="J341" s="76">
        <f>ROUND(IF(SUM(B334:F340)&lt;(L350*7),IF((SUM(B334:F341))&gt;(L350*8),(((L350*8)-(SUM(B334:F341)-C340))*J333)+((SUM(B341:F341)-C340)*J333),SUM(B341:F341)*J333),IF(SUM(B334:F341)&gt;(L350*8),L350*J333,SUM(B341:F341)*J333)),2)</f>
        <v>0</v>
      </c>
      <c r="K341" s="76">
        <f>ROUND(IF(SUM(B334:F340)&lt;(L349*7),IF((SUM(B334:F341))&gt;(L349*8),(((L349*8)-(SUM(B334:F341)-C340))*K333)+((SUM(B341:F341)-C340)*K333),SUM(B341:F341)*K333),IF(SUM(B334:F341)&gt;(L349*8),L349*K333,SUM(B341:F341)*K333)),2)</f>
        <v>0</v>
      </c>
      <c r="L341" s="76">
        <f>ROUND(IF(SUM(B334:F340)&lt;(L350*7),IF((SUM(B334:F341))&gt;(L350*8),(((L350*8)-(SUM(B334:F341)-C341))*L333)+((SUM(B341:F341)-C341)*L333),(SUM(B341:F341)-C341)*L333),IF(SUM(B334:F341)&gt;(L350*8),L350*L333,SUM(B341:F341)*L333)),2)</f>
        <v>0</v>
      </c>
      <c r="M341" s="76">
        <f>ROUND(IF(SUM(B334:F340)&lt;(L350*7),IF((SUM(B334:F341))&gt;(L350*8),(((L350*8)-(SUM(B334:F341)-C341))*M333)+((SUM(B341:F341)-C341)*M333),(SUM(B341:F341)-C341)*M333),IF(SUM(B334:F341)&gt;(L350*8),L350*M333,SUM(B341:F341)*M333)),2)</f>
        <v>0</v>
      </c>
      <c r="N341" s="76">
        <f>ROUND(IF(SUM(B334:F340)&lt;(L350*7),IF((SUM(B334:F341))&gt;(L350*8),(((L350*8)-(SUM(B334:F341)-C340))*N333)+((SUM(B341:F341)-C340)*N333),SUM(B341:F341)*N333),IF(SUM(B334:F341)&gt;(L350*8),L350*N333,SUM(B341:F341)*N333)),2)</f>
        <v>0</v>
      </c>
      <c r="O341" s="23">
        <f>ROUND(SUM(B341+C341+F341)*O333,2)</f>
        <v>0</v>
      </c>
      <c r="P341" s="27">
        <f t="shared" si="38"/>
        <v>0</v>
      </c>
    </row>
    <row r="342" spans="1:16" x14ac:dyDescent="0.2">
      <c r="A342" s="100" t="str">
        <f>$A$34</f>
        <v>Sep 2022</v>
      </c>
      <c r="B342" s="24">
        <f>ROUND(IF(P316=0,0,IFERROR(((LOOKUP(2,1/(A322:A325=A342),G322:G325))*P316*4.348),B341/P316*P316)),2)</f>
        <v>0</v>
      </c>
      <c r="C342" s="23">
        <f>ROUND(IFERROR(((LOOKUP(2,1/(B327=A342),((SUM(B340:B342)+SUM(F340:F342))/3)*C327))),0)+IFERROR(((LOOKUP(2,1/(E327=A342),(B346+F346)*F327))),0),2)</f>
        <v>0</v>
      </c>
      <c r="D342" s="23">
        <f>ROUND(IF(B342=0,0,D333/L315*P316),2)</f>
        <v>0</v>
      </c>
      <c r="E342" s="23">
        <f>ROUND(IF(B342=0,0,E333/N311*P316),2)</f>
        <v>0</v>
      </c>
      <c r="F342" s="24">
        <f>ROUND(IF(P316=0,0,IFERROR(((LOOKUP(2,1/(A322:A325=A342),H322:H325))/N311*P316),F341/P316*P316)),2)</f>
        <v>0</v>
      </c>
      <c r="G342" s="27">
        <f t="shared" si="37"/>
        <v>0</v>
      </c>
      <c r="H342" s="76">
        <f>ROUND(IF(SUM(B334:F341)&lt;(L349*8),IF((SUM(B334:F342))&gt;(L349*9),(((L349*9)-(SUM(B334:F342)-C341))*H333)+((SUM(B342:F342)-C341)*H333),SUM(B342:F342)*H333),IF(SUM(B334:F342)&gt;(L349*9),L349*H333,SUM(B342:F342)*H333)),2)</f>
        <v>0</v>
      </c>
      <c r="I342" s="76">
        <f>ROUND(IF(SUM(B334:F341)&lt;(L350*8),IF((SUM(B334:F342))&gt;(L350*9),(((L350*9)-(SUM(B334:F342)-C341))*I333)+((SUM(B342:F342)-C341)*I333),SUM(B342:F342)*I333),IF(SUM(B334:F342)&gt;(L350*9),L350*I333,SUM(B342:F342)*I333)),2)</f>
        <v>0</v>
      </c>
      <c r="J342" s="76">
        <f>ROUND(IF(SUM(B334:F341)&lt;(L350*8),IF((SUM(B334:F342))&gt;(L350*9),(((L350*9)-(SUM(B334:F342)-C341))*J333)+((SUM(B342:F342)-C341)*J333),SUM(B342:F342)*J333),IF(SUM(B334:F342)&gt;(L350*9),L350*J333,SUM(B342:F342)*J333)),2)</f>
        <v>0</v>
      </c>
      <c r="K342" s="76">
        <f>ROUND(IF(SUM(B334:F341)&lt;(L349*8),IF((SUM(B334:F342))&gt;(L349*9),(((L349*9)-(SUM(B334:F342)-C341))*K333)+((SUM(B342:F342)-C341)*K333),SUM(B342:F342)*K333),IF(SUM(B334:F342)&gt;(L349*9),L349*K333,SUM(B342:F342)*K333)),2)</f>
        <v>0</v>
      </c>
      <c r="L342" s="76">
        <f>ROUND(IF(SUM(B334:F341)&lt;(L350*8),IF((SUM(B334:F342))&gt;(L350*9),(((L350*9)-(SUM(B334:F342)-C342))*L333)+((SUM(B342:F342)-C342)*L333),(SUM(B342:F342)-C342)*L333),IF(SUM(B334:F342)&gt;(L350*9),L350*L333,SUM(B342:F342)*L333)),2)</f>
        <v>0</v>
      </c>
      <c r="M342" s="76">
        <f>ROUND(IF(SUM(B334:F341)&lt;(L350*8),IF((SUM(B334:F342))&gt;(L350*9),(((L350*9)-(SUM(B334:F342)-C342))*M333)+((SUM(B342:F342)-C342)*M333),(SUM(B342:F342)-C342)*M333),IF(SUM(B334:F342)&gt;(L350*9),L350*M333,SUM(B342:F342)*M333)),2)</f>
        <v>0</v>
      </c>
      <c r="N342" s="76">
        <f>ROUND(IF(SUM(B334:F341)&lt;(L350*8),IF((SUM(B334:F342))&gt;(L350*9),(((L350*9)-(SUM(B334:F342)-C341))*N333)+((SUM(B342:F342)-C341)*N333),SUM(B342:F342)*N333),IF(SUM(B334:F342)&gt;(L350*9),L350*N333,SUM(B342:F342)*N333)),2)</f>
        <v>0</v>
      </c>
      <c r="O342" s="23">
        <f>ROUND(SUM(B342+C342+F342)*O333,2)</f>
        <v>0</v>
      </c>
      <c r="P342" s="27">
        <f t="shared" si="38"/>
        <v>0</v>
      </c>
    </row>
    <row r="343" spans="1:16" x14ac:dyDescent="0.2">
      <c r="A343" s="100" t="str">
        <f>$A$35</f>
        <v>Okt 2022</v>
      </c>
      <c r="B343" s="24">
        <f>ROUND(IF(P317=0,0,IFERROR(((LOOKUP(2,1/(A322:A325=A343),G322:G325))*P317*4.348),B342/P317*P317)),2)</f>
        <v>0</v>
      </c>
      <c r="C343" s="23">
        <f>ROUND(IFERROR(((LOOKUP(2,1/(B327=A343),((SUM(B340:B342)+SUM(F340:F342))/3)*C327))),0)+IFERROR(((LOOKUP(2,1/(E327=A343),(B346+F346)*F327))),0),2)</f>
        <v>0</v>
      </c>
      <c r="D343" s="23">
        <f>ROUND(IF(B343=0,0,D333/L315*P317),2)</f>
        <v>0</v>
      </c>
      <c r="E343" s="23">
        <f>ROUND(IF(B343=0,0,E333/N311*P317),2)</f>
        <v>0</v>
      </c>
      <c r="F343" s="24">
        <f>ROUND(IF(P317=0,0,IFERROR(((LOOKUP(2,1/(A322:A325=A343),H322:H325))/N311*P317),F342/P317*P317)),2)</f>
        <v>0</v>
      </c>
      <c r="G343" s="27">
        <f t="shared" si="37"/>
        <v>0</v>
      </c>
      <c r="H343" s="76">
        <f>ROUND(IF(SUM(B334:F342)&lt;(L349*9),IF((SUM(B334:F343))&gt;(L349*10),(((L349*10)-(SUM(B334:F343)-C342))*H333)+((SUM(B343:F343)-C342)*H333),SUM(B343:F343)*H333),IF(SUM(B334:F343)&gt;(L349*10),L349*H333,SUM(B343:F343)*H333)),2)</f>
        <v>0</v>
      </c>
      <c r="I343" s="76">
        <f>ROUND(IF(SUM(B334:F342)&lt;(L350*9),IF((SUM(B334:F343))&gt;(L350*10),(((L350*10)-(SUM(B334:F343)-C342))*I333)+((SUM(B343:F343)-C342)*I333),SUM(B343:F343)*I333),IF(SUM(B334:F343)&gt;(L350*10),L350*I333,SUM(B343:F343)*I333)),2)</f>
        <v>0</v>
      </c>
      <c r="J343" s="76">
        <f>ROUND(IF(SUM(B334:F342)&lt;(L350*9),IF((SUM(B334:F343))&gt;(L350*10),(((L350*10)-(SUM(B334:F343)-C342))*J333)+((SUM(B343:F343)-C342)*J333),SUM(B343:F343)*J333),IF(SUM(B334:F343)&gt;(L350*10),L350*J333,SUM(B343:F343)*J333)),2)</f>
        <v>0</v>
      </c>
      <c r="K343" s="76">
        <f>ROUND(IF(SUM(B334:F342)&lt;(L349*9),IF((SUM(B334:F343))&gt;(L349*10),(((L349*10)-(SUM(B334:F343)-C342))*K333)+((SUM(B343:F343)-C342)*K333),SUM(B343:F343)*K333),IF(SUM(B334:F343)&gt;(L349*10),L349*K333,SUM(B343:F343)*K333)),2)</f>
        <v>0</v>
      </c>
      <c r="L343" s="76">
        <f>ROUND(IF(SUM(B334:F342)&lt;(L350*9),IF((SUM(B334:F343))&gt;(L350*10),(((L350*10)-(SUM(B334:F343)-C343))*L333)+((SUM(B343:F343)-C343)*L333),(SUM(B343:F343)-C343)*L333),IF(SUM(B334:F343)&gt;(L350*10),L350*L333,SUM(B343:F343)*L333)),2)</f>
        <v>0</v>
      </c>
      <c r="M343" s="76">
        <f>ROUND(IF(SUM(B334:F342)&lt;(L350*9),IF((SUM(B334:F343))&gt;(L350*10),(((L350*10)-(SUM(B334:F343)-C343))*M333)+((SUM(B343:F343)-C343)*M333),(SUM(B343:F343)-C343)*M333),IF(SUM(B334:F343)&gt;(L350*10),L350*M333,SUM(B343:F343)*M333)),2)</f>
        <v>0</v>
      </c>
      <c r="N343" s="76">
        <f>ROUND(IF(SUM(B334:F342)&lt;(L350*9),IF((SUM(B334:F343))&gt;(L350*10),(((L350*10)-(SUM(B334:F343)-C342))*N333)+((SUM(B343:F343)-C342)*N333),SUM(B343:F343)*N333),IF(SUM(B334:F343)&gt;(L350*10),L350*N333,SUM(B343:F343)*N333)),2)</f>
        <v>0</v>
      </c>
      <c r="O343" s="23">
        <f>ROUND(SUM(B343+C343+F343)*O333,2)</f>
        <v>0</v>
      </c>
      <c r="P343" s="27">
        <f t="shared" si="38"/>
        <v>0</v>
      </c>
    </row>
    <row r="344" spans="1:16" x14ac:dyDescent="0.2">
      <c r="A344" s="100" t="str">
        <f>$A$36</f>
        <v>Nov 2022</v>
      </c>
      <c r="B344" s="24">
        <f>ROUND(IF(P318=0,0,IFERROR(((LOOKUP(2,1/(A322:A325=A344),G322:G325))*P318*4.348),B343/P318*P318)),2)</f>
        <v>0</v>
      </c>
      <c r="C344" s="23">
        <f>ROUND(IFERROR(((LOOKUP(2,1/(B327=A344),((SUM(B340:B342)+SUM(F340:F342))/3)*C327))),0)+IFERROR(((LOOKUP(2,1/(E327=A344),(B346+F346)*F327))),0),2)</f>
        <v>0</v>
      </c>
      <c r="D344" s="23">
        <f>ROUND(IF(B344=0,0,D333/L315*P318),2)</f>
        <v>0</v>
      </c>
      <c r="E344" s="23">
        <f>ROUND(IF(B344=0,0,E333/N311*P318),2)</f>
        <v>0</v>
      </c>
      <c r="F344" s="24">
        <f>ROUND(IF(P318=0,0,IFERROR(((LOOKUP(2,1/(A322:A325=A344),H322:H325))/N311*P318),F343/P318*P318)),2)</f>
        <v>0</v>
      </c>
      <c r="G344" s="27">
        <f t="shared" si="37"/>
        <v>0</v>
      </c>
      <c r="H344" s="76">
        <f>ROUND(IF(SUM(B334:F343)&lt;(L349*10),IF((SUM(B334:F344))&gt;(L349*11),(((L349*11)-(SUM(B334:F344)-C343))*H333)+((SUM(B344:F344)-C343)*H333),SUM(B344:F344)*H333),IF(SUM(B334:F344)&gt;(L349*11),L349*H333,SUM(B344:F344)*H333)),2)</f>
        <v>0</v>
      </c>
      <c r="I344" s="76">
        <f>ROUND(IF(SUM(B334:F343)&lt;(L350*10),IF((SUM(B334:F344))&gt;(L350*11),(((L350*11)-(SUM(B334:F344)-C343))*I333)+((SUM(B344:F344)-C343)*I333),SUM(B344:F344)*I333),IF(SUM(B334:F344)&gt;(L350*11),L350*I333,SUM(B344:F344)*I333)),2)</f>
        <v>0</v>
      </c>
      <c r="J344" s="76">
        <f>ROUND(IF(SUM(B334:F343)&lt;(L350*10),IF((SUM(B334:F344))&gt;(L350*11),(((L350*11)-(SUM(B334:F344)-C343))*J333)+((SUM(B344:F344)-C343)*J333),SUM(B344:F344)*J333),IF(SUM(B334:F344)&gt;(L350*11),L350*J333,SUM(B344:F344)*J333)),2)</f>
        <v>0</v>
      </c>
      <c r="K344" s="76">
        <f>ROUND(IF(SUM(B334:F343)&lt;(L349*10),IF((SUM(B334:F344))&gt;(L349*11),(((L349*11)-(SUM(B334:F344)-C343))*K333)+((SUM(B344:F344)-C343)*K333),SUM(B344:F344)*K333),IF(SUM(B334:F344)&gt;(L349*11),L349*K333,SUM(B344:F344)*K333)),2)</f>
        <v>0</v>
      </c>
      <c r="L344" s="76">
        <f>ROUND(IF(SUM(B334:F343)&lt;(L350*10),IF((SUM(B334:F344))&gt;(L350*11),(((L350*11)-(SUM(B334:F344)-C344))*L333)+((SUM(B344:F344)-C344)*L333),(SUM(B344:F344)-C344)*L333),IF(SUM(B334:F344)&gt;(L350*11),L350*L333,SUM(B344:F344)*L333)),2)</f>
        <v>0</v>
      </c>
      <c r="M344" s="76">
        <f>ROUND(IF(SUM(B334:F343)&lt;(L350*10),IF((SUM(B334:F344))&gt;(L350*11),(((L350*11)-(SUM(B334:F344)-C344))*M333)+((SUM(B344:F344)-C344)*M333),(SUM(B344:F344)-C344)*M333),IF(SUM(B334:F344)&gt;(L350*11),L350*M333,SUM(B344:F344)*M333)),2)</f>
        <v>0</v>
      </c>
      <c r="N344" s="76">
        <f>ROUND(IF(SUM(B334:F343)&lt;(L350*10),IF((SUM(B334:F344))&gt;(L350*11),(((L350*11)-(SUM(B334:F344)-C343))*N333)+((SUM(B344:F344)-C343)*N333),SUM(B344:F344)*N333),IF(SUM(B334:F344)&gt;(L350*11),L350*N333,SUM(B344:F344)*N333)),2)</f>
        <v>0</v>
      </c>
      <c r="O344" s="23">
        <f>ROUND(SUM(B344+C344+F344)*O333,2)</f>
        <v>0</v>
      </c>
      <c r="P344" s="27">
        <f t="shared" si="38"/>
        <v>0</v>
      </c>
    </row>
    <row r="345" spans="1:16" x14ac:dyDescent="0.2">
      <c r="A345" s="100" t="str">
        <f>$A$37</f>
        <v>Dez 2022</v>
      </c>
      <c r="B345" s="24">
        <f>ROUND(IF(P319=0,0,IFERROR(((LOOKUP(2,1/(A322:A325=A345),G322:G325))*P319*4.348),B344/P319*P319)),2)</f>
        <v>0</v>
      </c>
      <c r="C345" s="23">
        <f>ROUND(IFERROR(((LOOKUP(2,1/(B327=A345),((SUM(B340:B342)+SUM(F340:F342))/3)*C327))),0)+IFERROR(((LOOKUP(2,1/(E327=A345),(B346+F346)*F327))),0),2)</f>
        <v>0</v>
      </c>
      <c r="D345" s="23">
        <f>ROUND(IF(B345=0,0,D333/L315*P319),2)</f>
        <v>0</v>
      </c>
      <c r="E345" s="23">
        <f>ROUND(IF(B345=0,0,E333/N311*P319),2)</f>
        <v>0</v>
      </c>
      <c r="F345" s="24">
        <f>ROUND(IF(P319=0,0,IFERROR(((LOOKUP(2,1/(A322:A325=A345),H322:H325))/N311*P319),F344/P319*P319)),2)</f>
        <v>0</v>
      </c>
      <c r="G345" s="27">
        <f t="shared" si="37"/>
        <v>0</v>
      </c>
      <c r="H345" s="76">
        <f>ROUND(IF(SUM(B334:F344)&lt;(L349*11),IF((SUM(B334:F345))&gt;(L349*12),(((L349*12)-(SUM(B334:F345)-C344))*H333)+((SUM(B345:F345)-C344)*H333),SUM(B345:F345)*H333),IF(SUM(B334:F345)&gt;(L349*12),L349*H333,SUM(B345:F345)*H333)),2)</f>
        <v>0</v>
      </c>
      <c r="I345" s="76">
        <f>ROUND(IF(SUM(B334:F344)&lt;(L350*11),IF((SUM(B334:F345))&gt;(L350*12),(((L350*12)-(SUM(B334:F345)-C344))*I333)+((SUM(B345:F345)-C344)*I333),SUM(B345:F345)*I333),IF(SUM(B334:F345)&gt;(L350*12),L350*I333,SUM(B345:F345)*I333)),2)</f>
        <v>0</v>
      </c>
      <c r="J345" s="76">
        <f>ROUND(IF(SUM(B334:F344)&lt;(L350*11),IF((SUM(B334:F345))&gt;(L350*12),(((L350*12)-(SUM(B334:F345)-C344))*J333)+((SUM(B345:F345)-C344)*J333),SUM(B345:F345)*J333),IF(SUM(B334:F345)&gt;(L350*12),L350*J333,SUM(B345:F345)*J333)),2)</f>
        <v>0</v>
      </c>
      <c r="K345" s="76">
        <f>ROUND(IF(SUM(B334:F344)&lt;(L349*11),IF((SUM(B334:F345))&gt;(L349*12),(((L349*12)-(SUM(B334:F345)-C344))*K333)+((SUM(B345:F345)-C344)*K333),SUM(B345:F345)*K333),IF(SUM(B334:F345)&gt;(L349*12),L349*K333,SUM(B345:F345)*K333)),2)</f>
        <v>0</v>
      </c>
      <c r="L345" s="76">
        <f>ROUND(IF(SUM(B334:F344)&lt;(L350*11),IF((SUM(B334:F345))&gt;(L350*12),(((L350*12)-(SUM(B334:F345)-C345))*L333)+((SUM(B345:F345)-C345)*L333),(SUM(B345:F345)-C345)*L333),IF(SUM(B334:F345)&gt;(L350*12),L350*L333,SUM(B345:F345)*L333)),2)</f>
        <v>0</v>
      </c>
      <c r="M345" s="76">
        <f>ROUND(IF(SUM(B334:F344)&lt;(L350*11),IF((SUM(B334:F345))&gt;(L350*12),(((L350*12)-(SUM(B334:F345)-C345))*M333)+((SUM(B345:F345)-C345)*M333),(SUM(B345:F345)-C345)*M333),IF(SUM(B334:F345)&gt;(L350*12),L350*M333,SUM(B345:F345)*M333)),2)</f>
        <v>0</v>
      </c>
      <c r="N345" s="76">
        <f>ROUND(IF(SUM(B334:F344)&lt;(L350*11),IF((SUM(B334:F345))&gt;(L350*12),(((L350*12)-(SUM(B334:F345)-C344))*N333)+((SUM(B345:F345)-C344)*N333),SUM(B345:F345)*N333),IF(SUM(B334:F345)&gt;(L350*12),L350*N333,SUM(B345:F345)*N333)),2)</f>
        <v>0</v>
      </c>
      <c r="O345" s="23">
        <f>ROUND(SUM(B345+C345+F345)*O333,2)</f>
        <v>0</v>
      </c>
      <c r="P345" s="27">
        <f t="shared" si="38"/>
        <v>0</v>
      </c>
    </row>
    <row r="346" spans="1:16" s="14" customFormat="1" ht="15" x14ac:dyDescent="0.25">
      <c r="A346" s="4" t="s">
        <v>2</v>
      </c>
      <c r="B346" s="27">
        <f>SUM(B334:B345)</f>
        <v>0</v>
      </c>
      <c r="C346" s="27">
        <f t="shared" ref="C346:D346" si="39">SUM(C334:C345)</f>
        <v>0</v>
      </c>
      <c r="D346" s="27">
        <f t="shared" si="39"/>
        <v>0</v>
      </c>
      <c r="E346" s="27">
        <f>SUM(E334:E345)</f>
        <v>0</v>
      </c>
      <c r="F346" s="27">
        <f>SUM(F334:F345)</f>
        <v>0</v>
      </c>
      <c r="G346" s="27">
        <f>SUM(G334:G345)</f>
        <v>0</v>
      </c>
      <c r="H346" s="1133">
        <f>SUM(H334:N345)</f>
        <v>0</v>
      </c>
      <c r="I346" s="1134"/>
      <c r="J346" s="1134"/>
      <c r="K346" s="1134"/>
      <c r="L346" s="1134"/>
      <c r="M346" s="1134"/>
      <c r="N346" s="1135"/>
      <c r="O346" s="27">
        <f>SUM(O334:O345)</f>
        <v>0</v>
      </c>
      <c r="P346" s="27">
        <f>SUM(P334:P345)</f>
        <v>0</v>
      </c>
    </row>
    <row r="347" spans="1:16" s="13" customFormat="1" ht="11.25" x14ac:dyDescent="0.2">
      <c r="A347" s="3" t="s">
        <v>1</v>
      </c>
      <c r="B347" s="2"/>
      <c r="C347" s="2"/>
      <c r="D347" s="2"/>
      <c r="E347" s="2"/>
      <c r="F347" s="2"/>
      <c r="G347" s="2"/>
      <c r="H347" s="2"/>
      <c r="I347" s="2"/>
      <c r="J347" s="2"/>
      <c r="K347" s="2"/>
      <c r="L347" s="2"/>
      <c r="M347" s="2"/>
      <c r="N347" s="2"/>
      <c r="O347" s="2"/>
      <c r="P347" s="2"/>
    </row>
    <row r="348" spans="1:16" ht="14.25" customHeight="1" x14ac:dyDescent="0.2">
      <c r="A348" s="1136" t="s">
        <v>133</v>
      </c>
      <c r="B348" s="1137"/>
      <c r="C348" s="1137"/>
      <c r="D348" s="1137" t="s">
        <v>134</v>
      </c>
      <c r="E348" s="1137"/>
      <c r="F348" s="94" t="str">
        <f>IF(IF(G346=0,"",$F$40)=0,"",IF(G346=0,"",$F$40))</f>
        <v/>
      </c>
      <c r="G348" s="77" t="s">
        <v>135</v>
      </c>
      <c r="H348" s="96" t="str">
        <f>IF(IF(G346=0,"",$H$40)=0,"",IF(G346=0,"",$H$40))</f>
        <v/>
      </c>
      <c r="I348" s="73"/>
      <c r="J348" s="194" t="s">
        <v>160</v>
      </c>
      <c r="K348" s="194" t="str">
        <f>$K$40</f>
        <v>2021</v>
      </c>
      <c r="L348" s="194" t="str">
        <f>$L$40</f>
        <v>anteilig 2021</v>
      </c>
      <c r="M348" s="1138" t="s">
        <v>140</v>
      </c>
      <c r="N348" s="1138"/>
      <c r="O348" s="1139"/>
      <c r="P348" s="27">
        <f>ROUND(IF(F348="",IF(E352="",0,(E352*H352/K352)/L315*L316),G346*F348*H348/1000),2)</f>
        <v>0</v>
      </c>
    </row>
    <row r="349" spans="1:16" ht="15" customHeight="1" x14ac:dyDescent="0.2">
      <c r="A349" s="1140" t="s">
        <v>145</v>
      </c>
      <c r="B349" s="1141"/>
      <c r="C349" s="1141"/>
      <c r="D349" s="18"/>
      <c r="E349" s="107" t="s">
        <v>135</v>
      </c>
      <c r="F349" s="95" t="str">
        <f>IF(IF(G346=0,"",$F$41)=0,"",IF(G346=0,"",$F$41))</f>
        <v/>
      </c>
      <c r="G349" s="48"/>
      <c r="H349" s="47"/>
      <c r="I349" s="48"/>
      <c r="J349" s="195" t="s">
        <v>158</v>
      </c>
      <c r="K349" s="198">
        <f>$K$41</f>
        <v>4837.5</v>
      </c>
      <c r="L349" s="197">
        <f>IF(L315="",K349,K349/L315*L316)</f>
        <v>4837.5</v>
      </c>
      <c r="M349" s="1138" t="s">
        <v>139</v>
      </c>
      <c r="N349" s="1138"/>
      <c r="O349" s="1139"/>
      <c r="P349" s="27">
        <f>ROUND(IF(F349="",0,G346*F349/1000),2)</f>
        <v>0</v>
      </c>
    </row>
    <row r="350" spans="1:16" ht="15.75" customHeight="1" x14ac:dyDescent="0.2">
      <c r="A350" s="1142" t="s">
        <v>141</v>
      </c>
      <c r="B350" s="1143"/>
      <c r="C350" s="1143"/>
      <c r="D350" s="1144" t="s">
        <v>143</v>
      </c>
      <c r="E350" s="1144"/>
      <c r="F350" s="1145" t="str">
        <f>IF(IF(G346=0,"",$F$42)=0,"",IF(G346=0,"",$F$42))</f>
        <v/>
      </c>
      <c r="G350" s="1145"/>
      <c r="H350" s="72"/>
      <c r="I350" s="18"/>
      <c r="J350" s="195" t="s">
        <v>159</v>
      </c>
      <c r="K350" s="198">
        <f>$K$42</f>
        <v>6700</v>
      </c>
      <c r="L350" s="197">
        <f>IF(L315="",K350,K350/L315*L316)</f>
        <v>6700</v>
      </c>
      <c r="M350" s="1138" t="s">
        <v>141</v>
      </c>
      <c r="N350" s="1138"/>
      <c r="O350" s="1139"/>
      <c r="P350" s="23">
        <f>ROUND(IF(F350="",0,IF(G346=0,0,F350/L315*L316)),2)</f>
        <v>0</v>
      </c>
    </row>
    <row r="351" spans="1:16" ht="14.25" customHeight="1" x14ac:dyDescent="0.2">
      <c r="A351" s="18"/>
      <c r="B351" s="18"/>
      <c r="C351" s="18"/>
      <c r="D351" s="18"/>
      <c r="E351" s="18"/>
      <c r="F351" s="18"/>
      <c r="G351" s="18"/>
      <c r="H351" s="18"/>
      <c r="I351" s="18"/>
      <c r="J351" s="18"/>
      <c r="K351" s="74"/>
      <c r="L351" s="82"/>
      <c r="M351" s="1127" t="s">
        <v>146</v>
      </c>
      <c r="N351" s="1127"/>
      <c r="O351" s="1128"/>
      <c r="P351" s="23">
        <f>ROUND(IF(G346=0,0,$P$43),2)</f>
        <v>0</v>
      </c>
    </row>
    <row r="352" spans="1:16" ht="14.25" customHeight="1" x14ac:dyDescent="0.2">
      <c r="A352" s="1129" t="s">
        <v>142</v>
      </c>
      <c r="B352" s="1130"/>
      <c r="C352" s="148" t="s">
        <v>136</v>
      </c>
      <c r="D352" s="148" t="s">
        <v>137</v>
      </c>
      <c r="E352" s="1131" t="str">
        <f>IF(IF(G346=0,"",$E$44)=0,"",IF(G346=0,"",$E$44))</f>
        <v/>
      </c>
      <c r="F352" s="1131"/>
      <c r="G352" s="83" t="s">
        <v>138</v>
      </c>
      <c r="H352" s="97" t="str">
        <f>IF(IF(G346=0,"",$H$44)=0,"",IF(G346=0,"",$H$44))</f>
        <v/>
      </c>
      <c r="I352" s="1132" t="s">
        <v>144</v>
      </c>
      <c r="J352" s="1132"/>
      <c r="K352" s="98" t="str">
        <f>IF(IF(G346=0,"",$K$44)=0,"",IF(G346=0,"",$K$44))</f>
        <v/>
      </c>
      <c r="L352" s="29"/>
      <c r="M352" s="29"/>
      <c r="N352" s="29"/>
      <c r="O352" s="28" t="s">
        <v>0</v>
      </c>
      <c r="P352" s="27">
        <f>P346+SUM(P348:P351)</f>
        <v>0</v>
      </c>
    </row>
    <row r="353" spans="1:16" s="12" customFormat="1" ht="13.5" customHeight="1" x14ac:dyDescent="0.2">
      <c r="A353" s="1178" t="s">
        <v>18</v>
      </c>
      <c r="B353" s="1178"/>
      <c r="C353" s="1178"/>
      <c r="D353" s="1179" t="str">
        <f>IF($D$1="","",$D$1)</f>
        <v/>
      </c>
      <c r="E353" s="1179"/>
      <c r="F353" s="1179"/>
      <c r="G353" s="1179"/>
      <c r="H353" s="1179"/>
      <c r="I353" s="1179"/>
      <c r="J353" s="1179"/>
      <c r="K353" s="1179"/>
      <c r="L353" s="1179"/>
      <c r="M353" s="1179"/>
      <c r="N353" s="1179"/>
    </row>
    <row r="354" spans="1:16" s="12" customFormat="1" ht="15" customHeight="1" x14ac:dyDescent="0.2">
      <c r="A354" s="1178" t="s">
        <v>17</v>
      </c>
      <c r="B354" s="1178"/>
      <c r="C354" s="1178" t="s">
        <v>15</v>
      </c>
      <c r="D354" s="1179" t="str">
        <f>IF($D$2="","",$D$2)</f>
        <v/>
      </c>
      <c r="E354" s="1179"/>
      <c r="F354" s="1179"/>
      <c r="G354" s="1179"/>
      <c r="H354" s="1179"/>
      <c r="I354" s="1179"/>
      <c r="J354" s="1179"/>
      <c r="K354" s="1179"/>
      <c r="L354" s="1179"/>
      <c r="M354" s="1179"/>
      <c r="N354" s="1179"/>
    </row>
    <row r="355" spans="1:16" s="12" customFormat="1" ht="15" customHeight="1" x14ac:dyDescent="0.2">
      <c r="A355" s="1178" t="s">
        <v>16</v>
      </c>
      <c r="B355" s="1178"/>
      <c r="C355" s="1178" t="s">
        <v>15</v>
      </c>
      <c r="D355" s="1179" t="str">
        <f>IF($D$3="","",$D$3)</f>
        <v/>
      </c>
      <c r="E355" s="1179"/>
      <c r="F355" s="1179"/>
      <c r="G355" s="1179"/>
      <c r="H355" s="1179"/>
      <c r="I355" s="1179"/>
      <c r="J355" s="1179"/>
      <c r="K355" s="1178" t="s">
        <v>103</v>
      </c>
      <c r="L355" s="1178"/>
      <c r="M355" s="1178"/>
      <c r="N355" s="41" t="str">
        <f>IF($N$3="","",$N$3)</f>
        <v/>
      </c>
    </row>
    <row r="356" spans="1:16" s="13" customFormat="1" ht="11.25" x14ac:dyDescent="0.2">
      <c r="A356" s="1182"/>
      <c r="B356" s="1182"/>
      <c r="C356" s="1182"/>
      <c r="D356" s="1183"/>
      <c r="E356" s="1183"/>
      <c r="F356" s="1183"/>
      <c r="G356" s="1183"/>
      <c r="H356" s="1183"/>
      <c r="I356" s="1183"/>
      <c r="J356" s="1183"/>
      <c r="K356" s="11"/>
      <c r="L356" s="11"/>
      <c r="M356" s="11"/>
      <c r="N356" s="11"/>
      <c r="O356" s="11"/>
      <c r="P356" s="11"/>
    </row>
    <row r="357" spans="1:16" s="20" customFormat="1" x14ac:dyDescent="0.2">
      <c r="A357" s="1177" t="s">
        <v>225</v>
      </c>
      <c r="B357" s="1177"/>
      <c r="C357" s="1177"/>
      <c r="D357" s="1177"/>
      <c r="E357" s="1177"/>
      <c r="F357" s="1177"/>
      <c r="G357" s="1177"/>
      <c r="H357" s="1177"/>
      <c r="I357" s="1177"/>
      <c r="J357" s="1177"/>
      <c r="K357" s="1177"/>
      <c r="L357" s="1177"/>
      <c r="M357" s="1177"/>
      <c r="N357" s="59" t="s">
        <v>154</v>
      </c>
      <c r="O357" s="191">
        <f>'päd.Personal - Leitung'!$O$5</f>
        <v>2022</v>
      </c>
      <c r="P357" s="59" t="s">
        <v>154</v>
      </c>
    </row>
    <row r="358" spans="1:16" s="10" customFormat="1" ht="13.5" customHeight="1" x14ac:dyDescent="0.25">
      <c r="B358" s="32"/>
      <c r="C358" s="32"/>
      <c r="D358" s="5" t="s">
        <v>101</v>
      </c>
      <c r="E358" s="31"/>
      <c r="F358" s="31"/>
      <c r="G358" s="31"/>
      <c r="H358" s="31"/>
      <c r="I358" s="26"/>
      <c r="J358" s="1174" t="s">
        <v>14</v>
      </c>
      <c r="K358" s="1174"/>
      <c r="L358" s="180"/>
      <c r="N358" s="84">
        <f>IF(L360="","",L360)</f>
        <v>0</v>
      </c>
      <c r="O358" s="58" t="str">
        <f>'päd.Personal - Leitung'!$O$6</f>
        <v>Jan                Jul</v>
      </c>
      <c r="P358" s="85">
        <f>IF(N363="","",N363)</f>
        <v>0</v>
      </c>
    </row>
    <row r="359" spans="1:16" s="7" customFormat="1" ht="13.5" customHeight="1" x14ac:dyDescent="0.25">
      <c r="A359" s="1180" t="s">
        <v>71</v>
      </c>
      <c r="B359" s="1180"/>
      <c r="C359" s="1180"/>
      <c r="D359" s="1184"/>
      <c r="E359" s="1184"/>
      <c r="F359" s="1184"/>
      <c r="G359" s="1184"/>
      <c r="H359" s="1184"/>
      <c r="I359" s="1184"/>
      <c r="J359" s="1174" t="s">
        <v>104</v>
      </c>
      <c r="K359" s="1174"/>
      <c r="L359" s="145"/>
      <c r="N359" s="85">
        <f>IF(N358="","",N358)</f>
        <v>0</v>
      </c>
      <c r="O359" s="58" t="str">
        <f>'päd.Personal - Leitung'!$O$7</f>
        <v>Feb              Aug</v>
      </c>
      <c r="P359" s="85">
        <f>IF(P358="","",P358)</f>
        <v>0</v>
      </c>
    </row>
    <row r="360" spans="1:16" ht="13.5" customHeight="1" x14ac:dyDescent="0.2">
      <c r="A360" s="1180" t="s">
        <v>13</v>
      </c>
      <c r="B360" s="1180"/>
      <c r="C360" s="1180"/>
      <c r="D360" s="1181"/>
      <c r="E360" s="1181"/>
      <c r="F360" s="1181"/>
      <c r="G360" s="1181"/>
      <c r="H360" s="1181"/>
      <c r="I360" s="1181"/>
      <c r="J360" s="1174" t="s">
        <v>222</v>
      </c>
      <c r="K360" s="1174"/>
      <c r="L360" s="145">
        <f>IF(L361&gt;L359,0,L359-L361)</f>
        <v>0</v>
      </c>
      <c r="N360" s="85">
        <f>IF(N359="","",N359)</f>
        <v>0</v>
      </c>
      <c r="O360" s="58" t="str">
        <f>'päd.Personal - Leitung'!$O$8</f>
        <v>Mrz              Sep</v>
      </c>
      <c r="P360" s="85">
        <f>IF(P359="","",P359)</f>
        <v>0</v>
      </c>
    </row>
    <row r="361" spans="1:16" ht="13.5" customHeight="1" x14ac:dyDescent="0.2">
      <c r="A361" s="1180" t="s">
        <v>12</v>
      </c>
      <c r="B361" s="1180"/>
      <c r="C361" s="1180"/>
      <c r="D361" s="1181"/>
      <c r="E361" s="1181"/>
      <c r="F361" s="1181"/>
      <c r="G361" s="1181"/>
      <c r="H361" s="1181"/>
      <c r="I361" s="1181"/>
      <c r="J361" s="1174" t="s">
        <v>223</v>
      </c>
      <c r="K361" s="1174"/>
      <c r="L361" s="145"/>
      <c r="N361" s="85">
        <f>IF(N360="","",N360)</f>
        <v>0</v>
      </c>
      <c r="O361" s="58" t="str">
        <f>'päd.Personal - Leitung'!$O$9</f>
        <v>Apr               Okt</v>
      </c>
      <c r="P361" s="85">
        <f t="shared" ref="P361:P363" si="40">IF(P360="","",P360)</f>
        <v>0</v>
      </c>
    </row>
    <row r="362" spans="1:16" ht="13.5" customHeight="1" x14ac:dyDescent="0.2">
      <c r="A362" s="1180" t="s">
        <v>19</v>
      </c>
      <c r="B362" s="1180"/>
      <c r="C362" s="1180"/>
      <c r="D362" s="1181"/>
      <c r="E362" s="1181"/>
      <c r="F362" s="1181"/>
      <c r="G362" s="1181"/>
      <c r="H362" s="1181"/>
      <c r="I362" s="1181"/>
      <c r="J362" s="1174" t="s">
        <v>97</v>
      </c>
      <c r="K362" s="1174"/>
      <c r="L362" s="17" t="str">
        <f>IF(IF((COUNTIF(B378:B389,"&gt;0"))=0,0,(COUNTIF(B378:B389,"&gt;0")))&gt;Grundlagen!$C$24,Grundlagen!$C$24,IF((COUNTIF(B378:B389,"&gt;0"))=0,"",(COUNTIF(B378:B389,"&gt;0"))))</f>
        <v/>
      </c>
      <c r="M362" s="92"/>
      <c r="N362" s="85">
        <f>IF(N361="","",N361)</f>
        <v>0</v>
      </c>
      <c r="O362" s="58" t="str">
        <f>'päd.Personal - Leitung'!$O$10</f>
        <v>Mai               Nov</v>
      </c>
      <c r="P362" s="85">
        <f t="shared" si="40"/>
        <v>0</v>
      </c>
    </row>
    <row r="363" spans="1:16" ht="13.5" customHeight="1" x14ac:dyDescent="0.2">
      <c r="B363" s="8"/>
      <c r="C363" s="141" t="s">
        <v>162</v>
      </c>
      <c r="D363" s="1175"/>
      <c r="E363" s="1175"/>
      <c r="F363" s="1176" t="s">
        <v>110</v>
      </c>
      <c r="G363" s="1176"/>
      <c r="H363" s="1186"/>
      <c r="I363" s="1186"/>
      <c r="L363" s="147" t="str">
        <f>IF((SUM(F366:F369))=0,"",IF(P364&gt;L360,L360,IF(L360="","",IF(L362="","",P364))))</f>
        <v/>
      </c>
      <c r="N363" s="85">
        <f>IF(N362="","",N362)</f>
        <v>0</v>
      </c>
      <c r="O363" s="58" t="str">
        <f>'päd.Personal - Leitung'!$O$11</f>
        <v>Jun               Dez</v>
      </c>
      <c r="P363" s="85">
        <f t="shared" si="40"/>
        <v>0</v>
      </c>
    </row>
    <row r="364" spans="1:16" ht="13.5" customHeight="1" x14ac:dyDescent="0.2">
      <c r="F364" s="1176" t="s">
        <v>180</v>
      </c>
      <c r="G364" s="1176"/>
      <c r="H364" s="1186"/>
      <c r="I364" s="1186"/>
      <c r="O364" s="174" t="s">
        <v>251</v>
      </c>
      <c r="P364" s="175">
        <f>IF(L362="",0,((IF(SUMIF(B378,"&gt;0"),N358,0))+(IF(SUMIF(B379,"&gt;0"),N359,0))+(IF(SUMIF(B380,"&gt;0"),N360,0))+(IF(SUMIF(B381,"&gt;0"),N361,0))+(IF(SUMIF(B382,"&gt;0"),N362,0))+(IF(SUMIF(B383,"&gt;0"),N363,0))+(IF(SUMIF(B384,"&gt;0"),P358,0))+(IF(SUMIF(B385,"&gt;0"),P359,0))+(IF(SUMIF(B386,"&gt;0"),P360,0))+(IF(SUMIF(B387,"&gt;0"),P361,0))+(IF(SUMIF(B388,"&gt;0"),P362,0))+(IF(SUMIF(B389,"&gt;0"),P363,0)))/Grundlagen!$C$24)</f>
        <v>0</v>
      </c>
    </row>
    <row r="365" spans="1:16" s="52" customFormat="1" ht="13.5" customHeight="1" x14ac:dyDescent="0.2">
      <c r="A365" s="61" t="s">
        <v>148</v>
      </c>
      <c r="B365" s="1168" t="s">
        <v>149</v>
      </c>
      <c r="C365" s="1168"/>
      <c r="D365" s="62" t="s">
        <v>150</v>
      </c>
      <c r="E365" s="63" t="s">
        <v>151</v>
      </c>
      <c r="F365" s="64" t="str">
        <f>CONCATENATE("Entg. ",N355," h/Wo")</f>
        <v>Entg.  h/Wo</v>
      </c>
      <c r="G365" s="65" t="s">
        <v>152</v>
      </c>
      <c r="H365" s="65" t="s">
        <v>153</v>
      </c>
      <c r="K365" s="1169" t="str">
        <f>CONCATENATE("Zuschläge / Zulagen für ",N355,"h/Wo")</f>
        <v>Zuschläge / Zulagen für h/Wo</v>
      </c>
      <c r="L365" s="1169"/>
      <c r="M365" s="66" t="str">
        <f>IF(A366="","",A366)</f>
        <v>Jan 2022</v>
      </c>
      <c r="N365" s="66" t="str">
        <f>IF(A367="","",A367)</f>
        <v/>
      </c>
      <c r="O365" s="66" t="str">
        <f>IF(A368="","",A368)</f>
        <v/>
      </c>
      <c r="P365" s="66" t="str">
        <f>IF(A369="","",A369)</f>
        <v/>
      </c>
    </row>
    <row r="366" spans="1:16" s="52" customFormat="1" ht="13.5" customHeight="1" x14ac:dyDescent="0.25">
      <c r="A366" s="54" t="str">
        <f>A378</f>
        <v>Jan 2022</v>
      </c>
      <c r="B366" s="1170" t="str">
        <f>IF($D$3="","",$D$3)</f>
        <v/>
      </c>
      <c r="C366" s="1171"/>
      <c r="D366" s="181"/>
      <c r="E366" s="181"/>
      <c r="F366" s="87"/>
      <c r="G366" s="56">
        <f>IF(N355="",0,F366/N355/4.348)</f>
        <v>0</v>
      </c>
      <c r="H366" s="53">
        <f>IF(G366=0,0,M371)</f>
        <v>0</v>
      </c>
      <c r="K366" s="1146"/>
      <c r="L366" s="1146"/>
      <c r="M366" s="86"/>
      <c r="N366" s="86"/>
      <c r="O366" s="86"/>
      <c r="P366" s="86"/>
    </row>
    <row r="367" spans="1:16" s="52" customFormat="1" ht="13.5" customHeight="1" x14ac:dyDescent="0.25">
      <c r="A367" s="55"/>
      <c r="B367" s="1172" t="str">
        <f>IF(A367="","",B366)</f>
        <v/>
      </c>
      <c r="C367" s="1173"/>
      <c r="D367" s="181"/>
      <c r="E367" s="181"/>
      <c r="F367" s="87"/>
      <c r="G367" s="56">
        <f>IF(N355="",0,F367/N355/4.348)</f>
        <v>0</v>
      </c>
      <c r="H367" s="53">
        <f>IF(G367=0,0,N371)</f>
        <v>0</v>
      </c>
      <c r="K367" s="1146"/>
      <c r="L367" s="1146"/>
      <c r="M367" s="86"/>
      <c r="N367" s="86"/>
      <c r="O367" s="86"/>
      <c r="P367" s="86"/>
    </row>
    <row r="368" spans="1:16" s="52" customFormat="1" ht="13.5" customHeight="1" x14ac:dyDescent="0.25">
      <c r="A368" s="55"/>
      <c r="B368" s="1172" t="str">
        <f>IF(A368="","",B367)</f>
        <v/>
      </c>
      <c r="C368" s="1173"/>
      <c r="D368" s="181"/>
      <c r="E368" s="181"/>
      <c r="F368" s="87"/>
      <c r="G368" s="56">
        <f>IF(N355="",0,F368/N355/4.348)</f>
        <v>0</v>
      </c>
      <c r="H368" s="53">
        <f>IF(G368=0,0,O371)</f>
        <v>0</v>
      </c>
      <c r="K368" s="1146"/>
      <c r="L368" s="1146"/>
      <c r="M368" s="86"/>
      <c r="N368" s="86"/>
      <c r="O368" s="86"/>
      <c r="P368" s="86"/>
    </row>
    <row r="369" spans="1:16" s="52" customFormat="1" ht="13.5" customHeight="1" x14ac:dyDescent="0.25">
      <c r="A369" s="55"/>
      <c r="B369" s="1172" t="str">
        <f>IF(A369="","",B368)</f>
        <v/>
      </c>
      <c r="C369" s="1173"/>
      <c r="D369" s="181"/>
      <c r="E369" s="181"/>
      <c r="F369" s="87"/>
      <c r="G369" s="56">
        <f>IF(N355="",0,F369/N355/4.348)</f>
        <v>0</v>
      </c>
      <c r="H369" s="53">
        <f>IF(G369=0,0,P371)</f>
        <v>0</v>
      </c>
      <c r="K369" s="1146"/>
      <c r="L369" s="1146"/>
      <c r="M369" s="86"/>
      <c r="N369" s="86"/>
      <c r="O369" s="86"/>
      <c r="P369" s="86"/>
    </row>
    <row r="370" spans="1:16" s="52" customFormat="1" ht="13.5" customHeight="1" x14ac:dyDescent="0.25">
      <c r="B370" s="1167" t="s">
        <v>157</v>
      </c>
      <c r="C370" s="1167"/>
      <c r="E370" s="1167" t="s">
        <v>156</v>
      </c>
      <c r="F370" s="1167"/>
      <c r="J370" s="69"/>
      <c r="K370" s="1146"/>
      <c r="L370" s="1146"/>
      <c r="M370" s="86"/>
      <c r="N370" s="86"/>
      <c r="O370" s="86"/>
      <c r="P370" s="86"/>
    </row>
    <row r="371" spans="1:16" s="52" customFormat="1" ht="13.5" customHeight="1" x14ac:dyDescent="0.25">
      <c r="A371" s="70" t="s">
        <v>167</v>
      </c>
      <c r="B371" s="67"/>
      <c r="C371" s="99" t="str">
        <f>IF(C327="","",C327)</f>
        <v/>
      </c>
      <c r="D371" s="70" t="s">
        <v>167</v>
      </c>
      <c r="E371" s="67"/>
      <c r="F371" s="99" t="str">
        <f>IF(F327="","",F327)</f>
        <v/>
      </c>
      <c r="J371" s="68"/>
      <c r="M371" s="57">
        <f>SUM(M366:M370)</f>
        <v>0</v>
      </c>
      <c r="N371" s="57">
        <f t="shared" ref="N371:P371" si="41">SUM(N366:N370)</f>
        <v>0</v>
      </c>
      <c r="O371" s="57">
        <f t="shared" si="41"/>
        <v>0</v>
      </c>
      <c r="P371" s="57">
        <f t="shared" si="41"/>
        <v>0</v>
      </c>
    </row>
    <row r="372" spans="1:16" s="52" customFormat="1" ht="13.5" customHeight="1" x14ac:dyDescent="0.2">
      <c r="A372" s="60" t="s">
        <v>155</v>
      </c>
    </row>
    <row r="373" spans="1:16" s="20" customFormat="1" ht="14.25" customHeight="1" x14ac:dyDescent="0.2">
      <c r="A373" s="1147"/>
      <c r="B373" s="1149" t="s">
        <v>9</v>
      </c>
      <c r="C373" s="1150"/>
      <c r="D373" s="1150"/>
      <c r="E373" s="1150"/>
      <c r="F373" s="1150"/>
      <c r="G373" s="1151"/>
      <c r="H373" s="1152" t="s">
        <v>119</v>
      </c>
      <c r="I373" s="1153"/>
      <c r="J373" s="1153"/>
      <c r="K373" s="1153"/>
      <c r="L373" s="1153"/>
      <c r="M373" s="1153"/>
      <c r="N373" s="1195" t="s">
        <v>112</v>
      </c>
      <c r="O373" s="33"/>
      <c r="P373" s="1154" t="s">
        <v>0</v>
      </c>
    </row>
    <row r="374" spans="1:16" s="20" customFormat="1" ht="14.25" customHeight="1" x14ac:dyDescent="0.2">
      <c r="A374" s="1148"/>
      <c r="B374" s="1157" t="s">
        <v>117</v>
      </c>
      <c r="C374" s="144" t="s">
        <v>115</v>
      </c>
      <c r="D374" s="1159" t="s">
        <v>277</v>
      </c>
      <c r="E374" s="1161" t="s">
        <v>147</v>
      </c>
      <c r="F374" s="149" t="s">
        <v>7</v>
      </c>
      <c r="G374" s="1162" t="s">
        <v>6</v>
      </c>
      <c r="H374" s="1161" t="s">
        <v>129</v>
      </c>
      <c r="I374" s="1161" t="s">
        <v>111</v>
      </c>
      <c r="J374" s="1161" t="s">
        <v>5</v>
      </c>
      <c r="K374" s="1161" t="s">
        <v>4</v>
      </c>
      <c r="L374" s="1161" t="s">
        <v>3</v>
      </c>
      <c r="M374" s="1161" t="s">
        <v>98</v>
      </c>
      <c r="N374" s="1196"/>
      <c r="O374" s="1160" t="s">
        <v>114</v>
      </c>
      <c r="P374" s="1155"/>
    </row>
    <row r="375" spans="1:16" s="20" customFormat="1" ht="14.25" customHeight="1" x14ac:dyDescent="0.2">
      <c r="A375" s="1148"/>
      <c r="B375" s="1157"/>
      <c r="C375" s="21" t="str">
        <f>IF(C371="","",C371)</f>
        <v/>
      </c>
      <c r="D375" s="1160"/>
      <c r="E375" s="1161"/>
      <c r="F375" s="1165" t="str">
        <f>IF(H366=0,"","siehe Zuschläge / Zulagen")</f>
        <v/>
      </c>
      <c r="G375" s="1162"/>
      <c r="H375" s="1164" t="s">
        <v>127</v>
      </c>
      <c r="I375" s="1161"/>
      <c r="J375" s="1164"/>
      <c r="K375" s="1164"/>
      <c r="L375" s="1164"/>
      <c r="M375" s="1161"/>
      <c r="N375" s="1196"/>
      <c r="O375" s="1160"/>
      <c r="P375" s="1155"/>
    </row>
    <row r="376" spans="1:16" s="20" customFormat="1" x14ac:dyDescent="0.2">
      <c r="A376" s="1148"/>
      <c r="B376" s="1157"/>
      <c r="C376" s="142" t="s">
        <v>70</v>
      </c>
      <c r="D376" s="1160"/>
      <c r="E376" s="1161"/>
      <c r="F376" s="1165"/>
      <c r="G376" s="1162"/>
      <c r="H376" s="43" t="s">
        <v>128</v>
      </c>
      <c r="I376" s="1161"/>
      <c r="J376" s="43" t="s">
        <v>255</v>
      </c>
      <c r="K376" s="43" t="s">
        <v>256</v>
      </c>
      <c r="L376" s="43" t="s">
        <v>257</v>
      </c>
      <c r="M376" s="1161"/>
      <c r="N376" s="1196"/>
      <c r="O376" s="1160"/>
      <c r="P376" s="1155"/>
    </row>
    <row r="377" spans="1:16" s="20" customFormat="1" x14ac:dyDescent="0.2">
      <c r="A377" s="1148"/>
      <c r="B377" s="1158"/>
      <c r="C377" s="21" t="str">
        <f>IF(F371="","",F371)</f>
        <v/>
      </c>
      <c r="D377" s="51"/>
      <c r="E377" s="51"/>
      <c r="F377" s="1166"/>
      <c r="G377" s="1163"/>
      <c r="H377" s="93"/>
      <c r="I377" s="21"/>
      <c r="J377" s="139">
        <f>'päd.Personal - Leitung'!$I$69</f>
        <v>0</v>
      </c>
      <c r="K377" s="139">
        <f>'päd.Personal - Leitung'!$J$69</f>
        <v>0</v>
      </c>
      <c r="L377" s="44">
        <f>'päd.Personal - Leitung'!$K$69</f>
        <v>0</v>
      </c>
      <c r="M377" s="21"/>
      <c r="N377" s="21"/>
      <c r="O377" s="21">
        <f>'päd.Personal - Leitung'!$O$69</f>
        <v>0</v>
      </c>
      <c r="P377" s="1156"/>
    </row>
    <row r="378" spans="1:16" s="20" customFormat="1" x14ac:dyDescent="0.2">
      <c r="A378" s="100" t="str">
        <f>'päd.Personal - Leitung'!$A$26</f>
        <v>Jan 2022</v>
      </c>
      <c r="B378" s="24">
        <f>ROUND(IF(N358=0,0,(LOOKUP(2,1/(A366:A369=A378),G366:G369))*N358*4.348*50%),2)</f>
        <v>0</v>
      </c>
      <c r="C378" s="23">
        <f>ROUND(IFERROR(((LOOKUP(2,1/(B371=A378),((SUM(B384:B386)+SUM(F384:F386))/3)*C371))),0)+IFERROR(((LOOKUP(2,1/(E371=A378),(B390+F390)*F371))),0),2)</f>
        <v>0</v>
      </c>
      <c r="D378" s="23">
        <f>ROUND(IF(B378=0,0,D377/L359*N358*50%),2)</f>
        <v>0</v>
      </c>
      <c r="E378" s="23">
        <f>ROUND(IF(B378=0,0,E377/N355*N358*50%),2)</f>
        <v>0</v>
      </c>
      <c r="F378" s="24">
        <f>ROUND(IF(N358=0,0,(LOOKUP(2,1/(A366:A369=A378),H366:H369))/N355*N358*50%),2)</f>
        <v>0</v>
      </c>
      <c r="G378" s="27">
        <f>SUM(B378+C378+E378+F378)</f>
        <v>0</v>
      </c>
      <c r="H378" s="76">
        <f>ROUND(IF((SUM(B378:F378))&gt;L393,L393*H377,SUM(B378:F378)*H377),2)</f>
        <v>0</v>
      </c>
      <c r="I378" s="76">
        <f>ROUND(IF((SUM(B378:F378)*80%)&gt;((L394*1)*90%),((((L394*1)*90%)-((SUM(B378:F378)-C378))*I377)+((SUM(B378:F378)-C378)*I377)*80%),((SUM(B378:F378)-C378)*I377)*80%),2)</f>
        <v>0</v>
      </c>
      <c r="J378" s="76">
        <f>ROUND(IF((SUM(B378:F378))&gt;L394,L394*J377,SUM(B378:F378)*J377),2)</f>
        <v>0</v>
      </c>
      <c r="K378" s="76">
        <f>ROUND(IF((SUM(B378:F378))&gt;L394,L394*K377,SUM(B378:F378)*K377),2)</f>
        <v>0</v>
      </c>
      <c r="L378" s="76">
        <f>ROUND(IF((SUM(B378:F378))&gt;L393,L393*L377,SUM(B378:F378)*L377),2)</f>
        <v>0</v>
      </c>
      <c r="M378" s="76">
        <f>ROUND(IF((SUM(B378:F378))&gt;L394,L394*M377,(SUM(B378:F378)-C378)*M377),2)</f>
        <v>0</v>
      </c>
      <c r="N378" s="23">
        <f>ROUND((B378+E378+F378)*N377,2)</f>
        <v>0</v>
      </c>
      <c r="O378" s="23">
        <f>ROUND(SUM(B378+C378+F378)*O377,2)</f>
        <v>0</v>
      </c>
      <c r="P378" s="27">
        <f>SUM(G378:O378)</f>
        <v>0</v>
      </c>
    </row>
    <row r="379" spans="1:16" s="20" customFormat="1" x14ac:dyDescent="0.2">
      <c r="A379" s="100" t="str">
        <f>'päd.Personal - Leitung'!$A$27</f>
        <v>Feb 2022</v>
      </c>
      <c r="B379" s="24">
        <f>ROUND(IF(N359=0,0,IFERROR(((LOOKUP(2,1/(A366:A369=A379),G366:G369))*N359*4.348*50%),B378/N359*N359)),2)</f>
        <v>0</v>
      </c>
      <c r="C379" s="23">
        <f>ROUND(IFERROR(((LOOKUP(2,1/(B371=A379),((SUM(B384:B386)+SUM(F384:F386))/3)*C371))),0)+IFERROR(((LOOKUP(2,1/(E371=A379),(B390+F390)*F371))),0),2)</f>
        <v>0</v>
      </c>
      <c r="D379" s="23">
        <f>ROUND(IF(B379=0,0,D377/L359*N359*50%),2)</f>
        <v>0</v>
      </c>
      <c r="E379" s="23">
        <f>ROUND(IF(B379=0,0,E377/N355*N359*50%),2)</f>
        <v>0</v>
      </c>
      <c r="F379" s="24">
        <f>ROUND(IF(N359=0,0,IFERROR(((LOOKUP(2,1/(A366:A369=A379),H366:H369))/N355*N359),F378/N359*N359*50%)),2)</f>
        <v>0</v>
      </c>
      <c r="G379" s="27">
        <f t="shared" ref="G379:G389" si="42">SUM(B379+C379+E379+F379)</f>
        <v>0</v>
      </c>
      <c r="H379" s="76">
        <f>ROUND(IF(SUM(B378:F378)&lt;(L393*1),IF((SUM(B378:F379))&gt;(L393*2),(((L393*2)-(SUM(B378:F379)-C378))*H377)+((SUM(B379:F379)-C378)*H377),SUM(B379:F379)*H377),IF(SUM(B378:F379)&gt;(L393*2),L393*H377,SUM(B379:F379)*H377)),2)</f>
        <v>0</v>
      </c>
      <c r="I379" s="76">
        <f>ROUND(IF((SUM(B378:F379)*80%)&gt;((L394*2)*90%),((((L394*2)*90%)-((SUM(B378:F379)-C379))*I377)+((SUM(B379:F379)-C379)*I377)*80%),((SUM(B379:F379)-C379)*I377)*80%),2)</f>
        <v>0</v>
      </c>
      <c r="J379" s="76">
        <f>ROUND(IF(SUM(B378:F378)&lt;(L394*1),IF((SUM(B378:F379))&gt;(L394*2),(((L394*2)-(SUM(B378:F379)-C378))*J377)+((SUM(B379:F379)-C378)*J377),SUM(B379:F379)*J377),IF(SUM(B378:F379)&gt;(L394*2),L394*J377,SUM(B379:F379)*J377)),2)</f>
        <v>0</v>
      </c>
      <c r="K379" s="76">
        <f>ROUND(IF(SUM(B378:F378)&lt;(L394*1),IF((SUM(B378:F379))&gt;(L394*2),(((L394*2)-(SUM(B378:F379)-C378))*K377)+((SUM(B379:F379)-C378)*K377),SUM(B379:F379)*K377),IF(SUM(B378:F379)&gt;(L394*2),L394*K377,SUM(B379:F379)*K377)),2)</f>
        <v>0</v>
      </c>
      <c r="L379" s="76">
        <f>ROUND(IF(SUM(B378:F378)&lt;(L393*1),IF((SUM(B378:F379))&gt;(L393*2),(((L393*2)-(SUM(B378:F379)-C378))*L377)+((SUM(B379:F379)-C378)*L377),SUM(B379:F379)*L377),IF(SUM(B378:F379)&gt;(L393*2),L393*L377,SUM(B379:F379)*L377)),2)</f>
        <v>0</v>
      </c>
      <c r="M379" s="76">
        <f>ROUND(IF(SUM(B378:F378)&lt;(L394*1),IF((SUM(B378:F379))&gt;(L394*2),(((L394*2)-(SUM(B378:F379)-C379))*M377)+((SUM(B379:F379)-C379)*M377),(SUM(B379:F379)-C379)*M377),IF(SUM(B378:F379)&gt;(L394*2),L394*M377,SUM(B379:F379)*M377)),2)</f>
        <v>0</v>
      </c>
      <c r="N379" s="23">
        <f>ROUND((B379+E379+F379)*N377,2)</f>
        <v>0</v>
      </c>
      <c r="O379" s="23">
        <f>ROUND(SUM(B379+C379+F379)*O377,2)</f>
        <v>0</v>
      </c>
      <c r="P379" s="27">
        <f t="shared" ref="P379:P388" si="43">SUM(G379:O379)</f>
        <v>0</v>
      </c>
    </row>
    <row r="380" spans="1:16" s="20" customFormat="1" x14ac:dyDescent="0.2">
      <c r="A380" s="100" t="str">
        <f>'päd.Personal - Leitung'!$A$28</f>
        <v>Mrz 2022</v>
      </c>
      <c r="B380" s="24">
        <f>ROUND(IF(N360=0,0,IFERROR(((LOOKUP(2,1/(A366:A369=A380),G366:G369))*N360*4.348*50%),B379/N360*N360)),2)</f>
        <v>0</v>
      </c>
      <c r="C380" s="23">
        <f>ROUND(IFERROR(((LOOKUP(2,1/(B371=A380),((SUM(B384:B386)+SUM(F384:F386))/3)*C371))),0)+IFERROR(((LOOKUP(2,1/(E371=A380),(B390+F390)*F371))),0),2)</f>
        <v>0</v>
      </c>
      <c r="D380" s="23">
        <f>ROUND(IF(B380=0,0,D377/L359*N360*50%),2)</f>
        <v>0</v>
      </c>
      <c r="E380" s="23">
        <f>ROUND(IF(B380=0,0,E377/N355*N360*50%),2)</f>
        <v>0</v>
      </c>
      <c r="F380" s="24">
        <f>ROUND(IF(N360=0,0,IFERROR(((LOOKUP(2,1/(A366:A369=A380),H366:H369))/N355*N360),F379/N360*N360*50%)),2)</f>
        <v>0</v>
      </c>
      <c r="G380" s="27">
        <f t="shared" si="42"/>
        <v>0</v>
      </c>
      <c r="H380" s="76">
        <f>ROUND(IF(SUM(B378:F379)&lt;(L393*2),IF((SUM(B378:F380))&gt;(L393*3),(((L393*3)-(SUM(B378:F380)-C379))*H377)+((SUM(B380:F380)-C379)*H377),SUM(B380:F380)*H377),IF(SUM(B378:F380)&gt;(L393*3),L393*H377,SUM(B380:F380)*H377)),2)</f>
        <v>0</v>
      </c>
      <c r="I380" s="76">
        <f>ROUND(IF((SUM(B378:F380)*80%)&gt;((L394*3)*90%),((((L394*3)*90%)-((SUM(B378:F380)-C380))*I377)+((SUM(B380:F380)-C380)*I377)*80%),((SUM(B380:F380)-C380)*I377)*80%),2)</f>
        <v>0</v>
      </c>
      <c r="J380" s="76">
        <f>ROUND(IF(SUM(B378:F379)&lt;(L394*2),IF((SUM(B378:F380))&gt;(L394*3),(((L394*3)-(SUM(B378:F380)-C379))*J377)+((SUM(B380:F380)-C379)*J377),SUM(B380:F380)*J377),IF(SUM(B378:F380)&gt;(L394*3),L394*J377,SUM(B380:F380)*J377)),2)</f>
        <v>0</v>
      </c>
      <c r="K380" s="76">
        <f>ROUND(IF(SUM(B378:F379)&lt;(L394*2),IF((SUM(B378:F380))&gt;(L394*3),(((L394*3)-(SUM(B378:F380)-C379))*K377)+((SUM(B380:F380)-C379)*K377),SUM(B380:F380)*K377),IF(SUM(B378:F380)&gt;(L394*3),L394*K377,SUM(B380:F380)*K377)),2)</f>
        <v>0</v>
      </c>
      <c r="L380" s="76">
        <f>ROUND(IF(SUM(B378:F379)&lt;(L393*2),IF((SUM(B378:F380))&gt;(L393*3),(((L393*3)-(SUM(B378:F380)-C379))*L377)+((SUM(B380:F380)-C379)*L377),SUM(B380:F380)*L377),IF(SUM(B378:F380)&gt;(L393*3),L393*L377,SUM(B380:F380)*L377)),2)</f>
        <v>0</v>
      </c>
      <c r="M380" s="76">
        <f>ROUND(IF(SUM(B378:F379)&lt;(L394*2),IF((SUM(B378:F380))&gt;(L394*3),(((L394*3)-(SUM(B378:F380)-C380))*M377)+((SUM(B380:F380)-C380)*M377),(SUM(B380:F380)-C380)*M377),IF(SUM(B378:F380)&gt;(L394*3),L394*M377,SUM(B380:F380)*M377)),2)</f>
        <v>0</v>
      </c>
      <c r="N380" s="23">
        <f>ROUND((B380+E380+F380)*N377,2)</f>
        <v>0</v>
      </c>
      <c r="O380" s="23">
        <f>ROUND(SUM(B380+C380+F380)*O377,2)</f>
        <v>0</v>
      </c>
      <c r="P380" s="27">
        <f t="shared" si="43"/>
        <v>0</v>
      </c>
    </row>
    <row r="381" spans="1:16" s="20" customFormat="1" x14ac:dyDescent="0.2">
      <c r="A381" s="100" t="str">
        <f>'päd.Personal - Leitung'!$A$29</f>
        <v>Apr 2022</v>
      </c>
      <c r="B381" s="24">
        <f>ROUND(IF(N361=0,0,IFERROR(((LOOKUP(2,1/(A366:A369=A381),G366:G369))*N361*4.348*50%),B380/N361*N361)),2)</f>
        <v>0</v>
      </c>
      <c r="C381" s="23">
        <f>ROUND(IFERROR(((LOOKUP(2,1/(B371=A381),((SUM(B384:B386)+SUM(F384:F386))/3)*C371))),0)+IFERROR(((LOOKUP(2,1/(E371=A381),(B390+F390)*F371))),0),2)</f>
        <v>0</v>
      </c>
      <c r="D381" s="23">
        <f>ROUND(IF(B381=0,0,D377/L359*N361*50%),2)</f>
        <v>0</v>
      </c>
      <c r="E381" s="23">
        <f>ROUND(IF(B381=0,0,E377/N355*N361*50%),2)</f>
        <v>0</v>
      </c>
      <c r="F381" s="24">
        <f>ROUND(IF(N361=0,0,IFERROR(((LOOKUP(2,1/(A366:A369=A381),H366:H369))/N355*N361),F380/N361*N361*50%)),2)</f>
        <v>0</v>
      </c>
      <c r="G381" s="27">
        <f t="shared" si="42"/>
        <v>0</v>
      </c>
      <c r="H381" s="76">
        <f>ROUND(IF(SUM(B378:F380)&lt;(L393*3),IF((SUM(B378:F381))&gt;(L393*4),(((L393*4)-(SUM(B378:F381)-C380))*H377)+((SUM(B381:F381)-C380)*H377),SUM(B381:F381)*H377),IF(SUM(B378:F381)&gt;(L393*4),L393*H377,SUM(B381:F381)*H377)),2)</f>
        <v>0</v>
      </c>
      <c r="I381" s="76">
        <f>ROUND(IF((SUM(B378:F381)*80%)&gt;((L394*4)*90%),((((L394*4)*90%)-((SUM(B378:F381)-C381))*I377)+((SUM(B381:F381)-C381)*I377)*80%),((SUM(B381:F381)-C381)*I377)*80%),2)</f>
        <v>0</v>
      </c>
      <c r="J381" s="76">
        <f>ROUND(IF(SUM(B378:F380)&lt;(L394*3),IF((SUM(B378:F381))&gt;(L394*4),(((L394*4)-(SUM(B378:F381)-C380))*J377)+((SUM(B381:F381)-C380)*J377),SUM(B381:F381)*J377),IF(SUM(B378:F381)&gt;(L394*4),L394*J377,SUM(B381:F381)*J377)),2)</f>
        <v>0</v>
      </c>
      <c r="K381" s="76">
        <f>ROUND(IF(SUM(B378:F380)&lt;(L394*3),IF((SUM(B378:F381))&gt;(L394*4),(((L394*4)-(SUM(B378:F381)-C380))*K377)+((SUM(B381:F381)-C380)*K377),SUM(B381:F381)*K377),IF(SUM(B378:F381)&gt;(L394*4),L394*K377,SUM(B381:F381)*K377)),2)</f>
        <v>0</v>
      </c>
      <c r="L381" s="76">
        <f>ROUND(IF(SUM(B378:F380)&lt;(L393*3),IF((SUM(B378:F381))&gt;(L393*4),(((L393*4)-(SUM(B378:F381)-C380))*L377)+((SUM(B381:F381)-C380)*L377),SUM(B381:F381)*L377),IF(SUM(B378:F381)&gt;(L393*4),L393*L377,SUM(B381:F381)*L377)),2)</f>
        <v>0</v>
      </c>
      <c r="M381" s="76">
        <f>ROUND(IF(SUM(B378:F380)&lt;(L394*3),IF((SUM(B378:F381))&gt;(L394*4),(((L394*4)-(SUM(B378:F381)-C381))*M377)+((SUM(B381:F381)-C381)*M377),(SUM(B381:F381)-C381)*M377),IF(SUM(B378:F381)&gt;(L394*4),L394*M377,SUM(B381:F381)*M377)),2)</f>
        <v>0</v>
      </c>
      <c r="N381" s="23">
        <f>ROUND((B381+E381+F381)*N377,2)</f>
        <v>0</v>
      </c>
      <c r="O381" s="23">
        <f>ROUND(SUM(B381+C381+F381)*O377,2)</f>
        <v>0</v>
      </c>
      <c r="P381" s="27">
        <f t="shared" si="43"/>
        <v>0</v>
      </c>
    </row>
    <row r="382" spans="1:16" s="20" customFormat="1" x14ac:dyDescent="0.2">
      <c r="A382" s="100" t="str">
        <f>'päd.Personal - Leitung'!$A$30</f>
        <v>Mai 2022</v>
      </c>
      <c r="B382" s="24">
        <f>ROUND(IF(N362=0,0,IFERROR(((LOOKUP(2,1/(A366:A369=A382),G366:G369))*N362*4.348*50%),B381/N362*N362)),2)</f>
        <v>0</v>
      </c>
      <c r="C382" s="23">
        <f>ROUND(IFERROR(((LOOKUP(2,1/(B371=A382),((SUM(B384:B386)+SUM(F384:F386))/3)*C371))),0)+IFERROR(((LOOKUP(2,1/(E371=A382),(B390+F390)*F371))),0),2)</f>
        <v>0</v>
      </c>
      <c r="D382" s="23">
        <f>ROUND(IF(B382=0,0,D377/L359*N362*50%),2)</f>
        <v>0</v>
      </c>
      <c r="E382" s="23">
        <f>ROUND(IF(B382=0,0,E377/N355*N362*50%),2)</f>
        <v>0</v>
      </c>
      <c r="F382" s="24">
        <f>ROUND(IF(N362=0,0,IFERROR(((LOOKUP(2,1/(A366:A369=A382),H366:H369))/N355*N362),F381/N362*N362*50%)),2)</f>
        <v>0</v>
      </c>
      <c r="G382" s="27">
        <f t="shared" si="42"/>
        <v>0</v>
      </c>
      <c r="H382" s="76">
        <f>ROUND(IF(SUM(B378:F381)&lt;(L393*4),IF((SUM(B378:F382))&gt;(L393*5),(((L393*5)-(SUM(B378:F382)-C381))*H377)+((SUM(B382:F382)-C381)*H377),SUM(B382:F382)*H377),IF(SUM(B378:F382)&gt;(L393*5),L393*H377,SUM(B382:F382)*H377)),2)</f>
        <v>0</v>
      </c>
      <c r="I382" s="76">
        <f>ROUND(IF((SUM(B378:F382)*80%)&gt;((L394*5)*90%),((((L394*5)*90%)-((SUM(B378:F382)-C382))*I377)+((SUM(B382:F382)-C382)*I377)*80%),((SUM(B382:F382)-C382)*I377)*80%),2)</f>
        <v>0</v>
      </c>
      <c r="J382" s="76">
        <f>ROUND(IF(SUM(B378:F381)&lt;(L394*4),IF((SUM(B378:F382))&gt;(L394*5),(((L394*5)-(SUM(B378:F382)-C381))*J377)+((SUM(B382:F382)-C381)*J377),SUM(B382:F382)*J377),IF(SUM(B378:F382)&gt;(L394*5),L394*J377,SUM(B382:F382)*J377)),2)</f>
        <v>0</v>
      </c>
      <c r="K382" s="76">
        <f>ROUND(IF(SUM(B378:F381)&lt;(L394*4),IF((SUM(B378:F382))&gt;(L394*5),(((L394*5)-(SUM(B378:F382)-C381))*K377)+((SUM(B382:F382)-C381)*K377),SUM(B382:F382)*K377),IF(SUM(B378:F382)&gt;(L394*5),L394*K377,SUM(B382:F382)*K377)),2)</f>
        <v>0</v>
      </c>
      <c r="L382" s="76">
        <f>ROUND(IF(SUM(B378:F381)&lt;(L393*4),IF((SUM(B378:F382))&gt;(L393*5),(((L393*5)-(SUM(B378:F382)-C381))*L377)+((SUM(B382:F382)-C381)*L377),SUM(B382:F382)*L377),IF(SUM(B378:F382)&gt;(L393*5),L393*L377,SUM(B382:F382)*L377)),2)</f>
        <v>0</v>
      </c>
      <c r="M382" s="76">
        <f>ROUND(IF(SUM(B378:F381)&lt;(L394*4),IF((SUM(B378:F382))&gt;(L394*5),(((L394*5)-(SUM(B378:F382)-C382))*M377)+((SUM(B382:F382)-C382)*M377),(SUM(B382:F382)-C382)*M377),IF(SUM(B378:F382)&gt;(L394*5),L394*M377,SUM(B382:F382)*M377)),2)</f>
        <v>0</v>
      </c>
      <c r="N382" s="23">
        <f>ROUND((B382+E382+F382)*N377,2)</f>
        <v>0</v>
      </c>
      <c r="O382" s="23">
        <f>ROUND(SUM(B382+C382+F382)*O377,2)</f>
        <v>0</v>
      </c>
      <c r="P382" s="27">
        <f t="shared" si="43"/>
        <v>0</v>
      </c>
    </row>
    <row r="383" spans="1:16" s="20" customFormat="1" x14ac:dyDescent="0.2">
      <c r="A383" s="100" t="str">
        <f>'päd.Personal - Leitung'!$A$31</f>
        <v>Jun 2022</v>
      </c>
      <c r="B383" s="24">
        <f>ROUND(IF(N363=0,0,IFERROR(((LOOKUP(2,1/(A366:A369=A383),G366:G369))*N363*4.348*50%),B382/N363*N363)),2)</f>
        <v>0</v>
      </c>
      <c r="C383" s="23">
        <f>ROUND(IFERROR(((LOOKUP(2,1/(B371=A383),((SUM(B384:B386)+SUM(F384:F386))/3)*C371))),0)+IFERROR(((LOOKUP(2,1/(E371=A383),(B390+F390)*F371))),0),2)</f>
        <v>0</v>
      </c>
      <c r="D383" s="23">
        <f>ROUND(IF(B383=0,0,D377/L359*N363*50%),2)</f>
        <v>0</v>
      </c>
      <c r="E383" s="23">
        <f>ROUND(IF(B383=0,0,E377/N355*N363*50%),2)</f>
        <v>0</v>
      </c>
      <c r="F383" s="24">
        <f>ROUND(IF(N363=0,0,IFERROR(((LOOKUP(2,1/(A366:A369=A383),H366:H369))/N355*N363),F382/N363*N363*50%)),2)</f>
        <v>0</v>
      </c>
      <c r="G383" s="27">
        <f t="shared" si="42"/>
        <v>0</v>
      </c>
      <c r="H383" s="76">
        <f>ROUND(IF(SUM(B378:F382)&lt;(L393*5),IF((SUM(B378:F383))&gt;(L393*6),(((L393*6)-(SUM(B378:F383)-C382))*H377)+((SUM(B383:F383)-C382)*H377),SUM(B383:F383)*H377),IF(SUM(B378:F383)&gt;(L393*6),L393*H377,SUM(B383:F383)*H377)),2)</f>
        <v>0</v>
      </c>
      <c r="I383" s="76">
        <f>ROUND(IF((SUM(B378:F383)*80%)&gt;((L394*6)*90%),((((L394*6)*90%)-((SUM(B378:F383)-C383))*I377)+((SUM(B383:F383)-C383)*I377)*80%),((SUM(B383:F383)-C383)*I377)*80%),2)</f>
        <v>0</v>
      </c>
      <c r="J383" s="76">
        <f>ROUND(IF(SUM(B378:F382)&lt;(L394*5),IF((SUM(B378:F383))&gt;(L394*6),(((L394*6)-(SUM(B378:F383)-C382))*J377)+((SUM(B383:F383)-C382)*J377),SUM(B383:F383)*J377),IF(SUM(B378:F383)&gt;(L394*6),L394*J377,SUM(B383:F383)*J377)),2)</f>
        <v>0</v>
      </c>
      <c r="K383" s="76">
        <f>ROUND(IF(SUM(B378:F382)&lt;(L394*5),IF((SUM(B378:F383))&gt;(L394*6),(((L394*6)-(SUM(B378:F383)-C382))*K377)+((SUM(B383:F383)-C382)*K377),SUM(B383:F383)*K377),IF(SUM(B378:F383)&gt;(L394*6),L394*K377,SUM(B383:F383)*K377)),2)</f>
        <v>0</v>
      </c>
      <c r="L383" s="76">
        <f>ROUND(IF(SUM(B378:F382)&lt;(L393*5),IF((SUM(B378:F383))&gt;(L393*6),(((L393*6)-(SUM(B378:F383)-C382))*L377)+((SUM(B383:F383)-C382)*L377),SUM(B383:F383)*L377),IF(SUM(B378:F383)&gt;(L393*6),L393*L377,SUM(B383:F383)*L377)),2)</f>
        <v>0</v>
      </c>
      <c r="M383" s="76">
        <f>ROUND(IF(SUM(B378:F382)&lt;(L394*5),IF((SUM(B378:F383))&gt;(L394*6),(((L394*6)-(SUM(B378:F383)-C383))*M377)+((SUM(B383:F383)-C383)*M377),(SUM(B383:F383)-C383)*M377),IF(SUM(B378:F383)&gt;(L394*6),L394*M377,SUM(B383:F383)*M377)),2)</f>
        <v>0</v>
      </c>
      <c r="N383" s="23">
        <f>ROUND((B383+E383+F383)*N377,2)</f>
        <v>0</v>
      </c>
      <c r="O383" s="23">
        <f>ROUND(SUM(B383+C383+F383)*O377,2)</f>
        <v>0</v>
      </c>
      <c r="P383" s="27">
        <f t="shared" si="43"/>
        <v>0</v>
      </c>
    </row>
    <row r="384" spans="1:16" s="20" customFormat="1" x14ac:dyDescent="0.2">
      <c r="A384" s="100" t="str">
        <f>'päd.Personal - Leitung'!$A$32</f>
        <v>Jul 2022</v>
      </c>
      <c r="B384" s="24">
        <f>ROUND(IF(P358=0,0,IFERROR(((LOOKUP(2,1/(A366:A369=A384),G366:G369))*P358*4.348*50%),B383/P358*P358)),2)</f>
        <v>0</v>
      </c>
      <c r="C384" s="23">
        <f>ROUND(IFERROR(((LOOKUP(2,1/(B371=A384),((SUM(B384:B386)+SUM(F384:F386))/3)*C371))),0)+IFERROR(((LOOKUP(2,1/(E371=A384),(B390+F390)*F371))),0),2)</f>
        <v>0</v>
      </c>
      <c r="D384" s="23">
        <f>ROUND(IF(B384=0,0,D377/L359*P358*50%),2)</f>
        <v>0</v>
      </c>
      <c r="E384" s="23">
        <f>ROUND(IF(B384=0,0,E377/N355*P358*50%),2)</f>
        <v>0</v>
      </c>
      <c r="F384" s="24">
        <f>ROUND(IF(P358=0,0,IFERROR(((LOOKUP(2,1/(A366:A369=A384),H366:H369))/N355*P358),F383/P358*P358*50%)),2)</f>
        <v>0</v>
      </c>
      <c r="G384" s="27">
        <f t="shared" si="42"/>
        <v>0</v>
      </c>
      <c r="H384" s="76">
        <f>ROUND(IF(SUM(B378:F383)&lt;(L393*6),IF((SUM(B378:F384))&gt;(L393*7),(((L393*7)-(SUM(B378:F384)-C383))*H377)+((SUM(B384:F384)-C383)*H377),SUM(B384:F384)*H377),IF(SUM(B378:F384)&gt;(L393*7),L393*H377,SUM(B384:F384)*H377)),2)</f>
        <v>0</v>
      </c>
      <c r="I384" s="76">
        <f>ROUND(IF((SUM(B378:F384)*80%)&gt;((L394*7)*90%),((((L394*7)*90%)-((SUM(B378:F384)-C384))*I377)+((SUM(B384:F384)-C384)*I377)*80%),((SUM(B384:F384)-C384)*I377)*80%),2)</f>
        <v>0</v>
      </c>
      <c r="J384" s="76">
        <f>ROUND(IF(SUM(B378:F383)&lt;(L394*6),IF((SUM(B378:F384))&gt;(L394*7),(((L394*7)-(SUM(B378:F384)-C383))*J377)+((SUM(B384:F384)-C383)*J377),SUM(B384:F384)*J377),IF(SUM(B378:F384)&gt;(L394*7),L394*J377,SUM(B384:F384)*J377)),2)</f>
        <v>0</v>
      </c>
      <c r="K384" s="76">
        <f>ROUND(IF(SUM(B378:F383)&lt;(L394*6),IF((SUM(B378:F384))&gt;(L394*7),(((L394*7)-(SUM(B378:F384)-C383))*K377)+((SUM(B384:F384)-C383)*K377),SUM(B384:F384)*K377),IF(SUM(B378:F384)&gt;(L394*7),L394*K377,SUM(B384:F384)*K377)),2)</f>
        <v>0</v>
      </c>
      <c r="L384" s="76">
        <f>ROUND(IF(SUM(B378:F383)&lt;(L393*6),IF((SUM(B378:F384))&gt;(L393*7),(((L393*7)-(SUM(B378:F384)-C383))*L377)+((SUM(B384:F384)-C383)*L377),SUM(B384:F384)*L377),IF(SUM(B378:F384)&gt;(L393*7),L393*L377,SUM(B384:F384)*L377)),2)</f>
        <v>0</v>
      </c>
      <c r="M384" s="76">
        <f>ROUND(IF(SUM(B378:F383)&lt;(L394*6),IF((SUM(B378:F384))&gt;(L394*7),(((L394*7)-(SUM(B378:F384)-C384))*M377)+((SUM(B384:F384)-C384)*M377),(SUM(B384:F384)-C384)*M377),IF(SUM(B378:F384)&gt;(L394*7),L394*M377,SUM(B384:F384)*M377)),2)</f>
        <v>0</v>
      </c>
      <c r="N384" s="23">
        <f>ROUND((B384+E384+F384)*N377,2)</f>
        <v>0</v>
      </c>
      <c r="O384" s="23">
        <f>ROUND(SUM(B384+C384+F384)*O377,2)</f>
        <v>0</v>
      </c>
      <c r="P384" s="27">
        <f t="shared" si="43"/>
        <v>0</v>
      </c>
    </row>
    <row r="385" spans="1:16" s="20" customFormat="1" x14ac:dyDescent="0.2">
      <c r="A385" s="100" t="str">
        <f>'päd.Personal - Leitung'!$A$33</f>
        <v>Aug 2022</v>
      </c>
      <c r="B385" s="24">
        <f>ROUND(IF(P359=0,0,IFERROR(((LOOKUP(2,1/(A366:A369=A385),G366:G369))*P359*4.348*50%),B384/P359*P359)),2)</f>
        <v>0</v>
      </c>
      <c r="C385" s="23">
        <f>ROUND(IFERROR(((LOOKUP(2,1/(B371=A385),((SUM(B384:B386)+SUM(F384:F386))/3)*C371))),0)+IFERROR(((LOOKUP(2,1/(E371=A385),(B390+F390)*F371))),0),2)</f>
        <v>0</v>
      </c>
      <c r="D385" s="23">
        <f>ROUND(IF(B385=0,0,D377/L359*P359*50%),2)</f>
        <v>0</v>
      </c>
      <c r="E385" s="23">
        <f>ROUND(IF(B385=0,0,E377/N355*P359*50%),2)</f>
        <v>0</v>
      </c>
      <c r="F385" s="24">
        <f>ROUND(IF(P359=0,0,IFERROR(((LOOKUP(2,1/(A366:A369=A385),H366:H369))/N355*P359),F384/P359*P359*50%)),2)</f>
        <v>0</v>
      </c>
      <c r="G385" s="27">
        <f t="shared" si="42"/>
        <v>0</v>
      </c>
      <c r="H385" s="76">
        <f>ROUND(IF(SUM(B378:F384)&lt;(L393*7),IF((SUM(B378:F385))&gt;(L393*8),(((L393*8)-(SUM(B378:F385)-C384))*H377)+((SUM(B385:F385)-C384)*H377),SUM(B385:F385)*H377),IF(SUM(B378:F385)&gt;(L393*8),L393*H377,SUM(B385:F385)*H377)),2)</f>
        <v>0</v>
      </c>
      <c r="I385" s="76">
        <f>ROUND(IF((SUM(B378:F385)*80%)&gt;((L394*8)*90%),((((L394*8)*90%)-((SUM(B378:F385)-C385))*I377)+((SUM(B385:F385)-C385)*I377)*80%),((SUM(B385:F385)-C385)*I377)*80%),2)</f>
        <v>0</v>
      </c>
      <c r="J385" s="76">
        <f>ROUND(IF(SUM(B378:F384)&lt;(L394*7),IF((SUM(B378:F385))&gt;(L394*8),(((L394*8)-(SUM(B378:F385)-C384))*J377)+((SUM(B385:F385)-C384)*J377),SUM(B385:F385)*J377),IF(SUM(B378:F385)&gt;(L394*8),L394*J377,SUM(B385:F385)*J377)),2)</f>
        <v>0</v>
      </c>
      <c r="K385" s="76">
        <f>ROUND(IF(SUM(B378:F384)&lt;(L394*7),IF((SUM(B378:F385))&gt;(L394*8),(((L394*8)-(SUM(B378:F385)-C384))*K377)+((SUM(B385:F385)-C384)*K377),SUM(B385:F385)*K377),IF(SUM(B378:F385)&gt;(L394*8),L394*K377,SUM(B385:F385)*K377)),2)</f>
        <v>0</v>
      </c>
      <c r="L385" s="76">
        <f>ROUND(IF(SUM(B378:F384)&lt;(L393*7),IF((SUM(B378:F385))&gt;(L393*8),(((L393*8)-(SUM(B378:F385)-C384))*L377)+((SUM(B385:F385)-C384)*L377),SUM(B385:F385)*L377),IF(SUM(B378:F385)&gt;(L393*8),L393*L377,SUM(B385:F385)*L377)),2)</f>
        <v>0</v>
      </c>
      <c r="M385" s="76">
        <f>ROUND(IF(SUM(B378:F384)&lt;(L394*7),IF((SUM(B378:F385))&gt;(L394*8),(((L394*8)-(SUM(B378:F385)-C385))*M377)+((SUM(B385:F385)-C385)*M377),(SUM(B385:F385)-C385)*M377),IF(SUM(B378:F385)&gt;(L394*8),L394*M377,SUM(B385:F385)*M377)),2)</f>
        <v>0</v>
      </c>
      <c r="N385" s="23">
        <f>ROUND((B385+E385+F385)*N377,2)</f>
        <v>0</v>
      </c>
      <c r="O385" s="23">
        <f>ROUND(SUM(B385+C385+F385)*O377,2)</f>
        <v>0</v>
      </c>
      <c r="P385" s="27">
        <f t="shared" si="43"/>
        <v>0</v>
      </c>
    </row>
    <row r="386" spans="1:16" s="20" customFormat="1" x14ac:dyDescent="0.2">
      <c r="A386" s="100" t="str">
        <f>'päd.Personal - Leitung'!$A$34</f>
        <v>Sep 2022</v>
      </c>
      <c r="B386" s="24">
        <f>ROUND(IF(P360=0,0,IFERROR(((LOOKUP(2,1/(A366:A369=A386),G366:G369))*P360*4.348*50%),B385/P360*P360)),2)</f>
        <v>0</v>
      </c>
      <c r="C386" s="23">
        <f>ROUND(IFERROR(((LOOKUP(2,1/(B371=A386),((SUM(B384:B386)+SUM(F384:F386))/3)*C371))),0)+IFERROR(((LOOKUP(2,1/(E371=A386),(B390+F390)*F371))),0),2)</f>
        <v>0</v>
      </c>
      <c r="D386" s="23">
        <f>ROUND(IF(B386=0,0,D377/L359*P360*50%),2)</f>
        <v>0</v>
      </c>
      <c r="E386" s="23">
        <f>ROUND(IF(B386=0,0,E377/N355*P360*50),2)</f>
        <v>0</v>
      </c>
      <c r="F386" s="24">
        <f>ROUND(IF(P360=0,0,IFERROR(((LOOKUP(2,1/(A366:A369=A386),H366:H369))/N355*P360),F385/P360*P360*50%)),2)</f>
        <v>0</v>
      </c>
      <c r="G386" s="27">
        <f t="shared" si="42"/>
        <v>0</v>
      </c>
      <c r="H386" s="76">
        <f>ROUND(IF(SUM(B378:F385)&lt;(L393*8),IF((SUM(B378:F386))&gt;(L393*9),(((L393*9)-(SUM(B378:F386)-C385))*H377)+((SUM(B386:F386)-C385)*H377),SUM(B386:F386)*H377),IF(SUM(B378:F386)&gt;(L393*9),L393*H377,SUM(B386:F386)*H377)),2)</f>
        <v>0</v>
      </c>
      <c r="I386" s="76">
        <f>ROUND(IF((SUM(B378:F386)*80%)&gt;((L394*9)*90%),((((L394*9)*90%)-((SUM(B378:F386)-C386))*I377)+((SUM(B386:F386)-C386)*I377)*80%),((SUM(B386:F386)-C386)*I377)*80%),2)</f>
        <v>0</v>
      </c>
      <c r="J386" s="76">
        <f>ROUND(IF(SUM(B378:F385)&lt;(L394*8),IF((SUM(B378:F386))&gt;(L394*9),(((L394*9)-(SUM(B378:F386)-C385))*J377)+((SUM(B386:F386)-C385)*J377),SUM(B386:F386)*J377),IF(SUM(B378:F386)&gt;(L394*9),L394*J377,SUM(B386:F386)*J377)),2)</f>
        <v>0</v>
      </c>
      <c r="K386" s="76">
        <f>ROUND(IF(SUM(B378:F385)&lt;(L394*8),IF((SUM(B378:F386))&gt;(L394*9),(((L394*9)-(SUM(B378:F386)-C385))*K377)+((SUM(B386:F386)-C385)*K377),SUM(B386:F386)*K377),IF(SUM(B378:F386)&gt;(L394*9),L394*K377,SUM(B386:F386)*K377)),2)</f>
        <v>0</v>
      </c>
      <c r="L386" s="76">
        <f>ROUND(IF(SUM(B378:F385)&lt;(L393*8),IF((SUM(B378:F386))&gt;(L393*9),(((L393*9)-(SUM(B378:F386)-C385))*L377)+((SUM(B386:F386)-C385)*L377),SUM(B386:F386)*L377),IF(SUM(B378:F386)&gt;(L393*9),L393*L377,SUM(B386:F386)*L377)),2)</f>
        <v>0</v>
      </c>
      <c r="M386" s="76">
        <f>ROUND(IF(SUM(B378:F385)&lt;(L394*8),IF((SUM(B378:F386))&gt;(L394*9),(((L394*9)-(SUM(B378:F386)-C386))*M377)+((SUM(B386:F386)-C386)*M377),(SUM(B386:F386)-C386)*M377),IF(SUM(B378:F386)&gt;(L394*9),L394*M377,SUM(B386:F386)*M377)),2)</f>
        <v>0</v>
      </c>
      <c r="N386" s="23">
        <f>ROUND((B386+E386+F386)*N377,2)</f>
        <v>0</v>
      </c>
      <c r="O386" s="23">
        <f>ROUND(SUM(B386+C386+F386)*O377,2)</f>
        <v>0</v>
      </c>
      <c r="P386" s="27">
        <f t="shared" si="43"/>
        <v>0</v>
      </c>
    </row>
    <row r="387" spans="1:16" s="20" customFormat="1" x14ac:dyDescent="0.2">
      <c r="A387" s="100" t="str">
        <f>'päd.Personal - Leitung'!$A$35</f>
        <v>Okt 2022</v>
      </c>
      <c r="B387" s="24">
        <f>ROUND(IF(P361=0,0,IFERROR(((LOOKUP(2,1/(A366:A369=A387),G366:G369))*P361*4.348*50%),B386/P361*P361)),2)</f>
        <v>0</v>
      </c>
      <c r="C387" s="23">
        <f>ROUND(IFERROR(((LOOKUP(2,1/(B371=A387),((SUM(B384:B386)+SUM(F384:F386))/3)*C371))),0)+IFERROR(((LOOKUP(2,1/(E371=A387),(B390+F390)*F371))),0),2)</f>
        <v>0</v>
      </c>
      <c r="D387" s="23">
        <f>ROUND(IF(B387=0,0,D377/L359*P361*50%),2)</f>
        <v>0</v>
      </c>
      <c r="E387" s="23">
        <f>ROUND(IF(B387=0,0,E377/N355*P361*50%),2)</f>
        <v>0</v>
      </c>
      <c r="F387" s="24">
        <f>ROUND(IF(P361=0,0,IFERROR(((LOOKUP(2,1/(A366:A369=A387),H366:H369))/N355*P361),F386/P361*P361*50%)),2)</f>
        <v>0</v>
      </c>
      <c r="G387" s="27">
        <f t="shared" si="42"/>
        <v>0</v>
      </c>
      <c r="H387" s="76">
        <f>ROUND(IF(SUM(B378:F386)&lt;(L393*9),IF((SUM(B378:F387))&gt;(L393*10),(((L393*10)-(SUM(B378:F387)-C386))*H377)+((SUM(B387:F387)-C386)*H377),SUM(B387:F387)*H377),IF(SUM(B378:F387)&gt;(L393*10),L393*H377,SUM(B387:F387)*H377)),2)</f>
        <v>0</v>
      </c>
      <c r="I387" s="76">
        <f>ROUND(IF((SUM(B378:F387)*80%)&gt;((L394*10)*90%),((((L394*10)*90%)-((SUM(B378:F387)-C387))*I377)+((SUM(B387:F387)-C387)*I377)*80%),((SUM(B387:F387)-C387)*I377)*80%),2)</f>
        <v>0</v>
      </c>
      <c r="J387" s="76">
        <f>ROUND(IF(SUM(B378:F386)&lt;(L394*9),IF((SUM(B378:F387))&gt;(L394*10),(((L394*10)-(SUM(B378:F387)-C386))*J377)+((SUM(B387:F387)-C386)*J377),SUM(B387:F387)*J377),IF(SUM(B378:F387)&gt;(L394*10),L394*J377,SUM(B387:F387)*J377)),2)</f>
        <v>0</v>
      </c>
      <c r="K387" s="76">
        <f>ROUND(IF(SUM(B378:F386)&lt;(L394*9),IF((SUM(B378:F387))&gt;(L394*10),(((L394*10)-(SUM(B378:F387)-C386))*K377)+((SUM(B387:F387)-C386)*K377),SUM(B387:F387)*K377),IF(SUM(B378:F387)&gt;(L394*10),L394*K377,SUM(B387:F387)*K377)),2)</f>
        <v>0</v>
      </c>
      <c r="L387" s="76">
        <f>ROUND(IF(SUM(B378:F386)&lt;(L393*9),IF((SUM(B378:F387))&gt;(L393*10),(((L393*10)-(SUM(B378:F387)-C386))*L377)+((SUM(B387:F387)-C386)*L377),SUM(B387:F387)*L377),IF(SUM(B378:F387)&gt;(L393*10),L393*L377,SUM(B387:F387)*L377)),2)</f>
        <v>0</v>
      </c>
      <c r="M387" s="76">
        <f>ROUND(IF(SUM(B378:F386)&lt;(L394*9),IF((SUM(B378:F387))&gt;(L394*10),(((L394*10)-(SUM(B378:F387)-C387))*M377)+((SUM(B387:F387)-C387)*M377),(SUM(B387:F387)-C387)*M377),IF(SUM(B378:F387)&gt;(L394*10),L394*M377,SUM(B387:F387)*M377)),2)</f>
        <v>0</v>
      </c>
      <c r="N387" s="23">
        <f>ROUND((B387+E387+F387)*N377,2)</f>
        <v>0</v>
      </c>
      <c r="O387" s="23">
        <f>ROUND(SUM(B387+C387+F387)*O377,2)</f>
        <v>0</v>
      </c>
      <c r="P387" s="27">
        <f t="shared" si="43"/>
        <v>0</v>
      </c>
    </row>
    <row r="388" spans="1:16" s="20" customFormat="1" x14ac:dyDescent="0.2">
      <c r="A388" s="100" t="str">
        <f>'päd.Personal - Leitung'!$A$36</f>
        <v>Nov 2022</v>
      </c>
      <c r="B388" s="24">
        <f>ROUND(IF(P362=0,0,IFERROR(((LOOKUP(2,1/(A366:A369=A388),G366:G369))*P362*4.348*50%),B387/P362*P362)),2)</f>
        <v>0</v>
      </c>
      <c r="C388" s="23">
        <f>ROUND(IFERROR(((LOOKUP(2,1/(B371=A388),((SUM(B384:B386)+SUM(F384:F386))/3)*C371))),0)+IFERROR(((LOOKUP(2,1/(E371=A388),(B390+F390)*F371))),0),2)</f>
        <v>0</v>
      </c>
      <c r="D388" s="23">
        <f>ROUND(IF(B388=0,0,D377/L359*P362*50%),2)</f>
        <v>0</v>
      </c>
      <c r="E388" s="23">
        <f>ROUND(IF(B388=0,0,E377/N355*P362*50%),2)</f>
        <v>0</v>
      </c>
      <c r="F388" s="24">
        <f>ROUND(IF(P362=0,0,IFERROR(((LOOKUP(2,1/(A366:A369=A388),H366:H369))/N355*P362),F387/P362*P362*50%)),2)</f>
        <v>0</v>
      </c>
      <c r="G388" s="27">
        <f t="shared" si="42"/>
        <v>0</v>
      </c>
      <c r="H388" s="76">
        <f>ROUND(IF(SUM(B378:F387)&lt;(L393*10),IF((SUM(B378:F388))&gt;(L393*11),(((L393*11)-(SUM(B378:F388)-C387))*H377)+((SUM(B388:F388)-C387)*H377),SUM(B388:F388)*H377),IF(SUM(B378:F388)&gt;(L393*11),L393*H377,SUM(B388:F388)*H377)),2)</f>
        <v>0</v>
      </c>
      <c r="I388" s="76">
        <f>ROUND(IF((SUM(B378:F388)*80%)&gt;((L394*11)*90%),((((L394*11)*90%)-((SUM(B378:F388)-C388))*I377)+((SUM(B388:F388)-C388)*I377)*80%),((SUM(B388:F388)-C388)*I377)*80%),2)</f>
        <v>0</v>
      </c>
      <c r="J388" s="76">
        <f>ROUND(IF(SUM(B378:F387)&lt;(L394*10),IF((SUM(B378:F388))&gt;(L394*11),(((L394*11)-(SUM(B378:F388)-C387))*J377)+((SUM(B388:F388)-C387)*J377),SUM(B388:F388)*J377),IF(SUM(B378:F388)&gt;(L394*11),L394*J377,SUM(B388:F388)*J377)),2)</f>
        <v>0</v>
      </c>
      <c r="K388" s="76">
        <f>ROUND(IF(SUM(B378:F387)&lt;(L394*10),IF((SUM(B378:F388))&gt;(L394*11),(((L394*11)-(SUM(B378:F388)-C387))*K377)+((SUM(B388:F388)-C387)*K377),SUM(B388:F388)*K377),IF(SUM(B378:F388)&gt;(L394*11),L394*K377,SUM(B388:F388)*K377)),2)</f>
        <v>0</v>
      </c>
      <c r="L388" s="76">
        <f>ROUND(IF(SUM(B378:F387)&lt;(L393*10),IF((SUM(B378:F388))&gt;(L393*11),(((L393*11)-(SUM(B378:F388)-C387))*L377)+((SUM(B388:F388)-C387)*L377),SUM(B388:F388)*L377),IF(SUM(B378:F388)&gt;(L393*11),L393*L377,SUM(B388:F388)*L377)),2)</f>
        <v>0</v>
      </c>
      <c r="M388" s="76">
        <f>ROUND(IF(SUM(B378:F387)&lt;(L394*10),IF((SUM(B378:F388))&gt;(L394*11),(((L394*11)-(SUM(B378:F388)-C388))*M377)+((SUM(B388:F388)-C388)*M377),(SUM(B388:F388)-C388)*M377),IF(SUM(B378:F388)&gt;(L394*11),L394*M377,SUM(B388:F388)*M377)),2)</f>
        <v>0</v>
      </c>
      <c r="N388" s="23">
        <f>ROUND((B388+E388+F388)*N377,2)</f>
        <v>0</v>
      </c>
      <c r="O388" s="23">
        <f>ROUND(SUM(B388+C388+F388)*O377,2)</f>
        <v>0</v>
      </c>
      <c r="P388" s="27">
        <f t="shared" si="43"/>
        <v>0</v>
      </c>
    </row>
    <row r="389" spans="1:16" s="20" customFormat="1" x14ac:dyDescent="0.2">
      <c r="A389" s="100" t="str">
        <f>'päd.Personal - Leitung'!$A$37</f>
        <v>Dez 2022</v>
      </c>
      <c r="B389" s="24">
        <f>ROUND(IF(P363=0,0,IFERROR(((LOOKUP(2,1/(A366:A369=A389),G366:G369))*P363*4.348*50%),B388/P363*P363)),2)</f>
        <v>0</v>
      </c>
      <c r="C389" s="23">
        <f>ROUND(IFERROR(((LOOKUP(2,1/(B371=A389),((SUM(B384:B386)+SUM(F384:F386))/3)*C371))),0)+IFERROR(((LOOKUP(2,1/(E371=A389),(B390+F390)*F371))),0),2)</f>
        <v>0</v>
      </c>
      <c r="D389" s="23">
        <f>ROUND(IF(B389=0,0,D377/L359*P363*50%),2)</f>
        <v>0</v>
      </c>
      <c r="E389" s="23">
        <f>ROUND(IF(B389=0,0,E377/N355*P363*50%),2)</f>
        <v>0</v>
      </c>
      <c r="F389" s="24">
        <f>ROUND(IF(P363=0,0,IFERROR(((LOOKUP(2,1/(A366:A369=A389),H366:H369))/N355*P363),F388/P363*P363*50%)),2)</f>
        <v>0</v>
      </c>
      <c r="G389" s="27">
        <f t="shared" si="42"/>
        <v>0</v>
      </c>
      <c r="H389" s="76">
        <f>ROUND(IF(SUM(B378:F388)&lt;(L393*11),IF((SUM(B378:F389))&gt;(L393*12),(((L393*12)-(SUM(B378:F389)-C388))*H377)+((SUM(B389:F389)-C388)*H377),SUM(B389:F389)*H377),IF(SUM(B378:F389)&gt;(L393*12),L393*H377,SUM(B389:F389)*H377)),2)</f>
        <v>0</v>
      </c>
      <c r="I389" s="76">
        <f>ROUND(IF((SUM(B378:F389)*80%)&gt;((L394*12)*90%),((((L394*12)*90%)-((SUM(B378:F389)-C389))*I377)+((SUM(B389:F389)-C389)*I377)*80%),((SUM(B389:F389)-C389)*I377)*80%),2)</f>
        <v>0</v>
      </c>
      <c r="J389" s="76">
        <f>ROUND(IF(SUM(B378:F388)&lt;(L394*11),IF((SUM(B378:F389))&gt;(L394*12),(((L394*12)-(SUM(B378:F389)-C388))*J377)+((SUM(B389:F389)-C388)*J377),SUM(B389:F389)*J377),IF(SUM(B378:F389)&gt;(L394*12),L394*J377,SUM(B389:F389)*J377)),2)</f>
        <v>0</v>
      </c>
      <c r="K389" s="76">
        <f>ROUND(IF(SUM(B378:F388)&lt;(L394*11),IF((SUM(B378:F389))&gt;(L394*12),(((L394*12)-(SUM(B378:F389)-C388))*K377)+((SUM(B389:F389)-C388)*K377),SUM(B389:F389)*K377),IF(SUM(B378:F389)&gt;(L394*12),L394*K377,SUM(B389:F389)*K377)),2)</f>
        <v>0</v>
      </c>
      <c r="L389" s="76">
        <f>ROUND(IF(SUM(B378:F388)&lt;(L393*11),IF((SUM(B378:F389))&gt;(L393*12),(((L393*12)-(SUM(B378:F389)-C388))*L377)+((SUM(B389:F389)-C388)*L377),SUM(B389:F389)*L377),IF(SUM(B378:F389)&gt;(L393*12),L393*L377,SUM(B389:F389)*L377)),2)</f>
        <v>0</v>
      </c>
      <c r="M389" s="76">
        <f>ROUND(IF(SUM(B378:F388)&lt;(L394*11),IF((SUM(B378:F389))&gt;(L394*12),(((L394*12)-(SUM(B378:F389)-C389))*M377)+((SUM(B389:F389)-C389)*M377),(SUM(B389:F389)-C389)*M377),IF(SUM(B378:F389)&gt;(L394*12),L394*M377,SUM(B389:F389)*M377)),2)</f>
        <v>0</v>
      </c>
      <c r="N389" s="23">
        <f>ROUND((B389+E389+F389)*N377,2)</f>
        <v>0</v>
      </c>
      <c r="O389" s="23">
        <f>ROUND(SUM(B389+C389+F389)*O377,2)</f>
        <v>0</v>
      </c>
      <c r="P389" s="27">
        <f>SUM(G389:O389)</f>
        <v>0</v>
      </c>
    </row>
    <row r="390" spans="1:16" s="20" customFormat="1" x14ac:dyDescent="0.2">
      <c r="A390" s="4" t="s">
        <v>2</v>
      </c>
      <c r="B390" s="27">
        <f>SUM(B378:B389)</f>
        <v>0</v>
      </c>
      <c r="C390" s="27">
        <f t="shared" ref="C390:G390" si="44">SUM(C378:C389)</f>
        <v>0</v>
      </c>
      <c r="D390" s="27">
        <f>SUM(D378:D389)</f>
        <v>0</v>
      </c>
      <c r="E390" s="27">
        <f t="shared" si="44"/>
        <v>0</v>
      </c>
      <c r="F390" s="27">
        <f t="shared" si="44"/>
        <v>0</v>
      </c>
      <c r="G390" s="27">
        <f t="shared" si="44"/>
        <v>0</v>
      </c>
      <c r="H390" s="1133">
        <f>SUM(H378:M389)</f>
        <v>0</v>
      </c>
      <c r="I390" s="1134"/>
      <c r="J390" s="1134"/>
      <c r="K390" s="1134"/>
      <c r="L390" s="1134"/>
      <c r="M390" s="1134"/>
      <c r="N390" s="27">
        <f>SUM(N378:N389)</f>
        <v>0</v>
      </c>
      <c r="O390" s="27">
        <f>SUM(O378:O389)</f>
        <v>0</v>
      </c>
      <c r="P390" s="27">
        <f>SUM(P378:P389)</f>
        <v>0</v>
      </c>
    </row>
    <row r="391" spans="1:16" s="13" customFormat="1" ht="11.25" x14ac:dyDescent="0.2">
      <c r="A391" s="3" t="s">
        <v>1</v>
      </c>
      <c r="B391" s="2"/>
      <c r="C391" s="2"/>
      <c r="D391" s="2"/>
      <c r="E391" s="2"/>
      <c r="F391" s="2"/>
      <c r="G391" s="2"/>
      <c r="H391" s="2"/>
      <c r="I391" s="2"/>
      <c r="J391" s="2"/>
      <c r="K391" s="2"/>
      <c r="L391" s="2"/>
      <c r="M391" s="2"/>
      <c r="N391" s="2"/>
      <c r="O391" s="2"/>
      <c r="P391" s="2"/>
    </row>
    <row r="392" spans="1:16" ht="14.25" customHeight="1" x14ac:dyDescent="0.2">
      <c r="A392" s="1136" t="s">
        <v>133</v>
      </c>
      <c r="B392" s="1137"/>
      <c r="C392" s="1137"/>
      <c r="D392" s="1137" t="s">
        <v>134</v>
      </c>
      <c r="E392" s="1137"/>
      <c r="F392" s="94" t="str">
        <f>IF(IF(G390=0,"",$F$40)=0,"",IF(G390=0,"",$F$40))</f>
        <v/>
      </c>
      <c r="G392" s="77" t="s">
        <v>135</v>
      </c>
      <c r="H392" s="96" t="str">
        <f>IF(IF(G390=0,"",$H$40)=0,"",IF(G390=0,"",$H$40))</f>
        <v/>
      </c>
      <c r="I392" s="73"/>
      <c r="J392" s="194" t="s">
        <v>160</v>
      </c>
      <c r="K392" s="194" t="str">
        <f>'päd.Personal - Leitung'!$K$40</f>
        <v>2021</v>
      </c>
      <c r="L392" s="194" t="str">
        <f>'päd.Personal - Leitung'!$L$40</f>
        <v>anteilig 2021</v>
      </c>
      <c r="M392" s="1138" t="s">
        <v>140</v>
      </c>
      <c r="N392" s="1138"/>
      <c r="O392" s="1139"/>
      <c r="P392" s="27">
        <f>ROUND(IF(F392="",IF(E396="",0,(E396*H396/K396)/L359*L360),G390*F392*H392/1000),2)</f>
        <v>0</v>
      </c>
    </row>
    <row r="393" spans="1:16" ht="15" customHeight="1" x14ac:dyDescent="0.2">
      <c r="A393" s="1140" t="s">
        <v>145</v>
      </c>
      <c r="B393" s="1141"/>
      <c r="C393" s="1141"/>
      <c r="D393" s="18"/>
      <c r="E393" s="107" t="s">
        <v>135</v>
      </c>
      <c r="F393" s="95" t="str">
        <f>IF(IF(G390=0,"",$F$41)=0,"",IF(G390=0,"",$F$41))</f>
        <v/>
      </c>
      <c r="G393" s="48"/>
      <c r="H393" s="47"/>
      <c r="I393" s="48"/>
      <c r="J393" s="195" t="s">
        <v>158</v>
      </c>
      <c r="K393" s="198">
        <f>'päd.Personal - Leitung'!$K$41</f>
        <v>4837.5</v>
      </c>
      <c r="L393" s="197">
        <f>IF(L359="",K393,K393/L359*L360)</f>
        <v>4837.5</v>
      </c>
      <c r="M393" s="1138" t="s">
        <v>139</v>
      </c>
      <c r="N393" s="1138"/>
      <c r="O393" s="1139"/>
      <c r="P393" s="27">
        <f>ROUND(IF(F393="",0,G390*F393/1000),2)</f>
        <v>0</v>
      </c>
    </row>
    <row r="394" spans="1:16" ht="15.75" customHeight="1" x14ac:dyDescent="0.2">
      <c r="A394" s="1142" t="s">
        <v>141</v>
      </c>
      <c r="B394" s="1143"/>
      <c r="C394" s="1143"/>
      <c r="D394" s="1144" t="s">
        <v>143</v>
      </c>
      <c r="E394" s="1144"/>
      <c r="F394" s="1145" t="str">
        <f>IF(IF(G390=0,"",$F$42)=0,"",IF(G390=0,"",$F$42))</f>
        <v/>
      </c>
      <c r="G394" s="1145"/>
      <c r="H394" s="72"/>
      <c r="I394" s="18"/>
      <c r="J394" s="195" t="s">
        <v>159</v>
      </c>
      <c r="K394" s="198">
        <f>'päd.Personal - Leitung'!$K$42</f>
        <v>6700</v>
      </c>
      <c r="L394" s="197">
        <f>IF(L359="",K394,K394/L359*L360)</f>
        <v>6700</v>
      </c>
      <c r="M394" s="1138" t="s">
        <v>141</v>
      </c>
      <c r="N394" s="1138"/>
      <c r="O394" s="1139"/>
      <c r="P394" s="23">
        <f>ROUND(IF(F394="",0,IF(G390=0,0,F394/L359*L360)),2)</f>
        <v>0</v>
      </c>
    </row>
    <row r="395" spans="1:16" ht="14.25" customHeight="1" x14ac:dyDescent="0.2">
      <c r="A395" s="18"/>
      <c r="B395" s="18"/>
      <c r="C395" s="18"/>
      <c r="D395" s="18"/>
      <c r="E395" s="18"/>
      <c r="F395" s="18"/>
      <c r="G395" s="18"/>
      <c r="H395" s="18"/>
      <c r="I395" s="18"/>
      <c r="J395" s="18"/>
      <c r="K395" s="74"/>
      <c r="L395" s="82"/>
      <c r="M395" s="1127" t="s">
        <v>146</v>
      </c>
      <c r="N395" s="1127"/>
      <c r="O395" s="1128"/>
      <c r="P395" s="23">
        <f>ROUND(IF(G390=0,0,$P$43),2)</f>
        <v>0</v>
      </c>
    </row>
    <row r="396" spans="1:16" ht="14.25" customHeight="1" x14ac:dyDescent="0.2">
      <c r="A396" s="1129" t="s">
        <v>142</v>
      </c>
      <c r="B396" s="1130"/>
      <c r="C396" s="148" t="s">
        <v>136</v>
      </c>
      <c r="D396" s="184" t="s">
        <v>137</v>
      </c>
      <c r="E396" s="1131" t="str">
        <f>IF(IF(G390=0,"",$E$44)=0,"",IF(G390=0,"",$E$44))</f>
        <v/>
      </c>
      <c r="F396" s="1131"/>
      <c r="G396" s="83" t="s">
        <v>138</v>
      </c>
      <c r="H396" s="97" t="str">
        <f>IF(IF(G390=0,"",$H$44)=0,"",IF(G390=0,"",$H$44))</f>
        <v/>
      </c>
      <c r="I396" s="1132" t="s">
        <v>144</v>
      </c>
      <c r="J396" s="1132"/>
      <c r="K396" s="98" t="str">
        <f>IF(IF(G390=0,"",$K$44)=0,"",IF(G390=0,"",$K$44))</f>
        <v/>
      </c>
      <c r="L396" s="29"/>
      <c r="M396" s="29"/>
      <c r="N396" s="29"/>
      <c r="O396" s="28" t="s">
        <v>0</v>
      </c>
      <c r="P396" s="27">
        <f>P390+SUM(P392:P395)</f>
        <v>0</v>
      </c>
    </row>
    <row r="397" spans="1:16" s="12" customFormat="1" ht="13.5" customHeight="1" x14ac:dyDescent="0.2">
      <c r="A397" s="1178" t="s">
        <v>18</v>
      </c>
      <c r="B397" s="1178"/>
      <c r="C397" s="1178"/>
      <c r="D397" s="1179" t="str">
        <f>IF($D$1="","",$D$1)</f>
        <v/>
      </c>
      <c r="E397" s="1179"/>
      <c r="F397" s="1179"/>
      <c r="G397" s="1179"/>
      <c r="H397" s="1179"/>
      <c r="I397" s="1179"/>
      <c r="J397" s="1179"/>
      <c r="K397" s="1179"/>
      <c r="L397" s="1179"/>
      <c r="M397" s="1179"/>
      <c r="N397" s="1179"/>
    </row>
    <row r="398" spans="1:16" s="12" customFormat="1" ht="15" customHeight="1" x14ac:dyDescent="0.2">
      <c r="A398" s="1178" t="s">
        <v>17</v>
      </c>
      <c r="B398" s="1178"/>
      <c r="C398" s="1178" t="s">
        <v>15</v>
      </c>
      <c r="D398" s="1179" t="str">
        <f>IF($D$2="","",$D$2)</f>
        <v/>
      </c>
      <c r="E398" s="1179"/>
      <c r="F398" s="1179"/>
      <c r="G398" s="1179"/>
      <c r="H398" s="1179"/>
      <c r="I398" s="1179"/>
      <c r="J398" s="1179"/>
      <c r="K398" s="1179"/>
      <c r="L398" s="1179"/>
      <c r="M398" s="1179"/>
      <c r="N398" s="1179"/>
    </row>
    <row r="399" spans="1:16" s="12" customFormat="1" ht="15" customHeight="1" x14ac:dyDescent="0.2">
      <c r="A399" s="1178" t="s">
        <v>16</v>
      </c>
      <c r="B399" s="1178"/>
      <c r="C399" s="1178" t="s">
        <v>15</v>
      </c>
      <c r="D399" s="1179" t="str">
        <f>IF($D$3="","",$D$3)</f>
        <v/>
      </c>
      <c r="E399" s="1179"/>
      <c r="F399" s="1179"/>
      <c r="G399" s="1179"/>
      <c r="H399" s="1179"/>
      <c r="I399" s="1179"/>
      <c r="J399" s="1179"/>
      <c r="K399" s="1178" t="s">
        <v>103</v>
      </c>
      <c r="L399" s="1178"/>
      <c r="M399" s="1178"/>
      <c r="N399" s="41" t="str">
        <f>IF($N$3="","",$N$3)</f>
        <v/>
      </c>
    </row>
    <row r="400" spans="1:16" s="13" customFormat="1" ht="11.25" x14ac:dyDescent="0.2">
      <c r="A400" s="1182"/>
      <c r="B400" s="1182"/>
      <c r="C400" s="1182"/>
      <c r="D400" s="1183"/>
      <c r="E400" s="1183"/>
      <c r="F400" s="1183"/>
      <c r="G400" s="1183"/>
      <c r="H400" s="1183"/>
      <c r="I400" s="1183"/>
      <c r="J400" s="1183"/>
      <c r="K400" s="11"/>
      <c r="L400" s="11"/>
      <c r="M400" s="11"/>
      <c r="N400" s="11"/>
      <c r="O400" s="11"/>
      <c r="P400" s="11"/>
    </row>
    <row r="401" spans="1:16" s="15" customFormat="1" ht="13.5" customHeight="1" x14ac:dyDescent="0.2">
      <c r="A401" s="1177" t="s">
        <v>225</v>
      </c>
      <c r="B401" s="1177"/>
      <c r="C401" s="1177"/>
      <c r="D401" s="1177"/>
      <c r="E401" s="1177"/>
      <c r="F401" s="1177"/>
      <c r="G401" s="1177"/>
      <c r="H401" s="1177"/>
      <c r="I401" s="1177"/>
      <c r="J401" s="1177"/>
      <c r="K401" s="1177"/>
      <c r="L401" s="1177"/>
      <c r="M401" s="1177"/>
      <c r="N401" s="59" t="s">
        <v>154</v>
      </c>
      <c r="O401" s="191">
        <f>$O$5</f>
        <v>2022</v>
      </c>
      <c r="P401" s="59" t="s">
        <v>154</v>
      </c>
    </row>
    <row r="402" spans="1:16" s="10" customFormat="1" ht="13.5" customHeight="1" x14ac:dyDescent="0.25">
      <c r="B402" s="32"/>
      <c r="C402" s="32"/>
      <c r="D402" s="5" t="s">
        <v>102</v>
      </c>
      <c r="E402" s="31"/>
      <c r="F402" s="31"/>
      <c r="G402" s="31"/>
      <c r="H402" s="31"/>
      <c r="I402" s="26"/>
      <c r="J402" s="1174" t="s">
        <v>14</v>
      </c>
      <c r="K402" s="1174"/>
      <c r="L402" s="180"/>
      <c r="N402" s="84">
        <f>IF(L404="","",L404)</f>
        <v>0</v>
      </c>
      <c r="O402" s="58" t="str">
        <f>$O$6</f>
        <v>Jan                Jul</v>
      </c>
      <c r="P402" s="85">
        <f>IF(N407="","",N407)</f>
        <v>0</v>
      </c>
    </row>
    <row r="403" spans="1:16" s="7" customFormat="1" ht="13.5" customHeight="1" x14ac:dyDescent="0.25">
      <c r="A403" s="1180" t="s">
        <v>71</v>
      </c>
      <c r="B403" s="1180"/>
      <c r="C403" s="1180"/>
      <c r="D403" s="1184"/>
      <c r="E403" s="1184"/>
      <c r="F403" s="1184"/>
      <c r="G403" s="1184"/>
      <c r="H403" s="1184"/>
      <c r="I403" s="1184"/>
      <c r="J403" s="1174" t="s">
        <v>104</v>
      </c>
      <c r="K403" s="1174"/>
      <c r="L403" s="145"/>
      <c r="N403" s="85">
        <f>IF(N402="","",N402)</f>
        <v>0</v>
      </c>
      <c r="O403" s="58" t="str">
        <f>$O$7</f>
        <v>Feb              Aug</v>
      </c>
      <c r="P403" s="85">
        <f>IF(P402="","",P402)</f>
        <v>0</v>
      </c>
    </row>
    <row r="404" spans="1:16" ht="13.5" customHeight="1" x14ac:dyDescent="0.2">
      <c r="A404" s="1180" t="s">
        <v>13</v>
      </c>
      <c r="B404" s="1180"/>
      <c r="C404" s="1180"/>
      <c r="D404" s="1181"/>
      <c r="E404" s="1181"/>
      <c r="F404" s="1181"/>
      <c r="G404" s="1181"/>
      <c r="H404" s="1181"/>
      <c r="I404" s="1181"/>
      <c r="J404" s="1174" t="s">
        <v>222</v>
      </c>
      <c r="K404" s="1174"/>
      <c r="L404" s="145">
        <f>IF(L405&gt;L403,0,L403-L405)</f>
        <v>0</v>
      </c>
      <c r="N404" s="85">
        <f>IF(N403="","",N403)</f>
        <v>0</v>
      </c>
      <c r="O404" s="58" t="str">
        <f>$O$8</f>
        <v>Mrz              Sep</v>
      </c>
      <c r="P404" s="85">
        <f>IF(P403="","",P403)</f>
        <v>0</v>
      </c>
    </row>
    <row r="405" spans="1:16" ht="13.5" customHeight="1" x14ac:dyDescent="0.2">
      <c r="A405" s="1180" t="s">
        <v>12</v>
      </c>
      <c r="B405" s="1180"/>
      <c r="C405" s="1180"/>
      <c r="D405" s="1181"/>
      <c r="E405" s="1181"/>
      <c r="F405" s="1181"/>
      <c r="G405" s="1181"/>
      <c r="H405" s="1181"/>
      <c r="I405" s="1181"/>
      <c r="J405" s="1174" t="s">
        <v>223</v>
      </c>
      <c r="K405" s="1174"/>
      <c r="L405" s="145"/>
      <c r="N405" s="85">
        <f>IF(N404="","",N404)</f>
        <v>0</v>
      </c>
      <c r="O405" s="58" t="str">
        <f>$O$9</f>
        <v>Apr               Okt</v>
      </c>
      <c r="P405" s="85">
        <f t="shared" ref="P405:P407" si="45">IF(P404="","",P404)</f>
        <v>0</v>
      </c>
    </row>
    <row r="406" spans="1:16" ht="13.5" customHeight="1" x14ac:dyDescent="0.2">
      <c r="A406" s="1180" t="s">
        <v>19</v>
      </c>
      <c r="B406" s="1180"/>
      <c r="C406" s="1180"/>
      <c r="D406" s="1181"/>
      <c r="E406" s="1181"/>
      <c r="F406" s="1181"/>
      <c r="G406" s="1181"/>
      <c r="H406" s="1181"/>
      <c r="I406" s="1181"/>
      <c r="J406" s="1174" t="s">
        <v>97</v>
      </c>
      <c r="K406" s="1174"/>
      <c r="L406" s="17" t="str">
        <f>IF(IF((COUNTIF(B422:B433,"&gt;0"))=0,0,(COUNTIF(B422:B433,"&gt;0")))&gt;Grundlagen!$C$24,Grundlagen!$C$24,IF((COUNTIF(B422:B433,"&gt;0"))=0,"",(COUNTIF(B422:B433,"&gt;0"))))</f>
        <v/>
      </c>
      <c r="M406" s="92"/>
      <c r="N406" s="85">
        <f>IF(N405="","",N405)</f>
        <v>0</v>
      </c>
      <c r="O406" s="58" t="str">
        <f>'päd.Personal - Leitung'!$O$10</f>
        <v>Mai               Nov</v>
      </c>
      <c r="P406" s="85">
        <f t="shared" si="45"/>
        <v>0</v>
      </c>
    </row>
    <row r="407" spans="1:16" ht="13.5" customHeight="1" x14ac:dyDescent="0.2">
      <c r="B407" s="8"/>
      <c r="C407" s="141" t="s">
        <v>162</v>
      </c>
      <c r="D407" s="1175"/>
      <c r="E407" s="1175"/>
      <c r="F407" s="1176" t="s">
        <v>110</v>
      </c>
      <c r="G407" s="1176"/>
      <c r="H407" s="1186"/>
      <c r="I407" s="1186"/>
      <c r="L407" s="147" t="str">
        <f>IF((SUM(F410:F413))=0,"",IF(P408&gt;L404,L404,IF(L404="","",IF(L406="","",P408))))</f>
        <v/>
      </c>
      <c r="N407" s="85">
        <f>IF(N406="","",N406)</f>
        <v>0</v>
      </c>
      <c r="O407" s="58" t="str">
        <f>'päd.Personal - Leitung'!$O$11</f>
        <v>Jun               Dez</v>
      </c>
      <c r="P407" s="85">
        <f t="shared" si="45"/>
        <v>0</v>
      </c>
    </row>
    <row r="408" spans="1:16" ht="13.5" customHeight="1" x14ac:dyDescent="0.2">
      <c r="F408" s="1176" t="s">
        <v>180</v>
      </c>
      <c r="G408" s="1176"/>
      <c r="H408" s="1186"/>
      <c r="I408" s="1186"/>
      <c r="O408" s="174" t="s">
        <v>251</v>
      </c>
      <c r="P408" s="175">
        <f>IF(L406="",0,((IF(SUMIF(B422,"&gt;0"),N402,0))+(IF(SUMIF(B423,"&gt;0"),N403,0))+(IF(SUMIF(B424,"&gt;0"),N404,0))+(IF(SUMIF(B425,"&gt;0"),N405,0))+(IF(SUMIF(B426,"&gt;0"),N406,0))+(IF(SUMIF(B427,"&gt;0"),N407,0))+(IF(SUMIF(B428,"&gt;0"),P402,0))+(IF(SUMIF(B429,"&gt;0"),P403,0))+(IF(SUMIF(B430,"&gt;0"),P404,0))+(IF(SUMIF(B431,"&gt;0"),P405,0))+(IF(SUMIF(B432,"&gt;0"),P406,0))+(IF(SUMIF(B433,"&gt;0"),P407,0)))/Grundlagen!$C$24)</f>
        <v>0</v>
      </c>
    </row>
    <row r="409" spans="1:16" s="52" customFormat="1" ht="13.5" customHeight="1" x14ac:dyDescent="0.2">
      <c r="A409" s="61" t="s">
        <v>148</v>
      </c>
      <c r="B409" s="1168" t="s">
        <v>149</v>
      </c>
      <c r="C409" s="1168"/>
      <c r="D409" s="62" t="s">
        <v>150</v>
      </c>
      <c r="E409" s="63" t="s">
        <v>151</v>
      </c>
      <c r="F409" s="64" t="str">
        <f>CONCATENATE("Entg. ",N399," h/Wo")</f>
        <v>Entg.  h/Wo</v>
      </c>
      <c r="G409" s="65" t="s">
        <v>152</v>
      </c>
      <c r="H409" s="65" t="s">
        <v>153</v>
      </c>
      <c r="K409" s="1169" t="str">
        <f>CONCATENATE("Zuschläge / Zulagen für ",N399,"h/Wo")</f>
        <v>Zuschläge / Zulagen für h/Wo</v>
      </c>
      <c r="L409" s="1169"/>
      <c r="M409" s="66" t="str">
        <f>IF(A410="","",A410)</f>
        <v>Jan 2022</v>
      </c>
      <c r="N409" s="66" t="str">
        <f>IF(A411="","",A411)</f>
        <v/>
      </c>
      <c r="O409" s="66" t="str">
        <f>IF(A412="","",A412)</f>
        <v/>
      </c>
      <c r="P409" s="66" t="str">
        <f>IF(A413="","",A413)</f>
        <v/>
      </c>
    </row>
    <row r="410" spans="1:16" s="52" customFormat="1" ht="13.5" customHeight="1" x14ac:dyDescent="0.25">
      <c r="A410" s="54" t="str">
        <f>A422</f>
        <v>Jan 2022</v>
      </c>
      <c r="B410" s="1170" t="str">
        <f>IF($D$3="","",$D$3)</f>
        <v/>
      </c>
      <c r="C410" s="1171"/>
      <c r="D410" s="181"/>
      <c r="E410" s="181"/>
      <c r="F410" s="87"/>
      <c r="G410" s="56">
        <f>IF(N399="",0,F410/N399/4.348)</f>
        <v>0</v>
      </c>
      <c r="H410" s="53">
        <f>IF(G410=0,0,M415)</f>
        <v>0</v>
      </c>
      <c r="K410" s="1146"/>
      <c r="L410" s="1146"/>
      <c r="M410" s="86"/>
      <c r="N410" s="86"/>
      <c r="O410" s="86"/>
      <c r="P410" s="86"/>
    </row>
    <row r="411" spans="1:16" s="52" customFormat="1" ht="13.5" customHeight="1" x14ac:dyDescent="0.25">
      <c r="A411" s="55"/>
      <c r="B411" s="1172" t="str">
        <f>IF(A411="","",B410)</f>
        <v/>
      </c>
      <c r="C411" s="1173"/>
      <c r="D411" s="181"/>
      <c r="E411" s="181"/>
      <c r="F411" s="87"/>
      <c r="G411" s="56">
        <f>IF(N399="",0,F411/N399/4.348)</f>
        <v>0</v>
      </c>
      <c r="H411" s="53">
        <f>IF(G411=0,0,N415)</f>
        <v>0</v>
      </c>
      <c r="K411" s="1146"/>
      <c r="L411" s="1146"/>
      <c r="M411" s="86"/>
      <c r="N411" s="86"/>
      <c r="O411" s="86"/>
      <c r="P411" s="86"/>
    </row>
    <row r="412" spans="1:16" s="52" customFormat="1" ht="13.5" customHeight="1" x14ac:dyDescent="0.25">
      <c r="A412" s="55"/>
      <c r="B412" s="1172" t="str">
        <f>IF(A412="","",B411)</f>
        <v/>
      </c>
      <c r="C412" s="1173"/>
      <c r="D412" s="181"/>
      <c r="E412" s="181"/>
      <c r="F412" s="87"/>
      <c r="G412" s="56">
        <f>IF(N399="",0,F412/N399/4.348)</f>
        <v>0</v>
      </c>
      <c r="H412" s="53">
        <f>IF(G412=0,0,O415)</f>
        <v>0</v>
      </c>
      <c r="K412" s="1146"/>
      <c r="L412" s="1146"/>
      <c r="M412" s="86"/>
      <c r="N412" s="86"/>
      <c r="O412" s="86"/>
      <c r="P412" s="86"/>
    </row>
    <row r="413" spans="1:16" s="52" customFormat="1" ht="13.5" customHeight="1" x14ac:dyDescent="0.25">
      <c r="A413" s="55"/>
      <c r="B413" s="1172" t="str">
        <f>IF(A413="","",B412)</f>
        <v/>
      </c>
      <c r="C413" s="1173"/>
      <c r="D413" s="181"/>
      <c r="E413" s="181"/>
      <c r="F413" s="87"/>
      <c r="G413" s="56">
        <f>IF(N399="",0,F413/N399/4.348)</f>
        <v>0</v>
      </c>
      <c r="H413" s="53">
        <f>IF(G413=0,0,P415)</f>
        <v>0</v>
      </c>
      <c r="K413" s="1146"/>
      <c r="L413" s="1146"/>
      <c r="M413" s="86"/>
      <c r="N413" s="86"/>
      <c r="O413" s="86"/>
      <c r="P413" s="86"/>
    </row>
    <row r="414" spans="1:16" s="52" customFormat="1" ht="13.5" customHeight="1" x14ac:dyDescent="0.25">
      <c r="B414" s="1167" t="s">
        <v>157</v>
      </c>
      <c r="C414" s="1167"/>
      <c r="E414" s="1167" t="s">
        <v>156</v>
      </c>
      <c r="F414" s="1167"/>
      <c r="J414" s="69"/>
      <c r="K414" s="1146"/>
      <c r="L414" s="1146"/>
      <c r="M414" s="86"/>
      <c r="N414" s="86"/>
      <c r="O414" s="86"/>
      <c r="P414" s="86"/>
    </row>
    <row r="415" spans="1:16" s="52" customFormat="1" ht="13.5" customHeight="1" x14ac:dyDescent="0.25">
      <c r="A415" s="70" t="s">
        <v>167</v>
      </c>
      <c r="B415" s="67"/>
      <c r="C415" s="99" t="str">
        <f>IF(C371="","",C371)</f>
        <v/>
      </c>
      <c r="D415" s="70" t="s">
        <v>167</v>
      </c>
      <c r="E415" s="67"/>
      <c r="F415" s="99" t="str">
        <f>IF(F371="","",F371)</f>
        <v/>
      </c>
      <c r="J415" s="68"/>
      <c r="M415" s="57">
        <f>SUM(M410:M414)</f>
        <v>0</v>
      </c>
      <c r="N415" s="57">
        <f t="shared" ref="N415:P415" si="46">SUM(N410:N414)</f>
        <v>0</v>
      </c>
      <c r="O415" s="57">
        <f t="shared" si="46"/>
        <v>0</v>
      </c>
      <c r="P415" s="57">
        <f t="shared" si="46"/>
        <v>0</v>
      </c>
    </row>
    <row r="416" spans="1:16" s="52" customFormat="1" ht="13.5" customHeight="1" x14ac:dyDescent="0.2">
      <c r="A416" s="60" t="s">
        <v>155</v>
      </c>
    </row>
    <row r="417" spans="1:16" s="20" customFormat="1" ht="14.25" customHeight="1" x14ac:dyDescent="0.2">
      <c r="A417" s="1147"/>
      <c r="B417" s="1149" t="s">
        <v>9</v>
      </c>
      <c r="C417" s="1150"/>
      <c r="D417" s="1150"/>
      <c r="E417" s="1150"/>
      <c r="F417" s="1150"/>
      <c r="G417" s="1151"/>
      <c r="H417" s="1152" t="s">
        <v>119</v>
      </c>
      <c r="I417" s="1153"/>
      <c r="J417" s="1153"/>
      <c r="K417" s="1153"/>
      <c r="L417" s="1153"/>
      <c r="M417" s="1153"/>
      <c r="N417" s="1195" t="s">
        <v>112</v>
      </c>
      <c r="O417" s="33"/>
      <c r="P417" s="1154" t="s">
        <v>0</v>
      </c>
    </row>
    <row r="418" spans="1:16" s="20" customFormat="1" ht="14.25" customHeight="1" x14ac:dyDescent="0.2">
      <c r="A418" s="1148"/>
      <c r="B418" s="1157" t="s">
        <v>117</v>
      </c>
      <c r="C418" s="144" t="s">
        <v>115</v>
      </c>
      <c r="D418" s="1159" t="s">
        <v>277</v>
      </c>
      <c r="E418" s="1161" t="s">
        <v>147</v>
      </c>
      <c r="F418" s="149" t="s">
        <v>7</v>
      </c>
      <c r="G418" s="1162" t="s">
        <v>6</v>
      </c>
      <c r="H418" s="1161" t="s">
        <v>129</v>
      </c>
      <c r="I418" s="1161" t="s">
        <v>111</v>
      </c>
      <c r="J418" s="1161" t="s">
        <v>5</v>
      </c>
      <c r="K418" s="1161" t="s">
        <v>4</v>
      </c>
      <c r="L418" s="1161" t="s">
        <v>3</v>
      </c>
      <c r="M418" s="1161" t="s">
        <v>98</v>
      </c>
      <c r="N418" s="1196"/>
      <c r="O418" s="1160" t="s">
        <v>114</v>
      </c>
      <c r="P418" s="1155"/>
    </row>
    <row r="419" spans="1:16" s="20" customFormat="1" ht="14.25" customHeight="1" x14ac:dyDescent="0.2">
      <c r="A419" s="1148"/>
      <c r="B419" s="1157"/>
      <c r="C419" s="21" t="str">
        <f>IF(C415="","",C415)</f>
        <v/>
      </c>
      <c r="D419" s="1160"/>
      <c r="E419" s="1161"/>
      <c r="F419" s="1165" t="str">
        <f>IF(H410=0,"","siehe Zuschläge / Zulagen")</f>
        <v/>
      </c>
      <c r="G419" s="1162"/>
      <c r="H419" s="1164" t="s">
        <v>127</v>
      </c>
      <c r="I419" s="1161"/>
      <c r="J419" s="1164"/>
      <c r="K419" s="1164"/>
      <c r="L419" s="1164"/>
      <c r="M419" s="1161"/>
      <c r="N419" s="1196"/>
      <c r="O419" s="1160"/>
      <c r="P419" s="1155"/>
    </row>
    <row r="420" spans="1:16" s="20" customFormat="1" x14ac:dyDescent="0.2">
      <c r="A420" s="1148"/>
      <c r="B420" s="1157"/>
      <c r="C420" s="142" t="s">
        <v>70</v>
      </c>
      <c r="D420" s="1160"/>
      <c r="E420" s="1161"/>
      <c r="F420" s="1165"/>
      <c r="G420" s="1162"/>
      <c r="H420" s="43" t="s">
        <v>128</v>
      </c>
      <c r="I420" s="1161"/>
      <c r="J420" s="43" t="s">
        <v>255</v>
      </c>
      <c r="K420" s="43" t="s">
        <v>256</v>
      </c>
      <c r="L420" s="43" t="s">
        <v>257</v>
      </c>
      <c r="M420" s="1161"/>
      <c r="N420" s="1196"/>
      <c r="O420" s="1160"/>
      <c r="P420" s="1155"/>
    </row>
    <row r="421" spans="1:16" s="20" customFormat="1" x14ac:dyDescent="0.2">
      <c r="A421" s="1148"/>
      <c r="B421" s="1158"/>
      <c r="C421" s="21" t="str">
        <f>IF(F415="","",F415)</f>
        <v/>
      </c>
      <c r="D421" s="51"/>
      <c r="E421" s="51"/>
      <c r="F421" s="1166"/>
      <c r="G421" s="1163"/>
      <c r="H421" s="93"/>
      <c r="I421" s="21"/>
      <c r="J421" s="139">
        <f>$I$25</f>
        <v>0</v>
      </c>
      <c r="K421" s="139">
        <f>$J$25</f>
        <v>0</v>
      </c>
      <c r="L421" s="44">
        <f>$K$25</f>
        <v>0</v>
      </c>
      <c r="M421" s="21"/>
      <c r="N421" s="21"/>
      <c r="O421" s="21">
        <f>O377</f>
        <v>0</v>
      </c>
      <c r="P421" s="1156"/>
    </row>
    <row r="422" spans="1:16" s="20" customFormat="1" x14ac:dyDescent="0.2">
      <c r="A422" s="100" t="str">
        <f>$A$26</f>
        <v>Jan 2022</v>
      </c>
      <c r="B422" s="24">
        <f>ROUND(IF(N402=0,0,(LOOKUP(2,1/(A410:A413=A422),G410:G413))*N402*4.348*50%),2)</f>
        <v>0</v>
      </c>
      <c r="C422" s="23">
        <f>ROUND(IFERROR(((LOOKUP(2,1/(B415=A422),((SUM(B428:B430)+SUM(F428:F430))/3)*C415))),0)+IFERROR(((LOOKUP(2,1/(E415=A422),(B434+F434)*F415))),0),2)</f>
        <v>0</v>
      </c>
      <c r="D422" s="23">
        <f>ROUND(IF(B422=0,0,D421/L403*N402*50%),2)</f>
        <v>0</v>
      </c>
      <c r="E422" s="23">
        <f>ROUND(IF(B422=0,0,E421/N399*N402*50%),2)</f>
        <v>0</v>
      </c>
      <c r="F422" s="24">
        <f>ROUND(IF(N402=0,0,(LOOKUP(2,1/(A410:A413=A422),H410:H413))/N399*N402*50%),2)</f>
        <v>0</v>
      </c>
      <c r="G422" s="27">
        <f>SUM(B422+C422+E422+F422)</f>
        <v>0</v>
      </c>
      <c r="H422" s="76">
        <f>ROUND(IF((SUM(B422:F422))&gt;L437,L437*H421,SUM(B422:F422)*H421),2)</f>
        <v>0</v>
      </c>
      <c r="I422" s="76">
        <f>ROUND(IF((SUM(B422:F422)*80%)&gt;((L438*1)*90%),((((L438*1)*90%)-((SUM(B422:F422)-C422))*I421)+((SUM(B422:F422)-C422)*I421)*80%),((SUM(B422:F422)-C422)*I421)*80%),2)</f>
        <v>0</v>
      </c>
      <c r="J422" s="76">
        <f>ROUND(IF((SUM(B422:F422))&gt;L438,L438*J421,SUM(B422:F422)*J421),2)</f>
        <v>0</v>
      </c>
      <c r="K422" s="76">
        <f>ROUND(IF((SUM(B422:F422))&gt;L438,L438*K421,SUM(B422:F422)*K421),2)</f>
        <v>0</v>
      </c>
      <c r="L422" s="76">
        <f>ROUND(IF((SUM(B422:F422))&gt;L437,L437*L421,SUM(B422:F422)*L421),2)</f>
        <v>0</v>
      </c>
      <c r="M422" s="76">
        <f>ROUND(IF((SUM(B422:F422))&gt;L438,L438*M421,(SUM(B422:F422)-C422)*M421),2)</f>
        <v>0</v>
      </c>
      <c r="N422" s="23">
        <f>ROUND((B422+E422+F422)*N421,2)</f>
        <v>0</v>
      </c>
      <c r="O422" s="23">
        <f>ROUND(SUM(B422+C422+F422)*O421,2)</f>
        <v>0</v>
      </c>
      <c r="P422" s="27">
        <f>SUM(G422:O422)</f>
        <v>0</v>
      </c>
    </row>
    <row r="423" spans="1:16" s="20" customFormat="1" x14ac:dyDescent="0.2">
      <c r="A423" s="100" t="str">
        <f>$A$27</f>
        <v>Feb 2022</v>
      </c>
      <c r="B423" s="24">
        <f>ROUND(IF(N403=0,0,IFERROR(((LOOKUP(2,1/(A410:A413=A423),G410:G413))*N403*4.348*50%),B422/N403*N403)),2)</f>
        <v>0</v>
      </c>
      <c r="C423" s="23">
        <f>ROUND(IFERROR(((LOOKUP(2,1/(B415=A423),((SUM(B428:B430)+SUM(F428:F430))/3)*C415))),0)+IFERROR(((LOOKUP(2,1/(E415=A423),(B434+F434)*F415))),0),2)</f>
        <v>0</v>
      </c>
      <c r="D423" s="23">
        <f>ROUND(IF(B423=0,0,D421/L403*N403*50%),2)</f>
        <v>0</v>
      </c>
      <c r="E423" s="23">
        <f>ROUND(IF(B423=0,0,E421/N399*N403*50%),2)</f>
        <v>0</v>
      </c>
      <c r="F423" s="24">
        <f>ROUND(IF(N403=0,0,IFERROR(((LOOKUP(2,1/(A410:A413=A423),H410:H413))/N399*N403),F422/N403*N403*50%)),2)</f>
        <v>0</v>
      </c>
      <c r="G423" s="27">
        <f t="shared" ref="G423:G433" si="47">SUM(B423+C423+E423+F423)</f>
        <v>0</v>
      </c>
      <c r="H423" s="76">
        <f>ROUND(IF(SUM(B422:F422)&lt;(L437*1),IF((SUM(B422:F423))&gt;(L437*2),(((L437*2)-(SUM(B422:F423)-C422))*H421)+((SUM(B423:F423)-C422)*H421),SUM(B423:F423)*H421),IF(SUM(B422:F423)&gt;(L437*2),L437*H421,SUM(B423:F423)*H421)),2)</f>
        <v>0</v>
      </c>
      <c r="I423" s="76">
        <f>ROUND(IF((SUM(B422:F423)*80%)&gt;((L438*2)*90%),((((L438*2)*90%)-((SUM(B422:F423)-C423))*I421)+((SUM(B423:F423)-C423)*I421)*80%),((SUM(B423:F423)-C423)*I421)*80%),2)</f>
        <v>0</v>
      </c>
      <c r="J423" s="76">
        <f>ROUND(IF(SUM(B422:F422)&lt;(L438*1),IF((SUM(B422:F423))&gt;(L438*2),(((L438*2)-(SUM(B422:F423)-C422))*J421)+((SUM(B423:F423)-C422)*J421),SUM(B423:F423)*J421),IF(SUM(B422:F423)&gt;(L438*2),L438*J421,SUM(B423:F423)*J421)),2)</f>
        <v>0</v>
      </c>
      <c r="K423" s="76">
        <f>ROUND(IF(SUM(B422:F422)&lt;(L438*1),IF((SUM(B422:F423))&gt;(L438*2),(((L438*2)-(SUM(B422:F423)-C422))*K421)+((SUM(B423:F423)-C422)*K421),SUM(B423:F423)*K421),IF(SUM(B422:F423)&gt;(L438*2),L438*K421,SUM(B423:F423)*K421)),2)</f>
        <v>0</v>
      </c>
      <c r="L423" s="76">
        <f>ROUND(IF(SUM(B422:F422)&lt;(L437*1),IF((SUM(B422:F423))&gt;(L437*2),(((L437*2)-(SUM(B422:F423)-C422))*L421)+((SUM(B423:F423)-C422)*L421),SUM(B423:F423)*L421),IF(SUM(B422:F423)&gt;(L437*2),L437*L421,SUM(B423:F423)*L421)),2)</f>
        <v>0</v>
      </c>
      <c r="M423" s="76">
        <f>ROUND(IF(SUM(B422:F422)&lt;(L438*1),IF((SUM(B422:F423))&gt;(L438*2),(((L438*2)-(SUM(B422:F423)-C423))*M421)+((SUM(B423:F423)-C423)*M421),(SUM(B423:F423)-C423)*M421),IF(SUM(B422:F423)&gt;(L438*2),L438*M421,SUM(B423:F423)*M421)),2)</f>
        <v>0</v>
      </c>
      <c r="N423" s="23">
        <f>ROUND((B423+E423+F423)*N421,2)</f>
        <v>0</v>
      </c>
      <c r="O423" s="23">
        <f>ROUND(SUM(B423+C423+F423)*O421,2)</f>
        <v>0</v>
      </c>
      <c r="P423" s="27">
        <f t="shared" ref="P423:P432" si="48">SUM(G423:O423)</f>
        <v>0</v>
      </c>
    </row>
    <row r="424" spans="1:16" s="20" customFormat="1" x14ac:dyDescent="0.2">
      <c r="A424" s="100" t="str">
        <f>$A$28</f>
        <v>Mrz 2022</v>
      </c>
      <c r="B424" s="24">
        <f>ROUND(IF(N404=0,0,IFERROR(((LOOKUP(2,1/(A410:A413=A424),G410:G413))*N404*4.348*50%),B423/N404*N404)),2)</f>
        <v>0</v>
      </c>
      <c r="C424" s="23">
        <f>ROUND(IFERROR(((LOOKUP(2,1/(B415=A424),((SUM(B428:B430)+SUM(F428:F430))/3)*C415))),0)+IFERROR(((LOOKUP(2,1/(E415=A424),(B434+F434)*F415))),0),2)</f>
        <v>0</v>
      </c>
      <c r="D424" s="23">
        <f>ROUND(IF(B424=0,0,D421/L403*N404*50%),2)</f>
        <v>0</v>
      </c>
      <c r="E424" s="23">
        <f>ROUND(IF(B424=0,0,E421/N399*N404*50%),2)</f>
        <v>0</v>
      </c>
      <c r="F424" s="24">
        <f>ROUND(IF(N404=0,0,IFERROR(((LOOKUP(2,1/(A410:A413=A424),H410:H413))/N399*N404),F423/N404*N404*50%)),2)</f>
        <v>0</v>
      </c>
      <c r="G424" s="27">
        <f t="shared" si="47"/>
        <v>0</v>
      </c>
      <c r="H424" s="76">
        <f>ROUND(IF(SUM(B422:F423)&lt;(L437*2),IF((SUM(B422:F424))&gt;(L437*3),(((L437*3)-(SUM(B422:F424)-C423))*H421)+((SUM(B424:F424)-C423)*H421),SUM(B424:F424)*H421),IF(SUM(B422:F424)&gt;(L437*3),L437*H421,SUM(B424:F424)*H421)),2)</f>
        <v>0</v>
      </c>
      <c r="I424" s="76">
        <f>ROUND(IF((SUM(B422:F424)*80%)&gt;((L438*3)*90%),((((L438*3)*90%)-((SUM(B422:F424)-C424))*I421)+((SUM(B424:F424)-C424)*I421)*80%),((SUM(B424:F424)-C424)*I421)*80%),2)</f>
        <v>0</v>
      </c>
      <c r="J424" s="76">
        <f>ROUND(IF(SUM(B422:F423)&lt;(L438*2),IF((SUM(B422:F424))&gt;(L438*3),(((L438*3)-(SUM(B422:F424)-C423))*J421)+((SUM(B424:F424)-C423)*J421),SUM(B424:F424)*J421),IF(SUM(B422:F424)&gt;(L438*3),L438*J421,SUM(B424:F424)*J421)),2)</f>
        <v>0</v>
      </c>
      <c r="K424" s="76">
        <f>ROUND(IF(SUM(B422:F423)&lt;(L438*2),IF((SUM(B422:F424))&gt;(L438*3),(((L438*3)-(SUM(B422:F424)-C423))*K421)+((SUM(B424:F424)-C423)*K421),SUM(B424:F424)*K421),IF(SUM(B422:F424)&gt;(L438*3),L438*K421,SUM(B424:F424)*K421)),2)</f>
        <v>0</v>
      </c>
      <c r="L424" s="76">
        <f>ROUND(IF(SUM(B422:F423)&lt;(L437*2),IF((SUM(B422:F424))&gt;(L437*3),(((L437*3)-(SUM(B422:F424)-C423))*L421)+((SUM(B424:F424)-C423)*L421),SUM(B424:F424)*L421),IF(SUM(B422:F424)&gt;(L437*3),L437*L421,SUM(B424:F424)*L421)),2)</f>
        <v>0</v>
      </c>
      <c r="M424" s="76">
        <f>ROUND(IF(SUM(B422:F423)&lt;(L438*2),IF((SUM(B422:F424))&gt;(L438*3),(((L438*3)-(SUM(B422:F424)-C424))*M421)+((SUM(B424:F424)-C424)*M421),(SUM(B424:F424)-C424)*M421),IF(SUM(B422:F424)&gt;(L438*3),L438*M421,SUM(B424:F424)*M421)),2)</f>
        <v>0</v>
      </c>
      <c r="N424" s="23">
        <f>ROUND((B424+E424+F424)*N421,2)</f>
        <v>0</v>
      </c>
      <c r="O424" s="23">
        <f>ROUND(SUM(B424+C424+F424)*O421,2)</f>
        <v>0</v>
      </c>
      <c r="P424" s="27">
        <f t="shared" si="48"/>
        <v>0</v>
      </c>
    </row>
    <row r="425" spans="1:16" s="20" customFormat="1" ht="14.25" customHeight="1" x14ac:dyDescent="0.2">
      <c r="A425" s="100" t="str">
        <f>$A$29</f>
        <v>Apr 2022</v>
      </c>
      <c r="B425" s="24">
        <f>ROUND(IF(N405=0,0,IFERROR(((LOOKUP(2,1/(A410:A413=A425),G410:G413))*N405*4.348*50%),B424/N405*N405)),2)</f>
        <v>0</v>
      </c>
      <c r="C425" s="23">
        <f>ROUND(IFERROR(((LOOKUP(2,1/(B415=A425),((SUM(B428:B430)+SUM(F428:F430))/3)*C415))),0)+IFERROR(((LOOKUP(2,1/(E415=A425),(B434+F434)*F415))),0),2)</f>
        <v>0</v>
      </c>
      <c r="D425" s="23">
        <f>ROUND(IF(B425=0,0,D421/L403*N405*50%),2)</f>
        <v>0</v>
      </c>
      <c r="E425" s="23">
        <f>ROUND(IF(B425=0,0,E421/N399*N405*50%),2)</f>
        <v>0</v>
      </c>
      <c r="F425" s="24">
        <f>ROUND(IF(N405=0,0,IFERROR(((LOOKUP(2,1/(A410:A413=A425),H410:H413))/N399*N405),F424/N405*N405*50%)),2)</f>
        <v>0</v>
      </c>
      <c r="G425" s="27">
        <f t="shared" si="47"/>
        <v>0</v>
      </c>
      <c r="H425" s="76">
        <f>ROUND(IF(SUM(B422:F424)&lt;(L437*3),IF((SUM(B422:F425))&gt;(L437*4),(((L437*4)-(SUM(B422:F425)-C424))*H421)+((SUM(B425:F425)-C424)*H421),SUM(B425:F425)*H421),IF(SUM(B422:F425)&gt;(L437*4),L437*H421,SUM(B425:F425)*H421)),2)</f>
        <v>0</v>
      </c>
      <c r="I425" s="76">
        <f>ROUND(IF((SUM(B422:F425)*80%)&gt;((L438*4)*90%),((((L438*4)*90%)-((SUM(B422:F425)-C425))*I421)+((SUM(B425:F425)-C425)*I421)*80%),((SUM(B425:F425)-C425)*I421)*80%),2)</f>
        <v>0</v>
      </c>
      <c r="J425" s="76">
        <f>ROUND(IF(SUM(B422:F424)&lt;(L438*3),IF((SUM(B422:F425))&gt;(L438*4),(((L438*4)-(SUM(B422:F425)-C424))*J421)+((SUM(B425:F425)-C424)*J421),SUM(B425:F425)*J421),IF(SUM(B422:F425)&gt;(L438*4),L438*J421,SUM(B425:F425)*J421)),2)</f>
        <v>0</v>
      </c>
      <c r="K425" s="76">
        <f>ROUND(IF(SUM(B422:F424)&lt;(L438*3),IF((SUM(B422:F425))&gt;(L438*4),(((L438*4)-(SUM(B422:F425)-C424))*K421)+((SUM(B425:F425)-C424)*K421),SUM(B425:F425)*K421),IF(SUM(B422:F425)&gt;(L438*4),L438*K421,SUM(B425:F425)*K421)),2)</f>
        <v>0</v>
      </c>
      <c r="L425" s="76">
        <f>ROUND(IF(SUM(B422:F424)&lt;(L437*3),IF((SUM(B422:F425))&gt;(L437*4),(((L437*4)-(SUM(B422:F425)-C424))*L421)+((SUM(B425:F425)-C424)*L421),SUM(B425:F425)*L421),IF(SUM(B422:F425)&gt;(L437*4),L437*L421,SUM(B425:F425)*L421)),2)</f>
        <v>0</v>
      </c>
      <c r="M425" s="76">
        <f>ROUND(IF(SUM(B422:F424)&lt;(L438*3),IF((SUM(B422:F425))&gt;(L438*4),(((L438*4)-(SUM(B422:F425)-C425))*M421)+((SUM(B425:F425)-C425)*M421),(SUM(B425:F425)-C425)*M421),IF(SUM(B422:F425)&gt;(L438*4),L438*M421,SUM(B425:F425)*M421)),2)</f>
        <v>0</v>
      </c>
      <c r="N425" s="23">
        <f>ROUND((B425+E425+F425)*N421,2)</f>
        <v>0</v>
      </c>
      <c r="O425" s="23">
        <f>ROUND(SUM(B425+C425+F425)*O421,2)</f>
        <v>0</v>
      </c>
      <c r="P425" s="27">
        <f t="shared" si="48"/>
        <v>0</v>
      </c>
    </row>
    <row r="426" spans="1:16" s="20" customFormat="1" x14ac:dyDescent="0.2">
      <c r="A426" s="100" t="str">
        <f>$A$30</f>
        <v>Mai 2022</v>
      </c>
      <c r="B426" s="24">
        <f>ROUND(IF(N406=0,0,IFERROR(((LOOKUP(2,1/(A410:A413=A426),G410:G413))*N406*4.348*50%),B425/N406*N406)),2)</f>
        <v>0</v>
      </c>
      <c r="C426" s="23">
        <f>ROUND(IFERROR(((LOOKUP(2,1/(B415=A426),((SUM(B428:B430)+SUM(F428:F430))/3)*C415))),0)+IFERROR(((LOOKUP(2,1/(E415=A426),(B434+F434)*F415))),0),2)</f>
        <v>0</v>
      </c>
      <c r="D426" s="23">
        <f>ROUND(IF(B426=0,0,D421/L403*N406*50%),2)</f>
        <v>0</v>
      </c>
      <c r="E426" s="23">
        <f>ROUND(IF(B426=0,0,E421/N399*N406*50%),2)</f>
        <v>0</v>
      </c>
      <c r="F426" s="24">
        <f>ROUND(IF(N406=0,0,IFERROR(((LOOKUP(2,1/(A410:A413=A426),H410:H413))/N399*N406),F425/N406*N406*50%)),2)</f>
        <v>0</v>
      </c>
      <c r="G426" s="27">
        <f t="shared" si="47"/>
        <v>0</v>
      </c>
      <c r="H426" s="76">
        <f>ROUND(IF(SUM(B422:F425)&lt;(L437*4),IF((SUM(B422:F426))&gt;(L437*5),(((L437*5)-(SUM(B422:F426)-C425))*H421)+((SUM(B426:F426)-C425)*H421),SUM(B426:F426)*H421),IF(SUM(B422:F426)&gt;(L437*5),L437*H421,SUM(B426:F426)*H421)),2)</f>
        <v>0</v>
      </c>
      <c r="I426" s="76">
        <f>ROUND(IF((SUM(B422:F426)*80%)&gt;((L438*5)*90%),((((L438*5)*90%)-((SUM(B422:F426)-C426))*I421)+((SUM(B426:F426)-C426)*I421)*80%),((SUM(B426:F426)-C426)*I421)*80%),2)</f>
        <v>0</v>
      </c>
      <c r="J426" s="76">
        <f>ROUND(IF(SUM(B422:F425)&lt;(L438*4),IF((SUM(B422:F426))&gt;(L438*5),(((L438*5)-(SUM(B422:F426)-C425))*J421)+((SUM(B426:F426)-C425)*J421),SUM(B426:F426)*J421),IF(SUM(B422:F426)&gt;(L438*5),L438*J421,SUM(B426:F426)*J421)),2)</f>
        <v>0</v>
      </c>
      <c r="K426" s="76">
        <f>ROUND(IF(SUM(B422:F425)&lt;(L438*4),IF((SUM(B422:F426))&gt;(L438*5),(((L438*5)-(SUM(B422:F426)-C425))*K421)+((SUM(B426:F426)-C425)*K421),SUM(B426:F426)*K421),IF(SUM(B422:F426)&gt;(L438*5),L438*K421,SUM(B426:F426)*K421)),2)</f>
        <v>0</v>
      </c>
      <c r="L426" s="76">
        <f>ROUND(IF(SUM(B422:F425)&lt;(L437*4),IF((SUM(B422:F426))&gt;(L437*5),(((L437*5)-(SUM(B422:F426)-C425))*L421)+((SUM(B426:F426)-C425)*L421),SUM(B426:F426)*L421),IF(SUM(B422:F426)&gt;(L437*5),L437*L421,SUM(B426:F426)*L421)),2)</f>
        <v>0</v>
      </c>
      <c r="M426" s="76">
        <f>ROUND(IF(SUM(B422:F425)&lt;(L438*4),IF((SUM(B422:F426))&gt;(L438*5),(((L438*5)-(SUM(B422:F426)-C426))*M421)+((SUM(B426:F426)-C426)*M421),(SUM(B426:F426)-C426)*M421),IF(SUM(B422:F426)&gt;(L438*5),L438*M421,SUM(B426:F426)*M421)),2)</f>
        <v>0</v>
      </c>
      <c r="N426" s="23">
        <f>ROUND((B426+E426+F426)*N421,2)</f>
        <v>0</v>
      </c>
      <c r="O426" s="23">
        <f>ROUND(SUM(B426+C426+F426)*O421,2)</f>
        <v>0</v>
      </c>
      <c r="P426" s="27">
        <f t="shared" si="48"/>
        <v>0</v>
      </c>
    </row>
    <row r="427" spans="1:16" s="20" customFormat="1" x14ac:dyDescent="0.2">
      <c r="A427" s="100" t="str">
        <f>$A$31</f>
        <v>Jun 2022</v>
      </c>
      <c r="B427" s="24">
        <f>ROUND(IF(N407=0,0,IFERROR(((LOOKUP(2,1/(A410:A413=A427),G410:G413))*N407*4.348*50%),B426/N407*N407)),2)</f>
        <v>0</v>
      </c>
      <c r="C427" s="23">
        <f>ROUND(IFERROR(((LOOKUP(2,1/(B415=A427),((SUM(B428:B430)+SUM(F428:F430))/3)*C415))),0)+IFERROR(((LOOKUP(2,1/(E415=A427),(B434+F434)*F415))),0),2)</f>
        <v>0</v>
      </c>
      <c r="D427" s="23">
        <f>ROUND(IF(B427=0,0,D421/L403*N407*50%),2)</f>
        <v>0</v>
      </c>
      <c r="E427" s="23">
        <f>ROUND(IF(B427=0,0,E421/N399*N407*50%),2)</f>
        <v>0</v>
      </c>
      <c r="F427" s="24">
        <f>ROUND(IF(N407=0,0,IFERROR(((LOOKUP(2,1/(A410:A413=A427),H410:H413))/N399*N407),F426/N407*N407*50%)),2)</f>
        <v>0</v>
      </c>
      <c r="G427" s="27">
        <f t="shared" si="47"/>
        <v>0</v>
      </c>
      <c r="H427" s="76">
        <f>ROUND(IF(SUM(B422:F426)&lt;(L437*5),IF((SUM(B422:F427))&gt;(L437*6),(((L437*6)-(SUM(B422:F427)-C426))*H421)+((SUM(B427:F427)-C426)*H421),SUM(B427:F427)*H421),IF(SUM(B422:F427)&gt;(L437*6),L437*H421,SUM(B427:F427)*H421)),2)</f>
        <v>0</v>
      </c>
      <c r="I427" s="76">
        <f>ROUND(IF((SUM(B422:F427)*80%)&gt;((L438*6)*90%),((((L438*6)*90%)-((SUM(B422:F427)-C427))*I421)+((SUM(B427:F427)-C427)*I421)*80%),((SUM(B427:F427)-C427)*I421)*80%),2)</f>
        <v>0</v>
      </c>
      <c r="J427" s="76">
        <f>ROUND(IF(SUM(B422:F426)&lt;(L438*5),IF((SUM(B422:F427))&gt;(L438*6),(((L438*6)-(SUM(B422:F427)-C426))*J421)+((SUM(B427:F427)-C426)*J421),SUM(B427:F427)*J421),IF(SUM(B422:F427)&gt;(L438*6),L438*J421,SUM(B427:F427)*J421)),2)</f>
        <v>0</v>
      </c>
      <c r="K427" s="76">
        <f>ROUND(IF(SUM(B422:F426)&lt;(L438*5),IF((SUM(B422:F427))&gt;(L438*6),(((L438*6)-(SUM(B422:F427)-C426))*K421)+((SUM(B427:F427)-C426)*K421),SUM(B427:F427)*K421),IF(SUM(B422:F427)&gt;(L438*6),L438*K421,SUM(B427:F427)*K421)),2)</f>
        <v>0</v>
      </c>
      <c r="L427" s="76">
        <f>ROUND(IF(SUM(B422:F426)&lt;(L437*5),IF((SUM(B422:F427))&gt;(L437*6),(((L437*6)-(SUM(B422:F427)-C426))*L421)+((SUM(B427:F427)-C426)*L421),SUM(B427:F427)*L421),IF(SUM(B422:F427)&gt;(L437*6),L437*L421,SUM(B427:F427)*L421)),2)</f>
        <v>0</v>
      </c>
      <c r="M427" s="76">
        <f>ROUND(IF(SUM(B422:F426)&lt;(L438*5),IF((SUM(B422:F427))&gt;(L438*6),(((L438*6)-(SUM(B422:F427)-C427))*M421)+((SUM(B427:F427)-C427)*M421),(SUM(B427:F427)-C427)*M421),IF(SUM(B422:F427)&gt;(L438*6),L438*M421,SUM(B427:F427)*M421)),2)</f>
        <v>0</v>
      </c>
      <c r="N427" s="23">
        <f>ROUND((B427+E427+F427)*N421,2)</f>
        <v>0</v>
      </c>
      <c r="O427" s="23">
        <f>ROUND(SUM(B427+C427+F427)*O421,2)</f>
        <v>0</v>
      </c>
      <c r="P427" s="27">
        <f t="shared" si="48"/>
        <v>0</v>
      </c>
    </row>
    <row r="428" spans="1:16" s="20" customFormat="1" x14ac:dyDescent="0.2">
      <c r="A428" s="100" t="str">
        <f>$A$32</f>
        <v>Jul 2022</v>
      </c>
      <c r="B428" s="24">
        <f>ROUND(IF(P402=0,0,IFERROR(((LOOKUP(2,1/(A410:A413=A428),G410:G413))*P402*4.348*50%),B427/P402*P402)),2)</f>
        <v>0</v>
      </c>
      <c r="C428" s="23">
        <f>ROUND(IFERROR(((LOOKUP(2,1/(B415=A428),((SUM(B428:B430)+SUM(F428:F430))/3)*C415))),0)+IFERROR(((LOOKUP(2,1/(E415=A428),(B434+F434)*F415))),0),2)</f>
        <v>0</v>
      </c>
      <c r="D428" s="23">
        <f>ROUND(IF(B428=0,0,D421/L403*P402*50%),2)</f>
        <v>0</v>
      </c>
      <c r="E428" s="23">
        <f>ROUND(IF(B428=0,0,E421/N399*P402*50%),2)</f>
        <v>0</v>
      </c>
      <c r="F428" s="24">
        <f>ROUND(IF(P402=0,0,IFERROR(((LOOKUP(2,1/(A410:A413=A428),H410:H413))/N399*P402),F427/P402*P402*50%)),2)</f>
        <v>0</v>
      </c>
      <c r="G428" s="27">
        <f t="shared" si="47"/>
        <v>0</v>
      </c>
      <c r="H428" s="76">
        <f>ROUND(IF(SUM(B422:F427)&lt;(L437*6),IF((SUM(B422:F428))&gt;(L437*7),(((L437*7)-(SUM(B422:F428)-C427))*H421)+((SUM(B428:F428)-C427)*H421),SUM(B428:F428)*H421),IF(SUM(B422:F428)&gt;(L437*7),L437*H421,SUM(B428:F428)*H421)),2)</f>
        <v>0</v>
      </c>
      <c r="I428" s="76">
        <f>ROUND(IF((SUM(B422:F428)*80%)&gt;((L438*7)*90%),((((L438*7)*90%)-((SUM(B422:F428)-C428))*I421)+((SUM(B428:F428)-C428)*I421)*80%),((SUM(B428:F428)-C428)*I421)*80%),2)</f>
        <v>0</v>
      </c>
      <c r="J428" s="76">
        <f>ROUND(IF(SUM(B422:F427)&lt;(L438*6),IF((SUM(B422:F428))&gt;(L438*7),(((L438*7)-(SUM(B422:F428)-C427))*J421)+((SUM(B428:F428)-C427)*J421),SUM(B428:F428)*J421),IF(SUM(B422:F428)&gt;(L438*7),L438*J421,SUM(B428:F428)*J421)),2)</f>
        <v>0</v>
      </c>
      <c r="K428" s="76">
        <f>ROUND(IF(SUM(B422:F427)&lt;(L438*6),IF((SUM(B422:F428))&gt;(L438*7),(((L438*7)-(SUM(B422:F428)-C427))*K421)+((SUM(B428:F428)-C427)*K421),SUM(B428:F428)*K421),IF(SUM(B422:F428)&gt;(L438*7),L438*K421,SUM(B428:F428)*K421)),2)</f>
        <v>0</v>
      </c>
      <c r="L428" s="76">
        <f>ROUND(IF(SUM(B422:F427)&lt;(L437*6),IF((SUM(B422:F428))&gt;(L437*7),(((L437*7)-(SUM(B422:F428)-C427))*L421)+((SUM(B428:F428)-C427)*L421),SUM(B428:F428)*L421),IF(SUM(B422:F428)&gt;(L437*7),L437*L421,SUM(B428:F428)*L421)),2)</f>
        <v>0</v>
      </c>
      <c r="M428" s="76">
        <f>ROUND(IF(SUM(B422:F427)&lt;(L438*6),IF((SUM(B422:F428))&gt;(L438*7),(((L438*7)-(SUM(B422:F428)-C428))*M421)+((SUM(B428:F428)-C428)*M421),(SUM(B428:F428)-C428)*M421),IF(SUM(B422:F428)&gt;(L438*7),L438*M421,SUM(B428:F428)*M421)),2)</f>
        <v>0</v>
      </c>
      <c r="N428" s="23">
        <f>ROUND((B428+E428+F428)*N421,2)</f>
        <v>0</v>
      </c>
      <c r="O428" s="23">
        <f>ROUND(SUM(B428+C428+F428)*O421,2)</f>
        <v>0</v>
      </c>
      <c r="P428" s="27">
        <f t="shared" si="48"/>
        <v>0</v>
      </c>
    </row>
    <row r="429" spans="1:16" s="20" customFormat="1" x14ac:dyDescent="0.2">
      <c r="A429" s="100" t="str">
        <f>$A$33</f>
        <v>Aug 2022</v>
      </c>
      <c r="B429" s="24">
        <f>ROUND(IF(P403=0,0,IFERROR(((LOOKUP(2,1/(A410:A413=A429),G410:G413))*P403*4.348*50%),B428/P403*P403)),2)</f>
        <v>0</v>
      </c>
      <c r="C429" s="23">
        <f>ROUND(IFERROR(((LOOKUP(2,1/(B415=A429),((SUM(B428:B430)+SUM(F428:F430))/3)*C415))),0)+IFERROR(((LOOKUP(2,1/(E415=A429),(B434+F434)*F415))),0),2)</f>
        <v>0</v>
      </c>
      <c r="D429" s="23">
        <f>ROUND(IF(B429=0,0,D421/L403*P403*50%),2)</f>
        <v>0</v>
      </c>
      <c r="E429" s="23">
        <f>ROUND(IF(B429=0,0,E421/N399*P403*50%),2)</f>
        <v>0</v>
      </c>
      <c r="F429" s="24">
        <f>ROUND(IF(P403=0,0,IFERROR(((LOOKUP(2,1/(A410:A413=A429),H410:H413))/N399*P403),F428/P403*P403*50%)),2)</f>
        <v>0</v>
      </c>
      <c r="G429" s="27">
        <f t="shared" si="47"/>
        <v>0</v>
      </c>
      <c r="H429" s="76">
        <f>ROUND(IF(SUM(B422:F428)&lt;(L437*7),IF((SUM(B422:F429))&gt;(L437*8),(((L437*8)-(SUM(B422:F429)-C428))*H421)+((SUM(B429:F429)-C428)*H421),SUM(B429:F429)*H421),IF(SUM(B422:F429)&gt;(L437*8),L437*H421,SUM(B429:F429)*H421)),2)</f>
        <v>0</v>
      </c>
      <c r="I429" s="76">
        <f>ROUND(IF((SUM(B422:F429)*80%)&gt;((L438*8)*90%),((((L438*8)*90%)-((SUM(B422:F429)-C429))*I421)+((SUM(B429:F429)-C429)*I421)*80%),((SUM(B429:F429)-C429)*I421)*80%),2)</f>
        <v>0</v>
      </c>
      <c r="J429" s="76">
        <f>ROUND(IF(SUM(B422:F428)&lt;(L438*7),IF((SUM(B422:F429))&gt;(L438*8),(((L438*8)-(SUM(B422:F429)-C428))*J421)+((SUM(B429:F429)-C428)*J421),SUM(B429:F429)*J421),IF(SUM(B422:F429)&gt;(L438*8),L438*J421,SUM(B429:F429)*J421)),2)</f>
        <v>0</v>
      </c>
      <c r="K429" s="76">
        <f>ROUND(IF(SUM(B422:F428)&lt;(L438*7),IF((SUM(B422:F429))&gt;(L438*8),(((L438*8)-(SUM(B422:F429)-C428))*K421)+((SUM(B429:F429)-C428)*K421),SUM(B429:F429)*K421),IF(SUM(B422:F429)&gt;(L438*8),L438*K421,SUM(B429:F429)*K421)),2)</f>
        <v>0</v>
      </c>
      <c r="L429" s="76">
        <f>ROUND(IF(SUM(B422:F428)&lt;(L437*7),IF((SUM(B422:F429))&gt;(L437*8),(((L437*8)-(SUM(B422:F429)-C428))*L421)+((SUM(B429:F429)-C428)*L421),SUM(B429:F429)*L421),IF(SUM(B422:F429)&gt;(L437*8),L437*L421,SUM(B429:F429)*L421)),2)</f>
        <v>0</v>
      </c>
      <c r="M429" s="76">
        <f>ROUND(IF(SUM(B422:F428)&lt;(L438*7),IF((SUM(B422:F429))&gt;(L438*8),(((L438*8)-(SUM(B422:F429)-C429))*M421)+((SUM(B429:F429)-C429)*M421),(SUM(B429:F429)-C429)*M421),IF(SUM(B422:F429)&gt;(L438*8),L438*M421,SUM(B429:F429)*M421)),2)</f>
        <v>0</v>
      </c>
      <c r="N429" s="23">
        <f>ROUND((B429+E429+F429)*N421,2)</f>
        <v>0</v>
      </c>
      <c r="O429" s="23">
        <f>ROUND(SUM(B429+C429+F429)*O421,2)</f>
        <v>0</v>
      </c>
      <c r="P429" s="27">
        <f t="shared" si="48"/>
        <v>0</v>
      </c>
    </row>
    <row r="430" spans="1:16" s="20" customFormat="1" x14ac:dyDescent="0.2">
      <c r="A430" s="100" t="str">
        <f>$A$34</f>
        <v>Sep 2022</v>
      </c>
      <c r="B430" s="24">
        <f>ROUND(IF(P404=0,0,IFERROR(((LOOKUP(2,1/(A410:A413=A430),G410:G413))*P404*4.348*50%),B429/P404*P404)),2)</f>
        <v>0</v>
      </c>
      <c r="C430" s="23">
        <f>ROUND(IFERROR(((LOOKUP(2,1/(B415=A430),((SUM(B428:B430)+SUM(F428:F430))/3)*C415))),0)+IFERROR(((LOOKUP(2,1/(E415=A430),(B434+F434)*F415))),0),2)</f>
        <v>0</v>
      </c>
      <c r="D430" s="23">
        <f>ROUND(IF(B430=0,0,D421/L403*P404*50%),2)</f>
        <v>0</v>
      </c>
      <c r="E430" s="23">
        <f>ROUND(IF(B430=0,0,E421/N399*P404*50),2)</f>
        <v>0</v>
      </c>
      <c r="F430" s="24">
        <f>ROUND(IF(P404=0,0,IFERROR(((LOOKUP(2,1/(A410:A413=A430),H410:H413))/N399*P404),F429/P404*P404*50%)),2)</f>
        <v>0</v>
      </c>
      <c r="G430" s="27">
        <f t="shared" si="47"/>
        <v>0</v>
      </c>
      <c r="H430" s="76">
        <f>ROUND(IF(SUM(B422:F429)&lt;(L437*8),IF((SUM(B422:F430))&gt;(L437*9),(((L437*9)-(SUM(B422:F430)-C429))*H421)+((SUM(B430:F430)-C429)*H421),SUM(B430:F430)*H421),IF(SUM(B422:F430)&gt;(L437*9),L437*H421,SUM(B430:F430)*H421)),2)</f>
        <v>0</v>
      </c>
      <c r="I430" s="76">
        <f>ROUND(IF((SUM(B422:F430)*80%)&gt;((L438*9)*90%),((((L438*9)*90%)-((SUM(B422:F430)-C430))*I421)+((SUM(B430:F430)-C430)*I421)*80%),((SUM(B430:F430)-C430)*I421)*80%),2)</f>
        <v>0</v>
      </c>
      <c r="J430" s="76">
        <f>ROUND(IF(SUM(B422:F429)&lt;(L438*8),IF((SUM(B422:F430))&gt;(L438*9),(((L438*9)-(SUM(B422:F430)-C429))*J421)+((SUM(B430:F430)-C429)*J421),SUM(B430:F430)*J421),IF(SUM(B422:F430)&gt;(L438*9),L438*J421,SUM(B430:F430)*J421)),2)</f>
        <v>0</v>
      </c>
      <c r="K430" s="76">
        <f>ROUND(IF(SUM(B422:F429)&lt;(L438*8),IF((SUM(B422:F430))&gt;(L438*9),(((L438*9)-(SUM(B422:F430)-C429))*K421)+((SUM(B430:F430)-C429)*K421),SUM(B430:F430)*K421),IF(SUM(B422:F430)&gt;(L438*9),L438*K421,SUM(B430:F430)*K421)),2)</f>
        <v>0</v>
      </c>
      <c r="L430" s="76">
        <f>ROUND(IF(SUM(B422:F429)&lt;(L437*8),IF((SUM(B422:F430))&gt;(L437*9),(((L437*9)-(SUM(B422:F430)-C429))*L421)+((SUM(B430:F430)-C429)*L421),SUM(B430:F430)*L421),IF(SUM(B422:F430)&gt;(L437*9),L437*L421,SUM(B430:F430)*L421)),2)</f>
        <v>0</v>
      </c>
      <c r="M430" s="76">
        <f>ROUND(IF(SUM(B422:F429)&lt;(L438*8),IF((SUM(B422:F430))&gt;(L438*9),(((L438*9)-(SUM(B422:F430)-C430))*M421)+((SUM(B430:F430)-C430)*M421),(SUM(B430:F430)-C430)*M421),IF(SUM(B422:F430)&gt;(L438*9),L438*M421,SUM(B430:F430)*M421)),2)</f>
        <v>0</v>
      </c>
      <c r="N430" s="23">
        <f>ROUND((B430+E430+F430)*N421,2)</f>
        <v>0</v>
      </c>
      <c r="O430" s="23">
        <f>ROUND(SUM(B430+C430+F430)*O421,2)</f>
        <v>0</v>
      </c>
      <c r="P430" s="27">
        <f t="shared" si="48"/>
        <v>0</v>
      </c>
    </row>
    <row r="431" spans="1:16" s="20" customFormat="1" x14ac:dyDescent="0.2">
      <c r="A431" s="100" t="str">
        <f>$A$35</f>
        <v>Okt 2022</v>
      </c>
      <c r="B431" s="24">
        <f>ROUND(IF(P405=0,0,IFERROR(((LOOKUP(2,1/(A410:A413=A431),G410:G413))*P405*4.348*50%),B430/P405*P405)),2)</f>
        <v>0</v>
      </c>
      <c r="C431" s="23">
        <f>ROUND(IFERROR(((LOOKUP(2,1/(B415=A431),((SUM(B428:B430)+SUM(F428:F430))/3)*C415))),0)+IFERROR(((LOOKUP(2,1/(E415=A431),(B434+F434)*F415))),0),2)</f>
        <v>0</v>
      </c>
      <c r="D431" s="23">
        <f>ROUND(IF(B431=0,0,D421/L403*P405*50%),2)</f>
        <v>0</v>
      </c>
      <c r="E431" s="23">
        <f>ROUND(IF(B431=0,0,E421/N399*P405*50%),2)</f>
        <v>0</v>
      </c>
      <c r="F431" s="24">
        <f>ROUND(IF(P405=0,0,IFERROR(((LOOKUP(2,1/(A410:A413=A431),H410:H413))/N399*P405),F430/P405*P405*50%)),2)</f>
        <v>0</v>
      </c>
      <c r="G431" s="27">
        <f t="shared" si="47"/>
        <v>0</v>
      </c>
      <c r="H431" s="76">
        <f>ROUND(IF(SUM(B422:F430)&lt;(L437*9),IF((SUM(B422:F431))&gt;(L437*10),(((L437*10)-(SUM(B422:F431)-C430))*H421)+((SUM(B431:F431)-C430)*H421),SUM(B431:F431)*H421),IF(SUM(B422:F431)&gt;(L437*10),L437*H421,SUM(B431:F431)*H421)),2)</f>
        <v>0</v>
      </c>
      <c r="I431" s="76">
        <f>ROUND(IF((SUM(B422:F431)*80%)&gt;((L438*10)*90%),((((L438*10)*90%)-((SUM(B422:F431)-C431))*I421)+((SUM(B431:F431)-C431)*I421)*80%),((SUM(B431:F431)-C431)*I421)*80%),2)</f>
        <v>0</v>
      </c>
      <c r="J431" s="76">
        <f>ROUND(IF(SUM(B422:F430)&lt;(L438*9),IF((SUM(B422:F431))&gt;(L438*10),(((L438*10)-(SUM(B422:F431)-C430))*J421)+((SUM(B431:F431)-C430)*J421),SUM(B431:F431)*J421),IF(SUM(B422:F431)&gt;(L438*10),L438*J421,SUM(B431:F431)*J421)),2)</f>
        <v>0</v>
      </c>
      <c r="K431" s="76">
        <f>ROUND(IF(SUM(B422:F430)&lt;(L438*9),IF((SUM(B422:F431))&gt;(L438*10),(((L438*10)-(SUM(B422:F431)-C430))*K421)+((SUM(B431:F431)-C430)*K421),SUM(B431:F431)*K421),IF(SUM(B422:F431)&gt;(L438*10),L438*K421,SUM(B431:F431)*K421)),2)</f>
        <v>0</v>
      </c>
      <c r="L431" s="76">
        <f>ROUND(IF(SUM(B422:F430)&lt;(L437*9),IF((SUM(B422:F431))&gt;(L437*10),(((L437*10)-(SUM(B422:F431)-C430))*L421)+((SUM(B431:F431)-C430)*L421),SUM(B431:F431)*L421),IF(SUM(B422:F431)&gt;(L437*10),L437*L421,SUM(B431:F431)*L421)),2)</f>
        <v>0</v>
      </c>
      <c r="M431" s="76">
        <f>ROUND(IF(SUM(B422:F430)&lt;(L438*9),IF((SUM(B422:F431))&gt;(L438*10),(((L438*10)-(SUM(B422:F431)-C431))*M421)+((SUM(B431:F431)-C431)*M421),(SUM(B431:F431)-C431)*M421),IF(SUM(B422:F431)&gt;(L438*10),L438*M421,SUM(B431:F431)*M421)),2)</f>
        <v>0</v>
      </c>
      <c r="N431" s="23">
        <f>ROUND((B431+E431+F431)*N421,2)</f>
        <v>0</v>
      </c>
      <c r="O431" s="23">
        <f>ROUND(SUM(B431+C431+F431)*O421,2)</f>
        <v>0</v>
      </c>
      <c r="P431" s="27">
        <f t="shared" si="48"/>
        <v>0</v>
      </c>
    </row>
    <row r="432" spans="1:16" s="20" customFormat="1" x14ac:dyDescent="0.2">
      <c r="A432" s="100" t="str">
        <f>$A$36</f>
        <v>Nov 2022</v>
      </c>
      <c r="B432" s="24">
        <f>ROUND(IF(P406=0,0,IFERROR(((LOOKUP(2,1/(A410:A413=A432),G410:G413))*P406*4.348*50%),B431/P406*P406)),2)</f>
        <v>0</v>
      </c>
      <c r="C432" s="23">
        <f>ROUND(IFERROR(((LOOKUP(2,1/(B415=A432),((SUM(B428:B430)+SUM(F428:F430))/3)*C415))),0)+IFERROR(((LOOKUP(2,1/(E415=A432),(B434+F434)*F415))),0),2)</f>
        <v>0</v>
      </c>
      <c r="D432" s="23">
        <f>ROUND(IF(B432=0,0,D421/L403*P406*50%),2)</f>
        <v>0</v>
      </c>
      <c r="E432" s="23">
        <f>ROUND(IF(B432=0,0,E421/N399*P406*50%),2)</f>
        <v>0</v>
      </c>
      <c r="F432" s="24">
        <f>ROUND(IF(P406=0,0,IFERROR(((LOOKUP(2,1/(A410:A413=A432),H410:H413))/N399*P406),F431/P406*P406*50%)),2)</f>
        <v>0</v>
      </c>
      <c r="G432" s="27">
        <f t="shared" si="47"/>
        <v>0</v>
      </c>
      <c r="H432" s="76">
        <f>ROUND(IF(SUM(B422:F431)&lt;(L437*10),IF((SUM(B422:F432))&gt;(L437*11),(((L437*11)-(SUM(B422:F432)-C431))*H421)+((SUM(B432:F432)-C431)*H421),SUM(B432:F432)*H421),IF(SUM(B422:F432)&gt;(L437*11),L437*H421,SUM(B432:F432)*H421)),2)</f>
        <v>0</v>
      </c>
      <c r="I432" s="76">
        <f>ROUND(IF((SUM(B422:F432)*80%)&gt;((L438*11)*90%),((((L438*11)*90%)-((SUM(B422:F432)-C432))*I421)+((SUM(B432:F432)-C432)*I421)*80%),((SUM(B432:F432)-C432)*I421)*80%),2)</f>
        <v>0</v>
      </c>
      <c r="J432" s="76">
        <f>ROUND(IF(SUM(B422:F431)&lt;(L438*10),IF((SUM(B422:F432))&gt;(L438*11),(((L438*11)-(SUM(B422:F432)-C431))*J421)+((SUM(B432:F432)-C431)*J421),SUM(B432:F432)*J421),IF(SUM(B422:F432)&gt;(L438*11),L438*J421,SUM(B432:F432)*J421)),2)</f>
        <v>0</v>
      </c>
      <c r="K432" s="76">
        <f>ROUND(IF(SUM(B422:F431)&lt;(L438*10),IF((SUM(B422:F432))&gt;(L438*11),(((L438*11)-(SUM(B422:F432)-C431))*K421)+((SUM(B432:F432)-C431)*K421),SUM(B432:F432)*K421),IF(SUM(B422:F432)&gt;(L438*11),L438*K421,SUM(B432:F432)*K421)),2)</f>
        <v>0</v>
      </c>
      <c r="L432" s="76">
        <f>ROUND(IF(SUM(B422:F431)&lt;(L437*10),IF((SUM(B422:F432))&gt;(L437*11),(((L437*11)-(SUM(B422:F432)-C431))*L421)+((SUM(B432:F432)-C431)*L421),SUM(B432:F432)*L421),IF(SUM(B422:F432)&gt;(L437*11),L437*L421,SUM(B432:F432)*L421)),2)</f>
        <v>0</v>
      </c>
      <c r="M432" s="76">
        <f>ROUND(IF(SUM(B422:F431)&lt;(L438*10),IF((SUM(B422:F432))&gt;(L438*11),(((L438*11)-(SUM(B422:F432)-C432))*M421)+((SUM(B432:F432)-C432)*M421),(SUM(B432:F432)-C432)*M421),IF(SUM(B422:F432)&gt;(L438*11),L438*M421,SUM(B432:F432)*M421)),2)</f>
        <v>0</v>
      </c>
      <c r="N432" s="23">
        <f>ROUND((B432+E432+F432)*N421,2)</f>
        <v>0</v>
      </c>
      <c r="O432" s="23">
        <f>ROUND(SUM(B432+C432+F432)*O421,2)</f>
        <v>0</v>
      </c>
      <c r="P432" s="27">
        <f t="shared" si="48"/>
        <v>0</v>
      </c>
    </row>
    <row r="433" spans="1:16" s="20" customFormat="1" x14ac:dyDescent="0.2">
      <c r="A433" s="100" t="str">
        <f>$A$37</f>
        <v>Dez 2022</v>
      </c>
      <c r="B433" s="24">
        <f>ROUND(IF(P407=0,0,IFERROR(((LOOKUP(2,1/(A410:A413=A433),G410:G413))*P407*4.348*50%),B432/P407*P407)),2)</f>
        <v>0</v>
      </c>
      <c r="C433" s="23">
        <f>ROUND(IFERROR(((LOOKUP(2,1/(B415=A433),((SUM(B428:B430)+SUM(F428:F430))/3)*C415))),0)+IFERROR(((LOOKUP(2,1/(E415=A433),(B434+F434)*F415))),0),2)</f>
        <v>0</v>
      </c>
      <c r="D433" s="23">
        <f>ROUND(IF(B433=0,0,D421/L403*P407*50%),2)</f>
        <v>0</v>
      </c>
      <c r="E433" s="23">
        <f>ROUND(IF(B433=0,0,E421/N399*P407*50%),2)</f>
        <v>0</v>
      </c>
      <c r="F433" s="24">
        <f>ROUND(IF(P407=0,0,IFERROR(((LOOKUP(2,1/(A410:A413=A433),H410:H413))/N399*P407),F432/P407*P407*50%)),2)</f>
        <v>0</v>
      </c>
      <c r="G433" s="27">
        <f t="shared" si="47"/>
        <v>0</v>
      </c>
      <c r="H433" s="76">
        <f>ROUND(IF(SUM(B422:F432)&lt;(L437*11),IF((SUM(B422:F433))&gt;(L437*12),(((L437*12)-(SUM(B422:F433)-C432))*H421)+((SUM(B433:F433)-C432)*H421),SUM(B433:F433)*H421),IF(SUM(B422:F433)&gt;(L437*12),L437*H421,SUM(B433:F433)*H421)),2)</f>
        <v>0</v>
      </c>
      <c r="I433" s="76">
        <f>ROUND(IF((SUM(B422:F433)*80%)&gt;((L438*12)*90%),((((L438*12)*90%)-((SUM(B422:F433)-C433))*I421)+((SUM(B433:F433)-C433)*I421)*80%),((SUM(B433:F433)-C433)*I421)*80%),2)</f>
        <v>0</v>
      </c>
      <c r="J433" s="76">
        <f>ROUND(IF(SUM(B422:F432)&lt;(L438*11),IF((SUM(B422:F433))&gt;(L438*12),(((L438*12)-(SUM(B422:F433)-C432))*J421)+((SUM(B433:F433)-C432)*J421),SUM(B433:F433)*J421),IF(SUM(B422:F433)&gt;(L438*12),L438*J421,SUM(B433:F433)*J421)),2)</f>
        <v>0</v>
      </c>
      <c r="K433" s="76">
        <f>ROUND(IF(SUM(B422:F432)&lt;(L438*11),IF((SUM(B422:F433))&gt;(L438*12),(((L438*12)-(SUM(B422:F433)-C432))*K421)+((SUM(B433:F433)-C432)*K421),SUM(B433:F433)*K421),IF(SUM(B422:F433)&gt;(L438*12),L438*K421,SUM(B433:F433)*K421)),2)</f>
        <v>0</v>
      </c>
      <c r="L433" s="76">
        <f>ROUND(IF(SUM(B422:F432)&lt;(L437*11),IF((SUM(B422:F433))&gt;(L437*12),(((L437*12)-(SUM(B422:F433)-C432))*L421)+((SUM(B433:F433)-C432)*L421),SUM(B433:F433)*L421),IF(SUM(B422:F433)&gt;(L437*12),L437*L421,SUM(B433:F433)*L421)),2)</f>
        <v>0</v>
      </c>
      <c r="M433" s="76">
        <f>ROUND(IF(SUM(B422:F432)&lt;(L438*11),IF((SUM(B422:F433))&gt;(L438*12),(((L438*12)-(SUM(B422:F433)-C433))*M421)+((SUM(B433:F433)-C433)*M421),(SUM(B433:F433)-C433)*M421),IF(SUM(B422:F433)&gt;(L438*12),L438*M421,SUM(B433:F433)*M421)),2)</f>
        <v>0</v>
      </c>
      <c r="N433" s="23">
        <f>ROUND((B433+E433+F433)*N421,2)</f>
        <v>0</v>
      </c>
      <c r="O433" s="23">
        <f>ROUND(SUM(B433+C433+F433)*O421,2)</f>
        <v>0</v>
      </c>
      <c r="P433" s="27">
        <f>SUM(G433:O433)</f>
        <v>0</v>
      </c>
    </row>
    <row r="434" spans="1:16" s="20" customFormat="1" x14ac:dyDescent="0.2">
      <c r="A434" s="4" t="s">
        <v>2</v>
      </c>
      <c r="B434" s="27">
        <f>SUM(B422:B433)</f>
        <v>0</v>
      </c>
      <c r="C434" s="27">
        <f t="shared" ref="C434" si="49">SUM(C422:C433)</f>
        <v>0</v>
      </c>
      <c r="D434" s="27">
        <f>SUM(D422:D433)</f>
        <v>0</v>
      </c>
      <c r="E434" s="27">
        <f t="shared" ref="E434:G434" si="50">SUM(E422:E433)</f>
        <v>0</v>
      </c>
      <c r="F434" s="27">
        <f t="shared" si="50"/>
        <v>0</v>
      </c>
      <c r="G434" s="27">
        <f t="shared" si="50"/>
        <v>0</v>
      </c>
      <c r="H434" s="1133">
        <f>SUM(H422:M433)</f>
        <v>0</v>
      </c>
      <c r="I434" s="1134"/>
      <c r="J434" s="1134"/>
      <c r="K434" s="1134"/>
      <c r="L434" s="1134"/>
      <c r="M434" s="1134"/>
      <c r="N434" s="27">
        <f>SUM(N422:N433)</f>
        <v>0</v>
      </c>
      <c r="O434" s="27">
        <f>SUM(O422:O433)</f>
        <v>0</v>
      </c>
      <c r="P434" s="27">
        <f>SUM(P422:P433)</f>
        <v>0</v>
      </c>
    </row>
    <row r="435" spans="1:16" s="13" customFormat="1" ht="11.25" x14ac:dyDescent="0.2">
      <c r="A435" s="3" t="s">
        <v>1</v>
      </c>
      <c r="B435" s="2"/>
      <c r="C435" s="2"/>
      <c r="D435" s="2"/>
      <c r="E435" s="2"/>
      <c r="F435" s="2"/>
      <c r="G435" s="2"/>
      <c r="H435" s="2"/>
      <c r="I435" s="2"/>
      <c r="J435" s="2"/>
      <c r="K435" s="2"/>
      <c r="L435" s="2"/>
      <c r="M435" s="2"/>
      <c r="N435" s="2"/>
      <c r="O435" s="2"/>
      <c r="P435" s="2"/>
    </row>
    <row r="436" spans="1:16" ht="14.25" customHeight="1" x14ac:dyDescent="0.2">
      <c r="A436" s="1136" t="s">
        <v>133</v>
      </c>
      <c r="B436" s="1137"/>
      <c r="C436" s="1137"/>
      <c r="D436" s="1137" t="s">
        <v>134</v>
      </c>
      <c r="E436" s="1137"/>
      <c r="F436" s="94" t="str">
        <f>IF(IF(G434=0,"",$F$40)=0,"",IF(G434=0,"",$F$40))</f>
        <v/>
      </c>
      <c r="G436" s="77" t="s">
        <v>135</v>
      </c>
      <c r="H436" s="96" t="str">
        <f>IF(IF(G434=0,"",$H$40)=0,"",IF(G434=0,"",$H$40))</f>
        <v/>
      </c>
      <c r="I436" s="73"/>
      <c r="J436" s="194" t="s">
        <v>160</v>
      </c>
      <c r="K436" s="194" t="str">
        <f>$K$40</f>
        <v>2021</v>
      </c>
      <c r="L436" s="194" t="str">
        <f>$L$40</f>
        <v>anteilig 2021</v>
      </c>
      <c r="M436" s="1138" t="s">
        <v>140</v>
      </c>
      <c r="N436" s="1138"/>
      <c r="O436" s="1139"/>
      <c r="P436" s="27">
        <f>ROUND(IF(F436="",IF(E440="",0,(E440*H440/K440)/L403*L404),G434*F436*H436/1000),2)</f>
        <v>0</v>
      </c>
    </row>
    <row r="437" spans="1:16" ht="15" customHeight="1" x14ac:dyDescent="0.2">
      <c r="A437" s="1140" t="s">
        <v>145</v>
      </c>
      <c r="B437" s="1141"/>
      <c r="C437" s="1141"/>
      <c r="D437" s="18"/>
      <c r="E437" s="107" t="s">
        <v>135</v>
      </c>
      <c r="F437" s="95" t="str">
        <f>IF(IF(G434=0,"",$F$41)=0,"",IF(G434=0,"",$F$41))</f>
        <v/>
      </c>
      <c r="G437" s="48"/>
      <c r="H437" s="47"/>
      <c r="I437" s="48"/>
      <c r="J437" s="195" t="s">
        <v>158</v>
      </c>
      <c r="K437" s="198">
        <f>$K$41</f>
        <v>4837.5</v>
      </c>
      <c r="L437" s="197">
        <f>IF(L403="",K437,K437/L403*L404)</f>
        <v>4837.5</v>
      </c>
      <c r="M437" s="1138" t="s">
        <v>139</v>
      </c>
      <c r="N437" s="1138"/>
      <c r="O437" s="1139"/>
      <c r="P437" s="27">
        <f>ROUND(IF(F437="",0,G434*F437/1000),2)</f>
        <v>0</v>
      </c>
    </row>
    <row r="438" spans="1:16" ht="15.75" customHeight="1" x14ac:dyDescent="0.2">
      <c r="A438" s="1142" t="s">
        <v>141</v>
      </c>
      <c r="B438" s="1143"/>
      <c r="C438" s="1143"/>
      <c r="D438" s="1144" t="s">
        <v>143</v>
      </c>
      <c r="E438" s="1144"/>
      <c r="F438" s="1145" t="str">
        <f>IF(IF(G434=0,"",$F$42)=0,"",IF(G434=0,"",$F$42))</f>
        <v/>
      </c>
      <c r="G438" s="1145"/>
      <c r="H438" s="72"/>
      <c r="I438" s="18"/>
      <c r="J438" s="195" t="s">
        <v>159</v>
      </c>
      <c r="K438" s="198">
        <f>$K$42</f>
        <v>6700</v>
      </c>
      <c r="L438" s="197">
        <f>IF(L403="",K438,K438/L403*L404)</f>
        <v>6700</v>
      </c>
      <c r="M438" s="1138" t="s">
        <v>141</v>
      </c>
      <c r="N438" s="1138"/>
      <c r="O438" s="1139"/>
      <c r="P438" s="23">
        <f>ROUND(IF(F438="",0,IF(G434=0,0,F438/L403*L404)),2)</f>
        <v>0</v>
      </c>
    </row>
    <row r="439" spans="1:16" ht="14.25" customHeight="1" x14ac:dyDescent="0.2">
      <c r="A439" s="18"/>
      <c r="B439" s="18"/>
      <c r="C439" s="18"/>
      <c r="D439" s="18"/>
      <c r="E439" s="18"/>
      <c r="F439" s="18"/>
      <c r="G439" s="18"/>
      <c r="H439" s="18"/>
      <c r="I439" s="18"/>
      <c r="J439" s="18"/>
      <c r="K439" s="74"/>
      <c r="L439" s="82"/>
      <c r="M439" s="1127" t="s">
        <v>146</v>
      </c>
      <c r="N439" s="1127"/>
      <c r="O439" s="1128"/>
      <c r="P439" s="23">
        <f>ROUND(IF(G434=0,0,$P$43),2)</f>
        <v>0</v>
      </c>
    </row>
    <row r="440" spans="1:16" ht="14.25" customHeight="1" x14ac:dyDescent="0.2">
      <c r="A440" s="1129" t="s">
        <v>142</v>
      </c>
      <c r="B440" s="1130"/>
      <c r="C440" s="148" t="s">
        <v>136</v>
      </c>
      <c r="D440" s="184" t="s">
        <v>137</v>
      </c>
      <c r="E440" s="1131" t="str">
        <f>IF(IF(G434=0,"",$E$44)=0,"",IF(G434=0,"",$E$44))</f>
        <v/>
      </c>
      <c r="F440" s="1131"/>
      <c r="G440" s="83" t="s">
        <v>138</v>
      </c>
      <c r="H440" s="97" t="str">
        <f>IF(IF(G434=0,"",$H$44)=0,"",IF(G434=0,"",$H$44))</f>
        <v/>
      </c>
      <c r="I440" s="1132" t="s">
        <v>144</v>
      </c>
      <c r="J440" s="1132"/>
      <c r="K440" s="98" t="str">
        <f>IF(IF(G434=0,"",$K$44)=0,"",IF(G434=0,"",$K$44))</f>
        <v/>
      </c>
      <c r="L440" s="29"/>
      <c r="M440" s="29"/>
      <c r="N440" s="29"/>
      <c r="O440" s="28" t="s">
        <v>0</v>
      </c>
      <c r="P440" s="27">
        <f>P434+SUM(P436:P439)</f>
        <v>0</v>
      </c>
    </row>
    <row r="441" spans="1:16" s="12" customFormat="1" ht="13.5" customHeight="1" x14ac:dyDescent="0.2">
      <c r="A441" s="1178" t="s">
        <v>18</v>
      </c>
      <c r="B441" s="1178"/>
      <c r="C441" s="1178"/>
      <c r="D441" s="1179" t="str">
        <f>IF($D$1="","",$D$1)</f>
        <v/>
      </c>
      <c r="E441" s="1179"/>
      <c r="F441" s="1179"/>
      <c r="G441" s="1179"/>
      <c r="H441" s="1179"/>
      <c r="I441" s="1179"/>
      <c r="J441" s="1179"/>
      <c r="K441" s="1179"/>
      <c r="L441" s="1179"/>
      <c r="M441" s="1179"/>
      <c r="N441" s="1179"/>
    </row>
    <row r="442" spans="1:16" s="12" customFormat="1" ht="15" customHeight="1" x14ac:dyDescent="0.2">
      <c r="A442" s="1178" t="s">
        <v>17</v>
      </c>
      <c r="B442" s="1178"/>
      <c r="C442" s="1178" t="s">
        <v>15</v>
      </c>
      <c r="D442" s="1179" t="str">
        <f>IF($D$2="","",$D$2)</f>
        <v/>
      </c>
      <c r="E442" s="1179"/>
      <c r="F442" s="1179"/>
      <c r="G442" s="1179"/>
      <c r="H442" s="1179"/>
      <c r="I442" s="1179"/>
      <c r="J442" s="1179"/>
      <c r="K442" s="1179"/>
      <c r="L442" s="1179"/>
      <c r="M442" s="1179"/>
      <c r="N442" s="1179"/>
    </row>
    <row r="443" spans="1:16" s="12" customFormat="1" ht="15" customHeight="1" x14ac:dyDescent="0.2">
      <c r="A443" s="1178" t="s">
        <v>16</v>
      </c>
      <c r="B443" s="1178"/>
      <c r="C443" s="1178" t="s">
        <v>15</v>
      </c>
      <c r="D443" s="1179" t="str">
        <f>IF($D$3="","",$D$3)</f>
        <v/>
      </c>
      <c r="E443" s="1179"/>
      <c r="F443" s="1179"/>
      <c r="G443" s="1179"/>
      <c r="H443" s="1179"/>
      <c r="I443" s="1179"/>
      <c r="J443" s="1179"/>
      <c r="K443" s="1178" t="s">
        <v>103</v>
      </c>
      <c r="L443" s="1178"/>
      <c r="M443" s="1178"/>
      <c r="N443" s="41" t="str">
        <f>IF($N$3="","",$N$3)</f>
        <v/>
      </c>
    </row>
    <row r="444" spans="1:16" s="13" customFormat="1" ht="11.25" x14ac:dyDescent="0.2">
      <c r="A444" s="1182"/>
      <c r="B444" s="1182"/>
      <c r="C444" s="1182"/>
      <c r="D444" s="1183"/>
      <c r="E444" s="1183"/>
      <c r="F444" s="1183"/>
      <c r="G444" s="1183"/>
      <c r="H444" s="1183"/>
      <c r="I444" s="1183"/>
      <c r="J444" s="1183"/>
      <c r="K444" s="11"/>
      <c r="L444" s="11"/>
      <c r="M444" s="11"/>
      <c r="N444" s="11"/>
      <c r="O444" s="11"/>
      <c r="P444" s="11"/>
    </row>
    <row r="445" spans="1:16" s="20" customFormat="1" x14ac:dyDescent="0.2">
      <c r="A445" s="1177" t="s">
        <v>226</v>
      </c>
      <c r="B445" s="1177"/>
      <c r="C445" s="1177"/>
      <c r="D445" s="1177"/>
      <c r="E445" s="1177"/>
      <c r="F445" s="1177"/>
      <c r="G445" s="1177"/>
      <c r="H445" s="1177"/>
      <c r="I445" s="1177"/>
      <c r="J445" s="1177"/>
      <c r="K445" s="1177"/>
      <c r="L445" s="1177"/>
      <c r="M445" s="1177"/>
      <c r="N445" s="59" t="s">
        <v>154</v>
      </c>
      <c r="O445" s="191">
        <f>$O$5</f>
        <v>2022</v>
      </c>
      <c r="P445" s="59" t="s">
        <v>154</v>
      </c>
    </row>
    <row r="446" spans="1:16" s="10" customFormat="1" ht="13.5" customHeight="1" x14ac:dyDescent="0.25">
      <c r="B446" s="32"/>
      <c r="C446" s="32"/>
      <c r="D446" s="5" t="s">
        <v>68</v>
      </c>
      <c r="E446" s="31"/>
      <c r="F446" s="31"/>
      <c r="G446" s="31"/>
      <c r="H446" s="31"/>
      <c r="I446" s="26"/>
      <c r="J446" s="1174" t="s">
        <v>14</v>
      </c>
      <c r="K446" s="1174"/>
      <c r="L446" s="180"/>
      <c r="N446" s="84">
        <f>IF(L448="","",L448)</f>
        <v>0</v>
      </c>
      <c r="O446" s="58" t="str">
        <f>'päd.Personal - Leitung'!$O$6</f>
        <v>Jan                Jul</v>
      </c>
      <c r="P446" s="85">
        <f>IF(N451="","",N451)</f>
        <v>0</v>
      </c>
    </row>
    <row r="447" spans="1:16" s="7" customFormat="1" ht="13.5" customHeight="1" x14ac:dyDescent="0.25">
      <c r="A447" s="1180" t="s">
        <v>71</v>
      </c>
      <c r="B447" s="1180"/>
      <c r="C447" s="1180"/>
      <c r="D447" s="1184"/>
      <c r="E447" s="1184"/>
      <c r="F447" s="1184"/>
      <c r="G447" s="1184"/>
      <c r="H447" s="1184"/>
      <c r="I447" s="1184"/>
      <c r="J447" s="1174" t="s">
        <v>104</v>
      </c>
      <c r="K447" s="1174"/>
      <c r="L447" s="145"/>
      <c r="N447" s="85">
        <f>IF(N446="","",N446)</f>
        <v>0</v>
      </c>
      <c r="O447" s="58" t="str">
        <f>'päd.Personal - Leitung'!$O$7</f>
        <v>Feb              Aug</v>
      </c>
      <c r="P447" s="85">
        <f>IF(P446="","",P446)</f>
        <v>0</v>
      </c>
    </row>
    <row r="448" spans="1:16" ht="13.5" customHeight="1" x14ac:dyDescent="0.2">
      <c r="A448" s="1180" t="s">
        <v>13</v>
      </c>
      <c r="B448" s="1180"/>
      <c r="C448" s="1180"/>
      <c r="D448" s="1181"/>
      <c r="E448" s="1181"/>
      <c r="F448" s="1181"/>
      <c r="G448" s="1181"/>
      <c r="H448" s="1181"/>
      <c r="I448" s="1181"/>
      <c r="J448" s="1174" t="s">
        <v>222</v>
      </c>
      <c r="K448" s="1174"/>
      <c r="L448" s="145">
        <f>IF(L449&gt;L447,0,L447-L449)</f>
        <v>0</v>
      </c>
      <c r="N448" s="85">
        <f>IF(N447="","",N447)</f>
        <v>0</v>
      </c>
      <c r="O448" s="58" t="str">
        <f>'päd.Personal - Leitung'!$O$8</f>
        <v>Mrz              Sep</v>
      </c>
      <c r="P448" s="85">
        <f>IF(P447="","",P447)</f>
        <v>0</v>
      </c>
    </row>
    <row r="449" spans="1:16" ht="13.5" customHeight="1" x14ac:dyDescent="0.2">
      <c r="A449" s="1180" t="s">
        <v>12</v>
      </c>
      <c r="B449" s="1180"/>
      <c r="C449" s="1180"/>
      <c r="D449" s="1181"/>
      <c r="E449" s="1181"/>
      <c r="F449" s="1181"/>
      <c r="G449" s="1181"/>
      <c r="H449" s="1181"/>
      <c r="I449" s="1181"/>
      <c r="J449" s="1174" t="s">
        <v>223</v>
      </c>
      <c r="K449" s="1174"/>
      <c r="L449" s="145"/>
      <c r="N449" s="85">
        <f>IF(N448="","",N448)</f>
        <v>0</v>
      </c>
      <c r="O449" s="58" t="str">
        <f>'päd.Personal - Leitung'!$O$9</f>
        <v>Apr               Okt</v>
      </c>
      <c r="P449" s="85">
        <f t="shared" ref="P449:P451" si="51">IF(P448="","",P448)</f>
        <v>0</v>
      </c>
    </row>
    <row r="450" spans="1:16" ht="13.5" customHeight="1" x14ac:dyDescent="0.2">
      <c r="A450" s="1180" t="s">
        <v>19</v>
      </c>
      <c r="B450" s="1180"/>
      <c r="C450" s="1180"/>
      <c r="D450" s="1181"/>
      <c r="E450" s="1181"/>
      <c r="F450" s="1181"/>
      <c r="G450" s="1181"/>
      <c r="H450" s="1181"/>
      <c r="I450" s="1181"/>
      <c r="J450" s="1174" t="s">
        <v>97</v>
      </c>
      <c r="K450" s="1174"/>
      <c r="L450" s="17" t="str">
        <f>IF(IF((COUNTIF(B466:B477,"&gt;0"))=0,0,(COUNTIF(B466:B477,"&gt;0")))&gt;Grundlagen!$C$24,Grundlagen!$C$24,IF((COUNTIF(B466:B477,"&gt;0"))=0,"",(COUNTIF(B466:B477,"&gt;0"))))</f>
        <v/>
      </c>
      <c r="M450" s="92"/>
      <c r="N450" s="85">
        <f>IF(N449="","",N449)</f>
        <v>0</v>
      </c>
      <c r="O450" s="58" t="str">
        <f>'päd.Personal - Leitung'!$O$10</f>
        <v>Mai               Nov</v>
      </c>
      <c r="P450" s="85">
        <f t="shared" si="51"/>
        <v>0</v>
      </c>
    </row>
    <row r="451" spans="1:16" ht="13.5" customHeight="1" x14ac:dyDescent="0.2">
      <c r="B451" s="8"/>
      <c r="C451" s="141" t="s">
        <v>162</v>
      </c>
      <c r="D451" s="1175"/>
      <c r="E451" s="1175"/>
      <c r="F451" s="1176" t="s">
        <v>113</v>
      </c>
      <c r="G451" s="1176"/>
      <c r="H451" s="1186"/>
      <c r="I451" s="1186"/>
      <c r="L451" s="147" t="str">
        <f>IF((SUM(F454:F457))=0,"",IF(P452&gt;L448,L448,IF(L448="","",IF(L450="","",P452))))</f>
        <v/>
      </c>
      <c r="N451" s="85">
        <f>IF(N450="","",N450)</f>
        <v>0</v>
      </c>
      <c r="O451" s="58" t="str">
        <f>'päd.Personal - Leitung'!$O$11</f>
        <v>Jun               Dez</v>
      </c>
      <c r="P451" s="85">
        <f t="shared" si="51"/>
        <v>0</v>
      </c>
    </row>
    <row r="452" spans="1:16" ht="13.5" customHeight="1" x14ac:dyDescent="0.2">
      <c r="F452" s="1176" t="s">
        <v>241</v>
      </c>
      <c r="G452" s="1176"/>
      <c r="H452" s="1186"/>
      <c r="I452" s="1186"/>
      <c r="O452" s="174" t="s">
        <v>251</v>
      </c>
      <c r="P452" s="175">
        <f>IF(L450="",0,((IF(SUMIF(B466,"&gt;0"),N446,0))+(IF(SUMIF(B467,"&gt;0"),N447,0))+(IF(SUMIF(B468,"&gt;0"),N448,0))+(IF(SUMIF(B469,"&gt;0"),N449,0))+(IF(SUMIF(B470,"&gt;0"),N450,0))+(IF(SUMIF(B471,"&gt;0"),N451,0))+(IF(SUMIF(B472,"&gt;0"),P446,0))+(IF(SUMIF(B473,"&gt;0"),P447,0))+(IF(SUMIF(B474,"&gt;0"),P448,0))+(IF(SUMIF(B475,"&gt;0"),P449,0))+(IF(SUMIF(B476,"&gt;0"),P450,0))+(IF(SUMIF(B477,"&gt;0"),P451,0)))/Grundlagen!$C$24)</f>
        <v>0</v>
      </c>
    </row>
    <row r="453" spans="1:16" s="52" customFormat="1" ht="13.5" customHeight="1" x14ac:dyDescent="0.2">
      <c r="A453" s="61" t="s">
        <v>148</v>
      </c>
      <c r="B453" s="1168" t="s">
        <v>149</v>
      </c>
      <c r="C453" s="1168"/>
      <c r="D453" s="62" t="s">
        <v>150</v>
      </c>
      <c r="E453" s="63" t="s">
        <v>151</v>
      </c>
      <c r="F453" s="64" t="str">
        <f>CONCATENATE("Entg. ",N443," h/Wo")</f>
        <v>Entg.  h/Wo</v>
      </c>
      <c r="G453" s="65" t="s">
        <v>152</v>
      </c>
      <c r="H453" s="65" t="s">
        <v>153</v>
      </c>
      <c r="K453" s="1169" t="str">
        <f>CONCATENATE("Zuschläge / Zulagen für ",N443,"h/Wo")</f>
        <v>Zuschläge / Zulagen für h/Wo</v>
      </c>
      <c r="L453" s="1169"/>
      <c r="M453" s="66" t="str">
        <f>IF(A454="","",A454)</f>
        <v>Jan 2022</v>
      </c>
      <c r="N453" s="66" t="str">
        <f>IF(A455="","",A455)</f>
        <v/>
      </c>
      <c r="O453" s="66" t="str">
        <f>IF(A456="","",A456)</f>
        <v/>
      </c>
      <c r="P453" s="66" t="str">
        <f>IF(A457="","",A457)</f>
        <v/>
      </c>
    </row>
    <row r="454" spans="1:16" s="52" customFormat="1" ht="13.5" customHeight="1" x14ac:dyDescent="0.25">
      <c r="A454" s="54" t="str">
        <f>A466</f>
        <v>Jan 2022</v>
      </c>
      <c r="B454" s="1170" t="str">
        <f>IF($D$3="","",$D$3)</f>
        <v/>
      </c>
      <c r="C454" s="1171"/>
      <c r="D454" s="181"/>
      <c r="E454" s="181"/>
      <c r="F454" s="87"/>
      <c r="G454" s="56">
        <f>IF(N443="",0,F454/N443/4.348)</f>
        <v>0</v>
      </c>
      <c r="H454" s="53">
        <f>IF(G454=0,0,M459)</f>
        <v>0</v>
      </c>
      <c r="K454" s="1146"/>
      <c r="L454" s="1146"/>
      <c r="M454" s="86"/>
      <c r="N454" s="86"/>
      <c r="O454" s="86"/>
      <c r="P454" s="86"/>
    </row>
    <row r="455" spans="1:16" s="52" customFormat="1" ht="13.5" customHeight="1" x14ac:dyDescent="0.25">
      <c r="A455" s="55"/>
      <c r="B455" s="1172" t="str">
        <f>IF(A455="","",B454)</f>
        <v/>
      </c>
      <c r="C455" s="1173"/>
      <c r="D455" s="181"/>
      <c r="E455" s="181"/>
      <c r="F455" s="87"/>
      <c r="G455" s="56">
        <f>IF(N443="",0,F455/N443/4.348)</f>
        <v>0</v>
      </c>
      <c r="H455" s="53">
        <f>IF(G455=0,0,N459)</f>
        <v>0</v>
      </c>
      <c r="K455" s="1146"/>
      <c r="L455" s="1146"/>
      <c r="M455" s="86"/>
      <c r="N455" s="86"/>
      <c r="O455" s="86"/>
      <c r="P455" s="86"/>
    </row>
    <row r="456" spans="1:16" s="52" customFormat="1" ht="13.5" customHeight="1" x14ac:dyDescent="0.25">
      <c r="A456" s="55"/>
      <c r="B456" s="1172" t="str">
        <f>IF(A456="","",B455)</f>
        <v/>
      </c>
      <c r="C456" s="1173"/>
      <c r="D456" s="181"/>
      <c r="E456" s="181"/>
      <c r="F456" s="87"/>
      <c r="G456" s="56">
        <f>IF(N443="",0,F456/N443/4.348)</f>
        <v>0</v>
      </c>
      <c r="H456" s="53">
        <f>IF(G456=0,0,O459)</f>
        <v>0</v>
      </c>
      <c r="K456" s="1146"/>
      <c r="L456" s="1146"/>
      <c r="M456" s="86"/>
      <c r="N456" s="86"/>
      <c r="O456" s="86"/>
      <c r="P456" s="86"/>
    </row>
    <row r="457" spans="1:16" s="52" customFormat="1" ht="13.5" customHeight="1" x14ac:dyDescent="0.25">
      <c r="A457" s="55"/>
      <c r="B457" s="1172" t="str">
        <f>IF(A457="","",B456)</f>
        <v/>
      </c>
      <c r="C457" s="1173"/>
      <c r="D457" s="181"/>
      <c r="E457" s="181"/>
      <c r="F457" s="87"/>
      <c r="G457" s="56">
        <f>IF(N443="",0,F457/N443/4.348)</f>
        <v>0</v>
      </c>
      <c r="H457" s="53">
        <f>IF(G457=0,0,P459)</f>
        <v>0</v>
      </c>
      <c r="K457" s="1146"/>
      <c r="L457" s="1146"/>
      <c r="M457" s="86"/>
      <c r="N457" s="86"/>
      <c r="O457" s="86"/>
      <c r="P457" s="86"/>
    </row>
    <row r="458" spans="1:16" s="52" customFormat="1" ht="13.5" customHeight="1" x14ac:dyDescent="0.25">
      <c r="B458" s="1167" t="s">
        <v>157</v>
      </c>
      <c r="C458" s="1167"/>
      <c r="E458" s="1167" t="s">
        <v>156</v>
      </c>
      <c r="F458" s="1167"/>
      <c r="J458" s="69"/>
      <c r="K458" s="1146"/>
      <c r="L458" s="1146"/>
      <c r="M458" s="86"/>
      <c r="N458" s="86"/>
      <c r="O458" s="86"/>
      <c r="P458" s="86"/>
    </row>
    <row r="459" spans="1:16" s="52" customFormat="1" ht="13.5" customHeight="1" x14ac:dyDescent="0.25">
      <c r="A459" s="70" t="s">
        <v>167</v>
      </c>
      <c r="B459" s="67"/>
      <c r="C459" s="99" t="str">
        <f>IF(C415="","",C415)</f>
        <v/>
      </c>
      <c r="D459" s="70" t="s">
        <v>167</v>
      </c>
      <c r="E459" s="67"/>
      <c r="F459" s="99" t="str">
        <f>IF(F415="","",F415)</f>
        <v/>
      </c>
      <c r="J459" s="68"/>
      <c r="M459" s="57">
        <f>SUM(M454:M458)</f>
        <v>0</v>
      </c>
      <c r="N459" s="57">
        <f t="shared" ref="N459:P459" si="52">SUM(N454:N458)</f>
        <v>0</v>
      </c>
      <c r="O459" s="57">
        <f t="shared" si="52"/>
        <v>0</v>
      </c>
      <c r="P459" s="57">
        <f t="shared" si="52"/>
        <v>0</v>
      </c>
    </row>
    <row r="460" spans="1:16" s="52" customFormat="1" ht="13.5" customHeight="1" x14ac:dyDescent="0.2">
      <c r="A460" s="60" t="s">
        <v>155</v>
      </c>
    </row>
    <row r="461" spans="1:16" s="20" customFormat="1" ht="14.25" customHeight="1" x14ac:dyDescent="0.2">
      <c r="A461" s="1147"/>
      <c r="B461" s="1149" t="s">
        <v>9</v>
      </c>
      <c r="C461" s="1150"/>
      <c r="D461" s="1150"/>
      <c r="E461" s="1150"/>
      <c r="F461" s="1150"/>
      <c r="G461" s="1151"/>
      <c r="H461" s="1152" t="s">
        <v>119</v>
      </c>
      <c r="I461" s="1153"/>
      <c r="J461" s="1153"/>
      <c r="K461" s="1153"/>
      <c r="L461" s="1153"/>
      <c r="M461" s="1153"/>
      <c r="N461" s="1195" t="s">
        <v>112</v>
      </c>
      <c r="O461" s="33"/>
      <c r="P461" s="1154" t="s">
        <v>0</v>
      </c>
    </row>
    <row r="462" spans="1:16" s="20" customFormat="1" ht="14.25" customHeight="1" x14ac:dyDescent="0.2">
      <c r="A462" s="1148"/>
      <c r="B462" s="1157" t="s">
        <v>117</v>
      </c>
      <c r="C462" s="144" t="s">
        <v>115</v>
      </c>
      <c r="D462" s="1159" t="s">
        <v>277</v>
      </c>
      <c r="E462" s="1161" t="s">
        <v>147</v>
      </c>
      <c r="F462" s="149" t="s">
        <v>7</v>
      </c>
      <c r="G462" s="1162" t="s">
        <v>6</v>
      </c>
      <c r="H462" s="1161" t="s">
        <v>129</v>
      </c>
      <c r="I462" s="1161" t="s">
        <v>111</v>
      </c>
      <c r="J462" s="1161" t="s">
        <v>5</v>
      </c>
      <c r="K462" s="1161" t="s">
        <v>4</v>
      </c>
      <c r="L462" s="1161" t="s">
        <v>3</v>
      </c>
      <c r="M462" s="1161" t="s">
        <v>98</v>
      </c>
      <c r="N462" s="1196"/>
      <c r="O462" s="1160" t="s">
        <v>114</v>
      </c>
      <c r="P462" s="1155"/>
    </row>
    <row r="463" spans="1:16" s="20" customFormat="1" ht="14.25" customHeight="1" x14ac:dyDescent="0.2">
      <c r="A463" s="1148"/>
      <c r="B463" s="1157"/>
      <c r="C463" s="21" t="str">
        <f>IF(C459="","",C459)</f>
        <v/>
      </c>
      <c r="D463" s="1160"/>
      <c r="E463" s="1161"/>
      <c r="F463" s="1165" t="str">
        <f>IF(H454=0,"","siehe Zuschläge / Zulagen")</f>
        <v/>
      </c>
      <c r="G463" s="1162"/>
      <c r="H463" s="1164" t="s">
        <v>127</v>
      </c>
      <c r="I463" s="1161"/>
      <c r="J463" s="1164"/>
      <c r="K463" s="1164"/>
      <c r="L463" s="1164"/>
      <c r="M463" s="1161"/>
      <c r="N463" s="1196"/>
      <c r="O463" s="1160"/>
      <c r="P463" s="1155"/>
    </row>
    <row r="464" spans="1:16" s="20" customFormat="1" x14ac:dyDescent="0.2">
      <c r="A464" s="1148"/>
      <c r="B464" s="1157"/>
      <c r="C464" s="142" t="s">
        <v>70</v>
      </c>
      <c r="D464" s="1160"/>
      <c r="E464" s="1161"/>
      <c r="F464" s="1165"/>
      <c r="G464" s="1162"/>
      <c r="H464" s="43" t="s">
        <v>128</v>
      </c>
      <c r="I464" s="1161"/>
      <c r="J464" s="43" t="s">
        <v>255</v>
      </c>
      <c r="K464" s="43" t="s">
        <v>256</v>
      </c>
      <c r="L464" s="43" t="s">
        <v>257</v>
      </c>
      <c r="M464" s="1161"/>
      <c r="N464" s="1196"/>
      <c r="O464" s="1160"/>
      <c r="P464" s="1155"/>
    </row>
    <row r="465" spans="1:16" s="20" customFormat="1" x14ac:dyDescent="0.2">
      <c r="A465" s="1148"/>
      <c r="B465" s="1158"/>
      <c r="C465" s="21" t="str">
        <f>IF(F459="","",F459)</f>
        <v/>
      </c>
      <c r="D465" s="51"/>
      <c r="E465" s="51"/>
      <c r="F465" s="1166"/>
      <c r="G465" s="1163"/>
      <c r="H465" s="93"/>
      <c r="I465" s="21"/>
      <c r="J465" s="139">
        <f>'päd.Personal - Leitung'!$I$69</f>
        <v>0</v>
      </c>
      <c r="K465" s="139">
        <f>'päd.Personal - Leitung'!$J$69</f>
        <v>0</v>
      </c>
      <c r="L465" s="44">
        <f>'päd.Personal - Leitung'!$K$69</f>
        <v>0</v>
      </c>
      <c r="M465" s="21"/>
      <c r="N465" s="21"/>
      <c r="O465" s="21">
        <f>O421</f>
        <v>0</v>
      </c>
      <c r="P465" s="1156"/>
    </row>
    <row r="466" spans="1:16" s="20" customFormat="1" x14ac:dyDescent="0.2">
      <c r="A466" s="100" t="str">
        <f>'päd.Personal - Leitung'!$A$26</f>
        <v>Jan 2022</v>
      </c>
      <c r="B466" s="24">
        <f>ROUND(IF(N446=0,0,(LOOKUP(2,1/(A454:A457=A466),G454:G457))*N446*4.348*50%),2)</f>
        <v>0</v>
      </c>
      <c r="C466" s="23">
        <f>ROUND(IFERROR(((LOOKUP(2,1/(B459=A466),((SUM(B472:B474)+SUM(F472:F474))/3)*C459))),0)+IFERROR(((LOOKUP(2,1/(E459=A466),(B478+F478)*F459))),0),2)</f>
        <v>0</v>
      </c>
      <c r="D466" s="23">
        <f>ROUND(IF(B466=0,0,D465/L447*N446*50%),2)</f>
        <v>0</v>
      </c>
      <c r="E466" s="23">
        <f>ROUND(IF(B466=0,0,E465/N443*N446*50%),2)</f>
        <v>0</v>
      </c>
      <c r="F466" s="24">
        <f>ROUND(IF(N446=0,0,(LOOKUP(2,1/(A454:A457=A466),H454:H457))/N443*N446*50%),2)</f>
        <v>0</v>
      </c>
      <c r="G466" s="27">
        <f>SUM(B466+C466+E466+F466)</f>
        <v>0</v>
      </c>
      <c r="H466" s="76">
        <f>ROUND(IF((SUM(B466:F466))&gt;L481,L481*H465,SUM(B466:F466)*H465),2)</f>
        <v>0</v>
      </c>
      <c r="I466" s="76">
        <f>ROUND(IF((SUM(B466:F466)*80%)&gt;((L482*1)*90%),((((L482*1)*90%)-((SUM(B466:F466)-C466))*I465)+((SUM(B466:F466)-C466)*I465)*80%),((SUM(B466:F466)-C466)*I465)*80%),2)</f>
        <v>0</v>
      </c>
      <c r="J466" s="76">
        <f>ROUND(IF((SUM(B466:F466))&gt;L482,L482*J465,SUM(B466:F466)*J465),2)</f>
        <v>0</v>
      </c>
      <c r="K466" s="76">
        <f>ROUND(IF((SUM(B466:F466))&gt;L482,L482*K465,SUM(B466:F466)*K465),2)</f>
        <v>0</v>
      </c>
      <c r="L466" s="76">
        <f>ROUND(IF((SUM(B466:F466))&gt;L481,L481*L465,SUM(B466:F466)*L465),2)</f>
        <v>0</v>
      </c>
      <c r="M466" s="76">
        <f>ROUND(IF((SUM(B466:F466))&gt;L482,L482*M465,(SUM(B466:F466)-C466)*M465),2)</f>
        <v>0</v>
      </c>
      <c r="N466" s="23">
        <f>ROUND((B466+E466+F466)*N465,2)</f>
        <v>0</v>
      </c>
      <c r="O466" s="23">
        <f>ROUND(SUM(B466+C466+F466)*O465,2)</f>
        <v>0</v>
      </c>
      <c r="P466" s="27">
        <f>SUM(G466:O466)</f>
        <v>0</v>
      </c>
    </row>
    <row r="467" spans="1:16" s="20" customFormat="1" x14ac:dyDescent="0.2">
      <c r="A467" s="100" t="str">
        <f>'päd.Personal - Leitung'!$A$27</f>
        <v>Feb 2022</v>
      </c>
      <c r="B467" s="24">
        <f>ROUND(IF(N447=0,0,IFERROR(((LOOKUP(2,1/(A454:A457=A467),G454:G457))*N447*4.348*50%),B466/N447*N447)),2)</f>
        <v>0</v>
      </c>
      <c r="C467" s="23">
        <f>ROUND(IFERROR(((LOOKUP(2,1/(B459=A467),((SUM(B472:B474)+SUM(F472:F474))/3)*C459))),0)+IFERROR(((LOOKUP(2,1/(E459=A467),(B478+F478)*F459))),0),2)</f>
        <v>0</v>
      </c>
      <c r="D467" s="23">
        <f>ROUND(IF(B467=0,0,D465/L447*N447*50%),2)</f>
        <v>0</v>
      </c>
      <c r="E467" s="23">
        <f>ROUND(IF(B467=0,0,E465/N443*N447*50%),2)</f>
        <v>0</v>
      </c>
      <c r="F467" s="24">
        <f>ROUND(IF(N447=0,0,IFERROR(((LOOKUP(2,1/(A454:A457=A467),H454:H457))/N443*N447),F466/N447*N447*50%)),2)</f>
        <v>0</v>
      </c>
      <c r="G467" s="27">
        <f t="shared" ref="G467:G477" si="53">SUM(B467+C467+E467+F467)</f>
        <v>0</v>
      </c>
      <c r="H467" s="76">
        <f>ROUND(IF(SUM(B466:F466)&lt;(L481*1),IF((SUM(B466:F467))&gt;(L481*2),(((L481*2)-(SUM(B466:F467)-C466))*H465)+((SUM(B467:F467)-C466)*H465),SUM(B467:F467)*H465),IF(SUM(B466:F467)&gt;(L481*2),L481*H465,SUM(B467:F467)*H465)),2)</f>
        <v>0</v>
      </c>
      <c r="I467" s="76">
        <f>ROUND(IF((SUM(B466:F467)*80%)&gt;((L482*2)*90%),((((L482*2)*90%)-((SUM(B466:F467)-C467))*I465)+((SUM(B467:F467)-C467)*I465)*80%),((SUM(B467:F467)-C467)*I465)*80%),2)</f>
        <v>0</v>
      </c>
      <c r="J467" s="76">
        <f>ROUND(IF(SUM(B466:F466)&lt;(L482*1),IF((SUM(B466:F467))&gt;(L482*2),(((L482*2)-(SUM(B466:F467)-C466))*J465)+((SUM(B467:F467)-C466)*J465),SUM(B467:F467)*J465),IF(SUM(B466:F467)&gt;(L482*2),L482*J465,SUM(B467:F467)*J465)),2)</f>
        <v>0</v>
      </c>
      <c r="K467" s="76">
        <f>ROUND(IF(SUM(B466:F466)&lt;(L482*1),IF((SUM(B466:F467))&gt;(L482*2),(((L482*2)-(SUM(B466:F467)-C466))*K465)+((SUM(B467:F467)-C466)*K465),SUM(B467:F467)*K465),IF(SUM(B466:F467)&gt;(L482*2),L482*K465,SUM(B467:F467)*K465)),2)</f>
        <v>0</v>
      </c>
      <c r="L467" s="76">
        <f>ROUND(IF(SUM(B466:F466)&lt;(L481*1),IF((SUM(B466:F467))&gt;(L481*2),(((L481*2)-(SUM(B466:F467)-C466))*L465)+((SUM(B467:F467)-C466)*L465),SUM(B467:F467)*L465),IF(SUM(B466:F467)&gt;(L481*2),L481*L465,SUM(B467:F467)*L465)),2)</f>
        <v>0</v>
      </c>
      <c r="M467" s="76">
        <f>ROUND(IF(SUM(B466:F466)&lt;(L482*1),IF((SUM(B466:F467))&gt;(L482*2),(((L482*2)-(SUM(B466:F467)-C467))*M465)+((SUM(B467:F467)-C467)*M465),(SUM(B467:F467)-C467)*M465),IF(SUM(B466:F467)&gt;(L482*2),L482*M465,SUM(B467:F467)*M465)),2)</f>
        <v>0</v>
      </c>
      <c r="N467" s="23">
        <f>ROUND((B467+E467+F467)*N465,2)</f>
        <v>0</v>
      </c>
      <c r="O467" s="23">
        <f>ROUND(SUM(B467+C467+F467)*O465,2)</f>
        <v>0</v>
      </c>
      <c r="P467" s="27">
        <f t="shared" ref="P467:P476" si="54">SUM(G467:O467)</f>
        <v>0</v>
      </c>
    </row>
    <row r="468" spans="1:16" s="20" customFormat="1" x14ac:dyDescent="0.2">
      <c r="A468" s="100" t="str">
        <f>'päd.Personal - Leitung'!$A$28</f>
        <v>Mrz 2022</v>
      </c>
      <c r="B468" s="24">
        <f>ROUND(IF(N448=0,0,IFERROR(((LOOKUP(2,1/(A454:A457=A468),G454:G457))*N448*4.348*50%),B467/N448*N448)),2)</f>
        <v>0</v>
      </c>
      <c r="C468" s="23">
        <f>ROUND(IFERROR(((LOOKUP(2,1/(B459=A468),((SUM(B472:B474)+SUM(F472:F474))/3)*C459))),0)+IFERROR(((LOOKUP(2,1/(E459=A468),(B478+F478)*F459))),0),2)</f>
        <v>0</v>
      </c>
      <c r="D468" s="23">
        <f>ROUND(IF(B468=0,0,D465/L447*N448*50%),2)</f>
        <v>0</v>
      </c>
      <c r="E468" s="23">
        <f>ROUND(IF(B468=0,0,E465/N443*N448*50%),2)</f>
        <v>0</v>
      </c>
      <c r="F468" s="24">
        <f>ROUND(IF(N448=0,0,IFERROR(((LOOKUP(2,1/(A454:A457=A468),H454:H457))/N443*N448),F467/N448*N448*50%)),2)</f>
        <v>0</v>
      </c>
      <c r="G468" s="27">
        <f t="shared" si="53"/>
        <v>0</v>
      </c>
      <c r="H468" s="76">
        <f>ROUND(IF(SUM(B466:F467)&lt;(L481*2),IF((SUM(B466:F468))&gt;(L481*3),(((L481*3)-(SUM(B466:F468)-C467))*H465)+((SUM(B468:F468)-C467)*H465),SUM(B468:F468)*H465),IF(SUM(B466:F468)&gt;(L481*3),L481*H465,SUM(B468:F468)*H465)),2)</f>
        <v>0</v>
      </c>
      <c r="I468" s="76">
        <f>ROUND(IF((SUM(B466:F468)*80%)&gt;((L482*3)*90%),((((L482*3)*90%)-((SUM(B466:F468)-C468))*I465)+((SUM(B468:F468)-C468)*I465)*80%),((SUM(B468:F468)-C468)*I465)*80%),2)</f>
        <v>0</v>
      </c>
      <c r="J468" s="76">
        <f>ROUND(IF(SUM(B466:F467)&lt;(L482*2),IF((SUM(B466:F468))&gt;(L482*3),(((L482*3)-(SUM(B466:F468)-C467))*J465)+((SUM(B468:F468)-C467)*J465),SUM(B468:F468)*J465),IF(SUM(B466:F468)&gt;(L482*3),L482*J465,SUM(B468:F468)*J465)),2)</f>
        <v>0</v>
      </c>
      <c r="K468" s="76">
        <f>ROUND(IF(SUM(B466:F467)&lt;(L482*2),IF((SUM(B466:F468))&gt;(L482*3),(((L482*3)-(SUM(B466:F468)-C467))*K465)+((SUM(B468:F468)-C467)*K465),SUM(B468:F468)*K465),IF(SUM(B466:F468)&gt;(L482*3),L482*K465,SUM(B468:F468)*K465)),2)</f>
        <v>0</v>
      </c>
      <c r="L468" s="76">
        <f>ROUND(IF(SUM(B466:F467)&lt;(L481*2),IF((SUM(B466:F468))&gt;(L481*3),(((L481*3)-(SUM(B466:F468)-C467))*L465)+((SUM(B468:F468)-C467)*L465),SUM(B468:F468)*L465),IF(SUM(B466:F468)&gt;(L481*3),L481*L465,SUM(B468:F468)*L465)),2)</f>
        <v>0</v>
      </c>
      <c r="M468" s="76">
        <f>ROUND(IF(SUM(B466:F467)&lt;(L482*2),IF((SUM(B466:F468))&gt;(L482*3),(((L482*3)-(SUM(B466:F468)-C468))*M465)+((SUM(B468:F468)-C468)*M465),(SUM(B468:F468)-C468)*M465),IF(SUM(B466:F468)&gt;(L482*3),L482*M465,SUM(B468:F468)*M465)),2)</f>
        <v>0</v>
      </c>
      <c r="N468" s="23">
        <f>ROUND((B468+E468+F468)*N465,2)</f>
        <v>0</v>
      </c>
      <c r="O468" s="23">
        <f>ROUND(SUM(B468+C468+F468)*O465,2)</f>
        <v>0</v>
      </c>
      <c r="P468" s="27">
        <f t="shared" si="54"/>
        <v>0</v>
      </c>
    </row>
    <row r="469" spans="1:16" s="20" customFormat="1" x14ac:dyDescent="0.2">
      <c r="A469" s="100" t="str">
        <f>'päd.Personal - Leitung'!$A$29</f>
        <v>Apr 2022</v>
      </c>
      <c r="B469" s="24">
        <f>ROUND(IF(N449=0,0,IFERROR(((LOOKUP(2,1/(A454:A457=A469),G454:G457))*N449*4.348*50%),B468/N449*N449)),2)</f>
        <v>0</v>
      </c>
      <c r="C469" s="23">
        <f>ROUND(IFERROR(((LOOKUP(2,1/(B459=A469),((SUM(B472:B474)+SUM(F472:F474))/3)*C459))),0)+IFERROR(((LOOKUP(2,1/(E459=A469),(B478+F478)*F459))),0),2)</f>
        <v>0</v>
      </c>
      <c r="D469" s="23">
        <f>ROUND(IF(B469=0,0,D465/L447*N449*50%),2)</f>
        <v>0</v>
      </c>
      <c r="E469" s="23">
        <f>ROUND(IF(B469=0,0,E465/N443*N449*50%),2)</f>
        <v>0</v>
      </c>
      <c r="F469" s="24">
        <f>ROUND(IF(N449=0,0,IFERROR(((LOOKUP(2,1/(A454:A457=A469),H454:H457))/N443*N449),F468/N449*N449*50%)),2)</f>
        <v>0</v>
      </c>
      <c r="G469" s="27">
        <f t="shared" si="53"/>
        <v>0</v>
      </c>
      <c r="H469" s="76">
        <f>ROUND(IF(SUM(B466:F468)&lt;(L481*3),IF((SUM(B466:F469))&gt;(L481*4),(((L481*4)-(SUM(B466:F469)-C468))*H465)+((SUM(B469:F469)-C468)*H465),SUM(B469:F469)*H465),IF(SUM(B466:F469)&gt;(L481*4),L481*H465,SUM(B469:F469)*H465)),2)</f>
        <v>0</v>
      </c>
      <c r="I469" s="76">
        <f>ROUND(IF((SUM(B466:F469)*80%)&gt;((L482*4)*90%),((((L482*4)*90%)-((SUM(B466:F469)-C469))*I465)+((SUM(B469:F469)-C469)*I465)*80%),((SUM(B469:F469)-C469)*I465)*80%),2)</f>
        <v>0</v>
      </c>
      <c r="J469" s="76">
        <f>ROUND(IF(SUM(B466:F468)&lt;(L482*3),IF((SUM(B466:F469))&gt;(L482*4),(((L482*4)-(SUM(B466:F469)-C468))*J465)+((SUM(B469:F469)-C468)*J465),SUM(B469:F469)*J465),IF(SUM(B466:F469)&gt;(L482*4),L482*J465,SUM(B469:F469)*J465)),2)</f>
        <v>0</v>
      </c>
      <c r="K469" s="76">
        <f>ROUND(IF(SUM(B466:F468)&lt;(L482*3),IF((SUM(B466:F469))&gt;(L482*4),(((L482*4)-(SUM(B466:F469)-C468))*K465)+((SUM(B469:F469)-C468)*K465),SUM(B469:F469)*K465),IF(SUM(B466:F469)&gt;(L482*4),L482*K465,SUM(B469:F469)*K465)),2)</f>
        <v>0</v>
      </c>
      <c r="L469" s="76">
        <f>ROUND(IF(SUM(B466:F468)&lt;(L481*3),IF((SUM(B466:F469))&gt;(L481*4),(((L481*4)-(SUM(B466:F469)-C468))*L465)+((SUM(B469:F469)-C468)*L465),SUM(B469:F469)*L465),IF(SUM(B466:F469)&gt;(L481*4),L481*L465,SUM(B469:F469)*L465)),2)</f>
        <v>0</v>
      </c>
      <c r="M469" s="76">
        <f>ROUND(IF(SUM(B466:F468)&lt;(L482*3),IF((SUM(B466:F469))&gt;(L482*4),(((L482*4)-(SUM(B466:F469)-C469))*M465)+((SUM(B469:F469)-C469)*M465),(SUM(B469:F469)-C469)*M465),IF(SUM(B466:F469)&gt;(L482*4),L482*M465,SUM(B469:F469)*M465)),2)</f>
        <v>0</v>
      </c>
      <c r="N469" s="23">
        <f>ROUND((B469+E469+F469)*N465,2)</f>
        <v>0</v>
      </c>
      <c r="O469" s="23">
        <f>ROUND(SUM(B469+C469+F469)*O465,2)</f>
        <v>0</v>
      </c>
      <c r="P469" s="27">
        <f t="shared" si="54"/>
        <v>0</v>
      </c>
    </row>
    <row r="470" spans="1:16" s="20" customFormat="1" x14ac:dyDescent="0.2">
      <c r="A470" s="100" t="str">
        <f>'päd.Personal - Leitung'!$A$30</f>
        <v>Mai 2022</v>
      </c>
      <c r="B470" s="24">
        <f>ROUND(IF(N450=0,0,IFERROR(((LOOKUP(2,1/(A454:A457=A470),G454:G457))*N450*4.348*50%),B469/N450*N450)),2)</f>
        <v>0</v>
      </c>
      <c r="C470" s="23">
        <f>ROUND(IFERROR(((LOOKUP(2,1/(B459=A470),((SUM(B472:B474)+SUM(F472:F474))/3)*C459))),0)+IFERROR(((LOOKUP(2,1/(E459=A470),(B478+F478)*F459))),0),2)</f>
        <v>0</v>
      </c>
      <c r="D470" s="23">
        <f>ROUND(IF(B470=0,0,D465/L447*N450*50%),2)</f>
        <v>0</v>
      </c>
      <c r="E470" s="23">
        <f>ROUND(IF(B470=0,0,E465/N443*N450*50%),2)</f>
        <v>0</v>
      </c>
      <c r="F470" s="24">
        <f>ROUND(IF(N450=0,0,IFERROR(((LOOKUP(2,1/(A454:A457=A470),H454:H457))/N443*N450),F469/N450*N450*50%)),2)</f>
        <v>0</v>
      </c>
      <c r="G470" s="27">
        <f t="shared" si="53"/>
        <v>0</v>
      </c>
      <c r="H470" s="76">
        <f>ROUND(IF(SUM(B466:F469)&lt;(L481*4),IF((SUM(B466:F470))&gt;(L481*5),(((L481*5)-(SUM(B466:F470)-C469))*H465)+((SUM(B470:F470)-C469)*H465),SUM(B470:F470)*H465),IF(SUM(B466:F470)&gt;(L481*5),L481*H465,SUM(B470:F470)*H465)),2)</f>
        <v>0</v>
      </c>
      <c r="I470" s="76">
        <f>ROUND(IF((SUM(B466:F470)*80%)&gt;((L482*5)*90%),((((L482*5)*90%)-((SUM(B466:F470)-C470))*I465)+((SUM(B470:F470)-C470)*I465)*80%),((SUM(B470:F470)-C470)*I465)*80%),2)</f>
        <v>0</v>
      </c>
      <c r="J470" s="76">
        <f>ROUND(IF(SUM(B466:F469)&lt;(L482*4),IF((SUM(B466:F470))&gt;(L482*5),(((L482*5)-(SUM(B466:F470)-C469))*J465)+((SUM(B470:F470)-C469)*J465),SUM(B470:F470)*J465),IF(SUM(B466:F470)&gt;(L482*5),L482*J465,SUM(B470:F470)*J465)),2)</f>
        <v>0</v>
      </c>
      <c r="K470" s="76">
        <f>ROUND(IF(SUM(B466:F469)&lt;(L482*4),IF((SUM(B466:F470))&gt;(L482*5),(((L482*5)-(SUM(B466:F470)-C469))*K465)+((SUM(B470:F470)-C469)*K465),SUM(B470:F470)*K465),IF(SUM(B466:F470)&gt;(L482*5),L482*K465,SUM(B470:F470)*K465)),2)</f>
        <v>0</v>
      </c>
      <c r="L470" s="76">
        <f>ROUND(IF(SUM(B466:F469)&lt;(L481*4),IF((SUM(B466:F470))&gt;(L481*5),(((L481*5)-(SUM(B466:F470)-C469))*L465)+((SUM(B470:F470)-C469)*L465),SUM(B470:F470)*L465),IF(SUM(B466:F470)&gt;(L481*5),L481*L465,SUM(B470:F470)*L465)),2)</f>
        <v>0</v>
      </c>
      <c r="M470" s="76">
        <f>ROUND(IF(SUM(B466:F469)&lt;(L482*4),IF((SUM(B466:F470))&gt;(L482*5),(((L482*5)-(SUM(B466:F470)-C470))*M465)+((SUM(B470:F470)-C470)*M465),(SUM(B470:F470)-C470)*M465),IF(SUM(B466:F470)&gt;(L482*5),L482*M465,SUM(B470:F470)*M465)),2)</f>
        <v>0</v>
      </c>
      <c r="N470" s="23">
        <f>ROUND((B470+E470+F470)*N465,2)</f>
        <v>0</v>
      </c>
      <c r="O470" s="23">
        <f>ROUND(SUM(B470+C470+F470)*O465,2)</f>
        <v>0</v>
      </c>
      <c r="P470" s="27">
        <f t="shared" si="54"/>
        <v>0</v>
      </c>
    </row>
    <row r="471" spans="1:16" s="20" customFormat="1" x14ac:dyDescent="0.2">
      <c r="A471" s="100" t="str">
        <f>'päd.Personal - Leitung'!$A$31</f>
        <v>Jun 2022</v>
      </c>
      <c r="B471" s="24">
        <f>ROUND(IF(N451=0,0,IFERROR(((LOOKUP(2,1/(A454:A457=A471),G454:G457))*N451*4.348*50%),B470/N451*N451)),2)</f>
        <v>0</v>
      </c>
      <c r="C471" s="23">
        <f>ROUND(IFERROR(((LOOKUP(2,1/(B459=A471),((SUM(B472:B474)+SUM(F472:F474))/3)*C459))),0)+IFERROR(((LOOKUP(2,1/(E459=A471),(B478+F478)*F459))),0),2)</f>
        <v>0</v>
      </c>
      <c r="D471" s="23">
        <f>ROUND(IF(B471=0,0,D465/L447*N451*50%),2)</f>
        <v>0</v>
      </c>
      <c r="E471" s="23">
        <f>ROUND(IF(B471=0,0,E465/N443*N451*50%),2)</f>
        <v>0</v>
      </c>
      <c r="F471" s="24">
        <f>ROUND(IF(N451=0,0,IFERROR(((LOOKUP(2,1/(A454:A457=A471),H454:H457))/N443*N451),F470/N451*N451*50%)),2)</f>
        <v>0</v>
      </c>
      <c r="G471" s="27">
        <f t="shared" si="53"/>
        <v>0</v>
      </c>
      <c r="H471" s="76">
        <f>ROUND(IF(SUM(B466:F470)&lt;(L481*5),IF((SUM(B466:F471))&gt;(L481*6),(((L481*6)-(SUM(B466:F471)-C470))*H465)+((SUM(B471:F471)-C470)*H465),SUM(B471:F471)*H465),IF(SUM(B466:F471)&gt;(L481*6),L481*H465,SUM(B471:F471)*H465)),2)</f>
        <v>0</v>
      </c>
      <c r="I471" s="76">
        <f>ROUND(IF((SUM(B466:F471)*80%)&gt;((L482*6)*90%),((((L482*6)*90%)-((SUM(B466:F471)-C471))*I465)+((SUM(B471:F471)-C471)*I465)*80%),((SUM(B471:F471)-C471)*I465)*80%),2)</f>
        <v>0</v>
      </c>
      <c r="J471" s="76">
        <f>ROUND(IF(SUM(B466:F470)&lt;(L482*5),IF((SUM(B466:F471))&gt;(L482*6),(((L482*6)-(SUM(B466:F471)-C470))*J465)+((SUM(B471:F471)-C470)*J465),SUM(B471:F471)*J465),IF(SUM(B466:F471)&gt;(L482*6),L482*J465,SUM(B471:F471)*J465)),2)</f>
        <v>0</v>
      </c>
      <c r="K471" s="76">
        <f>ROUND(IF(SUM(B466:F470)&lt;(L482*5),IF((SUM(B466:F471))&gt;(L482*6),(((L482*6)-(SUM(B466:F471)-C470))*K465)+((SUM(B471:F471)-C470)*K465),SUM(B471:F471)*K465),IF(SUM(B466:F471)&gt;(L482*6),L482*K465,SUM(B471:F471)*K465)),2)</f>
        <v>0</v>
      </c>
      <c r="L471" s="76">
        <f>ROUND(IF(SUM(B466:F470)&lt;(L481*5),IF((SUM(B466:F471))&gt;(L481*6),(((L481*6)-(SUM(B466:F471)-C470))*L465)+((SUM(B471:F471)-C470)*L465),SUM(B471:F471)*L465),IF(SUM(B466:F471)&gt;(L481*6),L481*L465,SUM(B471:F471)*L465)),2)</f>
        <v>0</v>
      </c>
      <c r="M471" s="76">
        <f>ROUND(IF(SUM(B466:F470)&lt;(L482*5),IF((SUM(B466:F471))&gt;(L482*6),(((L482*6)-(SUM(B466:F471)-C471))*M465)+((SUM(B471:F471)-C471)*M465),(SUM(B471:F471)-C471)*M465),IF(SUM(B466:F471)&gt;(L482*6),L482*M465,SUM(B471:F471)*M465)),2)</f>
        <v>0</v>
      </c>
      <c r="N471" s="23">
        <f>ROUND((B471+E471+F471)*N465,2)</f>
        <v>0</v>
      </c>
      <c r="O471" s="23">
        <f>ROUND(SUM(B471+C471+F471)*O465,2)</f>
        <v>0</v>
      </c>
      <c r="P471" s="27">
        <f t="shared" si="54"/>
        <v>0</v>
      </c>
    </row>
    <row r="472" spans="1:16" s="20" customFormat="1" x14ac:dyDescent="0.2">
      <c r="A472" s="100" t="str">
        <f>'päd.Personal - Leitung'!$A$32</f>
        <v>Jul 2022</v>
      </c>
      <c r="B472" s="24">
        <f>ROUND(IF(P446=0,0,IFERROR(((LOOKUP(2,1/(A454:A457=A472),G454:G457))*P446*4.348*50%),B471/P446*P446)),2)</f>
        <v>0</v>
      </c>
      <c r="C472" s="23">
        <f>ROUND(IFERROR(((LOOKUP(2,1/(B459=A472),((SUM(B472:B474)+SUM(F472:F474))/3)*C459))),0)+IFERROR(((LOOKUP(2,1/(E459=A472),(B478+F478)*F459))),0),2)</f>
        <v>0</v>
      </c>
      <c r="D472" s="23">
        <f>ROUND(IF(B472=0,0,D465/L447*P446*50%),2)</f>
        <v>0</v>
      </c>
      <c r="E472" s="23">
        <f>ROUND(IF(B472=0,0,E465/N443*P446*50%),2)</f>
        <v>0</v>
      </c>
      <c r="F472" s="24">
        <f>ROUND(IF(P446=0,0,IFERROR(((LOOKUP(2,1/(A454:A457=A472),H454:H457))/N443*P446),F471/P446*P446*50%)),2)</f>
        <v>0</v>
      </c>
      <c r="G472" s="27">
        <f t="shared" si="53"/>
        <v>0</v>
      </c>
      <c r="H472" s="76">
        <f>ROUND(IF(SUM(B466:F471)&lt;(L481*6),IF((SUM(B466:F472))&gt;(L481*7),(((L481*7)-(SUM(B466:F472)-C471))*H465)+((SUM(B472:F472)-C471)*H465),SUM(B472:F472)*H465),IF(SUM(B466:F472)&gt;(L481*7),L481*H465,SUM(B472:F472)*H465)),2)</f>
        <v>0</v>
      </c>
      <c r="I472" s="76">
        <f>ROUND(IF((SUM(B466:F472)*80%)&gt;((L482*7)*90%),((((L482*7)*90%)-((SUM(B466:F472)-C472))*I465)+((SUM(B472:F472)-C472)*I465)*80%),((SUM(B472:F472)-C472)*I465)*80%),2)</f>
        <v>0</v>
      </c>
      <c r="J472" s="76">
        <f>ROUND(IF(SUM(B466:F471)&lt;(L482*6),IF((SUM(B466:F472))&gt;(L482*7),(((L482*7)-(SUM(B466:F472)-C471))*J465)+((SUM(B472:F472)-C471)*J465),SUM(B472:F472)*J465),IF(SUM(B466:F472)&gt;(L482*7),L482*J465,SUM(B472:F472)*J465)),2)</f>
        <v>0</v>
      </c>
      <c r="K472" s="76">
        <f>ROUND(IF(SUM(B466:F471)&lt;(L482*6),IF((SUM(B466:F472))&gt;(L482*7),(((L482*7)-(SUM(B466:F472)-C471))*K465)+((SUM(B472:F472)-C471)*K465),SUM(B472:F472)*K465),IF(SUM(B466:F472)&gt;(L482*7),L482*K465,SUM(B472:F472)*K465)),2)</f>
        <v>0</v>
      </c>
      <c r="L472" s="76">
        <f>ROUND(IF(SUM(B466:F471)&lt;(L481*6),IF((SUM(B466:F472))&gt;(L481*7),(((L481*7)-(SUM(B466:F472)-C471))*L465)+((SUM(B472:F472)-C471)*L465),SUM(B472:F472)*L465),IF(SUM(B466:F472)&gt;(L481*7),L481*L465,SUM(B472:F472)*L465)),2)</f>
        <v>0</v>
      </c>
      <c r="M472" s="76">
        <f>ROUND(IF(SUM(B466:F471)&lt;(L482*6),IF((SUM(B466:F472))&gt;(L482*7),(((L482*7)-(SUM(B466:F472)-C472))*M465)+((SUM(B472:F472)-C472)*M465),(SUM(B472:F472)-C472)*M465),IF(SUM(B466:F472)&gt;(L482*7),L482*M465,SUM(B472:F472)*M465)),2)</f>
        <v>0</v>
      </c>
      <c r="N472" s="23">
        <f>ROUND((B472+E472+F472)*N465,2)</f>
        <v>0</v>
      </c>
      <c r="O472" s="23">
        <f>ROUND(SUM(B472+C472+F472)*O465,2)</f>
        <v>0</v>
      </c>
      <c r="P472" s="27">
        <f t="shared" si="54"/>
        <v>0</v>
      </c>
    </row>
    <row r="473" spans="1:16" s="20" customFormat="1" x14ac:dyDescent="0.2">
      <c r="A473" s="100" t="str">
        <f>'päd.Personal - Leitung'!$A$33</f>
        <v>Aug 2022</v>
      </c>
      <c r="B473" s="24">
        <f>ROUND(IF(P447=0,0,IFERROR(((LOOKUP(2,1/(A454:A457=A473),G454:G457))*P447*4.348*50%),B472/P447*P447)),2)</f>
        <v>0</v>
      </c>
      <c r="C473" s="23">
        <f>ROUND(IFERROR(((LOOKUP(2,1/(B459=A473),((SUM(B472:B474)+SUM(F472:F474))/3)*C459))),0)+IFERROR(((LOOKUP(2,1/(E459=A473),(B478+F478)*F459))),0),2)</f>
        <v>0</v>
      </c>
      <c r="D473" s="23">
        <f>ROUND(IF(B473=0,0,D465/L447*P447*50%),2)</f>
        <v>0</v>
      </c>
      <c r="E473" s="23">
        <f>ROUND(IF(B473=0,0,E465/N443*P447*50%),2)</f>
        <v>0</v>
      </c>
      <c r="F473" s="24">
        <f>ROUND(IF(P447=0,0,IFERROR(((LOOKUP(2,1/(A454:A457=A473),H454:H457))/N443*P447),F472/P447*P447*50%)),2)</f>
        <v>0</v>
      </c>
      <c r="G473" s="27">
        <f t="shared" si="53"/>
        <v>0</v>
      </c>
      <c r="H473" s="76">
        <f>ROUND(IF(SUM(B466:F472)&lt;(L481*7),IF((SUM(B466:F473))&gt;(L481*8),(((L481*8)-(SUM(B466:F473)-C472))*H465)+((SUM(B473:F473)-C472)*H465),SUM(B473:F473)*H465),IF(SUM(B466:F473)&gt;(L481*8),L481*H465,SUM(B473:F473)*H465)),2)</f>
        <v>0</v>
      </c>
      <c r="I473" s="76">
        <f>ROUND(IF((SUM(B466:F473)*80%)&gt;((L482*8)*90%),((((L482*8)*90%)-((SUM(B466:F473)-C473))*I465)+((SUM(B473:F473)-C473)*I465)*80%),((SUM(B473:F473)-C473)*I465)*80%),2)</f>
        <v>0</v>
      </c>
      <c r="J473" s="76">
        <f>ROUND(IF(SUM(B466:F472)&lt;(L482*7),IF((SUM(B466:F473))&gt;(L482*8),(((L482*8)-(SUM(B466:F473)-C472))*J465)+((SUM(B473:F473)-C472)*J465),SUM(B473:F473)*J465),IF(SUM(B466:F473)&gt;(L482*8),L482*J465,SUM(B473:F473)*J465)),2)</f>
        <v>0</v>
      </c>
      <c r="K473" s="76">
        <f>ROUND(IF(SUM(B466:F472)&lt;(L482*7),IF((SUM(B466:F473))&gt;(L482*8),(((L482*8)-(SUM(B466:F473)-C472))*K465)+((SUM(B473:F473)-C472)*K465),SUM(B473:F473)*K465),IF(SUM(B466:F473)&gt;(L482*8),L482*K465,SUM(B473:F473)*K465)),2)</f>
        <v>0</v>
      </c>
      <c r="L473" s="76">
        <f>ROUND(IF(SUM(B466:F472)&lt;(L481*7),IF((SUM(B466:F473))&gt;(L481*8),(((L481*8)-(SUM(B466:F473)-C472))*L465)+((SUM(B473:F473)-C472)*L465),SUM(B473:F473)*L465),IF(SUM(B466:F473)&gt;(L481*8),L481*L465,SUM(B473:F473)*L465)),2)</f>
        <v>0</v>
      </c>
      <c r="M473" s="76">
        <f>ROUND(IF(SUM(B466:F472)&lt;(L482*7),IF((SUM(B466:F473))&gt;(L482*8),(((L482*8)-(SUM(B466:F473)-C473))*M465)+((SUM(B473:F473)-C473)*M465),(SUM(B473:F473)-C473)*M465),IF(SUM(B466:F473)&gt;(L482*8),L482*M465,SUM(B473:F473)*M465)),2)</f>
        <v>0</v>
      </c>
      <c r="N473" s="23">
        <f>ROUND((B473+E473+F473)*N465,2)</f>
        <v>0</v>
      </c>
      <c r="O473" s="23">
        <f>ROUND(SUM(B473+C473+F473)*O465,2)</f>
        <v>0</v>
      </c>
      <c r="P473" s="27">
        <f t="shared" si="54"/>
        <v>0</v>
      </c>
    </row>
    <row r="474" spans="1:16" s="20" customFormat="1" x14ac:dyDescent="0.2">
      <c r="A474" s="100" t="str">
        <f>'päd.Personal - Leitung'!$A$34</f>
        <v>Sep 2022</v>
      </c>
      <c r="B474" s="24">
        <f>ROUND(IF(P448=0,0,IFERROR(((LOOKUP(2,1/(A454:A457=A474),G454:G457))*P448*4.348*50%),B473/P448*P448)),2)</f>
        <v>0</v>
      </c>
      <c r="C474" s="23">
        <f>ROUND(IFERROR(((LOOKUP(2,1/(B459=A474),((SUM(B472:B474)+SUM(F472:F474))/3)*C459))),0)+IFERROR(((LOOKUP(2,1/(E459=A474),(B478+F478)*F459))),0),2)</f>
        <v>0</v>
      </c>
      <c r="D474" s="23">
        <f>ROUND(IF(B474=0,0,D465/L447*P448*50%),2)</f>
        <v>0</v>
      </c>
      <c r="E474" s="23">
        <f>ROUND(IF(B474=0,0,E465/N443*P448*50),2)</f>
        <v>0</v>
      </c>
      <c r="F474" s="24">
        <f>ROUND(IF(P448=0,0,IFERROR(((LOOKUP(2,1/(A454:A457=A474),H454:H457))/N443*P448),F473/P448*P448*50%)),2)</f>
        <v>0</v>
      </c>
      <c r="G474" s="27">
        <f t="shared" si="53"/>
        <v>0</v>
      </c>
      <c r="H474" s="76">
        <f>ROUND(IF(SUM(B466:F473)&lt;(L481*8),IF((SUM(B466:F474))&gt;(L481*9),(((L481*9)-(SUM(B466:F474)-C473))*H465)+((SUM(B474:F474)-C473)*H465),SUM(B474:F474)*H465),IF(SUM(B466:F474)&gt;(L481*9),L481*H465,SUM(B474:F474)*H465)),2)</f>
        <v>0</v>
      </c>
      <c r="I474" s="76">
        <f>ROUND(IF((SUM(B466:F474)*80%)&gt;((L482*9)*90%),((((L482*9)*90%)-((SUM(B466:F474)-C474))*I465)+((SUM(B474:F474)-C474)*I465)*80%),((SUM(B474:F474)-C474)*I465)*80%),2)</f>
        <v>0</v>
      </c>
      <c r="J474" s="76">
        <f>ROUND(IF(SUM(B466:F473)&lt;(L482*8),IF((SUM(B466:F474))&gt;(L482*9),(((L482*9)-(SUM(B466:F474)-C473))*J465)+((SUM(B474:F474)-C473)*J465),SUM(B474:F474)*J465),IF(SUM(B466:F474)&gt;(L482*9),L482*J465,SUM(B474:F474)*J465)),2)</f>
        <v>0</v>
      </c>
      <c r="K474" s="76">
        <f>ROUND(IF(SUM(B466:F473)&lt;(L482*8),IF((SUM(B466:F474))&gt;(L482*9),(((L482*9)-(SUM(B466:F474)-C473))*K465)+((SUM(B474:F474)-C473)*K465),SUM(B474:F474)*K465),IF(SUM(B466:F474)&gt;(L482*9),L482*K465,SUM(B474:F474)*K465)),2)</f>
        <v>0</v>
      </c>
      <c r="L474" s="76">
        <f>ROUND(IF(SUM(B466:F473)&lt;(L481*8),IF((SUM(B466:F474))&gt;(L481*9),(((L481*9)-(SUM(B466:F474)-C473))*L465)+((SUM(B474:F474)-C473)*L465),SUM(B474:F474)*L465),IF(SUM(B466:F474)&gt;(L481*9),L481*L465,SUM(B474:F474)*L465)),2)</f>
        <v>0</v>
      </c>
      <c r="M474" s="76">
        <f>ROUND(IF(SUM(B466:F473)&lt;(L482*8),IF((SUM(B466:F474))&gt;(L482*9),(((L482*9)-(SUM(B466:F474)-C474))*M465)+((SUM(B474:F474)-C474)*M465),(SUM(B474:F474)-C474)*M465),IF(SUM(B466:F474)&gt;(L482*9),L482*M465,SUM(B474:F474)*M465)),2)</f>
        <v>0</v>
      </c>
      <c r="N474" s="23">
        <f>ROUND((B474+E474+F474)*N465,2)</f>
        <v>0</v>
      </c>
      <c r="O474" s="23">
        <f>ROUND(SUM(B474+C474+F474)*O465,2)</f>
        <v>0</v>
      </c>
      <c r="P474" s="27">
        <f t="shared" si="54"/>
        <v>0</v>
      </c>
    </row>
    <row r="475" spans="1:16" s="20" customFormat="1" x14ac:dyDescent="0.2">
      <c r="A475" s="100" t="str">
        <f>'päd.Personal - Leitung'!$A$35</f>
        <v>Okt 2022</v>
      </c>
      <c r="B475" s="24">
        <f>ROUND(IF(P449=0,0,IFERROR(((LOOKUP(2,1/(A454:A457=A475),G454:G457))*P449*4.348*50%),B474/P449*P449)),2)</f>
        <v>0</v>
      </c>
      <c r="C475" s="23">
        <f>ROUND(IFERROR(((LOOKUP(2,1/(B459=A475),((SUM(B472:B474)+SUM(F472:F474))/3)*C459))),0)+IFERROR(((LOOKUP(2,1/(E459=A475),(B478+F478)*F459))),0),2)</f>
        <v>0</v>
      </c>
      <c r="D475" s="23">
        <f>ROUND(IF(B475=0,0,D465/L447*P449*50%),2)</f>
        <v>0</v>
      </c>
      <c r="E475" s="23">
        <f>ROUND(IF(B475=0,0,E465/N443*P449*50%),2)</f>
        <v>0</v>
      </c>
      <c r="F475" s="24">
        <f>ROUND(IF(P449=0,0,IFERROR(((LOOKUP(2,1/(A454:A457=A475),H454:H457))/N443*P449),F474/P449*P449*50%)),2)</f>
        <v>0</v>
      </c>
      <c r="G475" s="27">
        <f t="shared" si="53"/>
        <v>0</v>
      </c>
      <c r="H475" s="76">
        <f>ROUND(IF(SUM(B466:F474)&lt;(L481*9),IF((SUM(B466:F475))&gt;(L481*10),(((L481*10)-(SUM(B466:F475)-C474))*H465)+((SUM(B475:F475)-C474)*H465),SUM(B475:F475)*H465),IF(SUM(B466:F475)&gt;(L481*10),L481*H465,SUM(B475:F475)*H465)),2)</f>
        <v>0</v>
      </c>
      <c r="I475" s="76">
        <f>ROUND(IF((SUM(B466:F475)*80%)&gt;((L482*10)*90%),((((L482*10)*90%)-((SUM(B466:F475)-C475))*I465)+((SUM(B475:F475)-C475)*I465)*80%),((SUM(B475:F475)-C475)*I465)*80%),2)</f>
        <v>0</v>
      </c>
      <c r="J475" s="76">
        <f>ROUND(IF(SUM(B466:F474)&lt;(L482*9),IF((SUM(B466:F475))&gt;(L482*10),(((L482*10)-(SUM(B466:F475)-C474))*J465)+((SUM(B475:F475)-C474)*J465),SUM(B475:F475)*J465),IF(SUM(B466:F475)&gt;(L482*10),L482*J465,SUM(B475:F475)*J465)),2)</f>
        <v>0</v>
      </c>
      <c r="K475" s="76">
        <f>ROUND(IF(SUM(B466:F474)&lt;(L482*9),IF((SUM(B466:F475))&gt;(L482*10),(((L482*10)-(SUM(B466:F475)-C474))*K465)+((SUM(B475:F475)-C474)*K465),SUM(B475:F475)*K465),IF(SUM(B466:F475)&gt;(L482*10),L482*K465,SUM(B475:F475)*K465)),2)</f>
        <v>0</v>
      </c>
      <c r="L475" s="76">
        <f>ROUND(IF(SUM(B466:F474)&lt;(L481*9),IF((SUM(B466:F475))&gt;(L481*10),(((L481*10)-(SUM(B466:F475)-C474))*L465)+((SUM(B475:F475)-C474)*L465),SUM(B475:F475)*L465),IF(SUM(B466:F475)&gt;(L481*10),L481*L465,SUM(B475:F475)*L465)),2)</f>
        <v>0</v>
      </c>
      <c r="M475" s="76">
        <f>ROUND(IF(SUM(B466:F474)&lt;(L482*9),IF((SUM(B466:F475))&gt;(L482*10),(((L482*10)-(SUM(B466:F475)-C475))*M465)+((SUM(B475:F475)-C475)*M465),(SUM(B475:F475)-C475)*M465),IF(SUM(B466:F475)&gt;(L482*10),L482*M465,SUM(B475:F475)*M465)),2)</f>
        <v>0</v>
      </c>
      <c r="N475" s="23">
        <f>ROUND((B475+E475+F475)*N465,2)</f>
        <v>0</v>
      </c>
      <c r="O475" s="23">
        <f>ROUND(SUM(B475+C475+F475)*O465,2)</f>
        <v>0</v>
      </c>
      <c r="P475" s="27">
        <f t="shared" si="54"/>
        <v>0</v>
      </c>
    </row>
    <row r="476" spans="1:16" s="20" customFormat="1" x14ac:dyDescent="0.2">
      <c r="A476" s="100" t="str">
        <f>'päd.Personal - Leitung'!$A$36</f>
        <v>Nov 2022</v>
      </c>
      <c r="B476" s="24">
        <f>ROUND(IF(P450=0,0,IFERROR(((LOOKUP(2,1/(A454:A457=A476),G454:G457))*P450*4.348*50%),B475/P450*P450)),2)</f>
        <v>0</v>
      </c>
      <c r="C476" s="23">
        <f>ROUND(IFERROR(((LOOKUP(2,1/(B459=A476),((SUM(B472:B474)+SUM(F472:F474))/3)*C459))),0)+IFERROR(((LOOKUP(2,1/(E459=A476),(B478+F478)*F459))),0),2)</f>
        <v>0</v>
      </c>
      <c r="D476" s="23">
        <f>ROUND(IF(B476=0,0,D465/L447*P450*50%),2)</f>
        <v>0</v>
      </c>
      <c r="E476" s="23">
        <f>ROUND(IF(B476=0,0,E465/N443*P450*50%),2)</f>
        <v>0</v>
      </c>
      <c r="F476" s="24">
        <f>ROUND(IF(P450=0,0,IFERROR(((LOOKUP(2,1/(A454:A457=A476),H454:H457))/N443*P450),F475/P450*P450*50%)),2)</f>
        <v>0</v>
      </c>
      <c r="G476" s="27">
        <f t="shared" si="53"/>
        <v>0</v>
      </c>
      <c r="H476" s="76">
        <f>ROUND(IF(SUM(B466:F475)&lt;(L481*10),IF((SUM(B466:F476))&gt;(L481*11),(((L481*11)-(SUM(B466:F476)-C475))*H465)+((SUM(B476:F476)-C475)*H465),SUM(B476:F476)*H465),IF(SUM(B466:F476)&gt;(L481*11),L481*H465,SUM(B476:F476)*H465)),2)</f>
        <v>0</v>
      </c>
      <c r="I476" s="76">
        <f>ROUND(IF((SUM(B466:F476)*80%)&gt;((L482*11)*90%),((((L482*11)*90%)-((SUM(B466:F476)-C476))*I465)+((SUM(B476:F476)-C476)*I465)*80%),((SUM(B476:F476)-C476)*I465)*80%),2)</f>
        <v>0</v>
      </c>
      <c r="J476" s="76">
        <f>ROUND(IF(SUM(B466:F475)&lt;(L482*10),IF((SUM(B466:F476))&gt;(L482*11),(((L482*11)-(SUM(B466:F476)-C475))*J465)+((SUM(B476:F476)-C475)*J465),SUM(B476:F476)*J465),IF(SUM(B466:F476)&gt;(L482*11),L482*J465,SUM(B476:F476)*J465)),2)</f>
        <v>0</v>
      </c>
      <c r="K476" s="76">
        <f>ROUND(IF(SUM(B466:F475)&lt;(L482*10),IF((SUM(B466:F476))&gt;(L482*11),(((L482*11)-(SUM(B466:F476)-C475))*K465)+((SUM(B476:F476)-C475)*K465),SUM(B476:F476)*K465),IF(SUM(B466:F476)&gt;(L482*11),L482*K465,SUM(B476:F476)*K465)),2)</f>
        <v>0</v>
      </c>
      <c r="L476" s="76">
        <f>ROUND(IF(SUM(B466:F475)&lt;(L481*10),IF((SUM(B466:F476))&gt;(L481*11),(((L481*11)-(SUM(B466:F476)-C475))*L465)+((SUM(B476:F476)-C475)*L465),SUM(B476:F476)*L465),IF(SUM(B466:F476)&gt;(L481*11),L481*L465,SUM(B476:F476)*L465)),2)</f>
        <v>0</v>
      </c>
      <c r="M476" s="76">
        <f>ROUND(IF(SUM(B466:F475)&lt;(L482*10),IF((SUM(B466:F476))&gt;(L482*11),(((L482*11)-(SUM(B466:F476)-C476))*M465)+((SUM(B476:F476)-C476)*M465),(SUM(B476:F476)-C476)*M465),IF(SUM(B466:F476)&gt;(L482*11),L482*M465,SUM(B476:F476)*M465)),2)</f>
        <v>0</v>
      </c>
      <c r="N476" s="23">
        <f>ROUND((B476+E476+F476)*N465,2)</f>
        <v>0</v>
      </c>
      <c r="O476" s="23">
        <f>ROUND(SUM(B476+C476+F476)*O465,2)</f>
        <v>0</v>
      </c>
      <c r="P476" s="27">
        <f t="shared" si="54"/>
        <v>0</v>
      </c>
    </row>
    <row r="477" spans="1:16" s="20" customFormat="1" x14ac:dyDescent="0.2">
      <c r="A477" s="100" t="str">
        <f>'päd.Personal - Leitung'!$A$37</f>
        <v>Dez 2022</v>
      </c>
      <c r="B477" s="24">
        <f>ROUND(IF(P451=0,0,IFERROR(((LOOKUP(2,1/(A454:A457=A477),G454:G457))*P451*4.348*50%),B476/P451*P451)),2)</f>
        <v>0</v>
      </c>
      <c r="C477" s="23">
        <f>ROUND(IFERROR(((LOOKUP(2,1/(B459=A477),((SUM(B472:B474)+SUM(F472:F474))/3)*C459))),0)+IFERROR(((LOOKUP(2,1/(E459=A477),(B478+F478)*F459))),0),2)</f>
        <v>0</v>
      </c>
      <c r="D477" s="23">
        <f>ROUND(IF(B477=0,0,D465/L447*P451*50%),2)</f>
        <v>0</v>
      </c>
      <c r="E477" s="23">
        <f>ROUND(IF(B477=0,0,E465/N443*P451*50%),2)</f>
        <v>0</v>
      </c>
      <c r="F477" s="24">
        <f>ROUND(IF(P451=0,0,IFERROR(((LOOKUP(2,1/(A454:A457=A477),H454:H457))/N443*P451),F476/P451*P451*50%)),2)</f>
        <v>0</v>
      </c>
      <c r="G477" s="27">
        <f t="shared" si="53"/>
        <v>0</v>
      </c>
      <c r="H477" s="76">
        <f>ROUND(IF(SUM(B466:F476)&lt;(L481*11),IF((SUM(B466:F477))&gt;(L481*12),(((L481*12)-(SUM(B466:F477)-C476))*H465)+((SUM(B477:F477)-C476)*H465),SUM(B477:F477)*H465),IF(SUM(B466:F477)&gt;(L481*12),L481*H465,SUM(B477:F477)*H465)),2)</f>
        <v>0</v>
      </c>
      <c r="I477" s="76">
        <f>ROUND(IF((SUM(B466:F477)*80%)&gt;((L482*12)*90%),((((L482*12)*90%)-((SUM(B466:F477)-C477))*I465)+((SUM(B477:F477)-C477)*I465)*80%),((SUM(B477:F477)-C477)*I465)*80%),2)</f>
        <v>0</v>
      </c>
      <c r="J477" s="76">
        <f>ROUND(IF(SUM(B466:F476)&lt;(L482*11),IF((SUM(B466:F477))&gt;(L482*12),(((L482*12)-(SUM(B466:F477)-C476))*J465)+((SUM(B477:F477)-C476)*J465),SUM(B477:F477)*J465),IF(SUM(B466:F477)&gt;(L482*12),L482*J465,SUM(B477:F477)*J465)),2)</f>
        <v>0</v>
      </c>
      <c r="K477" s="76">
        <f>ROUND(IF(SUM(B466:F476)&lt;(L482*11),IF((SUM(B466:F477))&gt;(L482*12),(((L482*12)-(SUM(B466:F477)-C476))*K465)+((SUM(B477:F477)-C476)*K465),SUM(B477:F477)*K465),IF(SUM(B466:F477)&gt;(L482*12),L482*K465,SUM(B477:F477)*K465)),2)</f>
        <v>0</v>
      </c>
      <c r="L477" s="76">
        <f>ROUND(IF(SUM(B466:F476)&lt;(L481*11),IF((SUM(B466:F477))&gt;(L481*12),(((L481*12)-(SUM(B466:F477)-C476))*L465)+((SUM(B477:F477)-C476)*L465),SUM(B477:F477)*L465),IF(SUM(B466:F477)&gt;(L481*12),L481*L465,SUM(B477:F477)*L465)),2)</f>
        <v>0</v>
      </c>
      <c r="M477" s="76">
        <f>ROUND(IF(SUM(B466:F476)&lt;(L482*11),IF((SUM(B466:F477))&gt;(L482*12),(((L482*12)-(SUM(B466:F477)-C477))*M465)+((SUM(B477:F477)-C477)*M465),(SUM(B477:F477)-C477)*M465),IF(SUM(B466:F477)&gt;(L482*12),L482*M465,SUM(B477:F477)*M465)),2)</f>
        <v>0</v>
      </c>
      <c r="N477" s="23">
        <f>ROUND((B477+E477+F477)*N465,2)</f>
        <v>0</v>
      </c>
      <c r="O477" s="23">
        <f>ROUND(SUM(B477+C477+F477)*O465,2)</f>
        <v>0</v>
      </c>
      <c r="P477" s="27">
        <f>SUM(G477:O477)</f>
        <v>0</v>
      </c>
    </row>
    <row r="478" spans="1:16" s="20" customFormat="1" x14ac:dyDescent="0.2">
      <c r="A478" s="4" t="s">
        <v>2</v>
      </c>
      <c r="B478" s="27">
        <f>SUM(B466:B477)</f>
        <v>0</v>
      </c>
      <c r="C478" s="27">
        <f t="shared" ref="C478" si="55">SUM(C466:C477)</f>
        <v>0</v>
      </c>
      <c r="D478" s="27">
        <f>SUM(D466:D477)</f>
        <v>0</v>
      </c>
      <c r="E478" s="27">
        <f t="shared" ref="E478:G478" si="56">SUM(E466:E477)</f>
        <v>0</v>
      </c>
      <c r="F478" s="27">
        <f t="shared" si="56"/>
        <v>0</v>
      </c>
      <c r="G478" s="27">
        <f t="shared" si="56"/>
        <v>0</v>
      </c>
      <c r="H478" s="1133">
        <f>SUM(H466:M477)</f>
        <v>0</v>
      </c>
      <c r="I478" s="1134"/>
      <c r="J478" s="1134"/>
      <c r="K478" s="1134"/>
      <c r="L478" s="1134"/>
      <c r="M478" s="1134"/>
      <c r="N478" s="27">
        <f>SUM(N466:N477)</f>
        <v>0</v>
      </c>
      <c r="O478" s="27">
        <f>SUM(O466:O477)</f>
        <v>0</v>
      </c>
      <c r="P478" s="27">
        <f>SUM(P466:P477)</f>
        <v>0</v>
      </c>
    </row>
    <row r="479" spans="1:16" s="13" customFormat="1" ht="11.25" x14ac:dyDescent="0.2">
      <c r="A479" s="3" t="s">
        <v>1</v>
      </c>
      <c r="B479" s="2"/>
      <c r="C479" s="2"/>
      <c r="D479" s="2"/>
      <c r="E479" s="2"/>
      <c r="F479" s="2"/>
      <c r="G479" s="2"/>
      <c r="H479" s="2"/>
      <c r="I479" s="2"/>
      <c r="J479" s="2"/>
      <c r="K479" s="2"/>
      <c r="L479" s="2"/>
      <c r="M479" s="2"/>
      <c r="N479" s="2"/>
      <c r="O479" s="2"/>
      <c r="P479" s="2"/>
    </row>
    <row r="480" spans="1:16" ht="14.25" customHeight="1" x14ac:dyDescent="0.2">
      <c r="A480" s="1136" t="s">
        <v>133</v>
      </c>
      <c r="B480" s="1137"/>
      <c r="C480" s="1137"/>
      <c r="D480" s="1137" t="s">
        <v>134</v>
      </c>
      <c r="E480" s="1137"/>
      <c r="F480" s="94" t="str">
        <f>IF(IF(G478=0,"",$F$40)=0,"",IF(G478=0,"",$F$40))</f>
        <v/>
      </c>
      <c r="G480" s="77" t="s">
        <v>135</v>
      </c>
      <c r="H480" s="96" t="str">
        <f>IF(IF(G478=0,"",$H$40)=0,"",IF(G478=0,"",$H$40))</f>
        <v/>
      </c>
      <c r="I480" s="73"/>
      <c r="J480" s="194" t="s">
        <v>160</v>
      </c>
      <c r="K480" s="194" t="str">
        <f>'päd.Personal - Leitung'!$K$40</f>
        <v>2021</v>
      </c>
      <c r="L480" s="194" t="str">
        <f>'päd.Personal - Leitung'!$L$40</f>
        <v>anteilig 2021</v>
      </c>
      <c r="M480" s="1138" t="s">
        <v>140</v>
      </c>
      <c r="N480" s="1138"/>
      <c r="O480" s="1139"/>
      <c r="P480" s="27">
        <f>ROUND(IF(F480="",IF(E484="",0,(E484*H484/K484)/L447*L448),G478*F480*H480/1000),2)</f>
        <v>0</v>
      </c>
    </row>
    <row r="481" spans="1:16" ht="15" customHeight="1" x14ac:dyDescent="0.2">
      <c r="A481" s="1140" t="s">
        <v>145</v>
      </c>
      <c r="B481" s="1141"/>
      <c r="C481" s="1141"/>
      <c r="D481" s="18"/>
      <c r="E481" s="107" t="s">
        <v>135</v>
      </c>
      <c r="F481" s="95" t="str">
        <f>IF(IF(G478=0,"",$F$41)=0,"",IF(G478=0,"",$F$41))</f>
        <v/>
      </c>
      <c r="G481" s="48"/>
      <c r="H481" s="47"/>
      <c r="I481" s="48"/>
      <c r="J481" s="195" t="s">
        <v>158</v>
      </c>
      <c r="K481" s="198">
        <f>'päd.Personal - Leitung'!$K$41</f>
        <v>4837.5</v>
      </c>
      <c r="L481" s="197">
        <f>IF(L447="",K481,K481/L447*L448)</f>
        <v>4837.5</v>
      </c>
      <c r="M481" s="1138" t="s">
        <v>139</v>
      </c>
      <c r="N481" s="1138"/>
      <c r="O481" s="1139"/>
      <c r="P481" s="27">
        <f>ROUND(IF(F481="",0,G478*F481/1000),2)</f>
        <v>0</v>
      </c>
    </row>
    <row r="482" spans="1:16" ht="15.75" customHeight="1" x14ac:dyDescent="0.2">
      <c r="A482" s="1142" t="s">
        <v>141</v>
      </c>
      <c r="B482" s="1143"/>
      <c r="C482" s="1143"/>
      <c r="D482" s="1144" t="s">
        <v>143</v>
      </c>
      <c r="E482" s="1144"/>
      <c r="F482" s="1145" t="str">
        <f>IF(IF(G478=0,"",$F$42)=0,"",IF(G478=0,"",$F$42))</f>
        <v/>
      </c>
      <c r="G482" s="1145"/>
      <c r="H482" s="72"/>
      <c r="I482" s="18"/>
      <c r="J482" s="195" t="s">
        <v>159</v>
      </c>
      <c r="K482" s="198">
        <f>'päd.Personal - Leitung'!$K$42</f>
        <v>6700</v>
      </c>
      <c r="L482" s="197">
        <f>IF(L447="",K482,K482/L447*L448)</f>
        <v>6700</v>
      </c>
      <c r="M482" s="1138" t="s">
        <v>141</v>
      </c>
      <c r="N482" s="1138"/>
      <c r="O482" s="1139"/>
      <c r="P482" s="23">
        <f>ROUND(IF(F482="",0,IF(G478=0,0,F482/L447*L448)),2)</f>
        <v>0</v>
      </c>
    </row>
    <row r="483" spans="1:16" ht="14.25" customHeight="1" x14ac:dyDescent="0.2">
      <c r="A483" s="18"/>
      <c r="B483" s="18"/>
      <c r="C483" s="18"/>
      <c r="D483" s="18"/>
      <c r="E483" s="18"/>
      <c r="F483" s="18"/>
      <c r="G483" s="18"/>
      <c r="H483" s="18"/>
      <c r="I483" s="18"/>
      <c r="J483" s="18"/>
      <c r="K483" s="74"/>
      <c r="L483" s="82"/>
      <c r="M483" s="1127" t="s">
        <v>146</v>
      </c>
      <c r="N483" s="1127"/>
      <c r="O483" s="1128"/>
      <c r="P483" s="23">
        <f>ROUND(IF(G478=0,0,$P$43),2)</f>
        <v>0</v>
      </c>
    </row>
    <row r="484" spans="1:16" ht="14.25" customHeight="1" x14ac:dyDescent="0.2">
      <c r="A484" s="1129" t="s">
        <v>142</v>
      </c>
      <c r="B484" s="1130"/>
      <c r="C484" s="148" t="s">
        <v>136</v>
      </c>
      <c r="D484" s="184" t="s">
        <v>137</v>
      </c>
      <c r="E484" s="1131" t="str">
        <f>IF(IF(G478=0,"",$E$44)=0,"",IF(G478=0,"",$E$44))</f>
        <v/>
      </c>
      <c r="F484" s="1131"/>
      <c r="G484" s="83" t="s">
        <v>138</v>
      </c>
      <c r="H484" s="97" t="str">
        <f>IF(IF(G478=0,"",$H$44)=0,"",IF(G478=0,"",$H$44))</f>
        <v/>
      </c>
      <c r="I484" s="1132" t="s">
        <v>144</v>
      </c>
      <c r="J484" s="1132"/>
      <c r="K484" s="98" t="str">
        <f>IF(IF(G478=0,"",$K$44)=0,"",IF(G478=0,"",$K$44))</f>
        <v/>
      </c>
      <c r="L484" s="29"/>
      <c r="M484" s="29"/>
      <c r="N484" s="29"/>
      <c r="O484" s="28" t="s">
        <v>0</v>
      </c>
      <c r="P484" s="27">
        <f>P478+SUM(P480:P483)</f>
        <v>0</v>
      </c>
    </row>
    <row r="485" spans="1:16" s="12" customFormat="1" ht="13.5" customHeight="1" x14ac:dyDescent="0.2">
      <c r="A485" s="1178" t="s">
        <v>18</v>
      </c>
      <c r="B485" s="1178"/>
      <c r="C485" s="1178"/>
      <c r="D485" s="1179" t="str">
        <f>IF($D$1="","",$D$1)</f>
        <v/>
      </c>
      <c r="E485" s="1179"/>
      <c r="F485" s="1179"/>
      <c r="G485" s="1179"/>
      <c r="H485" s="1179"/>
      <c r="I485" s="1179"/>
      <c r="J485" s="1179"/>
      <c r="K485" s="1179"/>
      <c r="L485" s="1179"/>
      <c r="M485" s="1179"/>
      <c r="N485" s="1179"/>
    </row>
    <row r="486" spans="1:16" s="12" customFormat="1" ht="15" customHeight="1" x14ac:dyDescent="0.2">
      <c r="A486" s="1178" t="s">
        <v>17</v>
      </c>
      <c r="B486" s="1178"/>
      <c r="C486" s="1178" t="s">
        <v>15</v>
      </c>
      <c r="D486" s="1179" t="str">
        <f>IF($D$2="","",$D$2)</f>
        <v/>
      </c>
      <c r="E486" s="1179"/>
      <c r="F486" s="1179"/>
      <c r="G486" s="1179"/>
      <c r="H486" s="1179"/>
      <c r="I486" s="1179"/>
      <c r="J486" s="1179"/>
      <c r="K486" s="1179"/>
      <c r="L486" s="1179"/>
      <c r="M486" s="1179"/>
      <c r="N486" s="1179"/>
    </row>
    <row r="487" spans="1:16" s="12" customFormat="1" ht="15" customHeight="1" x14ac:dyDescent="0.2">
      <c r="A487" s="1178" t="s">
        <v>16</v>
      </c>
      <c r="B487" s="1178"/>
      <c r="C487" s="1178" t="s">
        <v>15</v>
      </c>
      <c r="D487" s="1179" t="str">
        <f>IF($D$3="","",$D$3)</f>
        <v/>
      </c>
      <c r="E487" s="1179"/>
      <c r="F487" s="1179"/>
      <c r="G487" s="1179"/>
      <c r="H487" s="1179"/>
      <c r="I487" s="1179"/>
      <c r="J487" s="1179"/>
      <c r="K487" s="1178" t="s">
        <v>103</v>
      </c>
      <c r="L487" s="1178"/>
      <c r="M487" s="1178"/>
      <c r="N487" s="41" t="str">
        <f>IF($N$3="","",$N$3)</f>
        <v/>
      </c>
    </row>
    <row r="488" spans="1:16" s="13" customFormat="1" ht="11.25" x14ac:dyDescent="0.2">
      <c r="A488" s="1182"/>
      <c r="B488" s="1182"/>
      <c r="C488" s="1182"/>
      <c r="D488" s="1183"/>
      <c r="E488" s="1183"/>
      <c r="F488" s="1183"/>
      <c r="G488" s="1183"/>
      <c r="H488" s="1183"/>
      <c r="I488" s="1183"/>
      <c r="J488" s="1183"/>
      <c r="K488" s="11"/>
      <c r="L488" s="11"/>
      <c r="M488" s="11"/>
      <c r="N488" s="11"/>
      <c r="O488" s="11"/>
      <c r="P488" s="11"/>
    </row>
    <row r="489" spans="1:16" s="15" customFormat="1" ht="13.5" customHeight="1" x14ac:dyDescent="0.2">
      <c r="A489" s="1177" t="s">
        <v>226</v>
      </c>
      <c r="B489" s="1177"/>
      <c r="C489" s="1177"/>
      <c r="D489" s="1177"/>
      <c r="E489" s="1177"/>
      <c r="F489" s="1177"/>
      <c r="G489" s="1177"/>
      <c r="H489" s="1177"/>
      <c r="I489" s="1177"/>
      <c r="J489" s="1177"/>
      <c r="K489" s="1177"/>
      <c r="L489" s="1177"/>
      <c r="M489" s="1177"/>
      <c r="N489" s="59" t="s">
        <v>154</v>
      </c>
      <c r="O489" s="191">
        <f>$O$5</f>
        <v>2022</v>
      </c>
      <c r="P489" s="59" t="s">
        <v>154</v>
      </c>
    </row>
    <row r="490" spans="1:16" s="10" customFormat="1" ht="13.5" customHeight="1" x14ac:dyDescent="0.25">
      <c r="B490" s="32"/>
      <c r="C490" s="32"/>
      <c r="D490" s="5" t="s">
        <v>69</v>
      </c>
      <c r="E490" s="31"/>
      <c r="F490" s="31"/>
      <c r="G490" s="31"/>
      <c r="H490" s="31"/>
      <c r="I490" s="26"/>
      <c r="J490" s="1174" t="s">
        <v>14</v>
      </c>
      <c r="K490" s="1174"/>
      <c r="L490" s="180"/>
      <c r="N490" s="84">
        <f>IF(L492="","",L492)</f>
        <v>0</v>
      </c>
      <c r="O490" s="58" t="str">
        <f>$O$6</f>
        <v>Jan                Jul</v>
      </c>
      <c r="P490" s="85">
        <f>IF(N495="","",N495)</f>
        <v>0</v>
      </c>
    </row>
    <row r="491" spans="1:16" s="7" customFormat="1" ht="13.5" customHeight="1" x14ac:dyDescent="0.25">
      <c r="A491" s="1180" t="s">
        <v>71</v>
      </c>
      <c r="B491" s="1180"/>
      <c r="C491" s="1180"/>
      <c r="D491" s="1184"/>
      <c r="E491" s="1184"/>
      <c r="F491" s="1184"/>
      <c r="G491" s="1184"/>
      <c r="H491" s="1184"/>
      <c r="I491" s="1184"/>
      <c r="J491" s="1174" t="s">
        <v>104</v>
      </c>
      <c r="K491" s="1174"/>
      <c r="L491" s="145"/>
      <c r="N491" s="85">
        <f>IF(N490="","",N490)</f>
        <v>0</v>
      </c>
      <c r="O491" s="58" t="str">
        <f>$O$7</f>
        <v>Feb              Aug</v>
      </c>
      <c r="P491" s="85">
        <f>IF(P490="","",P490)</f>
        <v>0</v>
      </c>
    </row>
    <row r="492" spans="1:16" ht="13.5" customHeight="1" x14ac:dyDescent="0.2">
      <c r="A492" s="1180" t="s">
        <v>13</v>
      </c>
      <c r="B492" s="1180"/>
      <c r="C492" s="1180"/>
      <c r="D492" s="1181"/>
      <c r="E492" s="1181"/>
      <c r="F492" s="1181"/>
      <c r="G492" s="1181"/>
      <c r="H492" s="1181"/>
      <c r="I492" s="1181"/>
      <c r="J492" s="1174" t="s">
        <v>222</v>
      </c>
      <c r="K492" s="1174"/>
      <c r="L492" s="145">
        <f>IF(L493&gt;L491,0,L491-L493)</f>
        <v>0</v>
      </c>
      <c r="N492" s="85">
        <f>IF(N491="","",N491)</f>
        <v>0</v>
      </c>
      <c r="O492" s="58" t="str">
        <f>$O$8</f>
        <v>Mrz              Sep</v>
      </c>
      <c r="P492" s="85">
        <f>IF(P491="","",P491)</f>
        <v>0</v>
      </c>
    </row>
    <row r="493" spans="1:16" ht="13.5" customHeight="1" x14ac:dyDescent="0.2">
      <c r="A493" s="1180" t="s">
        <v>12</v>
      </c>
      <c r="B493" s="1180"/>
      <c r="C493" s="1180"/>
      <c r="D493" s="1181"/>
      <c r="E493" s="1181"/>
      <c r="F493" s="1181"/>
      <c r="G493" s="1181"/>
      <c r="H493" s="1181"/>
      <c r="I493" s="1181"/>
      <c r="J493" s="1174" t="s">
        <v>223</v>
      </c>
      <c r="K493" s="1174"/>
      <c r="L493" s="145"/>
      <c r="N493" s="85">
        <f>IF(N492="","",N492)</f>
        <v>0</v>
      </c>
      <c r="O493" s="58" t="str">
        <f>$O$9</f>
        <v>Apr               Okt</v>
      </c>
      <c r="P493" s="85">
        <f t="shared" ref="P493:P495" si="57">IF(P492="","",P492)</f>
        <v>0</v>
      </c>
    </row>
    <row r="494" spans="1:16" ht="13.5" customHeight="1" x14ac:dyDescent="0.2">
      <c r="A494" s="1180" t="s">
        <v>19</v>
      </c>
      <c r="B494" s="1180"/>
      <c r="C494" s="1180"/>
      <c r="D494" s="1181"/>
      <c r="E494" s="1181"/>
      <c r="F494" s="1181"/>
      <c r="G494" s="1181"/>
      <c r="H494" s="1181"/>
      <c r="I494" s="1181"/>
      <c r="J494" s="1174" t="s">
        <v>97</v>
      </c>
      <c r="K494" s="1174"/>
      <c r="L494" s="17" t="str">
        <f>IF(IF((COUNTIF(B510:B521,"&gt;0"))=0,0,(COUNTIF(B510:B521,"&gt;0")))&gt;Grundlagen!$C$24,Grundlagen!$C$24,IF((COUNTIF(B510:B521,"&gt;0"))=0,"",(COUNTIF(B510:B521,"&gt;0"))))</f>
        <v/>
      </c>
      <c r="M494" s="92"/>
      <c r="N494" s="85">
        <f>IF(N493="","",N493)</f>
        <v>0</v>
      </c>
      <c r="O494" s="58" t="str">
        <f>$O$10</f>
        <v>Mai               Nov</v>
      </c>
      <c r="P494" s="85">
        <f t="shared" si="57"/>
        <v>0</v>
      </c>
    </row>
    <row r="495" spans="1:16" ht="13.5" customHeight="1" x14ac:dyDescent="0.2">
      <c r="B495" s="8"/>
      <c r="C495" s="141" t="s">
        <v>162</v>
      </c>
      <c r="D495" s="1175"/>
      <c r="E495" s="1175"/>
      <c r="F495" s="1176" t="s">
        <v>113</v>
      </c>
      <c r="G495" s="1176"/>
      <c r="H495" s="1186"/>
      <c r="I495" s="1186"/>
      <c r="L495" s="147" t="str">
        <f>IF((SUM(F498:F501))=0,"",IF(P496&gt;L492,L492,IF(L492="","",IF(L494="","",P496))))</f>
        <v/>
      </c>
      <c r="N495" s="85">
        <f>IF(N494="","",N494)</f>
        <v>0</v>
      </c>
      <c r="O495" s="58" t="str">
        <f>$O$11</f>
        <v>Jun               Dez</v>
      </c>
      <c r="P495" s="85">
        <f t="shared" si="57"/>
        <v>0</v>
      </c>
    </row>
    <row r="496" spans="1:16" ht="13.5" customHeight="1" x14ac:dyDescent="0.2">
      <c r="F496" s="1176" t="s">
        <v>241</v>
      </c>
      <c r="G496" s="1176"/>
      <c r="H496" s="1186"/>
      <c r="I496" s="1186"/>
      <c r="O496" s="174" t="s">
        <v>251</v>
      </c>
      <c r="P496" s="175">
        <f>IF(L494="",0,((IF(SUMIF(B510,"&gt;0"),N490,0))+(IF(SUMIF(B511,"&gt;0"),N491,0))+(IF(SUMIF(B512,"&gt;0"),N492,0))+(IF(SUMIF(B513,"&gt;0"),N493,0))+(IF(SUMIF(B514,"&gt;0"),N494,0))+(IF(SUMIF(B515,"&gt;0"),N495,0))+(IF(SUMIF(B516,"&gt;0"),P490,0))+(IF(SUMIF(B517,"&gt;0"),P491,0))+(IF(SUMIF(B518,"&gt;0"),P492,0))+(IF(SUMIF(B519,"&gt;0"),P493,0))+(IF(SUMIF(B520,"&gt;0"),P494,0))+(IF(SUMIF(B521,"&gt;0"),P495,0)))/Grundlagen!$C$24)</f>
        <v>0</v>
      </c>
    </row>
    <row r="497" spans="1:16" s="52" customFormat="1" ht="13.5" customHeight="1" x14ac:dyDescent="0.2">
      <c r="A497" s="61" t="s">
        <v>148</v>
      </c>
      <c r="B497" s="1168" t="s">
        <v>149</v>
      </c>
      <c r="C497" s="1168"/>
      <c r="D497" s="62" t="s">
        <v>150</v>
      </c>
      <c r="E497" s="63" t="s">
        <v>151</v>
      </c>
      <c r="F497" s="64" t="str">
        <f>CONCATENATE("Entg. ",N487," h/Wo")</f>
        <v>Entg.  h/Wo</v>
      </c>
      <c r="G497" s="65" t="s">
        <v>152</v>
      </c>
      <c r="H497" s="65" t="s">
        <v>153</v>
      </c>
      <c r="K497" s="1169" t="str">
        <f>CONCATENATE("Zuschläge / Zulagen für ",N487,"h/Wo")</f>
        <v>Zuschläge / Zulagen für h/Wo</v>
      </c>
      <c r="L497" s="1169"/>
      <c r="M497" s="66" t="str">
        <f>IF(A498="","",A498)</f>
        <v>Jan 2022</v>
      </c>
      <c r="N497" s="66" t="str">
        <f>IF(A499="","",A499)</f>
        <v/>
      </c>
      <c r="O497" s="66" t="str">
        <f>IF(A500="","",A500)</f>
        <v/>
      </c>
      <c r="P497" s="66" t="str">
        <f>IF(A501="","",A501)</f>
        <v/>
      </c>
    </row>
    <row r="498" spans="1:16" s="52" customFormat="1" ht="13.5" customHeight="1" x14ac:dyDescent="0.25">
      <c r="A498" s="54" t="str">
        <f>A510</f>
        <v>Jan 2022</v>
      </c>
      <c r="B498" s="1170" t="str">
        <f>IF($D$3="","",$D$3)</f>
        <v/>
      </c>
      <c r="C498" s="1171"/>
      <c r="D498" s="181"/>
      <c r="E498" s="181"/>
      <c r="F498" s="87"/>
      <c r="G498" s="56">
        <f>IF(N487="",0,F498/N487/4.348)</f>
        <v>0</v>
      </c>
      <c r="H498" s="53">
        <f>IF(G498=0,0,M503)</f>
        <v>0</v>
      </c>
      <c r="K498" s="1146"/>
      <c r="L498" s="1146"/>
      <c r="M498" s="86"/>
      <c r="N498" s="86"/>
      <c r="O498" s="86"/>
      <c r="P498" s="86"/>
    </row>
    <row r="499" spans="1:16" s="52" customFormat="1" ht="13.5" customHeight="1" x14ac:dyDescent="0.25">
      <c r="A499" s="55"/>
      <c r="B499" s="1172" t="str">
        <f>IF(A499="","",B498)</f>
        <v/>
      </c>
      <c r="C499" s="1173"/>
      <c r="D499" s="181"/>
      <c r="E499" s="181"/>
      <c r="F499" s="87"/>
      <c r="G499" s="56">
        <f>IF(N487="",0,F499/N487/4.348)</f>
        <v>0</v>
      </c>
      <c r="H499" s="53">
        <f>IF(G499=0,0,N503)</f>
        <v>0</v>
      </c>
      <c r="K499" s="1146"/>
      <c r="L499" s="1146"/>
      <c r="M499" s="86"/>
      <c r="N499" s="86"/>
      <c r="O499" s="86"/>
      <c r="P499" s="86"/>
    </row>
    <row r="500" spans="1:16" s="52" customFormat="1" ht="13.5" customHeight="1" x14ac:dyDescent="0.25">
      <c r="A500" s="55"/>
      <c r="B500" s="1172" t="str">
        <f>IF(A500="","",B499)</f>
        <v/>
      </c>
      <c r="C500" s="1173"/>
      <c r="D500" s="181"/>
      <c r="E500" s="181"/>
      <c r="F500" s="87"/>
      <c r="G500" s="56">
        <f>IF(N487="",0,F500/N487/4.348)</f>
        <v>0</v>
      </c>
      <c r="H500" s="53">
        <f>IF(G500=0,0,O503)</f>
        <v>0</v>
      </c>
      <c r="K500" s="1146"/>
      <c r="L500" s="1146"/>
      <c r="M500" s="86"/>
      <c r="N500" s="86"/>
      <c r="O500" s="86"/>
      <c r="P500" s="86"/>
    </row>
    <row r="501" spans="1:16" s="52" customFormat="1" ht="13.5" customHeight="1" x14ac:dyDescent="0.25">
      <c r="A501" s="55"/>
      <c r="B501" s="1172" t="str">
        <f>IF(A501="","",B500)</f>
        <v/>
      </c>
      <c r="C501" s="1173"/>
      <c r="D501" s="181"/>
      <c r="E501" s="181"/>
      <c r="F501" s="87"/>
      <c r="G501" s="56">
        <f>IF(N487="",0,F501/N487/4.348)</f>
        <v>0</v>
      </c>
      <c r="H501" s="53">
        <f>IF(G501=0,0,P503)</f>
        <v>0</v>
      </c>
      <c r="K501" s="1146"/>
      <c r="L501" s="1146"/>
      <c r="M501" s="86"/>
      <c r="N501" s="86"/>
      <c r="O501" s="86"/>
      <c r="P501" s="86"/>
    </row>
    <row r="502" spans="1:16" s="52" customFormat="1" ht="13.5" customHeight="1" x14ac:dyDescent="0.25">
      <c r="B502" s="1167" t="s">
        <v>157</v>
      </c>
      <c r="C502" s="1167"/>
      <c r="E502" s="1167" t="s">
        <v>156</v>
      </c>
      <c r="F502" s="1167"/>
      <c r="J502" s="69"/>
      <c r="K502" s="1146"/>
      <c r="L502" s="1146"/>
      <c r="M502" s="86"/>
      <c r="N502" s="86"/>
      <c r="O502" s="86"/>
      <c r="P502" s="86"/>
    </row>
    <row r="503" spans="1:16" s="52" customFormat="1" ht="13.5" customHeight="1" x14ac:dyDescent="0.25">
      <c r="A503" s="70" t="s">
        <v>167</v>
      </c>
      <c r="B503" s="67"/>
      <c r="C503" s="99" t="str">
        <f>IF(C459="","",C459)</f>
        <v/>
      </c>
      <c r="D503" s="70" t="s">
        <v>167</v>
      </c>
      <c r="E503" s="67"/>
      <c r="F503" s="99" t="str">
        <f>IF(F459="","",F459)</f>
        <v/>
      </c>
      <c r="J503" s="68"/>
      <c r="M503" s="57">
        <f>SUM(M498:M502)</f>
        <v>0</v>
      </c>
      <c r="N503" s="57">
        <f t="shared" ref="N503:P503" si="58">SUM(N498:N502)</f>
        <v>0</v>
      </c>
      <c r="O503" s="57">
        <f t="shared" si="58"/>
        <v>0</v>
      </c>
      <c r="P503" s="57">
        <f t="shared" si="58"/>
        <v>0</v>
      </c>
    </row>
    <row r="504" spans="1:16" s="52" customFormat="1" ht="13.5" customHeight="1" x14ac:dyDescent="0.2">
      <c r="A504" s="60" t="s">
        <v>155</v>
      </c>
    </row>
    <row r="505" spans="1:16" s="20" customFormat="1" ht="14.25" customHeight="1" x14ac:dyDescent="0.2">
      <c r="A505" s="1147"/>
      <c r="B505" s="1149" t="s">
        <v>9</v>
      </c>
      <c r="C505" s="1150"/>
      <c r="D505" s="1150"/>
      <c r="E505" s="1150"/>
      <c r="F505" s="1150"/>
      <c r="G505" s="1151"/>
      <c r="H505" s="1152" t="s">
        <v>119</v>
      </c>
      <c r="I505" s="1153"/>
      <c r="J505" s="1153"/>
      <c r="K505" s="1153"/>
      <c r="L505" s="1153"/>
      <c r="M505" s="1153"/>
      <c r="N505" s="1195" t="s">
        <v>112</v>
      </c>
      <c r="O505" s="33"/>
      <c r="P505" s="1154" t="s">
        <v>0</v>
      </c>
    </row>
    <row r="506" spans="1:16" s="20" customFormat="1" ht="14.25" customHeight="1" x14ac:dyDescent="0.2">
      <c r="A506" s="1148"/>
      <c r="B506" s="1157" t="s">
        <v>117</v>
      </c>
      <c r="C506" s="144" t="s">
        <v>115</v>
      </c>
      <c r="D506" s="1159" t="s">
        <v>277</v>
      </c>
      <c r="E506" s="1161" t="s">
        <v>147</v>
      </c>
      <c r="F506" s="149" t="s">
        <v>7</v>
      </c>
      <c r="G506" s="1162" t="s">
        <v>6</v>
      </c>
      <c r="H506" s="1161" t="s">
        <v>129</v>
      </c>
      <c r="I506" s="1161" t="s">
        <v>111</v>
      </c>
      <c r="J506" s="1161" t="s">
        <v>5</v>
      </c>
      <c r="K506" s="1161" t="s">
        <v>4</v>
      </c>
      <c r="L506" s="1161" t="s">
        <v>3</v>
      </c>
      <c r="M506" s="1161" t="s">
        <v>98</v>
      </c>
      <c r="N506" s="1196"/>
      <c r="O506" s="1160" t="s">
        <v>114</v>
      </c>
      <c r="P506" s="1155"/>
    </row>
    <row r="507" spans="1:16" s="20" customFormat="1" ht="14.25" customHeight="1" x14ac:dyDescent="0.2">
      <c r="A507" s="1148"/>
      <c r="B507" s="1157"/>
      <c r="C507" s="21" t="str">
        <f>IF(C503="","",C503)</f>
        <v/>
      </c>
      <c r="D507" s="1160"/>
      <c r="E507" s="1161"/>
      <c r="F507" s="1165" t="str">
        <f>IF(H498=0,"","siehe Zuschläge / Zulagen")</f>
        <v/>
      </c>
      <c r="G507" s="1162"/>
      <c r="H507" s="1164" t="s">
        <v>127</v>
      </c>
      <c r="I507" s="1161"/>
      <c r="J507" s="1164"/>
      <c r="K507" s="1164"/>
      <c r="L507" s="1164"/>
      <c r="M507" s="1161"/>
      <c r="N507" s="1196"/>
      <c r="O507" s="1160"/>
      <c r="P507" s="1155"/>
    </row>
    <row r="508" spans="1:16" s="20" customFormat="1" x14ac:dyDescent="0.2">
      <c r="A508" s="1148"/>
      <c r="B508" s="1157"/>
      <c r="C508" s="142" t="s">
        <v>70</v>
      </c>
      <c r="D508" s="1160"/>
      <c r="E508" s="1161"/>
      <c r="F508" s="1165"/>
      <c r="G508" s="1162"/>
      <c r="H508" s="43" t="s">
        <v>128</v>
      </c>
      <c r="I508" s="1161"/>
      <c r="J508" s="43" t="s">
        <v>255</v>
      </c>
      <c r="K508" s="43" t="s">
        <v>256</v>
      </c>
      <c r="L508" s="43" t="s">
        <v>257</v>
      </c>
      <c r="M508" s="1161"/>
      <c r="N508" s="1196"/>
      <c r="O508" s="1160"/>
      <c r="P508" s="1155"/>
    </row>
    <row r="509" spans="1:16" s="20" customFormat="1" x14ac:dyDescent="0.2">
      <c r="A509" s="1148"/>
      <c r="B509" s="1158"/>
      <c r="C509" s="21" t="str">
        <f>IF(F503="","",F503)</f>
        <v/>
      </c>
      <c r="D509" s="51"/>
      <c r="E509" s="51"/>
      <c r="F509" s="1166"/>
      <c r="G509" s="1163"/>
      <c r="H509" s="93"/>
      <c r="I509" s="21"/>
      <c r="J509" s="139">
        <f>$I$25</f>
        <v>0</v>
      </c>
      <c r="K509" s="139">
        <f>$J$25</f>
        <v>0</v>
      </c>
      <c r="L509" s="44">
        <f>$K$25</f>
        <v>0</v>
      </c>
      <c r="M509" s="21"/>
      <c r="N509" s="21"/>
      <c r="O509" s="21">
        <f>O465</f>
        <v>0</v>
      </c>
      <c r="P509" s="1156"/>
    </row>
    <row r="510" spans="1:16" s="20" customFormat="1" x14ac:dyDescent="0.2">
      <c r="A510" s="100" t="str">
        <f>$A$26</f>
        <v>Jan 2022</v>
      </c>
      <c r="B510" s="24">
        <f>ROUND(IF(N490=0,0,(LOOKUP(2,1/(A498:A501=A510),G498:G501))*N490*4.348*50%),2)</f>
        <v>0</v>
      </c>
      <c r="C510" s="23">
        <f>ROUND(IFERROR(((LOOKUP(2,1/(B503=A510),((SUM(B516:B518)+SUM(F516:F518))/3)*C503))),0)+IFERROR(((LOOKUP(2,1/(E503=A510),(B522+F522)*F503))),0),2)</f>
        <v>0</v>
      </c>
      <c r="D510" s="23">
        <f>ROUND(IF(B510=0,0,D509/L491*N490*50%),2)</f>
        <v>0</v>
      </c>
      <c r="E510" s="23">
        <f>ROUND(IF(B510=0,0,E509/N487*N490*50%),2)</f>
        <v>0</v>
      </c>
      <c r="F510" s="24">
        <f>ROUND(IF(N490=0,0,(LOOKUP(2,1/(A498:A501=A510),H498:H501))/N487*N490*50%),2)</f>
        <v>0</v>
      </c>
      <c r="G510" s="27">
        <f>SUM(B510+C510+E510+F510)</f>
        <v>0</v>
      </c>
      <c r="H510" s="76">
        <f>ROUND(IF((SUM(B510:F510))&gt;L525,L525*H509,SUM(B510:F510)*H509),2)</f>
        <v>0</v>
      </c>
      <c r="I510" s="76">
        <f>ROUND(IF((SUM(B510:F510)*80%)&gt;((L526*1)*90%),((((L526*1)*90%)-((SUM(B510:F510)-C510))*I509)+((SUM(B510:F510)-C510)*I509)*80%),((SUM(B510:F510)-C510)*I509)*80%),2)</f>
        <v>0</v>
      </c>
      <c r="J510" s="76">
        <f>ROUND(IF((SUM(B510:F510))&gt;L526,L526*J509,SUM(B510:F510)*J509),2)</f>
        <v>0</v>
      </c>
      <c r="K510" s="76">
        <f>ROUND(IF((SUM(B510:F510))&gt;L526,L526*K509,SUM(B510:F510)*K509),2)</f>
        <v>0</v>
      </c>
      <c r="L510" s="76">
        <f>ROUND(IF((SUM(B510:F510))&gt;L525,L525*L509,SUM(B510:F510)*L509),2)</f>
        <v>0</v>
      </c>
      <c r="M510" s="76">
        <f>ROUND(IF((SUM(B510:F510))&gt;L526,L526*M509,(SUM(B510:F510)-C510)*M509),2)</f>
        <v>0</v>
      </c>
      <c r="N510" s="23">
        <f>ROUND((B510+E510+F510)*N509,2)</f>
        <v>0</v>
      </c>
      <c r="O510" s="23">
        <f>ROUND(SUM(B510+C510+F510)*O509,2)</f>
        <v>0</v>
      </c>
      <c r="P510" s="27">
        <f>SUM(G510:O510)</f>
        <v>0</v>
      </c>
    </row>
    <row r="511" spans="1:16" s="20" customFormat="1" x14ac:dyDescent="0.2">
      <c r="A511" s="100" t="str">
        <f>$A$27</f>
        <v>Feb 2022</v>
      </c>
      <c r="B511" s="24">
        <f>ROUND(IF(N491=0,0,IFERROR(((LOOKUP(2,1/(A498:A501=A511),G498:G501))*N491*4.348*50%),B510/N491*N491)),2)</f>
        <v>0</v>
      </c>
      <c r="C511" s="23">
        <f>ROUND(IFERROR(((LOOKUP(2,1/(B503=A511),((SUM(B516:B518)+SUM(F516:F518))/3)*C503))),0)+IFERROR(((LOOKUP(2,1/(E503=A511),(B522+F522)*F503))),0),2)</f>
        <v>0</v>
      </c>
      <c r="D511" s="23">
        <f>ROUND(IF(B511=0,0,D509/L491*N491*50%),2)</f>
        <v>0</v>
      </c>
      <c r="E511" s="23">
        <f>ROUND(IF(B511=0,0,E509/N487*N491*50%),2)</f>
        <v>0</v>
      </c>
      <c r="F511" s="24">
        <f>ROUND(IF(N491=0,0,IFERROR(((LOOKUP(2,1/(A498:A501=A511),H498:H501))/N487*N491),F510/N491*N491*50%)),2)</f>
        <v>0</v>
      </c>
      <c r="G511" s="27">
        <f t="shared" ref="G511:G521" si="59">SUM(B511+C511+E511+F511)</f>
        <v>0</v>
      </c>
      <c r="H511" s="76">
        <f>ROUND(IF(SUM(B510:F510)&lt;(L525*1),IF((SUM(B510:F511))&gt;(L525*2),(((L525*2)-(SUM(B510:F511)-C510))*H509)+((SUM(B511:F511)-C510)*H509),SUM(B511:F511)*H509),IF(SUM(B510:F511)&gt;(L525*2),L525*H509,SUM(B511:F511)*H509)),2)</f>
        <v>0</v>
      </c>
      <c r="I511" s="76">
        <f>ROUND(IF((SUM(B510:F511)*80%)&gt;((L526*2)*90%),((((L526*2)*90%)-((SUM(B510:F511)-C511))*I509)+((SUM(B511:F511)-C511)*I509)*80%),((SUM(B511:F511)-C511)*I509)*80%),2)</f>
        <v>0</v>
      </c>
      <c r="J511" s="76">
        <f>ROUND(IF(SUM(B510:F510)&lt;(L526*1),IF((SUM(B510:F511))&gt;(L526*2),(((L526*2)-(SUM(B510:F511)-C510))*J509)+((SUM(B511:F511)-C510)*J509),SUM(B511:F511)*J509),IF(SUM(B510:F511)&gt;(L526*2),L526*J509,SUM(B511:F511)*J509)),2)</f>
        <v>0</v>
      </c>
      <c r="K511" s="76">
        <f>ROUND(IF(SUM(B510:F510)&lt;(L526*1),IF((SUM(B510:F511))&gt;(L526*2),(((L526*2)-(SUM(B510:F511)-C510))*K509)+((SUM(B511:F511)-C510)*K509),SUM(B511:F511)*K509),IF(SUM(B510:F511)&gt;(L526*2),L526*K509,SUM(B511:F511)*K509)),2)</f>
        <v>0</v>
      </c>
      <c r="L511" s="76">
        <f>ROUND(IF(SUM(B510:F510)&lt;(L525*1),IF((SUM(B510:F511))&gt;(L525*2),(((L525*2)-(SUM(B510:F511)-C510))*L509)+((SUM(B511:F511)-C510)*L509),SUM(B511:F511)*L509),IF(SUM(B510:F511)&gt;(L525*2),L525*L509,SUM(B511:F511)*L509)),2)</f>
        <v>0</v>
      </c>
      <c r="M511" s="76">
        <f>ROUND(IF(SUM(B510:F510)&lt;(L526*1),IF((SUM(B510:F511))&gt;(L526*2),(((L526*2)-(SUM(B510:F511)-C511))*M509)+((SUM(B511:F511)-C511)*M509),(SUM(B511:F511)-C511)*M509),IF(SUM(B510:F511)&gt;(L526*2),L526*M509,SUM(B511:F511)*M509)),2)</f>
        <v>0</v>
      </c>
      <c r="N511" s="23">
        <f>ROUND((B511+E511+F511)*N509,2)</f>
        <v>0</v>
      </c>
      <c r="O511" s="23">
        <f>ROUND(SUM(B511+C511+F511)*O509,2)</f>
        <v>0</v>
      </c>
      <c r="P511" s="27">
        <f t="shared" ref="P511:P520" si="60">SUM(G511:O511)</f>
        <v>0</v>
      </c>
    </row>
    <row r="512" spans="1:16" s="20" customFormat="1" x14ac:dyDescent="0.2">
      <c r="A512" s="100" t="str">
        <f>$A$28</f>
        <v>Mrz 2022</v>
      </c>
      <c r="B512" s="24">
        <f>ROUND(IF(N492=0,0,IFERROR(((LOOKUP(2,1/(A498:A501=A512),G498:G501))*N492*4.348*50%),B511/N492*N492)),2)</f>
        <v>0</v>
      </c>
      <c r="C512" s="23">
        <f>ROUND(IFERROR(((LOOKUP(2,1/(B503=A512),((SUM(B516:B518)+SUM(F516:F518))/3)*C503))),0)+IFERROR(((LOOKUP(2,1/(E503=A512),(B522+F522)*F503))),0),2)</f>
        <v>0</v>
      </c>
      <c r="D512" s="23">
        <f>ROUND(IF(B512=0,0,D509/L491*N492*50%),2)</f>
        <v>0</v>
      </c>
      <c r="E512" s="23">
        <f>ROUND(IF(B512=0,0,E509/N487*N492*50%),2)</f>
        <v>0</v>
      </c>
      <c r="F512" s="24">
        <f>ROUND(IF(N492=0,0,IFERROR(((LOOKUP(2,1/(A498:A501=A512),H498:H501))/N487*N492),F511/N492*N492*50%)),2)</f>
        <v>0</v>
      </c>
      <c r="G512" s="27">
        <f t="shared" si="59"/>
        <v>0</v>
      </c>
      <c r="H512" s="76">
        <f>ROUND(IF(SUM(B510:F511)&lt;(L525*2),IF((SUM(B510:F512))&gt;(L525*3),(((L525*3)-(SUM(B510:F512)-C511))*H509)+((SUM(B512:F512)-C511)*H509),SUM(B512:F512)*H509),IF(SUM(B510:F512)&gt;(L525*3),L525*H509,SUM(B512:F512)*H509)),2)</f>
        <v>0</v>
      </c>
      <c r="I512" s="76">
        <f>ROUND(IF((SUM(B510:F512)*80%)&gt;((L526*3)*90%),((((L526*3)*90%)-((SUM(B510:F512)-C512))*I509)+((SUM(B512:F512)-C512)*I509)*80%),((SUM(B512:F512)-C512)*I509)*80%),2)</f>
        <v>0</v>
      </c>
      <c r="J512" s="76">
        <f>ROUND(IF(SUM(B510:F511)&lt;(L526*2),IF((SUM(B510:F512))&gt;(L526*3),(((L526*3)-(SUM(B510:F512)-C511))*J509)+((SUM(B512:F512)-C511)*J509),SUM(B512:F512)*J509),IF(SUM(B510:F512)&gt;(L526*3),L526*J509,SUM(B512:F512)*J509)),2)</f>
        <v>0</v>
      </c>
      <c r="K512" s="76">
        <f>ROUND(IF(SUM(B510:F511)&lt;(L526*2),IF((SUM(B510:F512))&gt;(L526*3),(((L526*3)-(SUM(B510:F512)-C511))*K509)+((SUM(B512:F512)-C511)*K509),SUM(B512:F512)*K509),IF(SUM(B510:F512)&gt;(L526*3),L526*K509,SUM(B512:F512)*K509)),2)</f>
        <v>0</v>
      </c>
      <c r="L512" s="76">
        <f>ROUND(IF(SUM(B510:F511)&lt;(L525*2),IF((SUM(B510:F512))&gt;(L525*3),(((L525*3)-(SUM(B510:F512)-C511))*L509)+((SUM(B512:F512)-C511)*L509),SUM(B512:F512)*L509),IF(SUM(B510:F512)&gt;(L525*3),L525*L509,SUM(B512:F512)*L509)),2)</f>
        <v>0</v>
      </c>
      <c r="M512" s="76">
        <f>ROUND(IF(SUM(B510:F511)&lt;(L526*2),IF((SUM(B510:F512))&gt;(L526*3),(((L526*3)-(SUM(B510:F512)-C512))*M509)+((SUM(B512:F512)-C512)*M509),(SUM(B512:F512)-C512)*M509),IF(SUM(B510:F512)&gt;(L526*3),L526*M509,SUM(B512:F512)*M509)),2)</f>
        <v>0</v>
      </c>
      <c r="N512" s="23">
        <f>ROUND((B512+E512+F512)*N509,2)</f>
        <v>0</v>
      </c>
      <c r="O512" s="23">
        <f>ROUND(SUM(B512+C512+F512)*O509,2)</f>
        <v>0</v>
      </c>
      <c r="P512" s="27">
        <f t="shared" si="60"/>
        <v>0</v>
      </c>
    </row>
    <row r="513" spans="1:16" s="20" customFormat="1" ht="14.25" customHeight="1" x14ac:dyDescent="0.2">
      <c r="A513" s="100" t="str">
        <f>$A$29</f>
        <v>Apr 2022</v>
      </c>
      <c r="B513" s="24">
        <f>ROUND(IF(N493=0,0,IFERROR(((LOOKUP(2,1/(A498:A501=A513),G498:G501))*N493*4.348*50%),B512/N493*N493)),2)</f>
        <v>0</v>
      </c>
      <c r="C513" s="23">
        <f>ROUND(IFERROR(((LOOKUP(2,1/(B503=A513),((SUM(B516:B518)+SUM(F516:F518))/3)*C503))),0)+IFERROR(((LOOKUP(2,1/(E503=A513),(B522+F522)*F503))),0),2)</f>
        <v>0</v>
      </c>
      <c r="D513" s="23">
        <f>ROUND(IF(B513=0,0,D509/L491*N493*50%),2)</f>
        <v>0</v>
      </c>
      <c r="E513" s="23">
        <f>ROUND(IF(B513=0,0,E509/N487*N493*50%),2)</f>
        <v>0</v>
      </c>
      <c r="F513" s="24">
        <f>ROUND(IF(N493=0,0,IFERROR(((LOOKUP(2,1/(A498:A501=A513),H498:H501))/N487*N493),F512/N493*N493*50%)),2)</f>
        <v>0</v>
      </c>
      <c r="G513" s="27">
        <f t="shared" si="59"/>
        <v>0</v>
      </c>
      <c r="H513" s="76">
        <f>ROUND(IF(SUM(B510:F512)&lt;(L525*3),IF((SUM(B510:F513))&gt;(L525*4),(((L525*4)-(SUM(B510:F513)-C512))*H509)+((SUM(B513:F513)-C512)*H509),SUM(B513:F513)*H509),IF(SUM(B510:F513)&gt;(L525*4),L525*H509,SUM(B513:F513)*H509)),2)</f>
        <v>0</v>
      </c>
      <c r="I513" s="76">
        <f>ROUND(IF((SUM(B510:F513)*80%)&gt;((L526*4)*90%),((((L526*4)*90%)-((SUM(B510:F513)-C513))*I509)+((SUM(B513:F513)-C513)*I509)*80%),((SUM(B513:F513)-C513)*I509)*80%),2)</f>
        <v>0</v>
      </c>
      <c r="J513" s="76">
        <f>ROUND(IF(SUM(B510:F512)&lt;(L526*3),IF((SUM(B510:F513))&gt;(L526*4),(((L526*4)-(SUM(B510:F513)-C512))*J509)+((SUM(B513:F513)-C512)*J509),SUM(B513:F513)*J509),IF(SUM(B510:F513)&gt;(L526*4),L526*J509,SUM(B513:F513)*J509)),2)</f>
        <v>0</v>
      </c>
      <c r="K513" s="76">
        <f>ROUND(IF(SUM(B510:F512)&lt;(L526*3),IF((SUM(B510:F513))&gt;(L526*4),(((L526*4)-(SUM(B510:F513)-C512))*K509)+((SUM(B513:F513)-C512)*K509),SUM(B513:F513)*K509),IF(SUM(B510:F513)&gt;(L526*4),L526*K509,SUM(B513:F513)*K509)),2)</f>
        <v>0</v>
      </c>
      <c r="L513" s="76">
        <f>ROUND(IF(SUM(B510:F512)&lt;(L525*3),IF((SUM(B510:F513))&gt;(L525*4),(((L525*4)-(SUM(B510:F513)-C512))*L509)+((SUM(B513:F513)-C512)*L509),SUM(B513:F513)*L509),IF(SUM(B510:F513)&gt;(L525*4),L525*L509,SUM(B513:F513)*L509)),2)</f>
        <v>0</v>
      </c>
      <c r="M513" s="76">
        <f>ROUND(IF(SUM(B510:F512)&lt;(L526*3),IF((SUM(B510:F513))&gt;(L526*4),(((L526*4)-(SUM(B510:F513)-C513))*M509)+((SUM(B513:F513)-C513)*M509),(SUM(B513:F513)-C513)*M509),IF(SUM(B510:F513)&gt;(L526*4),L526*M509,SUM(B513:F513)*M509)),2)</f>
        <v>0</v>
      </c>
      <c r="N513" s="23">
        <f>ROUND((B513+E513+F513)*N509,2)</f>
        <v>0</v>
      </c>
      <c r="O513" s="23">
        <f>ROUND(SUM(B513+C513+F513)*O509,2)</f>
        <v>0</v>
      </c>
      <c r="P513" s="27">
        <f t="shared" si="60"/>
        <v>0</v>
      </c>
    </row>
    <row r="514" spans="1:16" s="20" customFormat="1" x14ac:dyDescent="0.2">
      <c r="A514" s="100" t="str">
        <f>$A$30</f>
        <v>Mai 2022</v>
      </c>
      <c r="B514" s="24">
        <f>ROUND(IF(N494=0,0,IFERROR(((LOOKUP(2,1/(A498:A501=A514),G498:G501))*N494*4.348*50%),B513/N494*N494)),2)</f>
        <v>0</v>
      </c>
      <c r="C514" s="23">
        <f>ROUND(IFERROR(((LOOKUP(2,1/(B503=A514),((SUM(B516:B518)+SUM(F516:F518))/3)*C503))),0)+IFERROR(((LOOKUP(2,1/(E503=A514),(B522+F522)*F503))),0),2)</f>
        <v>0</v>
      </c>
      <c r="D514" s="23">
        <f>ROUND(IF(B514=0,0,D509/L491*N494*50%),2)</f>
        <v>0</v>
      </c>
      <c r="E514" s="23">
        <f>ROUND(IF(B514=0,0,E509/N487*N494*50%),2)</f>
        <v>0</v>
      </c>
      <c r="F514" s="24">
        <f>ROUND(IF(N494=0,0,IFERROR(((LOOKUP(2,1/(A498:A501=A514),H498:H501))/N487*N494),F513/N494*N494*50%)),2)</f>
        <v>0</v>
      </c>
      <c r="G514" s="27">
        <f t="shared" si="59"/>
        <v>0</v>
      </c>
      <c r="H514" s="76">
        <f>ROUND(IF(SUM(B510:F513)&lt;(L525*4),IF((SUM(B510:F514))&gt;(L525*5),(((L525*5)-(SUM(B510:F514)-C513))*H509)+((SUM(B514:F514)-C513)*H509),SUM(B514:F514)*H509),IF(SUM(B510:F514)&gt;(L525*5),L525*H509,SUM(B514:F514)*H509)),2)</f>
        <v>0</v>
      </c>
      <c r="I514" s="76">
        <f>ROUND(IF((SUM(B510:F514)*80%)&gt;((L526*5)*90%),((((L526*5)*90%)-((SUM(B510:F514)-C514))*I509)+((SUM(B514:F514)-C514)*I509)*80%),((SUM(B514:F514)-C514)*I509)*80%),2)</f>
        <v>0</v>
      </c>
      <c r="J514" s="76">
        <f>ROUND(IF(SUM(B510:F513)&lt;(L526*4),IF((SUM(B510:F514))&gt;(L526*5),(((L526*5)-(SUM(B510:F514)-C513))*J509)+((SUM(B514:F514)-C513)*J509),SUM(B514:F514)*J509),IF(SUM(B510:F514)&gt;(L526*5),L526*J509,SUM(B514:F514)*J509)),2)</f>
        <v>0</v>
      </c>
      <c r="K514" s="76">
        <f>ROUND(IF(SUM(B510:F513)&lt;(L526*4),IF((SUM(B510:F514))&gt;(L526*5),(((L526*5)-(SUM(B510:F514)-C513))*K509)+((SUM(B514:F514)-C513)*K509),SUM(B514:F514)*K509),IF(SUM(B510:F514)&gt;(L526*5),L526*K509,SUM(B514:F514)*K509)),2)</f>
        <v>0</v>
      </c>
      <c r="L514" s="76">
        <f>ROUND(IF(SUM(B510:F513)&lt;(L525*4),IF((SUM(B510:F514))&gt;(L525*5),(((L525*5)-(SUM(B510:F514)-C513))*L509)+((SUM(B514:F514)-C513)*L509),SUM(B514:F514)*L509),IF(SUM(B510:F514)&gt;(L525*5),L525*L509,SUM(B514:F514)*L509)),2)</f>
        <v>0</v>
      </c>
      <c r="M514" s="76">
        <f>ROUND(IF(SUM(B510:F513)&lt;(L526*4),IF((SUM(B510:F514))&gt;(L526*5),(((L526*5)-(SUM(B510:F514)-C514))*M509)+((SUM(B514:F514)-C514)*M509),(SUM(B514:F514)-C514)*M509),IF(SUM(B510:F514)&gt;(L526*5),L526*M509,SUM(B514:F514)*M509)),2)</f>
        <v>0</v>
      </c>
      <c r="N514" s="23">
        <f>ROUND((B514+E514+F514)*N509,2)</f>
        <v>0</v>
      </c>
      <c r="O514" s="23">
        <f>ROUND(SUM(B514+C514+F514)*O509,2)</f>
        <v>0</v>
      </c>
      <c r="P514" s="27">
        <f t="shared" si="60"/>
        <v>0</v>
      </c>
    </row>
    <row r="515" spans="1:16" s="20" customFormat="1" x14ac:dyDescent="0.2">
      <c r="A515" s="100" t="str">
        <f>$A$31</f>
        <v>Jun 2022</v>
      </c>
      <c r="B515" s="24">
        <f>ROUND(IF(N495=0,0,IFERROR(((LOOKUP(2,1/(A498:A501=A515),G498:G501))*N495*4.348*50%),B514/N495*N495)),2)</f>
        <v>0</v>
      </c>
      <c r="C515" s="23">
        <f>ROUND(IFERROR(((LOOKUP(2,1/(B503=A515),((SUM(B516:B518)+SUM(F516:F518))/3)*C503))),0)+IFERROR(((LOOKUP(2,1/(E503=A515),(B522+F522)*F503))),0),2)</f>
        <v>0</v>
      </c>
      <c r="D515" s="23">
        <f>ROUND(IF(B515=0,0,D509/L491*N495*50%),2)</f>
        <v>0</v>
      </c>
      <c r="E515" s="23">
        <f>ROUND(IF(B515=0,0,E509/N487*N495*50%),2)</f>
        <v>0</v>
      </c>
      <c r="F515" s="24">
        <f>ROUND(IF(N495=0,0,IFERROR(((LOOKUP(2,1/(A498:A501=A515),H498:H501))/N487*N495),F514/N495*N495*50%)),2)</f>
        <v>0</v>
      </c>
      <c r="G515" s="27">
        <f t="shared" si="59"/>
        <v>0</v>
      </c>
      <c r="H515" s="76">
        <f>ROUND(IF(SUM(B510:F514)&lt;(L525*5),IF((SUM(B510:F515))&gt;(L525*6),(((L525*6)-(SUM(B510:F515)-C514))*H509)+((SUM(B515:F515)-C514)*H509),SUM(B515:F515)*H509),IF(SUM(B510:F515)&gt;(L525*6),L525*H509,SUM(B515:F515)*H509)),2)</f>
        <v>0</v>
      </c>
      <c r="I515" s="76">
        <f>ROUND(IF((SUM(B510:F515)*80%)&gt;((L526*6)*90%),((((L526*6)*90%)-((SUM(B510:F515)-C515))*I509)+((SUM(B515:F515)-C515)*I509)*80%),((SUM(B515:F515)-C515)*I509)*80%),2)</f>
        <v>0</v>
      </c>
      <c r="J515" s="76">
        <f>ROUND(IF(SUM(B510:F514)&lt;(L526*5),IF((SUM(B510:F515))&gt;(L526*6),(((L526*6)-(SUM(B510:F515)-C514))*J509)+((SUM(B515:F515)-C514)*J509),SUM(B515:F515)*J509),IF(SUM(B510:F515)&gt;(L526*6),L526*J509,SUM(B515:F515)*J509)),2)</f>
        <v>0</v>
      </c>
      <c r="K515" s="76">
        <f>ROUND(IF(SUM(B510:F514)&lt;(L526*5),IF((SUM(B510:F515))&gt;(L526*6),(((L526*6)-(SUM(B510:F515)-C514))*K509)+((SUM(B515:F515)-C514)*K509),SUM(B515:F515)*K509),IF(SUM(B510:F515)&gt;(L526*6),L526*K509,SUM(B515:F515)*K509)),2)</f>
        <v>0</v>
      </c>
      <c r="L515" s="76">
        <f>ROUND(IF(SUM(B510:F514)&lt;(L525*5),IF((SUM(B510:F515))&gt;(L525*6),(((L525*6)-(SUM(B510:F515)-C514))*L509)+((SUM(B515:F515)-C514)*L509),SUM(B515:F515)*L509),IF(SUM(B510:F515)&gt;(L525*6),L525*L509,SUM(B515:F515)*L509)),2)</f>
        <v>0</v>
      </c>
      <c r="M515" s="76">
        <f>ROUND(IF(SUM(B510:F514)&lt;(L526*5),IF((SUM(B510:F515))&gt;(L526*6),(((L526*6)-(SUM(B510:F515)-C515))*M509)+((SUM(B515:F515)-C515)*M509),(SUM(B515:F515)-C515)*M509),IF(SUM(B510:F515)&gt;(L526*6),L526*M509,SUM(B515:F515)*M509)),2)</f>
        <v>0</v>
      </c>
      <c r="N515" s="23">
        <f>ROUND((B515+E515+F515)*N509,2)</f>
        <v>0</v>
      </c>
      <c r="O515" s="23">
        <f>ROUND(SUM(B515+C515+F515)*O509,2)</f>
        <v>0</v>
      </c>
      <c r="P515" s="27">
        <f t="shared" si="60"/>
        <v>0</v>
      </c>
    </row>
    <row r="516" spans="1:16" s="20" customFormat="1" x14ac:dyDescent="0.2">
      <c r="A516" s="100" t="str">
        <f>$A$32</f>
        <v>Jul 2022</v>
      </c>
      <c r="B516" s="24">
        <f>ROUND(IF(P490=0,0,IFERROR(((LOOKUP(2,1/(A498:A501=A516),G498:G501))*P490*4.348*50%),B515/P490*P490)),2)</f>
        <v>0</v>
      </c>
      <c r="C516" s="23">
        <f>ROUND(IFERROR(((LOOKUP(2,1/(B503=A516),((SUM(B516:B518)+SUM(F516:F518))/3)*C503))),0)+IFERROR(((LOOKUP(2,1/(E503=A516),(B522+F522)*F503))),0),2)</f>
        <v>0</v>
      </c>
      <c r="D516" s="23">
        <f>ROUND(IF(B516=0,0,D509/L491*P490*50%),2)</f>
        <v>0</v>
      </c>
      <c r="E516" s="23">
        <f>ROUND(IF(B516=0,0,E509/N487*P490*50%),2)</f>
        <v>0</v>
      </c>
      <c r="F516" s="24">
        <f>ROUND(IF(P490=0,0,IFERROR(((LOOKUP(2,1/(A498:A501=A516),H498:H501))/N487*P490),F515/P490*P490*50%)),2)</f>
        <v>0</v>
      </c>
      <c r="G516" s="27">
        <f t="shared" si="59"/>
        <v>0</v>
      </c>
      <c r="H516" s="76">
        <f>ROUND(IF(SUM(B510:F515)&lt;(L525*6),IF((SUM(B510:F516))&gt;(L525*7),(((L525*7)-(SUM(B510:F516)-C515))*H509)+((SUM(B516:F516)-C515)*H509),SUM(B516:F516)*H509),IF(SUM(B510:F516)&gt;(L525*7),L525*H509,SUM(B516:F516)*H509)),2)</f>
        <v>0</v>
      </c>
      <c r="I516" s="76">
        <f>ROUND(IF((SUM(B510:F516)*80%)&gt;((L526*7)*90%),((((L526*7)*90%)-((SUM(B510:F516)-C516))*I509)+((SUM(B516:F516)-C516)*I509)*80%),((SUM(B516:F516)-C516)*I509)*80%),2)</f>
        <v>0</v>
      </c>
      <c r="J516" s="76">
        <f>ROUND(IF(SUM(B510:F515)&lt;(L526*6),IF((SUM(B510:F516))&gt;(L526*7),(((L526*7)-(SUM(B510:F516)-C515))*J509)+((SUM(B516:F516)-C515)*J509),SUM(B516:F516)*J509),IF(SUM(B510:F516)&gt;(L526*7),L526*J509,SUM(B516:F516)*J509)),2)</f>
        <v>0</v>
      </c>
      <c r="K516" s="76">
        <f>ROUND(IF(SUM(B510:F515)&lt;(L526*6),IF((SUM(B510:F516))&gt;(L526*7),(((L526*7)-(SUM(B510:F516)-C515))*K509)+((SUM(B516:F516)-C515)*K509),SUM(B516:F516)*K509),IF(SUM(B510:F516)&gt;(L526*7),L526*K509,SUM(B516:F516)*K509)),2)</f>
        <v>0</v>
      </c>
      <c r="L516" s="76">
        <f>ROUND(IF(SUM(B510:F515)&lt;(L525*6),IF((SUM(B510:F516))&gt;(L525*7),(((L525*7)-(SUM(B510:F516)-C515))*L509)+((SUM(B516:F516)-C515)*L509),SUM(B516:F516)*L509),IF(SUM(B510:F516)&gt;(L525*7),L525*L509,SUM(B516:F516)*L509)),2)</f>
        <v>0</v>
      </c>
      <c r="M516" s="76">
        <f>ROUND(IF(SUM(B510:F515)&lt;(L526*6),IF((SUM(B510:F516))&gt;(L526*7),(((L526*7)-(SUM(B510:F516)-C516))*M509)+((SUM(B516:F516)-C516)*M509),(SUM(B516:F516)-C516)*M509),IF(SUM(B510:F516)&gt;(L526*7),L526*M509,SUM(B516:F516)*M509)),2)</f>
        <v>0</v>
      </c>
      <c r="N516" s="23">
        <f>ROUND((B516+E516+F516)*N509,2)</f>
        <v>0</v>
      </c>
      <c r="O516" s="23">
        <f>ROUND(SUM(B516+C516+F516)*O509,2)</f>
        <v>0</v>
      </c>
      <c r="P516" s="27">
        <f t="shared" si="60"/>
        <v>0</v>
      </c>
    </row>
    <row r="517" spans="1:16" s="20" customFormat="1" x14ac:dyDescent="0.2">
      <c r="A517" s="100" t="str">
        <f>$A$33</f>
        <v>Aug 2022</v>
      </c>
      <c r="B517" s="24">
        <f>ROUND(IF(P491=0,0,IFERROR(((LOOKUP(2,1/(A498:A501=A517),G498:G501))*P491*4.348*50%),B516/P491*P491)),2)</f>
        <v>0</v>
      </c>
      <c r="C517" s="23">
        <f>ROUND(IFERROR(((LOOKUP(2,1/(B503=A517),((SUM(B516:B518)+SUM(F516:F518))/3)*C503))),0)+IFERROR(((LOOKUP(2,1/(E503=A517),(B522+F522)*F503))),0),2)</f>
        <v>0</v>
      </c>
      <c r="D517" s="23">
        <f>ROUND(IF(B517=0,0,D509/L491*P491*50%),2)</f>
        <v>0</v>
      </c>
      <c r="E517" s="23">
        <f>ROUND(IF(B517=0,0,E509/N487*P491*50%),2)</f>
        <v>0</v>
      </c>
      <c r="F517" s="24">
        <f>ROUND(IF(P491=0,0,IFERROR(((LOOKUP(2,1/(A498:A501=A517),H498:H501))/N487*P491),F516/P491*P491*50%)),2)</f>
        <v>0</v>
      </c>
      <c r="G517" s="27">
        <f t="shared" si="59"/>
        <v>0</v>
      </c>
      <c r="H517" s="76">
        <f>ROUND(IF(SUM(B510:F516)&lt;(L525*7),IF((SUM(B510:F517))&gt;(L525*8),(((L525*8)-(SUM(B510:F517)-C516))*H509)+((SUM(B517:F517)-C516)*H509),SUM(B517:F517)*H509),IF(SUM(B510:F517)&gt;(L525*8),L525*H509,SUM(B517:F517)*H509)),2)</f>
        <v>0</v>
      </c>
      <c r="I517" s="76">
        <f>ROUND(IF((SUM(B510:F517)*80%)&gt;((L526*8)*90%),((((L526*8)*90%)-((SUM(B510:F517)-C517))*I509)+((SUM(B517:F517)-C517)*I509)*80%),((SUM(B517:F517)-C517)*I509)*80%),2)</f>
        <v>0</v>
      </c>
      <c r="J517" s="76">
        <f>ROUND(IF(SUM(B510:F516)&lt;(L526*7),IF((SUM(B510:F517))&gt;(L526*8),(((L526*8)-(SUM(B510:F517)-C516))*J509)+((SUM(B517:F517)-C516)*J509),SUM(B517:F517)*J509),IF(SUM(B510:F517)&gt;(L526*8),L526*J509,SUM(B517:F517)*J509)),2)</f>
        <v>0</v>
      </c>
      <c r="K517" s="76">
        <f>ROUND(IF(SUM(B510:F516)&lt;(L526*7),IF((SUM(B510:F517))&gt;(L526*8),(((L526*8)-(SUM(B510:F517)-C516))*K509)+((SUM(B517:F517)-C516)*K509),SUM(B517:F517)*K509),IF(SUM(B510:F517)&gt;(L526*8),L526*K509,SUM(B517:F517)*K509)),2)</f>
        <v>0</v>
      </c>
      <c r="L517" s="76">
        <f>ROUND(IF(SUM(B510:F516)&lt;(L525*7),IF((SUM(B510:F517))&gt;(L525*8),(((L525*8)-(SUM(B510:F517)-C516))*L509)+((SUM(B517:F517)-C516)*L509),SUM(B517:F517)*L509),IF(SUM(B510:F517)&gt;(L525*8),L525*L509,SUM(B517:F517)*L509)),2)</f>
        <v>0</v>
      </c>
      <c r="M517" s="76">
        <f>ROUND(IF(SUM(B510:F516)&lt;(L526*7),IF((SUM(B510:F517))&gt;(L526*8),(((L526*8)-(SUM(B510:F517)-C517))*M509)+((SUM(B517:F517)-C517)*M509),(SUM(B517:F517)-C517)*M509),IF(SUM(B510:F517)&gt;(L526*8),L526*M509,SUM(B517:F517)*M509)),2)</f>
        <v>0</v>
      </c>
      <c r="N517" s="23">
        <f>ROUND((B517+E517+F517)*N509,2)</f>
        <v>0</v>
      </c>
      <c r="O517" s="23">
        <f>ROUND(SUM(B517+C517+F517)*O509,2)</f>
        <v>0</v>
      </c>
      <c r="P517" s="27">
        <f t="shared" si="60"/>
        <v>0</v>
      </c>
    </row>
    <row r="518" spans="1:16" s="20" customFormat="1" x14ac:dyDescent="0.2">
      <c r="A518" s="100" t="str">
        <f>$A$34</f>
        <v>Sep 2022</v>
      </c>
      <c r="B518" s="24">
        <f>ROUND(IF(P492=0,0,IFERROR(((LOOKUP(2,1/(A498:A501=A518),G498:G501))*P492*4.348*50%),B517/P492*P492)),2)</f>
        <v>0</v>
      </c>
      <c r="C518" s="23">
        <f>ROUND(IFERROR(((LOOKUP(2,1/(B503=A518),((SUM(B516:B518)+SUM(F516:F518))/3)*C503))),0)+IFERROR(((LOOKUP(2,1/(E503=A518),(B522+F522)*F503))),0),2)</f>
        <v>0</v>
      </c>
      <c r="D518" s="23">
        <f>ROUND(IF(B518=0,0,D509/L491*P492*50%),2)</f>
        <v>0</v>
      </c>
      <c r="E518" s="23">
        <f>ROUND(IF(B518=0,0,E509/N487*P492*50),2)</f>
        <v>0</v>
      </c>
      <c r="F518" s="24">
        <f>ROUND(IF(P492=0,0,IFERROR(((LOOKUP(2,1/(A498:A501=A518),H498:H501))/N487*P492),F517/P492*P492*50%)),2)</f>
        <v>0</v>
      </c>
      <c r="G518" s="27">
        <f t="shared" si="59"/>
        <v>0</v>
      </c>
      <c r="H518" s="76">
        <f>ROUND(IF(SUM(B510:F517)&lt;(L525*8),IF((SUM(B510:F518))&gt;(L525*9),(((L525*9)-(SUM(B510:F518)-C517))*H509)+((SUM(B518:F518)-C517)*H509),SUM(B518:F518)*H509),IF(SUM(B510:F518)&gt;(L525*9),L525*H509,SUM(B518:F518)*H509)),2)</f>
        <v>0</v>
      </c>
      <c r="I518" s="76">
        <f>ROUND(IF((SUM(B510:F518)*80%)&gt;((L526*9)*90%),((((L526*9)*90%)-((SUM(B510:F518)-C518))*I509)+((SUM(B518:F518)-C518)*I509)*80%),((SUM(B518:F518)-C518)*I509)*80%),2)</f>
        <v>0</v>
      </c>
      <c r="J518" s="76">
        <f>ROUND(IF(SUM(B510:F517)&lt;(L526*8),IF((SUM(B510:F518))&gt;(L526*9),(((L526*9)-(SUM(B510:F518)-C517))*J509)+((SUM(B518:F518)-C517)*J509),SUM(B518:F518)*J509),IF(SUM(B510:F518)&gt;(L526*9),L526*J509,SUM(B518:F518)*J509)),2)</f>
        <v>0</v>
      </c>
      <c r="K518" s="76">
        <f>ROUND(IF(SUM(B510:F517)&lt;(L526*8),IF((SUM(B510:F518))&gt;(L526*9),(((L526*9)-(SUM(B510:F518)-C517))*K509)+((SUM(B518:F518)-C517)*K509),SUM(B518:F518)*K509),IF(SUM(B510:F518)&gt;(L526*9),L526*K509,SUM(B518:F518)*K509)),2)</f>
        <v>0</v>
      </c>
      <c r="L518" s="76">
        <f>ROUND(IF(SUM(B510:F517)&lt;(L525*8),IF((SUM(B510:F518))&gt;(L525*9),(((L525*9)-(SUM(B510:F518)-C517))*L509)+((SUM(B518:F518)-C517)*L509),SUM(B518:F518)*L509),IF(SUM(B510:F518)&gt;(L525*9),L525*L509,SUM(B518:F518)*L509)),2)</f>
        <v>0</v>
      </c>
      <c r="M518" s="76">
        <f>ROUND(IF(SUM(B510:F517)&lt;(L526*8),IF((SUM(B510:F518))&gt;(L526*9),(((L526*9)-(SUM(B510:F518)-C518))*M509)+((SUM(B518:F518)-C518)*M509),(SUM(B518:F518)-C518)*M509),IF(SUM(B510:F518)&gt;(L526*9),L526*M509,SUM(B518:F518)*M509)),2)</f>
        <v>0</v>
      </c>
      <c r="N518" s="23">
        <f>ROUND((B518+E518+F518)*N509,2)</f>
        <v>0</v>
      </c>
      <c r="O518" s="23">
        <f>ROUND(SUM(B518+C518+F518)*O509,2)</f>
        <v>0</v>
      </c>
      <c r="P518" s="27">
        <f t="shared" si="60"/>
        <v>0</v>
      </c>
    </row>
    <row r="519" spans="1:16" s="20" customFormat="1" x14ac:dyDescent="0.2">
      <c r="A519" s="100" t="str">
        <f>$A$35</f>
        <v>Okt 2022</v>
      </c>
      <c r="B519" s="24">
        <f>ROUND(IF(P493=0,0,IFERROR(((LOOKUP(2,1/(A498:A501=A519),G498:G501))*P493*4.348*50%),B518/P493*P493)),2)</f>
        <v>0</v>
      </c>
      <c r="C519" s="23">
        <f>ROUND(IFERROR(((LOOKUP(2,1/(B503=A519),((SUM(B516:B518)+SUM(F516:F518))/3)*C503))),0)+IFERROR(((LOOKUP(2,1/(E503=A519),(B522+F522)*F503))),0),2)</f>
        <v>0</v>
      </c>
      <c r="D519" s="23">
        <f>ROUND(IF(B519=0,0,D509/L491*P493*50%),2)</f>
        <v>0</v>
      </c>
      <c r="E519" s="23">
        <f>ROUND(IF(B519=0,0,E509/N487*P493*50%),2)</f>
        <v>0</v>
      </c>
      <c r="F519" s="24">
        <f>ROUND(IF(P493=0,0,IFERROR(((LOOKUP(2,1/(A498:A501=A519),H498:H501))/N487*P493),F518/P493*P493*50%)),2)</f>
        <v>0</v>
      </c>
      <c r="G519" s="27">
        <f t="shared" si="59"/>
        <v>0</v>
      </c>
      <c r="H519" s="76">
        <f>ROUND(IF(SUM(B510:F518)&lt;(L525*9),IF((SUM(B510:F519))&gt;(L525*10),(((L525*10)-(SUM(B510:F519)-C518))*H509)+((SUM(B519:F519)-C518)*H509),SUM(B519:F519)*H509),IF(SUM(B510:F519)&gt;(L525*10),L525*H509,SUM(B519:F519)*H509)),2)</f>
        <v>0</v>
      </c>
      <c r="I519" s="76">
        <f>ROUND(IF((SUM(B510:F519)*80%)&gt;((L526*10)*90%),((((L526*10)*90%)-((SUM(B510:F519)-C519))*I509)+((SUM(B519:F519)-C519)*I509)*80%),((SUM(B519:F519)-C519)*I509)*80%),2)</f>
        <v>0</v>
      </c>
      <c r="J519" s="76">
        <f>ROUND(IF(SUM(B510:F518)&lt;(L526*9),IF((SUM(B510:F519))&gt;(L526*10),(((L526*10)-(SUM(B510:F519)-C518))*J509)+((SUM(B519:F519)-C518)*J509),SUM(B519:F519)*J509),IF(SUM(B510:F519)&gt;(L526*10),L526*J509,SUM(B519:F519)*J509)),2)</f>
        <v>0</v>
      </c>
      <c r="K519" s="76">
        <f>ROUND(IF(SUM(B510:F518)&lt;(L526*9),IF((SUM(B510:F519))&gt;(L526*10),(((L526*10)-(SUM(B510:F519)-C518))*K509)+((SUM(B519:F519)-C518)*K509),SUM(B519:F519)*K509),IF(SUM(B510:F519)&gt;(L526*10),L526*K509,SUM(B519:F519)*K509)),2)</f>
        <v>0</v>
      </c>
      <c r="L519" s="76">
        <f>ROUND(IF(SUM(B510:F518)&lt;(L525*9),IF((SUM(B510:F519))&gt;(L525*10),(((L525*10)-(SUM(B510:F519)-C518))*L509)+((SUM(B519:F519)-C518)*L509),SUM(B519:F519)*L509),IF(SUM(B510:F519)&gt;(L525*10),L525*L509,SUM(B519:F519)*L509)),2)</f>
        <v>0</v>
      </c>
      <c r="M519" s="76">
        <f>ROUND(IF(SUM(B510:F518)&lt;(L526*9),IF((SUM(B510:F519))&gt;(L526*10),(((L526*10)-(SUM(B510:F519)-C519))*M509)+((SUM(B519:F519)-C519)*M509),(SUM(B519:F519)-C519)*M509),IF(SUM(B510:F519)&gt;(L526*10),L526*M509,SUM(B519:F519)*M509)),2)</f>
        <v>0</v>
      </c>
      <c r="N519" s="23">
        <f>ROUND((B519+E519+F519)*N509,2)</f>
        <v>0</v>
      </c>
      <c r="O519" s="23">
        <f>ROUND(SUM(B519+C519+F519)*O509,2)</f>
        <v>0</v>
      </c>
      <c r="P519" s="27">
        <f t="shared" si="60"/>
        <v>0</v>
      </c>
    </row>
    <row r="520" spans="1:16" s="20" customFormat="1" x14ac:dyDescent="0.2">
      <c r="A520" s="100" t="str">
        <f>$A$36</f>
        <v>Nov 2022</v>
      </c>
      <c r="B520" s="24">
        <f>ROUND(IF(P494=0,0,IFERROR(((LOOKUP(2,1/(A498:A501=A520),G498:G501))*P494*4.348*50%),B519/P494*P494)),2)</f>
        <v>0</v>
      </c>
      <c r="C520" s="23">
        <f>ROUND(IFERROR(((LOOKUP(2,1/(B503=A520),((SUM(B516:B518)+SUM(F516:F518))/3)*C503))),0)+IFERROR(((LOOKUP(2,1/(E503=A520),(B522+F522)*F503))),0),2)</f>
        <v>0</v>
      </c>
      <c r="D520" s="23">
        <f>ROUND(IF(B520=0,0,D509/L491*P494*50%),2)</f>
        <v>0</v>
      </c>
      <c r="E520" s="23">
        <f>ROUND(IF(B520=0,0,E509/N487*P494*50%),2)</f>
        <v>0</v>
      </c>
      <c r="F520" s="24">
        <f>ROUND(IF(P494=0,0,IFERROR(((LOOKUP(2,1/(A498:A501=A520),H498:H501))/N487*P494),F519/P494*P494*50%)),2)</f>
        <v>0</v>
      </c>
      <c r="G520" s="27">
        <f t="shared" si="59"/>
        <v>0</v>
      </c>
      <c r="H520" s="76">
        <f>ROUND(IF(SUM(B510:F519)&lt;(L525*10),IF((SUM(B510:F520))&gt;(L525*11),(((L525*11)-(SUM(B510:F520)-C519))*H509)+((SUM(B520:F520)-C519)*H509),SUM(B520:F520)*H509),IF(SUM(B510:F520)&gt;(L525*11),L525*H509,SUM(B520:F520)*H509)),2)</f>
        <v>0</v>
      </c>
      <c r="I520" s="76">
        <f>ROUND(IF((SUM(B510:F520)*80%)&gt;((L526*11)*90%),((((L526*11)*90%)-((SUM(B510:F520)-C520))*I509)+((SUM(B520:F520)-C520)*I509)*80%),((SUM(B520:F520)-C520)*I509)*80%),2)</f>
        <v>0</v>
      </c>
      <c r="J520" s="76">
        <f>ROUND(IF(SUM(B510:F519)&lt;(L526*10),IF((SUM(B510:F520))&gt;(L526*11),(((L526*11)-(SUM(B510:F520)-C519))*J509)+((SUM(B520:F520)-C519)*J509),SUM(B520:F520)*J509),IF(SUM(B510:F520)&gt;(L526*11),L526*J509,SUM(B520:F520)*J509)),2)</f>
        <v>0</v>
      </c>
      <c r="K520" s="76">
        <f>ROUND(IF(SUM(B510:F519)&lt;(L526*10),IF((SUM(B510:F520))&gt;(L526*11),(((L526*11)-(SUM(B510:F520)-C519))*K509)+((SUM(B520:F520)-C519)*K509),SUM(B520:F520)*K509),IF(SUM(B510:F520)&gt;(L526*11),L526*K509,SUM(B520:F520)*K509)),2)</f>
        <v>0</v>
      </c>
      <c r="L520" s="76">
        <f>ROUND(IF(SUM(B510:F519)&lt;(L525*10),IF((SUM(B510:F520))&gt;(L525*11),(((L525*11)-(SUM(B510:F520)-C519))*L509)+((SUM(B520:F520)-C519)*L509),SUM(B520:F520)*L509),IF(SUM(B510:F520)&gt;(L525*11),L525*L509,SUM(B520:F520)*L509)),2)</f>
        <v>0</v>
      </c>
      <c r="M520" s="76">
        <f>ROUND(IF(SUM(B510:F519)&lt;(L526*10),IF((SUM(B510:F520))&gt;(L526*11),(((L526*11)-(SUM(B510:F520)-C520))*M509)+((SUM(B520:F520)-C520)*M509),(SUM(B520:F520)-C520)*M509),IF(SUM(B510:F520)&gt;(L526*11),L526*M509,SUM(B520:F520)*M509)),2)</f>
        <v>0</v>
      </c>
      <c r="N520" s="23">
        <f>ROUND((B520+E520+F520)*N509,2)</f>
        <v>0</v>
      </c>
      <c r="O520" s="23">
        <f>ROUND(SUM(B520+C520+F520)*O509,2)</f>
        <v>0</v>
      </c>
      <c r="P520" s="27">
        <f t="shared" si="60"/>
        <v>0</v>
      </c>
    </row>
    <row r="521" spans="1:16" s="20" customFormat="1" x14ac:dyDescent="0.2">
      <c r="A521" s="100" t="str">
        <f>$A$37</f>
        <v>Dez 2022</v>
      </c>
      <c r="B521" s="24">
        <f>ROUND(IF(P495=0,0,IFERROR(((LOOKUP(2,1/(A498:A501=A521),G498:G501))*P495*4.348*50%),B520/P495*P495)),2)</f>
        <v>0</v>
      </c>
      <c r="C521" s="23">
        <f>ROUND(IFERROR(((LOOKUP(2,1/(B503=A521),((SUM(B516:B518)+SUM(F516:F518))/3)*C503))),0)+IFERROR(((LOOKUP(2,1/(E503=A521),(B522+F522)*F503))),0),2)</f>
        <v>0</v>
      </c>
      <c r="D521" s="23">
        <f>ROUND(IF(B521=0,0,D509/L491*P495*50%),2)</f>
        <v>0</v>
      </c>
      <c r="E521" s="23">
        <f>ROUND(IF(B521=0,0,E509/N487*P495*50%),2)</f>
        <v>0</v>
      </c>
      <c r="F521" s="24">
        <f>ROUND(IF(P495=0,0,IFERROR(((LOOKUP(2,1/(A498:A501=A521),H498:H501))/N487*P495),F520/P495*P495*50%)),2)</f>
        <v>0</v>
      </c>
      <c r="G521" s="27">
        <f t="shared" si="59"/>
        <v>0</v>
      </c>
      <c r="H521" s="76">
        <f>ROUND(IF(SUM(B510:F520)&lt;(L525*11),IF((SUM(B510:F521))&gt;(L525*12),(((L525*12)-(SUM(B510:F521)-C520))*H509)+((SUM(B521:F521)-C520)*H509),SUM(B521:F521)*H509),IF(SUM(B510:F521)&gt;(L525*12),L525*H509,SUM(B521:F521)*H509)),2)</f>
        <v>0</v>
      </c>
      <c r="I521" s="76">
        <f>ROUND(IF((SUM(B510:F521)*80%)&gt;((L526*12)*90%),((((L526*12)*90%)-((SUM(B510:F521)-C521))*I509)+((SUM(B521:F521)-C521)*I509)*80%),((SUM(B521:F521)-C521)*I509)*80%),2)</f>
        <v>0</v>
      </c>
      <c r="J521" s="76">
        <f>ROUND(IF(SUM(B510:F520)&lt;(L526*11),IF((SUM(B510:F521))&gt;(L526*12),(((L526*12)-(SUM(B510:F521)-C520))*J509)+((SUM(B521:F521)-C520)*J509),SUM(B521:F521)*J509),IF(SUM(B510:F521)&gt;(L526*12),L526*J509,SUM(B521:F521)*J509)),2)</f>
        <v>0</v>
      </c>
      <c r="K521" s="76">
        <f>ROUND(IF(SUM(B510:F520)&lt;(L526*11),IF((SUM(B510:F521))&gt;(L526*12),(((L526*12)-(SUM(B510:F521)-C520))*K509)+((SUM(B521:F521)-C520)*K509),SUM(B521:F521)*K509),IF(SUM(B510:F521)&gt;(L526*12),L526*K509,SUM(B521:F521)*K509)),2)</f>
        <v>0</v>
      </c>
      <c r="L521" s="76">
        <f>ROUND(IF(SUM(B510:F520)&lt;(L525*11),IF((SUM(B510:F521))&gt;(L525*12),(((L525*12)-(SUM(B510:F521)-C520))*L509)+((SUM(B521:F521)-C520)*L509),SUM(B521:F521)*L509),IF(SUM(B510:F521)&gt;(L525*12),L525*L509,SUM(B521:F521)*L509)),2)</f>
        <v>0</v>
      </c>
      <c r="M521" s="76">
        <f>ROUND(IF(SUM(B510:F520)&lt;(L526*11),IF((SUM(B510:F521))&gt;(L526*12),(((L526*12)-(SUM(B510:F521)-C521))*M509)+((SUM(B521:F521)-C521)*M509),(SUM(B521:F521)-C521)*M509),IF(SUM(B510:F521)&gt;(L526*12),L526*M509,SUM(B521:F521)*M509)),2)</f>
        <v>0</v>
      </c>
      <c r="N521" s="23">
        <f>ROUND((B521+E521+F521)*N509,2)</f>
        <v>0</v>
      </c>
      <c r="O521" s="23">
        <f>ROUND(SUM(B521+C521+F521)*O509,2)</f>
        <v>0</v>
      </c>
      <c r="P521" s="27">
        <f>SUM(G521:O521)</f>
        <v>0</v>
      </c>
    </row>
    <row r="522" spans="1:16" s="20" customFormat="1" x14ac:dyDescent="0.2">
      <c r="A522" s="4" t="s">
        <v>2</v>
      </c>
      <c r="B522" s="27">
        <f>SUM(B510:B521)</f>
        <v>0</v>
      </c>
      <c r="C522" s="27">
        <f t="shared" ref="C522" si="61">SUM(C510:C521)</f>
        <v>0</v>
      </c>
      <c r="D522" s="27">
        <f>SUM(D510:D521)</f>
        <v>0</v>
      </c>
      <c r="E522" s="27">
        <f t="shared" ref="E522:G522" si="62">SUM(E510:E521)</f>
        <v>0</v>
      </c>
      <c r="F522" s="27">
        <f t="shared" si="62"/>
        <v>0</v>
      </c>
      <c r="G522" s="27">
        <f t="shared" si="62"/>
        <v>0</v>
      </c>
      <c r="H522" s="1133">
        <f>SUM(H510:M521)</f>
        <v>0</v>
      </c>
      <c r="I522" s="1134"/>
      <c r="J522" s="1134"/>
      <c r="K522" s="1134"/>
      <c r="L522" s="1134"/>
      <c r="M522" s="1134"/>
      <c r="N522" s="27">
        <f>SUM(N510:N521)</f>
        <v>0</v>
      </c>
      <c r="O522" s="27">
        <f>SUM(O510:O521)</f>
        <v>0</v>
      </c>
      <c r="P522" s="27">
        <f>SUM(P510:P521)</f>
        <v>0</v>
      </c>
    </row>
    <row r="523" spans="1:16" s="13" customFormat="1" ht="11.25" x14ac:dyDescent="0.2">
      <c r="A523" s="3" t="s">
        <v>1</v>
      </c>
      <c r="B523" s="2"/>
      <c r="C523" s="2"/>
      <c r="D523" s="2"/>
      <c r="E523" s="2"/>
      <c r="F523" s="2"/>
      <c r="G523" s="2"/>
      <c r="H523" s="2"/>
      <c r="I523" s="2"/>
      <c r="J523" s="2"/>
      <c r="K523" s="2"/>
      <c r="L523" s="2"/>
      <c r="M523" s="2"/>
      <c r="N523" s="2"/>
      <c r="O523" s="2"/>
      <c r="P523" s="2"/>
    </row>
    <row r="524" spans="1:16" ht="14.25" customHeight="1" x14ac:dyDescent="0.2">
      <c r="A524" s="1136" t="s">
        <v>133</v>
      </c>
      <c r="B524" s="1137"/>
      <c r="C524" s="1137"/>
      <c r="D524" s="1137" t="s">
        <v>134</v>
      </c>
      <c r="E524" s="1137"/>
      <c r="F524" s="94" t="str">
        <f>IF(IF(G522=0,"",$F$40)=0,"",IF(G522=0,"",$F$40))</f>
        <v/>
      </c>
      <c r="G524" s="77" t="s">
        <v>135</v>
      </c>
      <c r="H524" s="96" t="str">
        <f>IF(IF(G522=0,"",$H$40)=0,"",IF(G522=0,"",$H$40))</f>
        <v/>
      </c>
      <c r="I524" s="73"/>
      <c r="J524" s="194" t="s">
        <v>160</v>
      </c>
      <c r="K524" s="194" t="str">
        <f>$K$40</f>
        <v>2021</v>
      </c>
      <c r="L524" s="194" t="str">
        <f>$L$40</f>
        <v>anteilig 2021</v>
      </c>
      <c r="M524" s="1138" t="s">
        <v>140</v>
      </c>
      <c r="N524" s="1138"/>
      <c r="O524" s="1139"/>
      <c r="P524" s="27">
        <f>ROUND(IF(F524="",IF(E528="",0,(E528*H528/K528)/L491*L492),G522*F524*H524/1000),2)</f>
        <v>0</v>
      </c>
    </row>
    <row r="525" spans="1:16" ht="15" customHeight="1" x14ac:dyDescent="0.2">
      <c r="A525" s="1140" t="s">
        <v>145</v>
      </c>
      <c r="B525" s="1141"/>
      <c r="C525" s="1141"/>
      <c r="D525" s="18"/>
      <c r="E525" s="107" t="s">
        <v>135</v>
      </c>
      <c r="F525" s="95" t="str">
        <f>IF(IF(G522=0,"",$F$41)=0,"",IF(G522=0,"",$F$41))</f>
        <v/>
      </c>
      <c r="G525" s="48"/>
      <c r="H525" s="47"/>
      <c r="I525" s="48"/>
      <c r="J525" s="195" t="s">
        <v>158</v>
      </c>
      <c r="K525" s="198">
        <f>$K$41</f>
        <v>4837.5</v>
      </c>
      <c r="L525" s="197">
        <f>IF(L491="",K525,K525/L491*L492)</f>
        <v>4837.5</v>
      </c>
      <c r="M525" s="1138" t="s">
        <v>139</v>
      </c>
      <c r="N525" s="1138"/>
      <c r="O525" s="1139"/>
      <c r="P525" s="27">
        <f>ROUND(IF(F525="",0,G522*F525/1000),2)</f>
        <v>0</v>
      </c>
    </row>
    <row r="526" spans="1:16" ht="15.75" customHeight="1" x14ac:dyDescent="0.2">
      <c r="A526" s="1142" t="s">
        <v>141</v>
      </c>
      <c r="B526" s="1143"/>
      <c r="C526" s="1143"/>
      <c r="D526" s="1144" t="s">
        <v>143</v>
      </c>
      <c r="E526" s="1144"/>
      <c r="F526" s="1145" t="str">
        <f>IF(IF(G522=0,"",$F$42)=0,"",IF(G522=0,"",$F$42))</f>
        <v/>
      </c>
      <c r="G526" s="1145"/>
      <c r="H526" s="72"/>
      <c r="I526" s="18"/>
      <c r="J526" s="195" t="s">
        <v>159</v>
      </c>
      <c r="K526" s="198">
        <f>$K$42</f>
        <v>6700</v>
      </c>
      <c r="L526" s="197">
        <f>IF(L491="",K526,K526/L491*L492)</f>
        <v>6700</v>
      </c>
      <c r="M526" s="1138" t="s">
        <v>141</v>
      </c>
      <c r="N526" s="1138"/>
      <c r="O526" s="1139"/>
      <c r="P526" s="23">
        <f>ROUND(IF(F526="",0,IF(G522=0,0,F526/L491*L492)),2)</f>
        <v>0</v>
      </c>
    </row>
    <row r="527" spans="1:16" ht="14.25" customHeight="1" x14ac:dyDescent="0.2">
      <c r="A527" s="18"/>
      <c r="B527" s="18"/>
      <c r="C527" s="18"/>
      <c r="D527" s="18"/>
      <c r="E527" s="18"/>
      <c r="F527" s="18"/>
      <c r="G527" s="18"/>
      <c r="H527" s="18"/>
      <c r="I527" s="18"/>
      <c r="J527" s="18"/>
      <c r="K527" s="74"/>
      <c r="L527" s="82"/>
      <c r="M527" s="1127" t="s">
        <v>146</v>
      </c>
      <c r="N527" s="1127"/>
      <c r="O527" s="1128"/>
      <c r="P527" s="23">
        <f>ROUND(IF(G522=0,0,$P$43),2)</f>
        <v>0</v>
      </c>
    </row>
    <row r="528" spans="1:16" ht="14.25" customHeight="1" x14ac:dyDescent="0.2">
      <c r="A528" s="1129" t="s">
        <v>142</v>
      </c>
      <c r="B528" s="1130"/>
      <c r="C528" s="148" t="s">
        <v>136</v>
      </c>
      <c r="D528" s="184" t="s">
        <v>137</v>
      </c>
      <c r="E528" s="1131" t="str">
        <f>IF(IF(G522=0,"",$E$44)=0,"",IF(G522=0,"",$E$44))</f>
        <v/>
      </c>
      <c r="F528" s="1131"/>
      <c r="G528" s="83" t="s">
        <v>138</v>
      </c>
      <c r="H528" s="97" t="str">
        <f>IF(IF(G522=0,"",$H$44)=0,"",IF(G522=0,"",$H$44))</f>
        <v/>
      </c>
      <c r="I528" s="1132" t="s">
        <v>144</v>
      </c>
      <c r="J528" s="1132"/>
      <c r="K528" s="98" t="str">
        <f>IF(IF(G522=0,"",$K$44)=0,"",IF(G522=0,"",$K$44))</f>
        <v/>
      </c>
      <c r="L528" s="29"/>
      <c r="M528" s="29"/>
      <c r="N528" s="29"/>
      <c r="O528" s="28" t="s">
        <v>0</v>
      </c>
      <c r="P528" s="27">
        <f>P522+SUM(P524:P527)</f>
        <v>0</v>
      </c>
    </row>
  </sheetData>
  <sheetProtection algorithmName="SHA-512" hashValue="lE+UjZ16RVJWOzIGk/fuynkFGVEJUS3nTKoQEEpUFrFX9nHYKZNu5BZ3DuPKWBqOxPo2zmLINchNyZRDlkhzKQ==" saltValue="a5Dfg2NP+ozJLvvf6HsQ7w==" spinCount="100000" sheet="1" objects="1" scenarios="1"/>
  <mergeCells count="848">
    <mergeCell ref="M527:O527"/>
    <mergeCell ref="A528:B528"/>
    <mergeCell ref="E528:F528"/>
    <mergeCell ref="I528:J528"/>
    <mergeCell ref="H522:M522"/>
    <mergeCell ref="A524:C524"/>
    <mergeCell ref="D524:E524"/>
    <mergeCell ref="M524:O524"/>
    <mergeCell ref="A525:C525"/>
    <mergeCell ref="M525:O525"/>
    <mergeCell ref="A526:C526"/>
    <mergeCell ref="D526:E526"/>
    <mergeCell ref="F526:G526"/>
    <mergeCell ref="M526:O526"/>
    <mergeCell ref="P505:P509"/>
    <mergeCell ref="B506:B509"/>
    <mergeCell ref="D506:D508"/>
    <mergeCell ref="E506:E508"/>
    <mergeCell ref="G506:G509"/>
    <mergeCell ref="H506:H507"/>
    <mergeCell ref="I506:I508"/>
    <mergeCell ref="J506:J507"/>
    <mergeCell ref="K506:K507"/>
    <mergeCell ref="L506:L507"/>
    <mergeCell ref="M506:M508"/>
    <mergeCell ref="O506:O508"/>
    <mergeCell ref="F507:F509"/>
    <mergeCell ref="B501:C501"/>
    <mergeCell ref="K501:L501"/>
    <mergeCell ref="B502:C502"/>
    <mergeCell ref="E502:F502"/>
    <mergeCell ref="K502:L502"/>
    <mergeCell ref="A505:A509"/>
    <mergeCell ref="B505:G505"/>
    <mergeCell ref="H505:M505"/>
    <mergeCell ref="N505:N508"/>
    <mergeCell ref="F496:G496"/>
    <mergeCell ref="H496:I496"/>
    <mergeCell ref="B497:C497"/>
    <mergeCell ref="K497:L497"/>
    <mergeCell ref="B498:C498"/>
    <mergeCell ref="K498:L498"/>
    <mergeCell ref="B499:C499"/>
    <mergeCell ref="K499:L499"/>
    <mergeCell ref="B500:C500"/>
    <mergeCell ref="K500:L500"/>
    <mergeCell ref="A493:C493"/>
    <mergeCell ref="D493:I493"/>
    <mergeCell ref="J493:K493"/>
    <mergeCell ref="A494:C494"/>
    <mergeCell ref="D494:I494"/>
    <mergeCell ref="J494:K494"/>
    <mergeCell ref="D495:E495"/>
    <mergeCell ref="F495:G495"/>
    <mergeCell ref="H495:I495"/>
    <mergeCell ref="A488:C488"/>
    <mergeCell ref="D488:J488"/>
    <mergeCell ref="A489:M489"/>
    <mergeCell ref="J490:K490"/>
    <mergeCell ref="A491:C491"/>
    <mergeCell ref="D491:I491"/>
    <mergeCell ref="J491:K491"/>
    <mergeCell ref="A492:C492"/>
    <mergeCell ref="D492:I492"/>
    <mergeCell ref="J492:K492"/>
    <mergeCell ref="M483:O483"/>
    <mergeCell ref="A484:B484"/>
    <mergeCell ref="E484:F484"/>
    <mergeCell ref="I484:J484"/>
    <mergeCell ref="A485:C485"/>
    <mergeCell ref="D485:N485"/>
    <mergeCell ref="A486:C486"/>
    <mergeCell ref="D486:N486"/>
    <mergeCell ref="A487:C487"/>
    <mergeCell ref="D487:J487"/>
    <mergeCell ref="K487:M487"/>
    <mergeCell ref="H478:M478"/>
    <mergeCell ref="A480:C480"/>
    <mergeCell ref="D480:E480"/>
    <mergeCell ref="M480:O480"/>
    <mergeCell ref="A481:C481"/>
    <mergeCell ref="M481:O481"/>
    <mergeCell ref="A482:C482"/>
    <mergeCell ref="D482:E482"/>
    <mergeCell ref="F482:G482"/>
    <mergeCell ref="M482:O482"/>
    <mergeCell ref="A461:A465"/>
    <mergeCell ref="B461:G461"/>
    <mergeCell ref="H461:M461"/>
    <mergeCell ref="N461:N464"/>
    <mergeCell ref="P461:P465"/>
    <mergeCell ref="B462:B465"/>
    <mergeCell ref="D462:D464"/>
    <mergeCell ref="E462:E464"/>
    <mergeCell ref="G462:G465"/>
    <mergeCell ref="H462:H463"/>
    <mergeCell ref="I462:I464"/>
    <mergeCell ref="J462:J463"/>
    <mergeCell ref="K462:K463"/>
    <mergeCell ref="L462:L463"/>
    <mergeCell ref="M462:M464"/>
    <mergeCell ref="O462:O464"/>
    <mergeCell ref="F463:F465"/>
    <mergeCell ref="B454:C454"/>
    <mergeCell ref="K454:L454"/>
    <mergeCell ref="B455:C455"/>
    <mergeCell ref="K455:L455"/>
    <mergeCell ref="B456:C456"/>
    <mergeCell ref="K456:L456"/>
    <mergeCell ref="B457:C457"/>
    <mergeCell ref="K457:L457"/>
    <mergeCell ref="B458:C458"/>
    <mergeCell ref="E458:F458"/>
    <mergeCell ref="K458:L458"/>
    <mergeCell ref="A450:C450"/>
    <mergeCell ref="D450:I450"/>
    <mergeCell ref="J450:K450"/>
    <mergeCell ref="D451:E451"/>
    <mergeCell ref="F451:G451"/>
    <mergeCell ref="H451:I451"/>
    <mergeCell ref="F452:G452"/>
    <mergeCell ref="H452:I452"/>
    <mergeCell ref="B453:C453"/>
    <mergeCell ref="K453:L453"/>
    <mergeCell ref="A445:M445"/>
    <mergeCell ref="J446:K446"/>
    <mergeCell ref="A447:C447"/>
    <mergeCell ref="D447:I447"/>
    <mergeCell ref="J447:K447"/>
    <mergeCell ref="A448:C448"/>
    <mergeCell ref="D448:I448"/>
    <mergeCell ref="J448:K448"/>
    <mergeCell ref="A449:C449"/>
    <mergeCell ref="D449:I449"/>
    <mergeCell ref="J449:K449"/>
    <mergeCell ref="A436:C436"/>
    <mergeCell ref="D436:E436"/>
    <mergeCell ref="M436:O436"/>
    <mergeCell ref="A437:C437"/>
    <mergeCell ref="M437:O437"/>
    <mergeCell ref="A438:C438"/>
    <mergeCell ref="D438:E438"/>
    <mergeCell ref="F438:G438"/>
    <mergeCell ref="M438:O438"/>
    <mergeCell ref="B411:C411"/>
    <mergeCell ref="K411:L411"/>
    <mergeCell ref="B412:C412"/>
    <mergeCell ref="K412:L412"/>
    <mergeCell ref="B413:C413"/>
    <mergeCell ref="K413:L413"/>
    <mergeCell ref="B414:C414"/>
    <mergeCell ref="E414:F414"/>
    <mergeCell ref="K414:L414"/>
    <mergeCell ref="A406:C406"/>
    <mergeCell ref="D406:I406"/>
    <mergeCell ref="J406:K406"/>
    <mergeCell ref="H407:I407"/>
    <mergeCell ref="F408:G408"/>
    <mergeCell ref="H408:I408"/>
    <mergeCell ref="B409:C409"/>
    <mergeCell ref="K409:L409"/>
    <mergeCell ref="B410:C410"/>
    <mergeCell ref="K410:L410"/>
    <mergeCell ref="D407:E407"/>
    <mergeCell ref="F407:G407"/>
    <mergeCell ref="A400:C400"/>
    <mergeCell ref="D400:J400"/>
    <mergeCell ref="A401:M401"/>
    <mergeCell ref="J402:K402"/>
    <mergeCell ref="D403:I403"/>
    <mergeCell ref="J403:K403"/>
    <mergeCell ref="D404:I404"/>
    <mergeCell ref="J404:K404"/>
    <mergeCell ref="A405:C405"/>
    <mergeCell ref="D405:I405"/>
    <mergeCell ref="J405:K405"/>
    <mergeCell ref="M395:O395"/>
    <mergeCell ref="A396:B396"/>
    <mergeCell ref="E396:F396"/>
    <mergeCell ref="I396:J396"/>
    <mergeCell ref="A397:C397"/>
    <mergeCell ref="D397:N397"/>
    <mergeCell ref="A398:C398"/>
    <mergeCell ref="D398:N398"/>
    <mergeCell ref="A399:C399"/>
    <mergeCell ref="D399:J399"/>
    <mergeCell ref="K399:M399"/>
    <mergeCell ref="H390:M390"/>
    <mergeCell ref="A392:C392"/>
    <mergeCell ref="D392:E392"/>
    <mergeCell ref="M392:O392"/>
    <mergeCell ref="A393:C393"/>
    <mergeCell ref="M393:O393"/>
    <mergeCell ref="A394:C394"/>
    <mergeCell ref="D394:E394"/>
    <mergeCell ref="F394:G394"/>
    <mergeCell ref="M394:O394"/>
    <mergeCell ref="A373:A377"/>
    <mergeCell ref="B373:G373"/>
    <mergeCell ref="H373:M373"/>
    <mergeCell ref="N373:N376"/>
    <mergeCell ref="P373:P377"/>
    <mergeCell ref="B374:B377"/>
    <mergeCell ref="D374:D376"/>
    <mergeCell ref="E374:E376"/>
    <mergeCell ref="G374:G377"/>
    <mergeCell ref="H374:H375"/>
    <mergeCell ref="I374:I376"/>
    <mergeCell ref="J374:J375"/>
    <mergeCell ref="K374:K375"/>
    <mergeCell ref="L374:L375"/>
    <mergeCell ref="M374:M376"/>
    <mergeCell ref="O374:O376"/>
    <mergeCell ref="F375:F377"/>
    <mergeCell ref="B366:C366"/>
    <mergeCell ref="K366:L366"/>
    <mergeCell ref="B367:C367"/>
    <mergeCell ref="K367:L367"/>
    <mergeCell ref="B368:C368"/>
    <mergeCell ref="K368:L368"/>
    <mergeCell ref="B369:C369"/>
    <mergeCell ref="K369:L369"/>
    <mergeCell ref="B370:C370"/>
    <mergeCell ref="E370:F370"/>
    <mergeCell ref="K370:L370"/>
    <mergeCell ref="A362:C362"/>
    <mergeCell ref="D362:I362"/>
    <mergeCell ref="J362:K362"/>
    <mergeCell ref="D363:E363"/>
    <mergeCell ref="F363:G363"/>
    <mergeCell ref="H363:I363"/>
    <mergeCell ref="F364:G364"/>
    <mergeCell ref="H364:I364"/>
    <mergeCell ref="B365:C365"/>
    <mergeCell ref="K365:L365"/>
    <mergeCell ref="A359:C359"/>
    <mergeCell ref="D359:I359"/>
    <mergeCell ref="J359:K359"/>
    <mergeCell ref="A360:C360"/>
    <mergeCell ref="D360:I360"/>
    <mergeCell ref="J360:K360"/>
    <mergeCell ref="A361:C361"/>
    <mergeCell ref="D361:I361"/>
    <mergeCell ref="J361:K361"/>
    <mergeCell ref="A354:C354"/>
    <mergeCell ref="D354:N354"/>
    <mergeCell ref="A355:C355"/>
    <mergeCell ref="D355:J355"/>
    <mergeCell ref="K355:M355"/>
    <mergeCell ref="A356:C356"/>
    <mergeCell ref="D356:J356"/>
    <mergeCell ref="A357:M357"/>
    <mergeCell ref="J358:K358"/>
    <mergeCell ref="P329:P333"/>
    <mergeCell ref="B330:B333"/>
    <mergeCell ref="D330:D332"/>
    <mergeCell ref="E330:E332"/>
    <mergeCell ref="G330:G333"/>
    <mergeCell ref="H330:H331"/>
    <mergeCell ref="I330:I331"/>
    <mergeCell ref="J330:J331"/>
    <mergeCell ref="K330:K331"/>
    <mergeCell ref="L330:L331"/>
    <mergeCell ref="M330:M331"/>
    <mergeCell ref="N330:N331"/>
    <mergeCell ref="O330:O332"/>
    <mergeCell ref="F331:F333"/>
    <mergeCell ref="B324:C324"/>
    <mergeCell ref="K324:L324"/>
    <mergeCell ref="B325:C325"/>
    <mergeCell ref="K325:L325"/>
    <mergeCell ref="B326:C326"/>
    <mergeCell ref="E326:F326"/>
    <mergeCell ref="K326:L326"/>
    <mergeCell ref="A329:A333"/>
    <mergeCell ref="B329:G329"/>
    <mergeCell ref="H329:N329"/>
    <mergeCell ref="D319:E319"/>
    <mergeCell ref="F319:G319"/>
    <mergeCell ref="H319:I319"/>
    <mergeCell ref="B321:C321"/>
    <mergeCell ref="K321:L321"/>
    <mergeCell ref="B322:C322"/>
    <mergeCell ref="K322:L322"/>
    <mergeCell ref="B323:C323"/>
    <mergeCell ref="K323:L323"/>
    <mergeCell ref="D315:I315"/>
    <mergeCell ref="J315:K315"/>
    <mergeCell ref="A316:C316"/>
    <mergeCell ref="D316:I316"/>
    <mergeCell ref="J316:K316"/>
    <mergeCell ref="A317:C317"/>
    <mergeCell ref="D317:I317"/>
    <mergeCell ref="J317:K317"/>
    <mergeCell ref="A318:C318"/>
    <mergeCell ref="D318:I318"/>
    <mergeCell ref="J318:K318"/>
    <mergeCell ref="B280:C280"/>
    <mergeCell ref="K280:L280"/>
    <mergeCell ref="B281:C281"/>
    <mergeCell ref="K281:L281"/>
    <mergeCell ref="B282:C282"/>
    <mergeCell ref="E282:F282"/>
    <mergeCell ref="K282:L282"/>
    <mergeCell ref="P285:P289"/>
    <mergeCell ref="B286:B289"/>
    <mergeCell ref="D286:D288"/>
    <mergeCell ref="E286:E288"/>
    <mergeCell ref="G286:G289"/>
    <mergeCell ref="H286:H287"/>
    <mergeCell ref="I286:I287"/>
    <mergeCell ref="J286:J287"/>
    <mergeCell ref="K286:K287"/>
    <mergeCell ref="L286:L287"/>
    <mergeCell ref="M286:M287"/>
    <mergeCell ref="N286:N287"/>
    <mergeCell ref="O286:O288"/>
    <mergeCell ref="F287:F289"/>
    <mergeCell ref="J274:K274"/>
    <mergeCell ref="D275:E275"/>
    <mergeCell ref="F275:G275"/>
    <mergeCell ref="H275:I275"/>
    <mergeCell ref="B277:C277"/>
    <mergeCell ref="K277:L277"/>
    <mergeCell ref="B278:C278"/>
    <mergeCell ref="K278:L278"/>
    <mergeCell ref="B279:C279"/>
    <mergeCell ref="K279:L279"/>
    <mergeCell ref="D260:E260"/>
    <mergeCell ref="M260:O260"/>
    <mergeCell ref="M261:O261"/>
    <mergeCell ref="D262:E262"/>
    <mergeCell ref="F262:G262"/>
    <mergeCell ref="M262:O262"/>
    <mergeCell ref="M263:O263"/>
    <mergeCell ref="A264:B264"/>
    <mergeCell ref="E264:F264"/>
    <mergeCell ref="I264:J264"/>
    <mergeCell ref="P241:P245"/>
    <mergeCell ref="B242:B245"/>
    <mergeCell ref="D242:D244"/>
    <mergeCell ref="E242:E244"/>
    <mergeCell ref="G242:G245"/>
    <mergeCell ref="H242:H243"/>
    <mergeCell ref="I242:I243"/>
    <mergeCell ref="J242:J243"/>
    <mergeCell ref="K242:K243"/>
    <mergeCell ref="L242:L243"/>
    <mergeCell ref="M242:M243"/>
    <mergeCell ref="N242:N243"/>
    <mergeCell ref="O242:O244"/>
    <mergeCell ref="F243:F245"/>
    <mergeCell ref="A221:C221"/>
    <mergeCell ref="D221:N221"/>
    <mergeCell ref="A222:C222"/>
    <mergeCell ref="D222:N222"/>
    <mergeCell ref="D223:J223"/>
    <mergeCell ref="K223:M223"/>
    <mergeCell ref="D224:J224"/>
    <mergeCell ref="A225:J225"/>
    <mergeCell ref="J226:K226"/>
    <mergeCell ref="A223:C223"/>
    <mergeCell ref="P197:P201"/>
    <mergeCell ref="B198:B201"/>
    <mergeCell ref="D198:D200"/>
    <mergeCell ref="E198:E200"/>
    <mergeCell ref="G198:G201"/>
    <mergeCell ref="H198:H199"/>
    <mergeCell ref="I198:I199"/>
    <mergeCell ref="J198:J199"/>
    <mergeCell ref="K198:K199"/>
    <mergeCell ref="L198:L199"/>
    <mergeCell ref="M198:M199"/>
    <mergeCell ref="N198:N199"/>
    <mergeCell ref="O198:O200"/>
    <mergeCell ref="F199:F201"/>
    <mergeCell ref="A184:C184"/>
    <mergeCell ref="D184:I184"/>
    <mergeCell ref="J184:K184"/>
    <mergeCell ref="A185:C185"/>
    <mergeCell ref="D185:I185"/>
    <mergeCell ref="J185:K185"/>
    <mergeCell ref="D186:I186"/>
    <mergeCell ref="J186:K186"/>
    <mergeCell ref="D187:E187"/>
    <mergeCell ref="F187:G187"/>
    <mergeCell ref="H187:I187"/>
    <mergeCell ref="A178:C178"/>
    <mergeCell ref="D178:N178"/>
    <mergeCell ref="A179:C179"/>
    <mergeCell ref="D179:J179"/>
    <mergeCell ref="K179:M179"/>
    <mergeCell ref="D180:J180"/>
    <mergeCell ref="A181:J181"/>
    <mergeCell ref="J182:K182"/>
    <mergeCell ref="A183:C183"/>
    <mergeCell ref="D183:I183"/>
    <mergeCell ref="J183:K183"/>
    <mergeCell ref="A174:C174"/>
    <mergeCell ref="D174:E174"/>
    <mergeCell ref="F174:G174"/>
    <mergeCell ref="M174:O174"/>
    <mergeCell ref="M175:O175"/>
    <mergeCell ref="A176:B176"/>
    <mergeCell ref="E176:F176"/>
    <mergeCell ref="I176:J176"/>
    <mergeCell ref="A177:C177"/>
    <mergeCell ref="D177:N177"/>
    <mergeCell ref="P153:P157"/>
    <mergeCell ref="B154:B157"/>
    <mergeCell ref="D154:D156"/>
    <mergeCell ref="E154:E156"/>
    <mergeCell ref="G154:G157"/>
    <mergeCell ref="H154:H155"/>
    <mergeCell ref="I154:I155"/>
    <mergeCell ref="J154:J155"/>
    <mergeCell ref="K154:K155"/>
    <mergeCell ref="L154:L155"/>
    <mergeCell ref="M154:M155"/>
    <mergeCell ref="N154:N155"/>
    <mergeCell ref="O154:O156"/>
    <mergeCell ref="F155:F157"/>
    <mergeCell ref="B146:C146"/>
    <mergeCell ref="K146:L146"/>
    <mergeCell ref="B147:C147"/>
    <mergeCell ref="K147:L147"/>
    <mergeCell ref="B148:C148"/>
    <mergeCell ref="K148:L148"/>
    <mergeCell ref="B149:C149"/>
    <mergeCell ref="K149:L149"/>
    <mergeCell ref="B150:C150"/>
    <mergeCell ref="E150:F150"/>
    <mergeCell ref="K150:L150"/>
    <mergeCell ref="A141:C141"/>
    <mergeCell ref="D141:I141"/>
    <mergeCell ref="J141:K141"/>
    <mergeCell ref="A142:C142"/>
    <mergeCell ref="D142:I142"/>
    <mergeCell ref="J142:K142"/>
    <mergeCell ref="F143:G143"/>
    <mergeCell ref="H143:I143"/>
    <mergeCell ref="B145:C145"/>
    <mergeCell ref="K145:L145"/>
    <mergeCell ref="A136:C136"/>
    <mergeCell ref="D136:J136"/>
    <mergeCell ref="A137:J137"/>
    <mergeCell ref="J138:K138"/>
    <mergeCell ref="A139:C139"/>
    <mergeCell ref="D139:I139"/>
    <mergeCell ref="J139:K139"/>
    <mergeCell ref="A140:C140"/>
    <mergeCell ref="D140:I140"/>
    <mergeCell ref="J140:K140"/>
    <mergeCell ref="A132:B132"/>
    <mergeCell ref="E132:F132"/>
    <mergeCell ref="I132:J132"/>
    <mergeCell ref="A133:C133"/>
    <mergeCell ref="D133:N133"/>
    <mergeCell ref="A134:C134"/>
    <mergeCell ref="D134:N134"/>
    <mergeCell ref="A135:C135"/>
    <mergeCell ref="D135:J135"/>
    <mergeCell ref="K135:M135"/>
    <mergeCell ref="A128:C128"/>
    <mergeCell ref="D128:E128"/>
    <mergeCell ref="M128:O128"/>
    <mergeCell ref="A129:C129"/>
    <mergeCell ref="M129:O129"/>
    <mergeCell ref="A130:C130"/>
    <mergeCell ref="D130:E130"/>
    <mergeCell ref="F130:G130"/>
    <mergeCell ref="M130:O130"/>
    <mergeCell ref="B106:C106"/>
    <mergeCell ref="E106:F106"/>
    <mergeCell ref="K106:L106"/>
    <mergeCell ref="A109:A113"/>
    <mergeCell ref="B109:G109"/>
    <mergeCell ref="H109:N109"/>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B101:C101"/>
    <mergeCell ref="K101:L101"/>
    <mergeCell ref="B102:C102"/>
    <mergeCell ref="K102:L102"/>
    <mergeCell ref="B103:C103"/>
    <mergeCell ref="K103:L103"/>
    <mergeCell ref="B104:C104"/>
    <mergeCell ref="K104:L104"/>
    <mergeCell ref="B105:C105"/>
    <mergeCell ref="K105:L105"/>
    <mergeCell ref="A97:C97"/>
    <mergeCell ref="D97:I97"/>
    <mergeCell ref="J97:K97"/>
    <mergeCell ref="A98:C98"/>
    <mergeCell ref="D98:I98"/>
    <mergeCell ref="J98:K98"/>
    <mergeCell ref="D99:E99"/>
    <mergeCell ref="F99:G99"/>
    <mergeCell ref="H99:I99"/>
    <mergeCell ref="A92:C92"/>
    <mergeCell ref="D92:J92"/>
    <mergeCell ref="A93:J93"/>
    <mergeCell ref="J94:K94"/>
    <mergeCell ref="A95:C95"/>
    <mergeCell ref="D95:I95"/>
    <mergeCell ref="J95:K95"/>
    <mergeCell ref="A96:C96"/>
    <mergeCell ref="D96:I96"/>
    <mergeCell ref="J96:K96"/>
    <mergeCell ref="A88:B88"/>
    <mergeCell ref="E88:F88"/>
    <mergeCell ref="I88:J88"/>
    <mergeCell ref="A89:C89"/>
    <mergeCell ref="D89:N89"/>
    <mergeCell ref="A90:C90"/>
    <mergeCell ref="D90:N90"/>
    <mergeCell ref="A91:C91"/>
    <mergeCell ref="D91:J91"/>
    <mergeCell ref="K91:M91"/>
    <mergeCell ref="D84:E84"/>
    <mergeCell ref="M84:O84"/>
    <mergeCell ref="A85:C85"/>
    <mergeCell ref="M85:O85"/>
    <mergeCell ref="A86:C86"/>
    <mergeCell ref="D86:E86"/>
    <mergeCell ref="F86:G86"/>
    <mergeCell ref="M86:O86"/>
    <mergeCell ref="M87:O87"/>
    <mergeCell ref="A65:A69"/>
    <mergeCell ref="B65:G65"/>
    <mergeCell ref="H65:N65"/>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B59:C59"/>
    <mergeCell ref="K59:L59"/>
    <mergeCell ref="B60:C60"/>
    <mergeCell ref="K60:L60"/>
    <mergeCell ref="B61:C61"/>
    <mergeCell ref="K61:L61"/>
    <mergeCell ref="B62:C62"/>
    <mergeCell ref="E62:F62"/>
    <mergeCell ref="K62:L62"/>
    <mergeCell ref="A54:C54"/>
    <mergeCell ref="D54:I54"/>
    <mergeCell ref="J54:K54"/>
    <mergeCell ref="D55:E55"/>
    <mergeCell ref="F55:G55"/>
    <mergeCell ref="H55:I55"/>
    <mergeCell ref="B57:C57"/>
    <mergeCell ref="K57:L57"/>
    <mergeCell ref="B58:C58"/>
    <mergeCell ref="K58:L58"/>
    <mergeCell ref="J50:K50"/>
    <mergeCell ref="A51:C51"/>
    <mergeCell ref="D51:I51"/>
    <mergeCell ref="J51:K51"/>
    <mergeCell ref="A52:C52"/>
    <mergeCell ref="D52:I52"/>
    <mergeCell ref="J52:K52"/>
    <mergeCell ref="A53:C53"/>
    <mergeCell ref="D53:I53"/>
    <mergeCell ref="J53:K53"/>
    <mergeCell ref="A44:B44"/>
    <mergeCell ref="E44:F44"/>
    <mergeCell ref="I44:J44"/>
    <mergeCell ref="D45:N45"/>
    <mergeCell ref="D46:N46"/>
    <mergeCell ref="D47:J47"/>
    <mergeCell ref="A48:C48"/>
    <mergeCell ref="D48:J48"/>
    <mergeCell ref="A49:J49"/>
    <mergeCell ref="H38:N38"/>
    <mergeCell ref="D40:E40"/>
    <mergeCell ref="M40:O40"/>
    <mergeCell ref="M41:O41"/>
    <mergeCell ref="A42:C42"/>
    <mergeCell ref="D42:E42"/>
    <mergeCell ref="F42:G42"/>
    <mergeCell ref="M42:O42"/>
    <mergeCell ref="M43:O43"/>
    <mergeCell ref="E18:F18"/>
    <mergeCell ref="K18:L18"/>
    <mergeCell ref="A21:A25"/>
    <mergeCell ref="B21:G21"/>
    <mergeCell ref="H21:N21"/>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A441:C441"/>
    <mergeCell ref="A403:C403"/>
    <mergeCell ref="H346:N346"/>
    <mergeCell ref="A348:C348"/>
    <mergeCell ref="D348:E348"/>
    <mergeCell ref="M348:O348"/>
    <mergeCell ref="A349:C349"/>
    <mergeCell ref="M349:O349"/>
    <mergeCell ref="A350:C350"/>
    <mergeCell ref="D350:E350"/>
    <mergeCell ref="F350:G350"/>
    <mergeCell ref="M350:O350"/>
    <mergeCell ref="M351:O351"/>
    <mergeCell ref="A352:B352"/>
    <mergeCell ref="E352:F352"/>
    <mergeCell ref="H434:M434"/>
    <mergeCell ref="M439:O439"/>
    <mergeCell ref="A440:B440"/>
    <mergeCell ref="E440:F440"/>
    <mergeCell ref="I440:J440"/>
    <mergeCell ref="D441:N441"/>
    <mergeCell ref="I352:J352"/>
    <mergeCell ref="A353:C353"/>
    <mergeCell ref="D353:N353"/>
    <mergeCell ref="A442:C442"/>
    <mergeCell ref="D442:N442"/>
    <mergeCell ref="A443:C443"/>
    <mergeCell ref="D443:J443"/>
    <mergeCell ref="K443:M443"/>
    <mergeCell ref="A444:C444"/>
    <mergeCell ref="D444:J444"/>
    <mergeCell ref="N417:N420"/>
    <mergeCell ref="P417:P421"/>
    <mergeCell ref="O418:O420"/>
    <mergeCell ref="A417:A421"/>
    <mergeCell ref="B417:G417"/>
    <mergeCell ref="H417:M417"/>
    <mergeCell ref="B418:B421"/>
    <mergeCell ref="D418:D420"/>
    <mergeCell ref="E418:E420"/>
    <mergeCell ref="G418:G421"/>
    <mergeCell ref="H418:H419"/>
    <mergeCell ref="I418:I420"/>
    <mergeCell ref="J418:J419"/>
    <mergeCell ref="K418:K419"/>
    <mergeCell ref="L418:L419"/>
    <mergeCell ref="M418:M420"/>
    <mergeCell ref="F419:F421"/>
    <mergeCell ref="H302:N302"/>
    <mergeCell ref="D304:E304"/>
    <mergeCell ref="M304:O304"/>
    <mergeCell ref="A285:A289"/>
    <mergeCell ref="B285:G285"/>
    <mergeCell ref="H285:N285"/>
    <mergeCell ref="A261:C261"/>
    <mergeCell ref="A262:C262"/>
    <mergeCell ref="K267:M267"/>
    <mergeCell ref="A266:C266"/>
    <mergeCell ref="A267:C267"/>
    <mergeCell ref="A265:C265"/>
    <mergeCell ref="A268:C268"/>
    <mergeCell ref="A271:C271"/>
    <mergeCell ref="D271:I271"/>
    <mergeCell ref="J271:K271"/>
    <mergeCell ref="A272:C272"/>
    <mergeCell ref="D272:I272"/>
    <mergeCell ref="J272:K272"/>
    <mergeCell ref="A273:C273"/>
    <mergeCell ref="D273:I273"/>
    <mergeCell ref="J273:K273"/>
    <mergeCell ref="A274:C274"/>
    <mergeCell ref="D274:I274"/>
    <mergeCell ref="A305:C305"/>
    <mergeCell ref="A306:C306"/>
    <mergeCell ref="M305:O305"/>
    <mergeCell ref="D306:E306"/>
    <mergeCell ref="F306:G306"/>
    <mergeCell ref="M306:O306"/>
    <mergeCell ref="A304:C304"/>
    <mergeCell ref="A404:C404"/>
    <mergeCell ref="M307:O307"/>
    <mergeCell ref="A308:B308"/>
    <mergeCell ref="E308:F308"/>
    <mergeCell ref="I308:J308"/>
    <mergeCell ref="A309:C309"/>
    <mergeCell ref="D309:N309"/>
    <mergeCell ref="A310:C310"/>
    <mergeCell ref="D310:N310"/>
    <mergeCell ref="A311:C311"/>
    <mergeCell ref="D311:J311"/>
    <mergeCell ref="K311:M311"/>
    <mergeCell ref="A312:C312"/>
    <mergeCell ref="D312:J312"/>
    <mergeCell ref="A313:J313"/>
    <mergeCell ref="J314:K314"/>
    <mergeCell ref="A315:C315"/>
    <mergeCell ref="D265:N265"/>
    <mergeCell ref="D266:N266"/>
    <mergeCell ref="D267:J267"/>
    <mergeCell ref="A260:C260"/>
    <mergeCell ref="K233:L233"/>
    <mergeCell ref="D231:E231"/>
    <mergeCell ref="F231:G231"/>
    <mergeCell ref="H231:I231"/>
    <mergeCell ref="B233:C233"/>
    <mergeCell ref="B234:C234"/>
    <mergeCell ref="K234:L234"/>
    <mergeCell ref="B235:C235"/>
    <mergeCell ref="K235:L235"/>
    <mergeCell ref="B236:C236"/>
    <mergeCell ref="K236:L236"/>
    <mergeCell ref="B237:C237"/>
    <mergeCell ref="K237:L237"/>
    <mergeCell ref="H258:N258"/>
    <mergeCell ref="B238:C238"/>
    <mergeCell ref="E238:F238"/>
    <mergeCell ref="K238:L238"/>
    <mergeCell ref="A241:A245"/>
    <mergeCell ref="B241:G241"/>
    <mergeCell ref="H241:N241"/>
    <mergeCell ref="A229:C229"/>
    <mergeCell ref="A230:C230"/>
    <mergeCell ref="A224:C224"/>
    <mergeCell ref="A227:C227"/>
    <mergeCell ref="D227:I227"/>
    <mergeCell ref="J227:K227"/>
    <mergeCell ref="A228:C228"/>
    <mergeCell ref="D228:I228"/>
    <mergeCell ref="J228:K228"/>
    <mergeCell ref="D229:I229"/>
    <mergeCell ref="J229:K229"/>
    <mergeCell ref="D230:I230"/>
    <mergeCell ref="J230:K230"/>
    <mergeCell ref="A220:B220"/>
    <mergeCell ref="E220:F220"/>
    <mergeCell ref="I220:J220"/>
    <mergeCell ref="B194:C194"/>
    <mergeCell ref="E194:F194"/>
    <mergeCell ref="K194:L194"/>
    <mergeCell ref="A197:A201"/>
    <mergeCell ref="B197:G197"/>
    <mergeCell ref="H197:N197"/>
    <mergeCell ref="H214:N214"/>
    <mergeCell ref="A217:C217"/>
    <mergeCell ref="A218:C218"/>
    <mergeCell ref="A216:C216"/>
    <mergeCell ref="D216:E216"/>
    <mergeCell ref="M216:O216"/>
    <mergeCell ref="D218:E218"/>
    <mergeCell ref="F218:G218"/>
    <mergeCell ref="M218:O218"/>
    <mergeCell ref="M219:O219"/>
    <mergeCell ref="M217:O217"/>
    <mergeCell ref="A9:C9"/>
    <mergeCell ref="B189:C189"/>
    <mergeCell ref="B190:C190"/>
    <mergeCell ref="B191:C191"/>
    <mergeCell ref="B192:C192"/>
    <mergeCell ref="B193:C193"/>
    <mergeCell ref="A186:C186"/>
    <mergeCell ref="A180:C180"/>
    <mergeCell ref="H170:N170"/>
    <mergeCell ref="A172:C172"/>
    <mergeCell ref="D172:E172"/>
    <mergeCell ref="M172:O172"/>
    <mergeCell ref="A173:C173"/>
    <mergeCell ref="M173:O173"/>
    <mergeCell ref="M131:O131"/>
    <mergeCell ref="B153:G153"/>
    <mergeCell ref="H153:N153"/>
    <mergeCell ref="H126:N126"/>
    <mergeCell ref="A84:C84"/>
    <mergeCell ref="K189:L189"/>
    <mergeCell ref="K190:L190"/>
    <mergeCell ref="K191:L191"/>
    <mergeCell ref="K192:L192"/>
    <mergeCell ref="K193:L193"/>
    <mergeCell ref="D10:I10"/>
    <mergeCell ref="J10:K10"/>
    <mergeCell ref="A153:A157"/>
    <mergeCell ref="D143:E143"/>
    <mergeCell ref="H82:N82"/>
    <mergeCell ref="A40:C40"/>
    <mergeCell ref="A41:C41"/>
    <mergeCell ref="A45:C45"/>
    <mergeCell ref="A46:C46"/>
    <mergeCell ref="A47:C47"/>
    <mergeCell ref="D11:E11"/>
    <mergeCell ref="F11:G11"/>
    <mergeCell ref="H11:I11"/>
    <mergeCell ref="B13:C13"/>
    <mergeCell ref="K13:L13"/>
    <mergeCell ref="B14:C14"/>
    <mergeCell ref="K14:L14"/>
    <mergeCell ref="B15:C15"/>
    <mergeCell ref="K15:L15"/>
    <mergeCell ref="B16:C16"/>
    <mergeCell ref="K16:L16"/>
    <mergeCell ref="B17:C17"/>
    <mergeCell ref="K17:L17"/>
    <mergeCell ref="B18:C18"/>
    <mergeCell ref="D268:J268"/>
    <mergeCell ref="A269:J269"/>
    <mergeCell ref="J270:K270"/>
    <mergeCell ref="A1:C1"/>
    <mergeCell ref="A2:C2"/>
    <mergeCell ref="A3:C3"/>
    <mergeCell ref="A8:C8"/>
    <mergeCell ref="D1:N1"/>
    <mergeCell ref="D2:N2"/>
    <mergeCell ref="D3:J3"/>
    <mergeCell ref="K3:M3"/>
    <mergeCell ref="K47:M47"/>
    <mergeCell ref="A4:C4"/>
    <mergeCell ref="A7:C7"/>
    <mergeCell ref="A10:C10"/>
    <mergeCell ref="D4:J4"/>
    <mergeCell ref="A5:J5"/>
    <mergeCell ref="J6:K6"/>
    <mergeCell ref="D7:I7"/>
    <mergeCell ref="J7:K7"/>
    <mergeCell ref="D8:I8"/>
    <mergeCell ref="J8:K8"/>
    <mergeCell ref="D9:I9"/>
    <mergeCell ref="J9:K9"/>
  </mergeCells>
  <dataValidations count="1">
    <dataValidation type="list" allowBlank="1" showInputMessage="1" showErrorMessage="1" sqref="B19 E19 B63 E63 B107 E107 B151 E151 B195 E195 B239 E239 B283 E283 B327 E327 B371 E371 B415 E415 B459 E459 B503 E503">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&amp;10&amp;KFF0000techn. Personal - Reinigungskraft&amp;R&amp;G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 A147:A149 A191:A193 A235:A237 A279:A281 A323:A325 A367:A369 A411:A413 A455:A457 A499:A501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396"/>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6384" width="11.42578125" style="1"/>
  </cols>
  <sheetData>
    <row r="1" spans="1:16" s="12" customFormat="1" ht="13.5" customHeight="1" x14ac:dyDescent="0.2">
      <c r="A1" s="1178" t="s">
        <v>18</v>
      </c>
      <c r="B1" s="1178"/>
      <c r="C1" s="1178"/>
      <c r="D1" s="1179" t="str">
        <f>IF('päd.Personal - Leitung'!D1="","",'päd.Personal - Leitung'!D1)</f>
        <v/>
      </c>
      <c r="E1" s="1179"/>
      <c r="F1" s="1179"/>
      <c r="G1" s="1179"/>
      <c r="H1" s="1179"/>
      <c r="I1" s="1179"/>
      <c r="J1" s="1179"/>
      <c r="K1" s="1179"/>
      <c r="L1" s="1179"/>
      <c r="M1" s="1179"/>
      <c r="N1" s="1179"/>
    </row>
    <row r="2" spans="1:16" s="12" customFormat="1" ht="15" customHeight="1" x14ac:dyDescent="0.2">
      <c r="A2" s="1178" t="s">
        <v>17</v>
      </c>
      <c r="B2" s="1178"/>
      <c r="C2" s="1178" t="s">
        <v>15</v>
      </c>
      <c r="D2" s="1179" t="str">
        <f>IF('päd.Personal - Leitung'!D2="","",'päd.Personal - Leitung'!D2)</f>
        <v/>
      </c>
      <c r="E2" s="1179"/>
      <c r="F2" s="1179"/>
      <c r="G2" s="1179"/>
      <c r="H2" s="1179"/>
      <c r="I2" s="1179"/>
      <c r="J2" s="1179"/>
      <c r="K2" s="1179"/>
      <c r="L2" s="1179"/>
      <c r="M2" s="1179"/>
      <c r="N2" s="1179"/>
    </row>
    <row r="3" spans="1:16" s="12" customFormat="1" ht="15" customHeight="1" x14ac:dyDescent="0.2">
      <c r="A3" s="1178" t="s">
        <v>16</v>
      </c>
      <c r="B3" s="1178"/>
      <c r="C3" s="1178" t="s">
        <v>15</v>
      </c>
      <c r="D3" s="1179" t="str">
        <f>IF('päd.Personal - Leitung'!D3="","",'päd.Personal - Leitung'!D3)</f>
        <v/>
      </c>
      <c r="E3" s="1179"/>
      <c r="F3" s="1179"/>
      <c r="G3" s="1179"/>
      <c r="H3" s="1179"/>
      <c r="I3" s="1179"/>
      <c r="J3" s="1179"/>
      <c r="K3" s="1178" t="s">
        <v>103</v>
      </c>
      <c r="L3" s="1178"/>
      <c r="M3" s="1178"/>
      <c r="N3" s="41" t="str">
        <f>IF('päd.Personal - Leitung'!N3="","",'päd.Personal - Leitung'!N3)</f>
        <v/>
      </c>
    </row>
    <row r="4" spans="1:16" s="13" customFormat="1" ht="11.25" x14ac:dyDescent="0.2">
      <c r="A4" s="1182"/>
      <c r="B4" s="1182"/>
      <c r="C4" s="1182"/>
      <c r="D4" s="1183"/>
      <c r="E4" s="1183"/>
      <c r="F4" s="1183"/>
      <c r="G4" s="1183"/>
      <c r="H4" s="1183"/>
      <c r="I4" s="1183"/>
      <c r="J4" s="1183"/>
      <c r="K4" s="11"/>
      <c r="L4" s="11"/>
      <c r="M4" s="11"/>
      <c r="N4" s="11"/>
      <c r="O4" s="11"/>
      <c r="P4" s="11"/>
    </row>
    <row r="5" spans="1:16" s="15" customFormat="1" ht="13.5" customHeight="1" x14ac:dyDescent="0.2">
      <c r="A5" s="1177" t="s">
        <v>227</v>
      </c>
      <c r="B5" s="1177"/>
      <c r="C5" s="1177"/>
      <c r="D5" s="1177"/>
      <c r="E5" s="1177"/>
      <c r="F5" s="1177"/>
      <c r="G5" s="1177"/>
      <c r="H5" s="1177"/>
      <c r="I5" s="1177"/>
      <c r="J5" s="1177"/>
      <c r="K5" s="9"/>
      <c r="L5" s="9"/>
      <c r="M5" s="9"/>
      <c r="N5" s="59" t="s">
        <v>154</v>
      </c>
      <c r="O5" s="191">
        <f>'päd.Personal - Leitung'!$O$5</f>
        <v>2022</v>
      </c>
      <c r="P5" s="59" t="s">
        <v>154</v>
      </c>
    </row>
    <row r="6" spans="1:16" s="10" customFormat="1" ht="13.5" customHeight="1" x14ac:dyDescent="0.25">
      <c r="B6" s="32"/>
      <c r="C6" s="32"/>
      <c r="D6" s="5" t="s">
        <v>228</v>
      </c>
      <c r="E6" s="31"/>
      <c r="F6" s="31"/>
      <c r="G6" s="31"/>
      <c r="H6" s="31"/>
      <c r="I6" s="26"/>
      <c r="J6" s="1174" t="s">
        <v>14</v>
      </c>
      <c r="K6" s="1174"/>
      <c r="L6" s="180"/>
      <c r="N6" s="84">
        <f>IF(L8="","",L8)</f>
        <v>0</v>
      </c>
      <c r="O6" s="58" t="str">
        <f>'päd.Personal - Leitung'!$O$6</f>
        <v>Jan                Jul</v>
      </c>
      <c r="P6" s="85">
        <f>IF(N11="","",N11)</f>
        <v>0</v>
      </c>
    </row>
    <row r="7" spans="1:16" s="7" customFormat="1" ht="13.5" customHeight="1" x14ac:dyDescent="0.25">
      <c r="A7" s="1180" t="s">
        <v>71</v>
      </c>
      <c r="B7" s="1180"/>
      <c r="C7" s="1180"/>
      <c r="D7" s="1184"/>
      <c r="E7" s="1184"/>
      <c r="F7" s="1184"/>
      <c r="G7" s="1184"/>
      <c r="H7" s="1184"/>
      <c r="I7" s="1184"/>
      <c r="J7" s="1174" t="s">
        <v>104</v>
      </c>
      <c r="K7" s="1174"/>
      <c r="L7" s="145"/>
      <c r="N7" s="85">
        <f>IF(N6="","",N6)</f>
        <v>0</v>
      </c>
      <c r="O7" s="58" t="str">
        <f>'päd.Personal - Leitung'!$O$7</f>
        <v>Feb              Aug</v>
      </c>
      <c r="P7" s="85">
        <f>IF(P6="","",P6)</f>
        <v>0</v>
      </c>
    </row>
    <row r="8" spans="1:16" ht="13.5" customHeight="1" x14ac:dyDescent="0.2">
      <c r="A8" s="1180" t="s">
        <v>13</v>
      </c>
      <c r="B8" s="1180"/>
      <c r="C8" s="1180"/>
      <c r="D8" s="1181"/>
      <c r="E8" s="1181"/>
      <c r="F8" s="1181"/>
      <c r="G8" s="1181"/>
      <c r="H8" s="1181"/>
      <c r="I8" s="1181"/>
      <c r="J8" s="1174" t="s">
        <v>222</v>
      </c>
      <c r="K8" s="1174"/>
      <c r="L8" s="145">
        <f>IF(L9&gt;L7,0,L7-L9)</f>
        <v>0</v>
      </c>
      <c r="N8" s="85">
        <f>IF(N7="","",N7)</f>
        <v>0</v>
      </c>
      <c r="O8" s="58" t="str">
        <f>'päd.Personal - Leitung'!$O$8</f>
        <v>Mrz              Sep</v>
      </c>
      <c r="P8" s="85">
        <f>IF(P7="","",P7)</f>
        <v>0</v>
      </c>
    </row>
    <row r="9" spans="1:16" ht="13.5" customHeight="1" x14ac:dyDescent="0.2">
      <c r="A9" s="1180" t="s">
        <v>12</v>
      </c>
      <c r="B9" s="1180"/>
      <c r="C9" s="1180"/>
      <c r="D9" s="1181"/>
      <c r="E9" s="1181"/>
      <c r="F9" s="1181"/>
      <c r="G9" s="1181"/>
      <c r="H9" s="1181"/>
      <c r="I9" s="1181"/>
      <c r="J9" s="1174" t="s">
        <v>223</v>
      </c>
      <c r="K9" s="1174"/>
      <c r="L9" s="145"/>
      <c r="N9" s="85">
        <f>IF(N8="","",N8)</f>
        <v>0</v>
      </c>
      <c r="O9" s="58" t="str">
        <f>'päd.Personal - Leitung'!$O$9</f>
        <v>Apr               Okt</v>
      </c>
      <c r="P9" s="85">
        <f t="shared" ref="P9:P11" si="0">IF(P8="","",P8)</f>
        <v>0</v>
      </c>
    </row>
    <row r="10" spans="1:16" ht="13.5" customHeight="1" x14ac:dyDescent="0.2">
      <c r="A10" s="1180" t="s">
        <v>19</v>
      </c>
      <c r="B10" s="1180"/>
      <c r="C10" s="1180"/>
      <c r="D10" s="1181"/>
      <c r="E10" s="1181"/>
      <c r="F10" s="1181"/>
      <c r="G10" s="1181"/>
      <c r="H10" s="1181"/>
      <c r="I10" s="1181"/>
      <c r="J10" s="1174" t="s">
        <v>97</v>
      </c>
      <c r="K10" s="1174"/>
      <c r="L10" s="17" t="str">
        <f>IF(IF((COUNTIF(B26:B37,"&gt;0"))=0,0,(COUNTIF(B26:B37,"&gt;0")))&gt;Grundlagen!$C$24,Grundlagen!$C$24,IF((COUNTIF(B26:B37,"&gt;0"))=0,"",(COUNTIF(B26:B37,"&gt;0"))))</f>
        <v/>
      </c>
      <c r="M10" s="92"/>
      <c r="N10" s="85">
        <f>IF(N9="","",N9)</f>
        <v>0</v>
      </c>
      <c r="O10" s="58" t="str">
        <f>'päd.Personal - Leitung'!$O$10</f>
        <v>Mai               Nov</v>
      </c>
      <c r="P10" s="85">
        <f t="shared" si="0"/>
        <v>0</v>
      </c>
    </row>
    <row r="11" spans="1:16" ht="13.5" customHeight="1" x14ac:dyDescent="0.2">
      <c r="B11" s="8"/>
      <c r="C11" s="141" t="s">
        <v>162</v>
      </c>
      <c r="D11" s="1175"/>
      <c r="E11" s="1175"/>
      <c r="F11" s="1176" t="s">
        <v>106</v>
      </c>
      <c r="G11" s="1176"/>
      <c r="H11" s="1186"/>
      <c r="I11" s="1186"/>
      <c r="L11" s="147" t="str">
        <f>IF((SUM(F14:F17))=0,"",IF(P12&gt;L8,L8,IF(L8="","",IF(L10="","",P12))))</f>
        <v/>
      </c>
      <c r="N11" s="85">
        <f>IF(N10="","",N10)</f>
        <v>0</v>
      </c>
      <c r="O11" s="58" t="str">
        <f>'päd.Personal - Leitung'!$O$11</f>
        <v>Jun               Dez</v>
      </c>
      <c r="P11" s="85">
        <f t="shared" si="0"/>
        <v>0</v>
      </c>
    </row>
    <row r="12" spans="1:16" ht="13.5" customHeight="1" x14ac:dyDescent="0.2">
      <c r="I12" s="6"/>
      <c r="O12" s="174" t="s">
        <v>251</v>
      </c>
      <c r="P12" s="175">
        <f>IF(L10="",0,((IF(SUMIF(B26,"&gt;0"),N6,0))+(IF(SUMIF(B27,"&gt;0"),N7,0))+(IF(SUMIF(B28,"&gt;0"),N8,0))+(IF(SUMIF(B29,"&gt;0"),N9,0))+(IF(SUMIF(B30,"&gt;0"),N10,0))+(IF(SUMIF(B31,"&gt;0"),N11,0))+(IF(SUMIF(B32,"&gt;0"),P6,0))+(IF(SUMIF(B33,"&gt;0"),P7,0))+(IF(SUMIF(B34,"&gt;0"),P8,0))+(IF(SUMIF(B35,"&gt;0"),P9,0))+(IF(SUMIF(B36,"&gt;0"),P10,0))+(IF(SUMIF(B37,"&gt;0"),P11,0)))/Grundlagen!$C$24)</f>
        <v>0</v>
      </c>
    </row>
    <row r="13" spans="1:16" s="52" customFormat="1" ht="13.5" customHeight="1" x14ac:dyDescent="0.2">
      <c r="A13" s="61" t="s">
        <v>148</v>
      </c>
      <c r="B13" s="1168" t="s">
        <v>149</v>
      </c>
      <c r="C13" s="1168"/>
      <c r="D13" s="62" t="s">
        <v>150</v>
      </c>
      <c r="E13" s="63" t="s">
        <v>151</v>
      </c>
      <c r="F13" s="64" t="str">
        <f>CONCATENATE("Entg. ",N3," h/Wo")</f>
        <v>Entg.  h/Wo</v>
      </c>
      <c r="G13" s="65" t="s">
        <v>152</v>
      </c>
      <c r="H13" s="65" t="s">
        <v>153</v>
      </c>
      <c r="K13" s="1169" t="str">
        <f>CONCATENATE("Zuschläge / Zulagen für ",N3,"h/Wo")</f>
        <v>Zuschläge / Zulagen für h/Wo</v>
      </c>
      <c r="L13" s="1169"/>
      <c r="M13" s="66" t="str">
        <f>IF(A14="","",A14)</f>
        <v>Jan 2022</v>
      </c>
      <c r="N13" s="66" t="str">
        <f>IF(A15="","",A15)</f>
        <v/>
      </c>
      <c r="O13" s="66" t="str">
        <f>IF(A16="","",A16)</f>
        <v/>
      </c>
      <c r="P13" s="66" t="str">
        <f>IF(A17="","",A17)</f>
        <v/>
      </c>
    </row>
    <row r="14" spans="1:16" s="52" customFormat="1" ht="13.5" customHeight="1" x14ac:dyDescent="0.25">
      <c r="A14" s="54" t="str">
        <f>A26</f>
        <v>Jan 2022</v>
      </c>
      <c r="B14" s="1170" t="str">
        <f>IF($D$3="","",$D$3)</f>
        <v/>
      </c>
      <c r="C14" s="1171"/>
      <c r="D14" s="181"/>
      <c r="E14" s="181"/>
      <c r="F14" s="87"/>
      <c r="G14" s="56">
        <f>IF(N3="",0,F14/N3/4.348)</f>
        <v>0</v>
      </c>
      <c r="H14" s="53">
        <f>IF(G14=0,0,M19)</f>
        <v>0</v>
      </c>
      <c r="K14" s="1146"/>
      <c r="L14" s="1146"/>
      <c r="M14" s="86"/>
      <c r="N14" s="86"/>
      <c r="O14" s="86"/>
      <c r="P14" s="86"/>
    </row>
    <row r="15" spans="1:16" s="52" customFormat="1" ht="13.5" customHeight="1" x14ac:dyDescent="0.25">
      <c r="A15" s="55"/>
      <c r="B15" s="1172" t="str">
        <f>IF(A15="","",B14)</f>
        <v/>
      </c>
      <c r="C15" s="1173"/>
      <c r="D15" s="181"/>
      <c r="E15" s="181"/>
      <c r="F15" s="87"/>
      <c r="G15" s="56">
        <f>IF(N3="",0,F15/N3/4.348)</f>
        <v>0</v>
      </c>
      <c r="H15" s="53">
        <f>IF(G15=0,0,N19)</f>
        <v>0</v>
      </c>
      <c r="K15" s="1146"/>
      <c r="L15" s="1146"/>
      <c r="M15" s="86"/>
      <c r="N15" s="86"/>
      <c r="O15" s="86"/>
      <c r="P15" s="86"/>
    </row>
    <row r="16" spans="1:16" s="52" customFormat="1" ht="13.5" customHeight="1" x14ac:dyDescent="0.25">
      <c r="A16" s="55"/>
      <c r="B16" s="1172" t="str">
        <f>IF(A16="","",B15)</f>
        <v/>
      </c>
      <c r="C16" s="1173"/>
      <c r="D16" s="181"/>
      <c r="E16" s="181"/>
      <c r="F16" s="87"/>
      <c r="G16" s="56">
        <f>IF(N3="",0,F16/N3/4.348)</f>
        <v>0</v>
      </c>
      <c r="H16" s="53">
        <f>IF(G16=0,0,O19)</f>
        <v>0</v>
      </c>
      <c r="K16" s="1146"/>
      <c r="L16" s="1146"/>
      <c r="M16" s="86"/>
      <c r="N16" s="86"/>
      <c r="O16" s="86"/>
      <c r="P16" s="86"/>
    </row>
    <row r="17" spans="1:16" s="52" customFormat="1" ht="13.5" customHeight="1" x14ac:dyDescent="0.25">
      <c r="A17" s="55"/>
      <c r="B17" s="1172" t="str">
        <f>IF(A17="","",B16)</f>
        <v/>
      </c>
      <c r="C17" s="1173"/>
      <c r="D17" s="181"/>
      <c r="E17" s="181"/>
      <c r="F17" s="87"/>
      <c r="G17" s="56">
        <f>IF(N3="",0,F17/N3/4.348)</f>
        <v>0</v>
      </c>
      <c r="H17" s="53">
        <f>IF(G17=0,0,P19)</f>
        <v>0</v>
      </c>
      <c r="K17" s="1146"/>
      <c r="L17" s="1146"/>
      <c r="M17" s="86"/>
      <c r="N17" s="86"/>
      <c r="O17" s="86"/>
      <c r="P17" s="86"/>
    </row>
    <row r="18" spans="1:16" s="52" customFormat="1" ht="13.5" customHeight="1" x14ac:dyDescent="0.25">
      <c r="B18" s="1167" t="s">
        <v>157</v>
      </c>
      <c r="C18" s="1167"/>
      <c r="E18" s="1167" t="s">
        <v>156</v>
      </c>
      <c r="F18" s="1167"/>
      <c r="J18" s="69"/>
      <c r="K18" s="1146"/>
      <c r="L18" s="1146"/>
      <c r="M18" s="86"/>
      <c r="N18" s="86"/>
      <c r="O18" s="86"/>
      <c r="P18" s="86"/>
    </row>
    <row r="19" spans="1:16" s="52" customFormat="1" ht="13.5" customHeight="1" x14ac:dyDescent="0.25">
      <c r="A19" s="70" t="s">
        <v>167</v>
      </c>
      <c r="B19" s="67"/>
      <c r="C19" s="99" t="str">
        <f>IF('techn.Personal - Hausmeister'!C19="","",'techn.Personal - Hausmeister'!C19)</f>
        <v/>
      </c>
      <c r="D19" s="70" t="s">
        <v>167</v>
      </c>
      <c r="E19" s="67"/>
      <c r="F19" s="99" t="str">
        <f>IF('techn.Personal - Hausmeister'!F19="","",'techn.Personal - Hausmeister'!F19)</f>
        <v/>
      </c>
      <c r="J19" s="68"/>
      <c r="M19" s="57">
        <f>SUM(M14:M18)</f>
        <v>0</v>
      </c>
      <c r="N19" s="57">
        <f t="shared" ref="N19:P19" si="1">SUM(N14:N18)</f>
        <v>0</v>
      </c>
      <c r="O19" s="57">
        <f t="shared" si="1"/>
        <v>0</v>
      </c>
      <c r="P19" s="57">
        <f t="shared" si="1"/>
        <v>0</v>
      </c>
    </row>
    <row r="20" spans="1:16" s="52" customFormat="1" ht="13.5" customHeight="1" x14ac:dyDescent="0.2">
      <c r="A20" s="60" t="s">
        <v>155</v>
      </c>
    </row>
    <row r="21" spans="1:16" ht="14.25" customHeight="1" x14ac:dyDescent="0.2">
      <c r="A21" s="1147"/>
      <c r="B21" s="1149" t="s">
        <v>9</v>
      </c>
      <c r="C21" s="1150"/>
      <c r="D21" s="1150"/>
      <c r="E21" s="1150"/>
      <c r="F21" s="1150"/>
      <c r="G21" s="1151"/>
      <c r="H21" s="1152" t="s">
        <v>119</v>
      </c>
      <c r="I21" s="1153"/>
      <c r="J21" s="1153"/>
      <c r="K21" s="1153"/>
      <c r="L21" s="1153"/>
      <c r="M21" s="1153"/>
      <c r="N21" s="1153"/>
      <c r="O21" s="33"/>
      <c r="P21" s="1154" t="s">
        <v>0</v>
      </c>
    </row>
    <row r="22" spans="1:16" ht="14.25" customHeight="1" x14ac:dyDescent="0.2">
      <c r="A22" s="1148"/>
      <c r="B22" s="1157" t="s">
        <v>117</v>
      </c>
      <c r="C22" s="144" t="s">
        <v>115</v>
      </c>
      <c r="D22" s="1159" t="s">
        <v>277</v>
      </c>
      <c r="E22" s="1161" t="s">
        <v>147</v>
      </c>
      <c r="F22" s="149" t="s">
        <v>7</v>
      </c>
      <c r="G22" s="1162" t="s">
        <v>6</v>
      </c>
      <c r="H22" s="1161" t="s">
        <v>129</v>
      </c>
      <c r="I22" s="1161" t="s">
        <v>5</v>
      </c>
      <c r="J22" s="1161" t="s">
        <v>4</v>
      </c>
      <c r="K22" s="1161" t="s">
        <v>3</v>
      </c>
      <c r="L22" s="1161" t="s">
        <v>121</v>
      </c>
      <c r="M22" s="1161" t="s">
        <v>122</v>
      </c>
      <c r="N22" s="1161" t="s">
        <v>123</v>
      </c>
      <c r="O22" s="1160" t="s">
        <v>114</v>
      </c>
      <c r="P22" s="1155"/>
    </row>
    <row r="23" spans="1:16" ht="14.25" customHeight="1" x14ac:dyDescent="0.2">
      <c r="A23" s="1148"/>
      <c r="B23" s="1157"/>
      <c r="C23" s="21" t="str">
        <f>IF(C19="","",C19)</f>
        <v/>
      </c>
      <c r="D23" s="1160"/>
      <c r="E23" s="1161"/>
      <c r="F23" s="1165" t="str">
        <f>IF(H14=0,"","siehe Zuschläge / Zulagen")</f>
        <v/>
      </c>
      <c r="G23" s="1162"/>
      <c r="H23" s="1164" t="s">
        <v>127</v>
      </c>
      <c r="I23" s="1164"/>
      <c r="J23" s="1164"/>
      <c r="K23" s="1164"/>
      <c r="L23" s="1164"/>
      <c r="M23" s="1164"/>
      <c r="N23" s="1164"/>
      <c r="O23" s="1160"/>
      <c r="P23" s="1155"/>
    </row>
    <row r="24" spans="1:16" x14ac:dyDescent="0.2">
      <c r="A24" s="1148"/>
      <c r="B24" s="1157"/>
      <c r="C24" s="142" t="s">
        <v>70</v>
      </c>
      <c r="D24" s="1160"/>
      <c r="E24" s="1161"/>
      <c r="F24" s="1165"/>
      <c r="G24" s="1162"/>
      <c r="H24" s="43" t="s">
        <v>128</v>
      </c>
      <c r="I24" s="43" t="s">
        <v>255</v>
      </c>
      <c r="J24" s="43" t="s">
        <v>256</v>
      </c>
      <c r="K24" s="43" t="s">
        <v>257</v>
      </c>
      <c r="L24" s="43"/>
      <c r="M24" s="43"/>
      <c r="N24" s="43" t="s">
        <v>254</v>
      </c>
      <c r="O24" s="1160"/>
      <c r="P24" s="1155"/>
    </row>
    <row r="25" spans="1:16" x14ac:dyDescent="0.2">
      <c r="A25" s="1148"/>
      <c r="B25" s="1158"/>
      <c r="C25" s="21" t="str">
        <f>IF(F19="","",F19)</f>
        <v/>
      </c>
      <c r="D25" s="51"/>
      <c r="E25" s="51"/>
      <c r="F25" s="1166"/>
      <c r="G25" s="1163"/>
      <c r="H25" s="93"/>
      <c r="I25" s="139">
        <f>'päd.Personal - Leitung'!$I$69</f>
        <v>0</v>
      </c>
      <c r="J25" s="139">
        <f>'päd.Personal - Leitung'!$J$69</f>
        <v>0</v>
      </c>
      <c r="K25" s="44">
        <f>'päd.Personal - Leitung'!$K$69</f>
        <v>0</v>
      </c>
      <c r="L25" s="21"/>
      <c r="M25" s="21"/>
      <c r="N25" s="139">
        <f>'päd.Personal - Leitung'!$N$69</f>
        <v>0</v>
      </c>
      <c r="O25" s="21">
        <f>'päd.Personal - Leitung'!$O$69</f>
        <v>0</v>
      </c>
      <c r="P25" s="1156"/>
    </row>
    <row r="26" spans="1:16" x14ac:dyDescent="0.2">
      <c r="A26" s="100" t="str">
        <f>'päd.Personal - Leitung'!$A$26</f>
        <v>Jan 2022</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76">
        <f>ROUND(IF((SUM(B26:F26))&gt;L41,L41*H25,SUM(B26:F26)*H25),2)</f>
        <v>0</v>
      </c>
      <c r="I26" s="76">
        <f>ROUND(IF((SUM(B26:F26))&gt;L42,L42*I25,SUM(B26:F26)*I25),2)</f>
        <v>0</v>
      </c>
      <c r="J26" s="76">
        <f>ROUND(IF((SUM(B26:F26))&gt;L42,L42*J25,SUM(B26:F26)*J25),2)</f>
        <v>0</v>
      </c>
      <c r="K26" s="76">
        <f>ROUND(IF((SUM(B26:F26))&gt;L41,L41*K25,SUM(B26:F26)*K25),2)</f>
        <v>0</v>
      </c>
      <c r="L26" s="76">
        <f>ROUND(IF((SUM(B26:F26))&gt;L42,L42*L25,(SUM(B26:F26)-C26)*L25),2)</f>
        <v>0</v>
      </c>
      <c r="M26" s="76">
        <f>ROUND(IF((SUM(B26:F26))&gt;L42,L42*M25,(SUM(B26:F26)-C26)*M25),2)</f>
        <v>0</v>
      </c>
      <c r="N26" s="76">
        <f>ROUND(IF((SUM(B26:F26))&gt;L42,L42*N25,SUM(B26:F26)*N25),2)</f>
        <v>0</v>
      </c>
      <c r="O26" s="23">
        <f>ROUND(SUM(B26+C26+F26)*O25,2)</f>
        <v>0</v>
      </c>
      <c r="P26" s="27">
        <f>SUM(G26:O26)</f>
        <v>0</v>
      </c>
    </row>
    <row r="27" spans="1:16" x14ac:dyDescent="0.2">
      <c r="A27" s="100" t="str">
        <f>'päd.Personal - Leitung'!$A$27</f>
        <v>Feb 2022</v>
      </c>
      <c r="B27" s="24">
        <f>ROUND(IF(N7=0,0,IFERROR(((LOOKUP(2,1/(A14:A17=A27),G14:G17))*N7*4.348),B26/N7*N7)),2)</f>
        <v>0</v>
      </c>
      <c r="C27" s="23">
        <f>ROUND(IFERROR(((LOOKUP(2,1/(B19=A27),((SUM(B32:B34)+SUM(F32:F34))/3)*C19))),0)+IFERROR(((LOOKUP(2,1/(E19=A27),(B38+F38)*F19))),0),2)</f>
        <v>0</v>
      </c>
      <c r="D27" s="23">
        <f>ROUND(IF(B27=0,0,D25/L7*N7),2)</f>
        <v>0</v>
      </c>
      <c r="E27" s="23">
        <f>ROUND(IF(B27=0,0,E25/N3*N7),2)</f>
        <v>0</v>
      </c>
      <c r="F27" s="24">
        <f>ROUND(IF(N7=0,0,IFERROR(((LOOKUP(2,1/(A14:A17=A27),H14:H17))/N3*N7),F26/N7*N7)),2)</f>
        <v>0</v>
      </c>
      <c r="G27" s="27">
        <f t="shared" ref="G27:G37" si="2">SUM(B27+C27+E27+F27)</f>
        <v>0</v>
      </c>
      <c r="H27" s="76">
        <f>ROUND(IF(SUM(B26:F26)&lt;(L41*1),IF((SUM(B26:F27))&gt;(L41*2),(((L41*2)-(SUM(B26:F27)-C26))*H25)+((SUM(B27:F27)-C26)*H25),SUM(B27:F27)*H25),IF(SUM(B26:F27)&gt;(L41*2),L41*H25,SUM(B27:F27)*H25)),2)</f>
        <v>0</v>
      </c>
      <c r="I27" s="76">
        <f>ROUND(IF(SUM(B26:F26)&lt;(L42*1),IF((SUM(B26:F27))&gt;(L42*2),(((L42*2)-(SUM(B26:F27)-C26))*I25)+((SUM(B27:F27)-C26)*I25),SUM(B27:F27)*I25),IF(SUM(B26:F27)&gt;(L42*2),L42*I25,SUM(B27:F27)*I25)),2)</f>
        <v>0</v>
      </c>
      <c r="J27" s="76">
        <f>ROUND(IF(SUM(B26:F26)&lt;(L42*1),IF((SUM(B26:F27))&gt;(L42*2),(((L42*2)-(SUM(B26:F27)-C26))*J25)+((SUM(B27:F27)-C26)*J25),SUM(B27:F27)*J25),IF(SUM(B26:F27)&gt;(L42*2),L42*J25,SUM(B27:F27)*J25)),2)</f>
        <v>0</v>
      </c>
      <c r="K27" s="76">
        <f>ROUND(IF(SUM(B26:F26)&lt;(L41*1),IF((SUM(B26:F27))&gt;(L41*2),(((L41*2)-(SUM(B26:F27)-C26))*K25)+((SUM(B27:F27)-C26)*K25),SUM(B27:F27)*K25),IF(SUM(B26:F27)&gt;(L41*2),L41*K25,SUM(B27:F27)*K25)),2)</f>
        <v>0</v>
      </c>
      <c r="L27" s="76">
        <f>ROUND(IF(SUM(B26:F26)&lt;(L42*1),IF((SUM(B26:F27))&gt;(L42*2),(((L42*2)-(SUM(B26:F27)-C27))*L25)+((SUM(B27:F27)-C27)*L25),(SUM(B27:F27)-C27)*L25),IF(SUM(B26:F27)&gt;(L42*2),L42*L25,SUM(B27:F27)*L25)),2)</f>
        <v>0</v>
      </c>
      <c r="M27" s="76">
        <f>ROUND(IF(SUM(B26:F26)&lt;(L42*1),IF((SUM(B26:F27))&gt;(L42*2),(((L42*2)-(SUM(B26:F27)-C27))*M25)+((SUM(B27:F27)-C27)*M25),(SUM(B27:F27)-C27)*M25),IF(SUM(B26:F27)&gt;(L42*2),L42*M25,SUM(B27:F27)*M25)),2)</f>
        <v>0</v>
      </c>
      <c r="N27" s="76">
        <f>ROUND(IF(SUM(B26:F26)&lt;(L42*1),IF((SUM(B26:F27))&gt;(L42*2),(((L42*2)-(SUM(B26:F27)-C26))*N25)+((SUM(B27:F27)-C26)*N25),SUM(B27:F27)*N25),IF(SUM(B26:F27)&gt;(L42*2),L42*N25,SUM(B27:F27)*N25)),2)</f>
        <v>0</v>
      </c>
      <c r="O27" s="23">
        <f>ROUND(SUM(B27+C27+F27)*O25,2)</f>
        <v>0</v>
      </c>
      <c r="P27" s="27">
        <f>SUM(G27:O27)</f>
        <v>0</v>
      </c>
    </row>
    <row r="28" spans="1:16" x14ac:dyDescent="0.2">
      <c r="A28" s="100" t="str">
        <f>'päd.Personal - Leitung'!$A$28</f>
        <v>Mrz 2022</v>
      </c>
      <c r="B28" s="24">
        <f>ROUND(IF(N8=0,0,IFERROR(((LOOKUP(2,1/(A14:A17=A28),G14:G17))*N8*4.348),B27/N8*N8)),2)</f>
        <v>0</v>
      </c>
      <c r="C28" s="23">
        <f>ROUND(IFERROR(((LOOKUP(2,1/(B19=A28),((SUM(B32:B34)+SUM(F32:F34))/3)*C19))),0)+IFERROR(((LOOKUP(2,1/(E19=A28),(B38+F38)*F19))),0),2)</f>
        <v>0</v>
      </c>
      <c r="D28" s="23">
        <f>ROUND(IF(B28=0,0,D25/L7*N8),2)</f>
        <v>0</v>
      </c>
      <c r="E28" s="23">
        <f>ROUND(IF(B28=0,0,E25/N3*N8),2)</f>
        <v>0</v>
      </c>
      <c r="F28" s="24">
        <f>ROUND(IF(N8=0,0,IFERROR(((LOOKUP(2,1/(A14:A17=A28),H14:H17))/N3*N8),F27/N8*N8)),2)</f>
        <v>0</v>
      </c>
      <c r="G28" s="27">
        <f t="shared" si="2"/>
        <v>0</v>
      </c>
      <c r="H28" s="76">
        <f>ROUND(IF(SUM(B26:F27)&lt;(L41*2),IF((SUM(B26:F28))&gt;(L41*3),(((L41*3)-(SUM(B26:F28)-C27))*H25)+((SUM(B28:F28)-C27)*H25),SUM(B28:F28)*H25),IF(SUM(B26:F28)&gt;(L41*3),L41*H25,SUM(B28:F28)*H25)),2)</f>
        <v>0</v>
      </c>
      <c r="I28" s="76">
        <f>ROUND(IF(SUM(B26:F27)&lt;(L42*2),IF((SUM(B26:F28))&gt;(L42*3),(((L42*3)-(SUM(B26:F28)-C27))*I25)+((SUM(B28:F28)-C27)*I25),SUM(B28:F28)*I25),IF(SUM(B26:F28)&gt;(L42*3),L42*I25,SUM(B28:F28)*I25)),2)</f>
        <v>0</v>
      </c>
      <c r="J28" s="76">
        <f>ROUND(IF(SUM(B26:F27)&lt;(L42*2),IF((SUM(B26:F28))&gt;(L42*3),(((L42*3)-(SUM(B26:F28)-C27))*J25)+((SUM(B28:F28)-C27)*J25),SUM(B28:F28)*J25),IF(SUM(B26:F28)&gt;(L42*3),L42*J25,SUM(B28:F28)*J25)),2)</f>
        <v>0</v>
      </c>
      <c r="K28" s="76">
        <f>ROUND(IF(SUM(B26:F27)&lt;(L41*2),IF((SUM(B26:F28))&gt;(L41*3),(((L41*3)-(SUM(B26:F28)-C27))*K25)+((SUM(B28:F28)-C27)*K25),SUM(B28:F28)*K25),IF(SUM(B26:F28)&gt;(L41*3),L41*K25,SUM(B28:F28)*K25)),2)</f>
        <v>0</v>
      </c>
      <c r="L28" s="76">
        <f>ROUND(IF(SUM(B26:F27)&lt;(L42*2),IF((SUM(B26:F28))&gt;(L42*3),(((L42*3)-(SUM(B26:F28)-C28))*L25)+((SUM(B28:F28)-C28)*L25),(SUM(B28:F28)-C28)*L25),IF(SUM(B26:F28)&gt;(L42*3),L42*L25,SUM(B28:F28)*L25)),2)</f>
        <v>0</v>
      </c>
      <c r="M28" s="76">
        <f>ROUND(IF(SUM(B26:F27)&lt;(L42*2),IF((SUM(B26:F28))&gt;(L42*3),(((L42*3)-(SUM(B26:F28)-C28))*M25)+((SUM(B28:F28)-C28)*M25),(SUM(B28:F28)-C28)*M25),IF(SUM(B26:F28)&gt;(L42*3),L42*M25,SUM(B28:F28)*M25)),2)</f>
        <v>0</v>
      </c>
      <c r="N28" s="76">
        <f>ROUND(IF(SUM(B26:F27)&lt;(L42*2),IF((SUM(B26:F28))&gt;(L42*3),(((L42*3)-(SUM(B26:F28)-C27))*N25)+((SUM(B28:F28)-C27)*N25),SUM(B28:F28)*N25),IF(SUM(B26:F28)&gt;(L42*3),L42*N25,SUM(B28:F28)*N25)),2)</f>
        <v>0</v>
      </c>
      <c r="O28" s="23">
        <f>ROUND(SUM(B28+C28+F28)*O25,2)</f>
        <v>0</v>
      </c>
      <c r="P28" s="27">
        <f t="shared" ref="P28:P37" si="3">SUM(G28:O28)</f>
        <v>0</v>
      </c>
    </row>
    <row r="29" spans="1:16" x14ac:dyDescent="0.2">
      <c r="A29" s="100" t="str">
        <f>'päd.Personal - Leitung'!$A$29</f>
        <v>Apr 2022</v>
      </c>
      <c r="B29" s="24">
        <f>ROUND(IF(N9=0,0,IFERROR(((LOOKUP(2,1/(A14:A17=A29),G14:G17))*N9*4.348),B28/N9*N9)),2)</f>
        <v>0</v>
      </c>
      <c r="C29" s="23">
        <f>ROUND(IFERROR(((LOOKUP(2,1/(B19=A29),((SUM(B32:B34)+SUM(F32:F34))/3)*C19))),0)+IFERROR(((LOOKUP(2,1/(E19=A29),(B38+F38)*F19))),0),2)</f>
        <v>0</v>
      </c>
      <c r="D29" s="23">
        <f>ROUND(IF(B29=0,0,D25/L7*N9),2)</f>
        <v>0</v>
      </c>
      <c r="E29" s="23">
        <f>ROUND(IF(B29=0,0,E25/N3*N9),2)</f>
        <v>0</v>
      </c>
      <c r="F29" s="24">
        <f>ROUND(IF(N9=0,0,IFERROR(((LOOKUP(2,1/(A14:A17=A29),H14:H17))/N3*N9),F28/N9*N9)),2)</f>
        <v>0</v>
      </c>
      <c r="G29" s="27">
        <f t="shared" si="2"/>
        <v>0</v>
      </c>
      <c r="H29" s="76">
        <f>ROUND(IF(SUM(B26:F28)&lt;(L41*3),IF((SUM(B26:F29))&gt;(L41*4),(((L41*4)-(SUM(B26:F29)-C28))*H25)+((SUM(B29:F29)-C28)*H25),SUM(B29:F29)*H25),IF(SUM(B26:F29)&gt;(L41*4),L41*H25,SUM(B29:F29)*H25)),2)</f>
        <v>0</v>
      </c>
      <c r="I29" s="76">
        <f>ROUND(IF(SUM(B26:F28)&lt;(L42*3),IF((SUM(B26:F29))&gt;(L42*4),(((L42*4)-(SUM(B26:F29)-C28))*I25)+((SUM(B29:F29)-C28)*I25),SUM(B29:F29)*I25),IF(SUM(B26:F29)&gt;(L42*4),L42*I25,SUM(B29:F29)*I25)),2)</f>
        <v>0</v>
      </c>
      <c r="J29" s="76">
        <f>ROUND(IF(SUM(B26:F28)&lt;(L42*3),IF((SUM(B26:F29))&gt;(L42*4),(((L42*4)-(SUM(B26:F29)-C28))*J25)+((SUM(B29:F29)-C28)*J25),SUM(B29:F29)*J25),IF(SUM(B26:F29)&gt;(L42*4),L42*J25,SUM(B29:F29)*J25)),2)</f>
        <v>0</v>
      </c>
      <c r="K29" s="76">
        <f>ROUND(IF(SUM(B26:F28)&lt;(L41*3),IF((SUM(B26:F29))&gt;(L41*4),(((L41*4)-(SUM(B26:F29)-C28))*K25)+((SUM(B29:F29)-C28)*K25),SUM(B29:F29)*K25),IF(SUM(B26:F29)&gt;(L41*4),L41*K25,SUM(B29:F29)*K25)),2)</f>
        <v>0</v>
      </c>
      <c r="L29" s="76">
        <f>ROUND(IF(SUM(B26:F28)&lt;(L42*3),IF((SUM(B26:F29))&gt;(L42*4),(((L42*4)-(SUM(B26:F29)-C29))*L25)+((SUM(B29:F29)-C29)*L25),(SUM(B29:F29)-C29)*L25),IF(SUM(B26:F29)&gt;(L42*4),L42*L25,SUM(B29:F29)*L25)),2)</f>
        <v>0</v>
      </c>
      <c r="M29" s="76">
        <f>ROUND(IF(SUM(B26:F28)&lt;(L42*3),IF((SUM(B26:F29))&gt;(L42*4),(((L42*4)-(SUM(B26:F29)-C29))*M25)+((SUM(B29:F29)-C29)*M25),(SUM(B29:F29)-C29)*M25),IF(SUM(B26:F29)&gt;(L42*4),L42*M25,SUM(B29:F29)*M25)),2)</f>
        <v>0</v>
      </c>
      <c r="N29" s="76">
        <f>ROUND(IF(SUM(B26:F28)&lt;(L42*3),IF((SUM(B26:F29))&gt;(L42*4),(((L42*4)-(SUM(B26:F29)-C28))*N25)+((SUM(B29:F29)-C28)*N25),SUM(B29:F29)*N25),IF(SUM(B26:F29)&gt;(L42*4),L42*N25,SUM(B29:F29)*N25)),2)</f>
        <v>0</v>
      </c>
      <c r="O29" s="23">
        <f>ROUND(SUM(B29+C29+F29)*O25,2)</f>
        <v>0</v>
      </c>
      <c r="P29" s="27">
        <f t="shared" si="3"/>
        <v>0</v>
      </c>
    </row>
    <row r="30" spans="1:16" x14ac:dyDescent="0.2">
      <c r="A30" s="100" t="str">
        <f>'päd.Personal - Leitung'!$A$30</f>
        <v>Mai 2022</v>
      </c>
      <c r="B30" s="24">
        <f>ROUND(IF(N10=0,0,IFERROR(((LOOKUP(2,1/(A14:A17=A30),G14:G17))*N10*4.348),B29/N10*N10)),2)</f>
        <v>0</v>
      </c>
      <c r="C30" s="23">
        <f>ROUND(IFERROR(((LOOKUP(2,1/(B19=A30),((SUM(B32:B34)+SUM(F32:F34))/3)*C19))),0)+IFERROR(((LOOKUP(2,1/(E19=A30),(B38+F38)*F19))),0),2)</f>
        <v>0</v>
      </c>
      <c r="D30" s="23">
        <f>ROUND(IF(B30=0,0,D25/L7*N10),2)</f>
        <v>0</v>
      </c>
      <c r="E30" s="23">
        <f>ROUND(IF(B30=0,0,E25/N3*N10),2)</f>
        <v>0</v>
      </c>
      <c r="F30" s="24">
        <f>ROUND(IF(N10=0,0,IFERROR(((LOOKUP(2,1/(A14:A17=A30),H14:H17))/N3*N10),F29/N10*N10)),2)</f>
        <v>0</v>
      </c>
      <c r="G30" s="27">
        <f t="shared" si="2"/>
        <v>0</v>
      </c>
      <c r="H30" s="76">
        <f>ROUND(IF(SUM(B26:F29)&lt;(L41*4),IF((SUM(B26:F30))&gt;(L41*5),(((L41*5)-(SUM(B26:F30)-C29))*H25)+((SUM(B30:F30)-C29)*H25),SUM(B30:F30)*H25),IF(SUM(B26:F30)&gt;(L41*5),L41*H25,SUM(B30:F30)*H25)),2)</f>
        <v>0</v>
      </c>
      <c r="I30" s="76">
        <f>ROUND(IF(SUM(B26:F29)&lt;(L42*4),IF((SUM(B26:F30))&gt;(L42*5),(((L42*5)-(SUM(B26:F30)-C29))*I25)+((SUM(B30:F30)-C29)*I25),SUM(B30:F30)*I25),IF(SUM(B26:F30)&gt;(L42*5),L42*I25,SUM(B30:F30)*I25)),2)</f>
        <v>0</v>
      </c>
      <c r="J30" s="76">
        <f>ROUND(IF(SUM(B26:F29)&lt;(L42*4),IF((SUM(B26:F30))&gt;(L42*5),(((L42*5)-(SUM(B26:F30)-C29))*J25)+((SUM(B30:F30)-C29)*J25),SUM(B30:F30)*J25),IF(SUM(B26:F30)&gt;(L42*5),L42*J25,SUM(B30:F30)*J25)),2)</f>
        <v>0</v>
      </c>
      <c r="K30" s="76">
        <f>ROUND(IF(SUM(B26:F29)&lt;(L41*4),IF((SUM(B26:F30))&gt;(L41*5),(((L41*5)-(SUM(B26:F30)-C29))*K25)+((SUM(B30:F30)-C29)*K25),SUM(B30:F30)*K25),IF(SUM(B26:F30)&gt;(L41*5),L41*K25,SUM(B30:F30)*K25)),2)</f>
        <v>0</v>
      </c>
      <c r="L30" s="76">
        <f>ROUND(IF(SUM(B26:F29)&lt;(L42*4),IF((SUM(B26:F30))&gt;(L42*5),(((L42*5)-(SUM(B26:F30)-C30))*L25)+((SUM(B30:F30)-C30)*L25),(SUM(B30:F30)-C30)*L25),IF(SUM(B26:F30)&gt;(L42*5),L42*L25,SUM(B30:F30)*L25)),2)</f>
        <v>0</v>
      </c>
      <c r="M30" s="76">
        <f>ROUND(IF(SUM(B26:F29)&lt;(L42*4),IF((SUM(B26:F30))&gt;(L42*5),(((L42*5)-(SUM(B26:F30)-C30))*M25)+((SUM(B30:F30)-C30)*M25),(SUM(B30:F30)-C30)*M25),IF(SUM(B26:F30)&gt;(L42*5),L42*M25,SUM(B30:F30)*M25)),2)</f>
        <v>0</v>
      </c>
      <c r="N30" s="76">
        <f>ROUND(IF(SUM(B26:F29)&lt;(L42*4),IF((SUM(B26:F30))&gt;(L42*5),(((L42*5)-(SUM(B26:F30)-C29))*N25)+((SUM(B30:F30)-C29)*N25),SUM(B30:F30)*N25),IF(SUM(B26:F30)&gt;(L42*5),L42*N25,SUM(B30:F30)*N25)),2)</f>
        <v>0</v>
      </c>
      <c r="O30" s="23">
        <f>ROUND(SUM(B30+C30+F30)*O25,2)</f>
        <v>0</v>
      </c>
      <c r="P30" s="27">
        <f t="shared" si="3"/>
        <v>0</v>
      </c>
    </row>
    <row r="31" spans="1:16" x14ac:dyDescent="0.2">
      <c r="A31" s="100" t="str">
        <f>'päd.Personal - Leitung'!$A$31</f>
        <v>Jun 2022</v>
      </c>
      <c r="B31" s="24">
        <f>ROUND(IF(N11=0,0,IFERROR(((LOOKUP(2,1/(A14:A17=A31),G14:G17))*N11*4.348),B30/N11*N11)),2)</f>
        <v>0</v>
      </c>
      <c r="C31" s="23">
        <f>ROUND(IFERROR(((LOOKUP(2,1/(B19=A31),((SUM(B32:B34)+SUM(F32:F34))/3)*C19))),0)+IFERROR(((LOOKUP(2,1/(E19=A31),(B38+F38)*F19))),0),2)</f>
        <v>0</v>
      </c>
      <c r="D31" s="23">
        <f>ROUND(IF(B31=0,0,D25/L7*N11),2)</f>
        <v>0</v>
      </c>
      <c r="E31" s="23">
        <f>ROUND(IF(B31=0,0,E25/N3*N11),2)</f>
        <v>0</v>
      </c>
      <c r="F31" s="24">
        <f>ROUND(IF(N11=0,0,IFERROR(((LOOKUP(2,1/(A14:A17=A31),H14:H17))/N3*N11),F30/N11*N11)),2)</f>
        <v>0</v>
      </c>
      <c r="G31" s="27">
        <f t="shared" si="2"/>
        <v>0</v>
      </c>
      <c r="H31" s="76">
        <f>ROUND(IF(SUM(B26:F30)&lt;(L41*5),IF((SUM(B26:F31))&gt;(L41*6),(((L41*6)-(SUM(B26:F31)-C30))*H25)+((SUM(B31:F31)-C30)*H25),SUM(B31:F31)*H25),IF(SUM(B26:F31)&gt;(L41*6),L41*H25,SUM(B31:F31)*H25)),2)</f>
        <v>0</v>
      </c>
      <c r="I31" s="76">
        <f>ROUND(IF(SUM(B26:F30)&lt;(L42*5),IF((SUM(B26:F31))&gt;(L42*6),(((L42*6)-(SUM(B26:F31)-C30))*I25)+((SUM(B31:F31)-C30)*I25),SUM(B31:F31)*I25),IF(SUM(B26:F31)&gt;(L42*6),L42*I25,SUM(B31:F31)*I25)),2)</f>
        <v>0</v>
      </c>
      <c r="J31" s="76">
        <f>ROUND(IF(SUM(B26:F30)&lt;(L42*5),IF((SUM(B26:F31))&gt;(L42*6),(((L42*6)-(SUM(B26:F31)-C30))*J25)+((SUM(B31:F31)-C30)*J25),SUM(B31:F31)*J25),IF(SUM(B26:F31)&gt;(L42*6),L42*J25,SUM(B31:F31)*J25)),2)</f>
        <v>0</v>
      </c>
      <c r="K31" s="76">
        <f>ROUND(IF(SUM(B26:F30)&lt;(L41*5),IF((SUM(B26:F31))&gt;(L41*6),(((L41*6)-(SUM(B26:F31)-C30))*K25)+((SUM(B31:F31)-C30)*K25),SUM(B31:F31)*K25),IF(SUM(B26:F31)&gt;(L41*6),L41*K25,SUM(B31:F31)*K25)),2)</f>
        <v>0</v>
      </c>
      <c r="L31" s="76">
        <f>ROUND(IF(SUM(B26:F30)&lt;(L42*5),IF((SUM(B26:F31))&gt;(L42*6),(((L42*6)-(SUM(B26:F31)-C31))*L25)+((SUM(B31:F31)-C31)*L25),(SUM(B31:F31)-C31)*L25),IF(SUM(B26:F31)&gt;(L42*6),L42*L25,SUM(B31:F31)*L25)),2)</f>
        <v>0</v>
      </c>
      <c r="M31" s="76">
        <f>ROUND(IF(SUM(B26:F30)&lt;(L42*5),IF((SUM(B26:F31))&gt;(L42*6),(((L42*6)-(SUM(B26:F31)-C31))*M25)+((SUM(B31:F31)-C31)*M25),(SUM(B31:F31)-C31)*M25),IF(SUM(B26:F31)&gt;(L42*6),L42*M25,SUM(B31:F31)*M25)),2)</f>
        <v>0</v>
      </c>
      <c r="N31" s="76">
        <f>ROUND(IF(SUM(B26:F30)&lt;(L42*5),IF((SUM(B26:F31))&gt;(L42*6),(((L42*6)-(SUM(B26:F31)-C30))*N25)+((SUM(B31:F31)-C30)*N25),SUM(B31:F31)*N25),IF(SUM(B26:F31)&gt;(L42*6),L42*N25,SUM(B31:F31)*N25)),2)</f>
        <v>0</v>
      </c>
      <c r="O31" s="23">
        <f>ROUND(SUM(B31+C31+F31)*O25,2)</f>
        <v>0</v>
      </c>
      <c r="P31" s="27">
        <f t="shared" si="3"/>
        <v>0</v>
      </c>
    </row>
    <row r="32" spans="1:16" x14ac:dyDescent="0.2">
      <c r="A32" s="100" t="str">
        <f>'päd.Personal - Leitung'!$A$32</f>
        <v>Jul 2022</v>
      </c>
      <c r="B32" s="24">
        <f>ROUND(IF(P6=0,0,IFERROR(((LOOKUP(2,1/(A14:A17=A32),G14:G17))*P6*4.348),B31/P6*P6)),2)</f>
        <v>0</v>
      </c>
      <c r="C32" s="23">
        <f>ROUND(IFERROR(((LOOKUP(2,1/(B19=A32),((SUM(B32:B34)+SUM(F32:F34))/3)*C19))),0)+IFERROR(((LOOKUP(2,1/(E19=A32),(B38+F38)*F19))),0),2)</f>
        <v>0</v>
      </c>
      <c r="D32" s="23">
        <f>ROUND(IF(B32=0,0,D25/L7*P6),2)</f>
        <v>0</v>
      </c>
      <c r="E32" s="23">
        <f>ROUND(IF(B32=0,0,E25/N3*P6),2)</f>
        <v>0</v>
      </c>
      <c r="F32" s="24">
        <f>ROUND(IF(P6=0,0,IFERROR(((LOOKUP(2,1/(A14:A17=A32),H14:H17))/N3*P6),F31/P6*P6)),2)</f>
        <v>0</v>
      </c>
      <c r="G32" s="27">
        <f t="shared" si="2"/>
        <v>0</v>
      </c>
      <c r="H32" s="76">
        <f>ROUND(IF(SUM(B26:F31)&lt;(L41*6),IF((SUM(B26:F32))&gt;(L41*7),(((L41*7)-(SUM(B26:F32)-C31))*H25)+((SUM(B32:F32)-C31)*H25),SUM(B32:F32)*H25),IF(SUM(B26:F32)&gt;(L41*7),L41*H25,SUM(B32:F32)*H25)),2)</f>
        <v>0</v>
      </c>
      <c r="I32" s="76">
        <f>ROUND(IF(SUM(B26:F31)&lt;(L42*6),IF((SUM(B26:F32))&gt;(L42*7),(((L42*7)-(SUM(B26:F32)-C31))*I25)+((SUM(B32:F32)-C31)*I25),SUM(B32:F32)*I25),IF(SUM(B26:F32)&gt;(L42*7),L42*I25,SUM(B32:F32)*I25)),2)</f>
        <v>0</v>
      </c>
      <c r="J32" s="76">
        <f>ROUND(IF(SUM(B26:F31)&lt;(L42*6),IF((SUM(B26:F32))&gt;(L42*7),(((L42*7)-(SUM(B26:F32)-C31))*J25)+((SUM(B32:F32)-C31)*J25),SUM(B32:F32)*J25),IF(SUM(B26:F32)&gt;(L42*7),L42*J25,SUM(B32:F32)*J25)),2)</f>
        <v>0</v>
      </c>
      <c r="K32" s="76">
        <f>ROUND(IF(SUM(B26:F31)&lt;(L41*6),IF((SUM(B26:F32))&gt;(L41*7),(((L41*7)-(SUM(B26:F32)-C31))*K25)+((SUM(B32:F32)-C31)*K25),SUM(B32:F32)*K25),IF(SUM(B26:F32)&gt;(L41*7),L41*K25,SUM(B32:F32)*K25)),2)</f>
        <v>0</v>
      </c>
      <c r="L32" s="76">
        <f>ROUND(IF(SUM(B26:F31)&lt;(L42*6),IF((SUM(B26:F32))&gt;(L42*7),(((L42*7)-(SUM(B26:F32)-C32))*L25)+((SUM(B32:F32)-C32)*L25),(SUM(B32:F32)-C32)*L25),IF(SUM(B26:F32)&gt;(L42*7),L42*L25,SUM(B32:F32)*L25)),2)</f>
        <v>0</v>
      </c>
      <c r="M32" s="76">
        <f>ROUND(IF(SUM(B26:F31)&lt;(L42*6),IF((SUM(B26:F32))&gt;(L42*7),(((L42*7)-(SUM(B26:F32)-C32))*M25)+((SUM(B32:F32)-C32)*M25),(SUM(B32:F32)-C32)*M25),IF(SUM(B26:F32)&gt;(L42*7),L42*M25,SUM(B32:F32)*M25)),2)</f>
        <v>0</v>
      </c>
      <c r="N32" s="76">
        <f>ROUND(IF(SUM(B26:F31)&lt;(L42*6),IF((SUM(B26:F32))&gt;(L42*7),(((L42*7)-(SUM(B26:F32)-C31))*N25)+((SUM(B32:F32)-C31)*N25),SUM(B32:F32)*N25),IF(SUM(B26:F32)&gt;(L42*7),L42*N25,SUM(B32:F32)*N25)),2)</f>
        <v>0</v>
      </c>
      <c r="O32" s="23">
        <f>ROUND(SUM(B32+C32+F32)*O25,2)</f>
        <v>0</v>
      </c>
      <c r="P32" s="27">
        <f t="shared" si="3"/>
        <v>0</v>
      </c>
    </row>
    <row r="33" spans="1:16" x14ac:dyDescent="0.2">
      <c r="A33" s="100" t="str">
        <f>'päd.Personal - Leitung'!$A$33</f>
        <v>Aug 2022</v>
      </c>
      <c r="B33" s="24">
        <f>ROUND(IF(P7=0,0,IFERROR(((LOOKUP(2,1/(A14:A17=A33),G14:G17))*P7*4.348),B32/P7*P7)),2)</f>
        <v>0</v>
      </c>
      <c r="C33" s="23">
        <f>ROUND(IFERROR(((LOOKUP(2,1/(B19=A33),((SUM(B32:B34)+SUM(F32:F34))/3)*C19))),0)+IFERROR(((LOOKUP(2,1/(E19=A33),(B38+F38)*F19))),0),2)</f>
        <v>0</v>
      </c>
      <c r="D33" s="23">
        <f>ROUND(IF(B33=0,0,D25/L7*P7),2)</f>
        <v>0</v>
      </c>
      <c r="E33" s="23">
        <f>ROUND(IF(B33=0,0,E25/N3*P7),2)</f>
        <v>0</v>
      </c>
      <c r="F33" s="24">
        <f>ROUND(IF(P7=0,0,IFERROR(((LOOKUP(2,1/(A14:A17=A33),H14:H17))/N3*P7),F32/P7*P7)),2)</f>
        <v>0</v>
      </c>
      <c r="G33" s="27">
        <f t="shared" si="2"/>
        <v>0</v>
      </c>
      <c r="H33" s="76">
        <f>ROUND(IF(SUM(B26:F32)&lt;(L41*7),IF((SUM(B26:F33))&gt;(L41*8),(((L41*8)-(SUM(B26:F33)-C32))*H25)+((SUM(B33:F33)-C32)*H25),SUM(B33:F33)*H25),IF(SUM(B26:F33)&gt;(L41*8),L41*H25,SUM(B33:F33)*H25)),2)</f>
        <v>0</v>
      </c>
      <c r="I33" s="76">
        <f>ROUND(IF(SUM(B26:F32)&lt;(L42*7),IF((SUM(B26:F33))&gt;(L42*8),(((L42*8)-(SUM(B26:F33)-C32))*I25)+((SUM(B33:F33)-C32)*I25),SUM(B33:F33)*I25),IF(SUM(B26:F33)&gt;(L42*8),L42*I25,SUM(B33:F33)*I25)),2)</f>
        <v>0</v>
      </c>
      <c r="J33" s="76">
        <f>ROUND(IF(SUM(B26:F32)&lt;(L42*7),IF((SUM(B26:F33))&gt;(L42*8),(((L42*8)-(SUM(B26:F33)-C32))*J25)+((SUM(B33:F33)-C32)*J25),SUM(B33:F33)*J25),IF(SUM(B26:F33)&gt;(L42*8),L42*J25,SUM(B33:F33)*J25)),2)</f>
        <v>0</v>
      </c>
      <c r="K33" s="76">
        <f>ROUND(IF(SUM(B26:F32)&lt;(L41*7),IF((SUM(B26:F33))&gt;(L41*8),(((L41*8)-(SUM(B26:F33)-C32))*K25)+((SUM(B33:F33)-C32)*K25),SUM(B33:F33)*K25),IF(SUM(B26:F33)&gt;(L41*8),L41*K25,SUM(B33:F33)*K25)),2)</f>
        <v>0</v>
      </c>
      <c r="L33" s="76">
        <f>ROUND(IF(SUM(B26:F32)&lt;(L42*7),IF((SUM(B26:F33))&gt;(L42*8),(((L42*8)-(SUM(B26:F33)-C33))*L25)+((SUM(B33:F33)-C33)*L25),(SUM(B33:F33)-C33)*L25),IF(SUM(B26:F33)&gt;(L42*8),L42*L25,SUM(B33:F33)*L25)),2)</f>
        <v>0</v>
      </c>
      <c r="M33" s="76">
        <f>ROUND(IF(SUM(B26:F32)&lt;(L42*7),IF((SUM(B26:F33))&gt;(L42*8),(((L42*8)-(SUM(B26:F33)-C33))*M25)+((SUM(B33:F33)-C33)*M25),(SUM(B33:F33)-C33)*M25),IF(SUM(B26:F33)&gt;(L42*8),L42*M25,SUM(B33:F33)*M25)),2)</f>
        <v>0</v>
      </c>
      <c r="N33" s="76">
        <f>ROUND(IF(SUM(B26:F32)&lt;(L42*7),IF((SUM(B26:F33))&gt;(L42*8),(((L42*8)-(SUM(B26:F33)-C32))*N25)+((SUM(B33:F33)-C32)*N25),SUM(B33:F33)*N25),IF(SUM(B26:F33)&gt;(L42*8),L42*N25,SUM(B33:F33)*N25)),2)</f>
        <v>0</v>
      </c>
      <c r="O33" s="23">
        <f>ROUND(SUM(B33+C33+F33)*O25,2)</f>
        <v>0</v>
      </c>
      <c r="P33" s="27">
        <f t="shared" si="3"/>
        <v>0</v>
      </c>
    </row>
    <row r="34" spans="1:16" x14ac:dyDescent="0.2">
      <c r="A34" s="100" t="str">
        <f>'päd.Personal - Leitung'!$A$34</f>
        <v>Sep 2022</v>
      </c>
      <c r="B34" s="24">
        <f>ROUND(IF(P8=0,0,IFERROR(((LOOKUP(2,1/(A14:A17=A34),G14:G17))*P8*4.348),B33/P8*P8)),2)</f>
        <v>0</v>
      </c>
      <c r="C34" s="23">
        <f>ROUND(IFERROR(((LOOKUP(2,1/(B19=A34),((SUM(B32:B34)+SUM(F32:F34))/3)*C19))),0)+IFERROR(((LOOKUP(2,1/(E19=A34),(B38+F38)*F19))),0),2)</f>
        <v>0</v>
      </c>
      <c r="D34" s="23">
        <f>ROUND(IF(B34=0,0,D25/L7*P8),2)</f>
        <v>0</v>
      </c>
      <c r="E34" s="23">
        <f>ROUND(IF(B34=0,0,E25/N3*P8),2)</f>
        <v>0</v>
      </c>
      <c r="F34" s="24">
        <f>ROUND(IF(P8=0,0,IFERROR(((LOOKUP(2,1/(A14:A17=A34),H14:H17))/N3*P8),F33/P8*P8)),2)</f>
        <v>0</v>
      </c>
      <c r="G34" s="27">
        <f t="shared" si="2"/>
        <v>0</v>
      </c>
      <c r="H34" s="76">
        <f>ROUND(IF(SUM(B26:F33)&lt;(L41*8),IF((SUM(B26:F34))&gt;(L41*9),(((L41*9)-(SUM(B26:F34)-C33))*H25)+((SUM(B34:F34)-C33)*H25),SUM(B34:F34)*H25),IF(SUM(B26:F34)&gt;(L41*9),L41*H25,SUM(B34:F34)*H25)),2)</f>
        <v>0</v>
      </c>
      <c r="I34" s="76">
        <f>ROUND(IF(SUM(B26:F33)&lt;(L42*8),IF((SUM(B26:F34))&gt;(L42*9),(((L42*9)-(SUM(B26:F34)-C33))*I25)+((SUM(B34:F34)-C33)*I25),SUM(B34:F34)*I25),IF(SUM(B26:F34)&gt;(L42*9),L42*I25,SUM(B34:F34)*I25)),2)</f>
        <v>0</v>
      </c>
      <c r="J34" s="76">
        <f>ROUND(IF(SUM(B26:F33)&lt;(L42*8),IF((SUM(B26:F34))&gt;(L42*9),(((L42*9)-(SUM(B26:F34)-C33))*J25)+((SUM(B34:F34)-C33)*J25),SUM(B34:F34)*J25),IF(SUM(B26:F34)&gt;(L42*9),L42*J25,SUM(B34:F34)*J25)),2)</f>
        <v>0</v>
      </c>
      <c r="K34" s="76">
        <f>ROUND(IF(SUM(B26:F33)&lt;(L41*8),IF((SUM(B26:F34))&gt;(L41*9),(((L41*9)-(SUM(B26:F34)-C33))*K25)+((SUM(B34:F34)-C33)*K25),SUM(B34:F34)*K25),IF(SUM(B26:F34)&gt;(L41*9),L41*K25,SUM(B34:F34)*K25)),2)</f>
        <v>0</v>
      </c>
      <c r="L34" s="76">
        <f>ROUND(IF(SUM(B26:F33)&lt;(L42*8),IF((SUM(B26:F34))&gt;(L42*9),(((L42*9)-(SUM(B26:F34)-C34))*L25)+((SUM(B34:F34)-C34)*L25),(SUM(B34:F34)-C34)*L25),IF(SUM(B26:F34)&gt;(L42*9),L42*L25,SUM(B34:F34)*L25)),2)</f>
        <v>0</v>
      </c>
      <c r="M34" s="76">
        <f>ROUND(IF(SUM(B26:F33)&lt;(L42*8),IF((SUM(B26:F34))&gt;(L42*9),(((L42*9)-(SUM(B26:F34)-C34))*M25)+((SUM(B34:F34)-C34)*M25),(SUM(B34:F34)-C34)*M25),IF(SUM(B26:F34)&gt;(L42*9),L42*M25,SUM(B34:F34)*M25)),2)</f>
        <v>0</v>
      </c>
      <c r="N34" s="76">
        <f>ROUND(IF(SUM(B26:F33)&lt;(L42*8),IF((SUM(B26:F34))&gt;(L42*9),(((L42*9)-(SUM(B26:F34)-C33))*N25)+((SUM(B34:F34)-C33)*N25),SUM(B34:F34)*N25),IF(SUM(B26:F34)&gt;(L42*9),L42*N25,SUM(B34:F34)*N25)),2)</f>
        <v>0</v>
      </c>
      <c r="O34" s="23">
        <f>ROUND(SUM(B34+C34+F34)*O25,2)</f>
        <v>0</v>
      </c>
      <c r="P34" s="27">
        <f t="shared" si="3"/>
        <v>0</v>
      </c>
    </row>
    <row r="35" spans="1:16" x14ac:dyDescent="0.2">
      <c r="A35" s="100" t="str">
        <f>'päd.Personal - Leitung'!$A$35</f>
        <v>Okt 2022</v>
      </c>
      <c r="B35" s="24">
        <f>ROUND(IF(P9=0,0,IFERROR(((LOOKUP(2,1/(A14:A17=A35),G14:G17))*P9*4.348),B34/P9*P9)),2)</f>
        <v>0</v>
      </c>
      <c r="C35" s="23">
        <f>ROUND(IFERROR(((LOOKUP(2,1/(B19=A35),((SUM(B32:B34)+SUM(F32:F34))/3)*C19))),0)+IFERROR(((LOOKUP(2,1/(E19=A35),(B38+F38)*F19))),0),2)</f>
        <v>0</v>
      </c>
      <c r="D35" s="23">
        <f>ROUND(IF(B35=0,0,D25/L7*P9),2)</f>
        <v>0</v>
      </c>
      <c r="E35" s="23">
        <f>ROUND(IF(B35=0,0,E25/N3*P9),2)</f>
        <v>0</v>
      </c>
      <c r="F35" s="24">
        <f>ROUND(IF(P9=0,0,IFERROR(((LOOKUP(2,1/(A14:A17=A35),H14:H17))/N3*P9),F34/P9*P9)),2)</f>
        <v>0</v>
      </c>
      <c r="G35" s="27">
        <f t="shared" si="2"/>
        <v>0</v>
      </c>
      <c r="H35" s="76">
        <f>ROUND(IF(SUM(B26:F34)&lt;(L41*9),IF((SUM(B26:F35))&gt;(L41*10),(((L41*10)-(SUM(B26:F35)-C34))*H25)+((SUM(B35:F35)-C34)*H25),SUM(B35:F35)*H25),IF(SUM(B26:F35)&gt;(L41*10),L41*H25,SUM(B35:F35)*H25)),2)</f>
        <v>0</v>
      </c>
      <c r="I35" s="76">
        <f>ROUND(IF(SUM(B26:F34)&lt;(L42*9),IF((SUM(B26:F35))&gt;(L42*10),(((L42*10)-(SUM(B26:F35)-C34))*I25)+((SUM(B35:F35)-C34)*I25),SUM(B35:F35)*I25),IF(SUM(B26:F35)&gt;(L42*10),L42*I25,SUM(B35:F35)*I25)),2)</f>
        <v>0</v>
      </c>
      <c r="J35" s="76">
        <f>ROUND(IF(SUM(B26:F34)&lt;(L42*9),IF((SUM(B26:F35))&gt;(L42*10),(((L42*10)-(SUM(B26:F35)-C34))*J25)+((SUM(B35:F35)-C34)*J25),SUM(B35:F35)*J25),IF(SUM(B26:F35)&gt;(L42*10),L42*J25,SUM(B35:F35)*J25)),2)</f>
        <v>0</v>
      </c>
      <c r="K35" s="76">
        <f>ROUND(IF(SUM(B26:F34)&lt;(L41*9),IF((SUM(B26:F35))&gt;(L41*10),(((L41*10)-(SUM(B26:F35)-C34))*K25)+((SUM(B35:F35)-C34)*K25),SUM(B35:F35)*K25),IF(SUM(B26:F35)&gt;(L41*10),L41*K25,SUM(B35:F35)*K25)),2)</f>
        <v>0</v>
      </c>
      <c r="L35" s="76">
        <f>ROUND(IF(SUM(B26:F34)&lt;(L42*9),IF((SUM(B26:F35))&gt;(L42*10),(((L42*10)-(SUM(B26:F35)-C35))*L25)+((SUM(B35:F35)-C35)*L25),(SUM(B35:F35)-C35)*L25),IF(SUM(B26:F35)&gt;(L42*10),L42*L25,SUM(B35:F35)*L25)),2)</f>
        <v>0</v>
      </c>
      <c r="M35" s="76">
        <f>ROUND(IF(SUM(B26:F34)&lt;(L42*9),IF((SUM(B26:F35))&gt;(L42*10),(((L42*10)-(SUM(B26:F35)-C35))*M25)+((SUM(B35:F35)-C35)*M25),(SUM(B35:F35)-C35)*M25),IF(SUM(B26:F35)&gt;(L42*10),L42*M25,SUM(B35:F35)*M25)),2)</f>
        <v>0</v>
      </c>
      <c r="N35" s="76">
        <f>ROUND(IF(SUM(B26:F34)&lt;(L42*9),IF((SUM(B26:F35))&gt;(L42*10),(((L42*10)-(SUM(B26:F35)-C34))*N25)+((SUM(B35:F35)-C34)*N25),SUM(B35:F35)*N25),IF(SUM(B26:F35)&gt;(L42*10),L42*N25,SUM(B35:F35)*N25)),2)</f>
        <v>0</v>
      </c>
      <c r="O35" s="23">
        <f>ROUND(SUM(B35+C35+F35)*O25,2)</f>
        <v>0</v>
      </c>
      <c r="P35" s="27">
        <f t="shared" si="3"/>
        <v>0</v>
      </c>
    </row>
    <row r="36" spans="1:16" x14ac:dyDescent="0.2">
      <c r="A36" s="100" t="str">
        <f>'päd.Personal - Leitung'!$A$36</f>
        <v>Nov 2022</v>
      </c>
      <c r="B36" s="24">
        <f>ROUND(IF(P10=0,0,IFERROR(((LOOKUP(2,1/(A14:A17=A36),G14:G17))*P10*4.348),B35/P10*P10)),2)</f>
        <v>0</v>
      </c>
      <c r="C36" s="23">
        <f>ROUND(IFERROR(((LOOKUP(2,1/(B19=A36),((SUM(B32:B34)+SUM(F32:F34))/3)*C19))),0)+IFERROR(((LOOKUP(2,1/(E19=A36),(B38+F38)*F19))),0),2)</f>
        <v>0</v>
      </c>
      <c r="D36" s="23">
        <f>ROUND(IF(B36=0,0,D25/L7*P10),2)</f>
        <v>0</v>
      </c>
      <c r="E36" s="23">
        <f>ROUND(IF(B36=0,0,E25/N3*P10),2)</f>
        <v>0</v>
      </c>
      <c r="F36" s="24">
        <f>ROUND(IF(P10=0,0,IFERROR(((LOOKUP(2,1/(A14:A17=A36),H14:H17))/N3*P10),F35/P10*P10)),2)</f>
        <v>0</v>
      </c>
      <c r="G36" s="27">
        <f t="shared" si="2"/>
        <v>0</v>
      </c>
      <c r="H36" s="76">
        <f>ROUND(IF(SUM(B26:F35)&lt;(L41*10),IF((SUM(B26:F36))&gt;(L41*11),(((L41*11)-(SUM(B26:F36)-C35))*H25)+((SUM(B36:F36)-C35)*H25),SUM(B36:F36)*H25),IF(SUM(B26:F36)&gt;(L41*11),L41*H25,SUM(B36:F36)*H25)),2)</f>
        <v>0</v>
      </c>
      <c r="I36" s="76">
        <f>ROUND(IF(SUM(B26:F35)&lt;(L42*10),IF((SUM(B26:F36))&gt;(L42*11),(((L42*11)-(SUM(B26:F36)-C35))*I25)+((SUM(B36:F36)-C35)*I25),SUM(B36:F36)*I25),IF(SUM(B26:F36)&gt;(L42*11),L42*I25,SUM(B36:F36)*I25)),2)</f>
        <v>0</v>
      </c>
      <c r="J36" s="76">
        <f>ROUND(IF(SUM(B26:F35)&lt;(L42*10),IF((SUM(B26:F36))&gt;(L42*11),(((L42*11)-(SUM(B26:F36)-C35))*J25)+((SUM(B36:F36)-C35)*J25),SUM(B36:F36)*J25),IF(SUM(B26:F36)&gt;(L42*11),L42*J25,SUM(B36:F36)*J25)),2)</f>
        <v>0</v>
      </c>
      <c r="K36" s="76">
        <f>ROUND(IF(SUM(B26:F35)&lt;(L41*10),IF((SUM(B26:F36))&gt;(L41*11),(((L41*11)-(SUM(B26:F36)-C35))*K25)+((SUM(B36:F36)-C35)*K25),SUM(B36:F36)*K25),IF(SUM(B26:F36)&gt;(L41*11),L41*K25,SUM(B36:F36)*K25)),2)</f>
        <v>0</v>
      </c>
      <c r="L36" s="76">
        <f>ROUND(IF(SUM(B26:F35)&lt;(L42*10),IF((SUM(B26:F36))&gt;(L42*11),(((L42*11)-(SUM(B26:F36)-C36))*L25)+((SUM(B36:F36)-C36)*L25),(SUM(B36:F36)-C36)*L25),IF(SUM(B26:F36)&gt;(L42*11),L42*L25,SUM(B36:F36)*L25)),2)</f>
        <v>0</v>
      </c>
      <c r="M36" s="76">
        <f>ROUND(IF(SUM(B26:F35)&lt;(L42*10),IF((SUM(B26:F36))&gt;(L42*11),(((L42*11)-(SUM(B26:F36)-C36))*M25)+((SUM(B36:F36)-C36)*M25),(SUM(B36:F36)-C36)*M25),IF(SUM(B26:F36)&gt;(L42*11),L42*M25,SUM(B36:F36)*M25)),2)</f>
        <v>0</v>
      </c>
      <c r="N36" s="76">
        <f>ROUND(IF(SUM(B26:F35)&lt;(L42*10),IF((SUM(B26:F36))&gt;(L42*11),(((L42*11)-(SUM(B26:F36)-C35))*N25)+((SUM(B36:F36)-C35)*N25),SUM(B36:F36)*N25),IF(SUM(B26:F36)&gt;(L42*11),L42*N25,SUM(B36:F36)*N25)),2)</f>
        <v>0</v>
      </c>
      <c r="O36" s="23">
        <f>ROUND(SUM(B36+C36+F36)*O25,2)</f>
        <v>0</v>
      </c>
      <c r="P36" s="27">
        <f t="shared" si="3"/>
        <v>0</v>
      </c>
    </row>
    <row r="37" spans="1:16" x14ac:dyDescent="0.2">
      <c r="A37" s="100" t="str">
        <f>'päd.Personal - Leitung'!$A$37</f>
        <v>Dez 2022</v>
      </c>
      <c r="B37" s="24">
        <f>ROUND(IF(P11=0,0,IFERROR(((LOOKUP(2,1/(A14:A17=A37),G14:G17))*P11*4.348),B36/P11*P11)),2)</f>
        <v>0</v>
      </c>
      <c r="C37" s="23">
        <f>ROUND(IFERROR(((LOOKUP(2,1/(B19=A37),((SUM(B32:B34)+SUM(F32:F34))/3)*C19))),0)+IFERROR(((LOOKUP(2,1/(E19=A37),(B38+F38)*F19))),0),2)</f>
        <v>0</v>
      </c>
      <c r="D37" s="23">
        <f>ROUND(IF(B37=0,0,D25/L7*P11),2)</f>
        <v>0</v>
      </c>
      <c r="E37" s="23">
        <f>ROUND(IF(B37=0,0,E25/N3*P11),2)</f>
        <v>0</v>
      </c>
      <c r="F37" s="24">
        <f>ROUND(IF(P11=0,0,IFERROR(((LOOKUP(2,1/(A14:A17=A37),H14:H17))/N3*P11),F36/P11*P11)),2)</f>
        <v>0</v>
      </c>
      <c r="G37" s="27">
        <f t="shared" si="2"/>
        <v>0</v>
      </c>
      <c r="H37" s="76">
        <f>ROUND(IF(SUM(B26:F36)&lt;(L41*11),IF((SUM(B26:F37))&gt;(L41*12),(((L41*12)-(SUM(B26:F37)-C36))*H25)+((SUM(B37:F37)-C36)*H25),SUM(B37:F37)*H25),IF(SUM(B26:F37)&gt;(L41*12),L41*H25,SUM(B37:F37)*H25)),2)</f>
        <v>0</v>
      </c>
      <c r="I37" s="76">
        <f>ROUND(IF(SUM(B26:F36)&lt;(L42*11),IF((SUM(B26:F37))&gt;(L42*12),(((L42*12)-(SUM(B26:F37)-C36))*I25)+((SUM(B37:F37)-C36)*I25),SUM(B37:F37)*I25),IF(SUM(B26:F37)&gt;(L42*12),L42*I25,SUM(B37:F37)*I25)),2)</f>
        <v>0</v>
      </c>
      <c r="J37" s="76">
        <f>ROUND(IF(SUM(B26:F36)&lt;(L42*11),IF((SUM(B26:F37))&gt;(L42*12),(((L42*12)-(SUM(B26:F37)-C36))*J25)+((SUM(B37:F37)-C36)*J25),SUM(B37:F37)*J25),IF(SUM(B26:F37)&gt;(L42*12),L42*J25,SUM(B37:F37)*J25)),2)</f>
        <v>0</v>
      </c>
      <c r="K37" s="76">
        <f>ROUND(IF(SUM(B26:F36)&lt;(L41*11),IF((SUM(B26:F37))&gt;(L41*12),(((L41*12)-(SUM(B26:F37)-C36))*K25)+((SUM(B37:F37)-C36)*K25),SUM(B37:F37)*K25),IF(SUM(B26:F37)&gt;(L41*12),L41*K25,SUM(B37:F37)*K25)),2)</f>
        <v>0</v>
      </c>
      <c r="L37" s="76">
        <f>ROUND(IF(SUM(B26:F36)&lt;(L42*11),IF((SUM(B26:F37))&gt;(L42*12),(((L42*12)-(SUM(B26:F37)-C37))*L25)+((SUM(B37:F37)-C37)*L25),(SUM(B37:F37)-C37)*L25),IF(SUM(B26:F37)&gt;(L42*12),L42*L25,SUM(B37:F37)*L25)),2)</f>
        <v>0</v>
      </c>
      <c r="M37" s="76">
        <f>ROUND(IF(SUM(B26:F36)&lt;(L42*11),IF((SUM(B26:F37))&gt;(L42*12),(((L42*12)-(SUM(B26:F37)-C37))*M25)+((SUM(B37:F37)-C37)*M25),(SUM(B37:F37)-C37)*M25),IF(SUM(B26:F37)&gt;(L42*12),L42*M25,SUM(B37:F37)*M25)),2)</f>
        <v>0</v>
      </c>
      <c r="N37" s="76">
        <f>ROUND(IF(SUM(B26:F36)&lt;(L42*11),IF((SUM(B26:F37))&gt;(L42*12),(((L42*12)-(SUM(B26:F37)-C36))*N25)+((SUM(B37:F37)-C36)*N25),SUM(B37:F37)*N25),IF(SUM(B26:F37)&gt;(L42*12),L42*N25,SUM(B37:F37)*N25)),2)</f>
        <v>0</v>
      </c>
      <c r="O37" s="23">
        <f>ROUND(SUM(B37+C37+F37)*O25,2)</f>
        <v>0</v>
      </c>
      <c r="P37" s="27">
        <f t="shared" si="3"/>
        <v>0</v>
      </c>
    </row>
    <row r="38" spans="1:16" s="14" customFormat="1" ht="15" x14ac:dyDescent="0.25">
      <c r="A38" s="4" t="s">
        <v>2</v>
      </c>
      <c r="B38" s="27">
        <f>SUM(B26:B37)</f>
        <v>0</v>
      </c>
      <c r="C38" s="27">
        <f t="shared" ref="C38:D38" si="4">SUM(C26:C37)</f>
        <v>0</v>
      </c>
      <c r="D38" s="27">
        <f t="shared" si="4"/>
        <v>0</v>
      </c>
      <c r="E38" s="27">
        <f>SUM(E26:E37)</f>
        <v>0</v>
      </c>
      <c r="F38" s="27">
        <f>SUM(F26:F37)</f>
        <v>0</v>
      </c>
      <c r="G38" s="27">
        <f>SUM(G26:G37)</f>
        <v>0</v>
      </c>
      <c r="H38" s="1133">
        <f>SUM(H26:N37)</f>
        <v>0</v>
      </c>
      <c r="I38" s="1134"/>
      <c r="J38" s="1134"/>
      <c r="K38" s="1134"/>
      <c r="L38" s="1134"/>
      <c r="M38" s="1134"/>
      <c r="N38" s="1135"/>
      <c r="O38" s="27">
        <f>SUM(O26:O37)</f>
        <v>0</v>
      </c>
      <c r="P38" s="27">
        <f>SUM(P26:P37)</f>
        <v>0</v>
      </c>
    </row>
    <row r="39" spans="1:16" s="13" customFormat="1" ht="11.25" x14ac:dyDescent="0.2">
      <c r="A39" s="3" t="s">
        <v>1</v>
      </c>
      <c r="B39" s="2"/>
      <c r="C39" s="2"/>
      <c r="D39" s="2"/>
      <c r="E39" s="2"/>
      <c r="F39" s="2"/>
      <c r="G39" s="2"/>
      <c r="H39" s="2"/>
      <c r="I39" s="2"/>
      <c r="J39" s="2"/>
      <c r="K39" s="2"/>
      <c r="L39" s="2"/>
      <c r="M39" s="2"/>
      <c r="N39" s="2"/>
      <c r="O39" s="2"/>
      <c r="P39" s="2"/>
    </row>
    <row r="40" spans="1:16" ht="14.25" customHeight="1" x14ac:dyDescent="0.2">
      <c r="A40" s="1136" t="s">
        <v>133</v>
      </c>
      <c r="B40" s="1137"/>
      <c r="C40" s="1137"/>
      <c r="D40" s="1137" t="s">
        <v>134</v>
      </c>
      <c r="E40" s="1137"/>
      <c r="F40" s="94" t="str">
        <f>IF(IF(G38=0,"",'techn.Personal - Hausmeister'!$F$40)=0,"",IF(G38=0,"",'techn.Personal - Hausmeister'!$F$40))</f>
        <v/>
      </c>
      <c r="G40" s="77" t="s">
        <v>135</v>
      </c>
      <c r="H40" s="96" t="str">
        <f>IF(IF(G38=0,"",'techn.Personal - Hausmeister'!$H$40)=0,"",IF(G38=0,"",'techn.Personal - Hausmeister'!$H$40))</f>
        <v/>
      </c>
      <c r="I40" s="73"/>
      <c r="J40" s="194" t="s">
        <v>160</v>
      </c>
      <c r="K40" s="194" t="str">
        <f>'päd.Personal - Leitung'!$K$40</f>
        <v>2021</v>
      </c>
      <c r="L40" s="194" t="str">
        <f>'päd.Personal - Leitung'!$L$40</f>
        <v>anteilig 2021</v>
      </c>
      <c r="M40" s="1138" t="s">
        <v>140</v>
      </c>
      <c r="N40" s="1138"/>
      <c r="O40" s="1139"/>
      <c r="P40" s="27">
        <f>ROUND(IF(F40="",IF(E44="",0,(E44*H44/K44)/L7*L8),G38*F40*H40/1000),2)</f>
        <v>0</v>
      </c>
    </row>
    <row r="41" spans="1:16" ht="15" customHeight="1" x14ac:dyDescent="0.2">
      <c r="A41" s="1140" t="s">
        <v>145</v>
      </c>
      <c r="B41" s="1141"/>
      <c r="C41" s="1141"/>
      <c r="D41" s="18"/>
      <c r="E41" s="107" t="s">
        <v>135</v>
      </c>
      <c r="F41" s="95" t="str">
        <f>IF(IF(G38=0,"",'techn.Personal - Hausmeister'!$F$41)=0,"",IF(G38=0,"",'techn.Personal - Hausmeister'!$F$41))</f>
        <v/>
      </c>
      <c r="G41" s="48"/>
      <c r="H41" s="47"/>
      <c r="I41" s="48"/>
      <c r="J41" s="195" t="s">
        <v>158</v>
      </c>
      <c r="K41" s="198">
        <f>'päd.Personal - Leitung'!$K$41</f>
        <v>4837.5</v>
      </c>
      <c r="L41" s="197">
        <f>IF(L7="",K41,K41/L7*L8)</f>
        <v>4837.5</v>
      </c>
      <c r="M41" s="1138" t="s">
        <v>139</v>
      </c>
      <c r="N41" s="1138"/>
      <c r="O41" s="1139"/>
      <c r="P41" s="27">
        <f>ROUND(IF(F41="",0,G38*F41/1000),2)</f>
        <v>0</v>
      </c>
    </row>
    <row r="42" spans="1:16" ht="15.75" customHeight="1" x14ac:dyDescent="0.2">
      <c r="A42" s="1142" t="s">
        <v>141</v>
      </c>
      <c r="B42" s="1143"/>
      <c r="C42" s="1143"/>
      <c r="D42" s="1144" t="s">
        <v>143</v>
      </c>
      <c r="E42" s="1144"/>
      <c r="F42" s="1145" t="str">
        <f>IF(IF(G38=0,"",'techn.Personal - Hausmeister'!$F$42)=0,"",IF(G38=0,"",'techn.Personal - Hausmeister'!$F$42))</f>
        <v/>
      </c>
      <c r="G42" s="1145"/>
      <c r="H42" s="72"/>
      <c r="I42" s="18"/>
      <c r="J42" s="195" t="s">
        <v>159</v>
      </c>
      <c r="K42" s="198">
        <f>'päd.Personal - Leitung'!$K$42</f>
        <v>6700</v>
      </c>
      <c r="L42" s="197">
        <f>IF(L7="",K42,K42/L7*L8)</f>
        <v>6700</v>
      </c>
      <c r="M42" s="1138" t="s">
        <v>141</v>
      </c>
      <c r="N42" s="1138"/>
      <c r="O42" s="1139"/>
      <c r="P42" s="23">
        <f>ROUND(IF(F42="",0,IF(G38=0,0,F42/L7*L8)),2)</f>
        <v>0</v>
      </c>
    </row>
    <row r="43" spans="1:16" ht="14.25" customHeight="1" x14ac:dyDescent="0.2">
      <c r="A43" s="18"/>
      <c r="B43" s="18"/>
      <c r="C43" s="18"/>
      <c r="D43" s="18"/>
      <c r="E43" s="18"/>
      <c r="F43" s="18"/>
      <c r="G43" s="18"/>
      <c r="H43" s="18"/>
      <c r="I43" s="18"/>
      <c r="J43" s="18"/>
      <c r="K43" s="74"/>
      <c r="L43" s="82"/>
      <c r="M43" s="1127" t="s">
        <v>146</v>
      </c>
      <c r="N43" s="1127"/>
      <c r="O43" s="1128"/>
      <c r="P43" s="23">
        <f>ROUND(IF(G38=0,0,'techn.Personal - Hausmeister'!P43),2)</f>
        <v>0</v>
      </c>
    </row>
    <row r="44" spans="1:16" ht="14.25" customHeight="1" x14ac:dyDescent="0.2">
      <c r="A44" s="1129" t="s">
        <v>142</v>
      </c>
      <c r="B44" s="1130"/>
      <c r="C44" s="148" t="s">
        <v>136</v>
      </c>
      <c r="D44" s="184" t="s">
        <v>137</v>
      </c>
      <c r="E44" s="1131" t="str">
        <f>IF(IF(G38=0,"",'techn.Personal - Hausmeister'!$E$44)=0,"",IF(G38=0,"",'techn.Personal - Hausmeister'!$E$44))</f>
        <v/>
      </c>
      <c r="F44" s="1131"/>
      <c r="G44" s="83" t="s">
        <v>138</v>
      </c>
      <c r="H44" s="97" t="str">
        <f>IF(IF(G38=0,"",'techn.Personal - Hausmeister'!$H$44)=0,"",IF(G38=0,"",'techn.Personal - Hausmeister'!$H$44))</f>
        <v/>
      </c>
      <c r="I44" s="1132" t="s">
        <v>144</v>
      </c>
      <c r="J44" s="1132"/>
      <c r="K44" s="98" t="str">
        <f>IF(IF(G38=0,"",'techn.Personal - Hausmeister'!$K$44)=0,"",IF(G38=0,"",'techn.Personal - Hausmeister'!$K$44))</f>
        <v/>
      </c>
      <c r="L44" s="29"/>
      <c r="M44" s="29"/>
      <c r="N44" s="29"/>
      <c r="O44" s="28" t="s">
        <v>0</v>
      </c>
      <c r="P44" s="27">
        <f>P38+SUM(P40:P43)</f>
        <v>0</v>
      </c>
    </row>
    <row r="45" spans="1:16" s="12" customFormat="1" ht="13.5" customHeight="1" x14ac:dyDescent="0.2">
      <c r="A45" s="1178" t="s">
        <v>18</v>
      </c>
      <c r="B45" s="1178"/>
      <c r="C45" s="1178"/>
      <c r="D45" s="1179" t="str">
        <f>IF($D$1="","",$D$1)</f>
        <v/>
      </c>
      <c r="E45" s="1179"/>
      <c r="F45" s="1179"/>
      <c r="G45" s="1179"/>
      <c r="H45" s="1179"/>
      <c r="I45" s="1179"/>
      <c r="J45" s="1179"/>
      <c r="K45" s="1179"/>
      <c r="L45" s="1179"/>
      <c r="M45" s="1179"/>
      <c r="N45" s="1179"/>
    </row>
    <row r="46" spans="1:16" s="12" customFormat="1" ht="15" customHeight="1" x14ac:dyDescent="0.2">
      <c r="A46" s="1178" t="s">
        <v>17</v>
      </c>
      <c r="B46" s="1178"/>
      <c r="C46" s="1178" t="s">
        <v>15</v>
      </c>
      <c r="D46" s="1179" t="str">
        <f>IF($D$2="","",$D$2)</f>
        <v/>
      </c>
      <c r="E46" s="1179"/>
      <c r="F46" s="1179"/>
      <c r="G46" s="1179"/>
      <c r="H46" s="1179"/>
      <c r="I46" s="1179"/>
      <c r="J46" s="1179"/>
      <c r="K46" s="1179"/>
      <c r="L46" s="1179"/>
      <c r="M46" s="1179"/>
      <c r="N46" s="1179"/>
    </row>
    <row r="47" spans="1:16" s="12" customFormat="1" ht="15" customHeight="1" x14ac:dyDescent="0.2">
      <c r="A47" s="1178" t="s">
        <v>16</v>
      </c>
      <c r="B47" s="1178"/>
      <c r="C47" s="1178" t="s">
        <v>15</v>
      </c>
      <c r="D47" s="1179" t="str">
        <f>IF($D$3="","",$D$3)</f>
        <v/>
      </c>
      <c r="E47" s="1179"/>
      <c r="F47" s="1179"/>
      <c r="G47" s="1179"/>
      <c r="H47" s="1179"/>
      <c r="I47" s="1179"/>
      <c r="J47" s="1179"/>
      <c r="K47" s="1178" t="s">
        <v>103</v>
      </c>
      <c r="L47" s="1178"/>
      <c r="M47" s="1178"/>
      <c r="N47" s="41" t="str">
        <f>IF($N$3="","",$N$3)</f>
        <v/>
      </c>
    </row>
    <row r="48" spans="1:16" s="13" customFormat="1" ht="11.25" x14ac:dyDescent="0.2">
      <c r="A48" s="1182"/>
      <c r="B48" s="1182"/>
      <c r="C48" s="1182"/>
      <c r="D48" s="1183"/>
      <c r="E48" s="1183"/>
      <c r="F48" s="1183"/>
      <c r="G48" s="1183"/>
      <c r="H48" s="1183"/>
      <c r="I48" s="1183"/>
      <c r="J48" s="1183"/>
      <c r="K48" s="11"/>
      <c r="L48" s="11"/>
      <c r="M48" s="11"/>
      <c r="N48" s="11"/>
      <c r="O48" s="11"/>
      <c r="P48" s="11"/>
    </row>
    <row r="49" spans="1:16" s="15" customFormat="1" ht="13.5" customHeight="1" x14ac:dyDescent="0.2">
      <c r="A49" s="1177" t="s">
        <v>227</v>
      </c>
      <c r="B49" s="1177"/>
      <c r="C49" s="1177"/>
      <c r="D49" s="1177"/>
      <c r="E49" s="1177"/>
      <c r="F49" s="1177"/>
      <c r="G49" s="1177"/>
      <c r="H49" s="1177"/>
      <c r="I49" s="1177"/>
      <c r="J49" s="1177"/>
      <c r="K49" s="9"/>
      <c r="L49" s="9"/>
      <c r="M49" s="9"/>
      <c r="N49" s="59" t="s">
        <v>154</v>
      </c>
      <c r="O49" s="191">
        <f>$O$5</f>
        <v>2022</v>
      </c>
      <c r="P49" s="59" t="s">
        <v>154</v>
      </c>
    </row>
    <row r="50" spans="1:16" s="10" customFormat="1" ht="13.5" customHeight="1" x14ac:dyDescent="0.25">
      <c r="B50" s="32"/>
      <c r="C50" s="32"/>
      <c r="D50" s="5" t="s">
        <v>229</v>
      </c>
      <c r="E50" s="31"/>
      <c r="F50" s="31"/>
      <c r="G50" s="31"/>
      <c r="H50" s="31"/>
      <c r="I50" s="26"/>
      <c r="J50" s="1174" t="s">
        <v>14</v>
      </c>
      <c r="K50" s="1174"/>
      <c r="L50" s="180"/>
      <c r="N50" s="84">
        <f>IF(L52="","",L52)</f>
        <v>0</v>
      </c>
      <c r="O50" s="58" t="str">
        <f>$O$6</f>
        <v>Jan                Jul</v>
      </c>
      <c r="P50" s="85">
        <f>IF(N55="","",N55)</f>
        <v>0</v>
      </c>
    </row>
    <row r="51" spans="1:16" s="7" customFormat="1" ht="13.5" customHeight="1" x14ac:dyDescent="0.25">
      <c r="A51" s="1180" t="s">
        <v>71</v>
      </c>
      <c r="B51" s="1180"/>
      <c r="C51" s="1180"/>
      <c r="D51" s="1184"/>
      <c r="E51" s="1184"/>
      <c r="F51" s="1184"/>
      <c r="G51" s="1184"/>
      <c r="H51" s="1184"/>
      <c r="I51" s="1184"/>
      <c r="J51" s="1174" t="s">
        <v>104</v>
      </c>
      <c r="K51" s="1174"/>
      <c r="L51" s="145"/>
      <c r="N51" s="85">
        <f>IF(N50="","",N50)</f>
        <v>0</v>
      </c>
      <c r="O51" s="58" t="str">
        <f>$O$7</f>
        <v>Feb              Aug</v>
      </c>
      <c r="P51" s="85">
        <f>IF(P50="","",P50)</f>
        <v>0</v>
      </c>
    </row>
    <row r="52" spans="1:16" ht="13.5" customHeight="1" x14ac:dyDescent="0.2">
      <c r="A52" s="1180" t="s">
        <v>13</v>
      </c>
      <c r="B52" s="1180"/>
      <c r="C52" s="1180"/>
      <c r="D52" s="1181"/>
      <c r="E52" s="1181"/>
      <c r="F52" s="1181"/>
      <c r="G52" s="1181"/>
      <c r="H52" s="1181"/>
      <c r="I52" s="1181"/>
      <c r="J52" s="1174" t="s">
        <v>222</v>
      </c>
      <c r="K52" s="1174"/>
      <c r="L52" s="145">
        <f>IF(L53&gt;L51,0,L51-L53)</f>
        <v>0</v>
      </c>
      <c r="N52" s="85">
        <f>IF(N51="","",N51)</f>
        <v>0</v>
      </c>
      <c r="O52" s="58" t="str">
        <f>$O$8</f>
        <v>Mrz              Sep</v>
      </c>
      <c r="P52" s="85">
        <f>IF(P51="","",P51)</f>
        <v>0</v>
      </c>
    </row>
    <row r="53" spans="1:16" ht="13.5" customHeight="1" x14ac:dyDescent="0.2">
      <c r="A53" s="1180" t="s">
        <v>12</v>
      </c>
      <c r="B53" s="1180"/>
      <c r="C53" s="1180"/>
      <c r="D53" s="1181"/>
      <c r="E53" s="1181"/>
      <c r="F53" s="1181"/>
      <c r="G53" s="1181"/>
      <c r="H53" s="1181"/>
      <c r="I53" s="1181"/>
      <c r="J53" s="1174" t="s">
        <v>223</v>
      </c>
      <c r="K53" s="1174"/>
      <c r="L53" s="145"/>
      <c r="N53" s="85">
        <f>IF(N52="","",N52)</f>
        <v>0</v>
      </c>
      <c r="O53" s="58" t="str">
        <f>$O$9</f>
        <v>Apr               Okt</v>
      </c>
      <c r="P53" s="85">
        <f t="shared" ref="P53:P55" si="5">IF(P52="","",P52)</f>
        <v>0</v>
      </c>
    </row>
    <row r="54" spans="1:16" ht="13.5" customHeight="1" x14ac:dyDescent="0.2">
      <c r="A54" s="1180" t="s">
        <v>19</v>
      </c>
      <c r="B54" s="1180"/>
      <c r="C54" s="1180"/>
      <c r="D54" s="1181"/>
      <c r="E54" s="1181"/>
      <c r="F54" s="1181"/>
      <c r="G54" s="1181"/>
      <c r="H54" s="1181"/>
      <c r="I54" s="1181"/>
      <c r="J54" s="1174" t="s">
        <v>97</v>
      </c>
      <c r="K54" s="1174"/>
      <c r="L54" s="17" t="str">
        <f>IF(IF((COUNTIF(B70:B81,"&gt;0"))=0,0,(COUNTIF(B70:B81,"&gt;0")))&gt;Grundlagen!$C$24,Grundlagen!$C$24,IF((COUNTIF(B70:B81,"&gt;0"))=0,"",(COUNTIF(B70:B81,"&gt;0"))))</f>
        <v/>
      </c>
      <c r="M54" s="92"/>
      <c r="N54" s="85">
        <f>IF(N53="","",N53)</f>
        <v>0</v>
      </c>
      <c r="O54" s="58" t="str">
        <f>'päd.Personal - Leitung'!$O$10</f>
        <v>Mai               Nov</v>
      </c>
      <c r="P54" s="85">
        <f t="shared" si="5"/>
        <v>0</v>
      </c>
    </row>
    <row r="55" spans="1:16" ht="13.5" customHeight="1" x14ac:dyDescent="0.2">
      <c r="B55" s="8"/>
      <c r="C55" s="141" t="s">
        <v>162</v>
      </c>
      <c r="D55" s="1175"/>
      <c r="E55" s="1175"/>
      <c r="F55" s="1176" t="s">
        <v>106</v>
      </c>
      <c r="G55" s="1176"/>
      <c r="H55" s="1186"/>
      <c r="I55" s="1186"/>
      <c r="L55" s="147" t="str">
        <f>IF((SUM(F58:F61))=0,"",IF(P56&gt;L52,L52,IF(L52="","",IF(L54="","",P56))))</f>
        <v/>
      </c>
      <c r="N55" s="85">
        <f>IF(N54="","",N54)</f>
        <v>0</v>
      </c>
      <c r="O55" s="58" t="str">
        <f>'päd.Personal - Leitung'!$O$11</f>
        <v>Jun               Dez</v>
      </c>
      <c r="P55" s="85">
        <f t="shared" si="5"/>
        <v>0</v>
      </c>
    </row>
    <row r="56" spans="1:16" ht="13.5" customHeight="1" x14ac:dyDescent="0.2">
      <c r="I56" s="6"/>
      <c r="O56" s="174" t="s">
        <v>251</v>
      </c>
      <c r="P56" s="175">
        <f>IF(L54="",0,((IF(SUMIF(B70,"&gt;0"),N50,0))+(IF(SUMIF(B71,"&gt;0"),N51,0))+(IF(SUMIF(B72,"&gt;0"),N52,0))+(IF(SUMIF(B73,"&gt;0"),N53,0))+(IF(SUMIF(B74,"&gt;0"),N54,0))+(IF(SUMIF(B75,"&gt;0"),N55,0))+(IF(SUMIF(B76,"&gt;0"),P50,0))+(IF(SUMIF(B77,"&gt;0"),P51,0))+(IF(SUMIF(B78,"&gt;0"),P52,0))+(IF(SUMIF(B79,"&gt;0"),P53,0))+(IF(SUMIF(B80,"&gt;0"),P54,0))+(IF(SUMIF(B81,"&gt;0"),P55,0)))/Grundlagen!$C$24)</f>
        <v>0</v>
      </c>
    </row>
    <row r="57" spans="1:16" s="52" customFormat="1" ht="13.5" customHeight="1" x14ac:dyDescent="0.2">
      <c r="A57" s="61" t="s">
        <v>148</v>
      </c>
      <c r="B57" s="1168" t="s">
        <v>149</v>
      </c>
      <c r="C57" s="1168"/>
      <c r="D57" s="62" t="s">
        <v>150</v>
      </c>
      <c r="E57" s="63" t="s">
        <v>151</v>
      </c>
      <c r="F57" s="64" t="str">
        <f>CONCATENATE("Entg. ",N47," h/Wo")</f>
        <v>Entg.  h/Wo</v>
      </c>
      <c r="G57" s="65" t="s">
        <v>152</v>
      </c>
      <c r="H57" s="65" t="s">
        <v>153</v>
      </c>
      <c r="K57" s="1169" t="str">
        <f>CONCATENATE("Zuschläge / Zulagen für ",N47,"h/Wo")</f>
        <v>Zuschläge / Zulagen für h/Wo</v>
      </c>
      <c r="L57" s="1169"/>
      <c r="M57" s="66" t="str">
        <f>IF(A58="","",A58)</f>
        <v>Jan 2022</v>
      </c>
      <c r="N57" s="66" t="str">
        <f>IF(A59="","",A59)</f>
        <v/>
      </c>
      <c r="O57" s="66" t="str">
        <f>IF(A60="","",A60)</f>
        <v/>
      </c>
      <c r="P57" s="66" t="str">
        <f>IF(A61="","",A61)</f>
        <v/>
      </c>
    </row>
    <row r="58" spans="1:16" s="52" customFormat="1" ht="13.5" customHeight="1" x14ac:dyDescent="0.25">
      <c r="A58" s="54" t="str">
        <f>A70</f>
        <v>Jan 2022</v>
      </c>
      <c r="B58" s="1170" t="str">
        <f>IF($D$3="","",$D$3)</f>
        <v/>
      </c>
      <c r="C58" s="1171"/>
      <c r="D58" s="181"/>
      <c r="E58" s="181"/>
      <c r="F58" s="87"/>
      <c r="G58" s="56">
        <f>IF(N47="",0,F58/N47/4.348)</f>
        <v>0</v>
      </c>
      <c r="H58" s="53">
        <f>IF(G58=0,0,M63)</f>
        <v>0</v>
      </c>
      <c r="K58" s="1146"/>
      <c r="L58" s="1146"/>
      <c r="M58" s="86"/>
      <c r="N58" s="86"/>
      <c r="O58" s="86"/>
      <c r="P58" s="86"/>
    </row>
    <row r="59" spans="1:16" s="52" customFormat="1" ht="13.5" customHeight="1" x14ac:dyDescent="0.25">
      <c r="A59" s="55"/>
      <c r="B59" s="1172" t="str">
        <f>IF(A59="","",B58)</f>
        <v/>
      </c>
      <c r="C59" s="1173"/>
      <c r="D59" s="181"/>
      <c r="E59" s="181"/>
      <c r="F59" s="87"/>
      <c r="G59" s="56">
        <f>IF(N47="",0,F59/N47/4.348)</f>
        <v>0</v>
      </c>
      <c r="H59" s="53">
        <f>IF(G59=0,0,N63)</f>
        <v>0</v>
      </c>
      <c r="K59" s="1146"/>
      <c r="L59" s="1146"/>
      <c r="M59" s="86"/>
      <c r="N59" s="86"/>
      <c r="O59" s="86"/>
      <c r="P59" s="86"/>
    </row>
    <row r="60" spans="1:16" s="52" customFormat="1" ht="13.5" customHeight="1" x14ac:dyDescent="0.25">
      <c r="A60" s="55"/>
      <c r="B60" s="1172" t="str">
        <f>IF(A60="","",B59)</f>
        <v/>
      </c>
      <c r="C60" s="1173"/>
      <c r="D60" s="181"/>
      <c r="E60" s="181"/>
      <c r="F60" s="87"/>
      <c r="G60" s="56">
        <f>IF(N47="",0,F60/N47/4.348)</f>
        <v>0</v>
      </c>
      <c r="H60" s="53">
        <f>IF(G60=0,0,O63)</f>
        <v>0</v>
      </c>
      <c r="K60" s="1146"/>
      <c r="L60" s="1146"/>
      <c r="M60" s="86"/>
      <c r="N60" s="86"/>
      <c r="O60" s="86"/>
      <c r="P60" s="86"/>
    </row>
    <row r="61" spans="1:16" s="52" customFormat="1" ht="13.5" customHeight="1" x14ac:dyDescent="0.25">
      <c r="A61" s="55"/>
      <c r="B61" s="1172" t="str">
        <f>IF(A61="","",B60)</f>
        <v/>
      </c>
      <c r="C61" s="1173"/>
      <c r="D61" s="181"/>
      <c r="E61" s="181"/>
      <c r="F61" s="87"/>
      <c r="G61" s="56">
        <f>IF(N47="",0,F61/N47/4.348)</f>
        <v>0</v>
      </c>
      <c r="H61" s="53">
        <f>IF(G61=0,0,P63)</f>
        <v>0</v>
      </c>
      <c r="K61" s="1146"/>
      <c r="L61" s="1146"/>
      <c r="M61" s="86"/>
      <c r="N61" s="86"/>
      <c r="O61" s="86"/>
      <c r="P61" s="86"/>
    </row>
    <row r="62" spans="1:16" s="52" customFormat="1" ht="13.5" customHeight="1" x14ac:dyDescent="0.25">
      <c r="B62" s="1167" t="s">
        <v>157</v>
      </c>
      <c r="C62" s="1167"/>
      <c r="E62" s="1167" t="s">
        <v>156</v>
      </c>
      <c r="F62" s="1167"/>
      <c r="J62" s="69"/>
      <c r="K62" s="1146"/>
      <c r="L62" s="1146"/>
      <c r="M62" s="86"/>
      <c r="N62" s="86"/>
      <c r="O62" s="86"/>
      <c r="P62" s="86"/>
    </row>
    <row r="63" spans="1:16" s="52" customFormat="1" ht="13.5" customHeight="1" x14ac:dyDescent="0.25">
      <c r="A63" s="70" t="s">
        <v>167</v>
      </c>
      <c r="B63" s="67"/>
      <c r="C63" s="99" t="str">
        <f>IF(C19="","",C19)</f>
        <v/>
      </c>
      <c r="D63" s="70" t="s">
        <v>167</v>
      </c>
      <c r="E63" s="67"/>
      <c r="F63" s="99" t="str">
        <f>IF(F19="","",F19)</f>
        <v/>
      </c>
      <c r="J63" s="68"/>
      <c r="M63" s="57">
        <f>SUM(M58:M62)</f>
        <v>0</v>
      </c>
      <c r="N63" s="57">
        <f t="shared" ref="N63:P63" si="6">SUM(N58:N62)</f>
        <v>0</v>
      </c>
      <c r="O63" s="57">
        <f t="shared" si="6"/>
        <v>0</v>
      </c>
      <c r="P63" s="57">
        <f t="shared" si="6"/>
        <v>0</v>
      </c>
    </row>
    <row r="64" spans="1:16" s="52" customFormat="1" ht="13.5" customHeight="1" x14ac:dyDescent="0.2">
      <c r="A64" s="60" t="s">
        <v>155</v>
      </c>
    </row>
    <row r="65" spans="1:16" ht="14.25" customHeight="1" x14ac:dyDescent="0.2">
      <c r="A65" s="1147"/>
      <c r="B65" s="1149" t="s">
        <v>9</v>
      </c>
      <c r="C65" s="1150"/>
      <c r="D65" s="1150"/>
      <c r="E65" s="1150"/>
      <c r="F65" s="1150"/>
      <c r="G65" s="1151"/>
      <c r="H65" s="1152" t="s">
        <v>119</v>
      </c>
      <c r="I65" s="1153"/>
      <c r="J65" s="1153"/>
      <c r="K65" s="1153"/>
      <c r="L65" s="1153"/>
      <c r="M65" s="1153"/>
      <c r="N65" s="1153"/>
      <c r="O65" s="33"/>
      <c r="P65" s="1154" t="s">
        <v>0</v>
      </c>
    </row>
    <row r="66" spans="1:16" ht="14.25" customHeight="1" x14ac:dyDescent="0.2">
      <c r="A66" s="1148"/>
      <c r="B66" s="1157" t="s">
        <v>117</v>
      </c>
      <c r="C66" s="144" t="s">
        <v>115</v>
      </c>
      <c r="D66" s="1159" t="s">
        <v>277</v>
      </c>
      <c r="E66" s="1161" t="s">
        <v>147</v>
      </c>
      <c r="F66" s="149" t="s">
        <v>7</v>
      </c>
      <c r="G66" s="1162" t="s">
        <v>6</v>
      </c>
      <c r="H66" s="1161" t="s">
        <v>129</v>
      </c>
      <c r="I66" s="1161" t="s">
        <v>5</v>
      </c>
      <c r="J66" s="1161" t="s">
        <v>4</v>
      </c>
      <c r="K66" s="1161" t="s">
        <v>3</v>
      </c>
      <c r="L66" s="1161" t="s">
        <v>121</v>
      </c>
      <c r="M66" s="1161" t="s">
        <v>122</v>
      </c>
      <c r="N66" s="1161" t="s">
        <v>123</v>
      </c>
      <c r="O66" s="1160" t="s">
        <v>114</v>
      </c>
      <c r="P66" s="1155"/>
    </row>
    <row r="67" spans="1:16" ht="14.25" customHeight="1" x14ac:dyDescent="0.2">
      <c r="A67" s="1148"/>
      <c r="B67" s="1157"/>
      <c r="C67" s="21" t="str">
        <f>IF(C63="","",C63)</f>
        <v/>
      </c>
      <c r="D67" s="1160"/>
      <c r="E67" s="1161"/>
      <c r="F67" s="1165" t="str">
        <f>IF(H58=0,"","siehe Zuschläge / Zulagen")</f>
        <v/>
      </c>
      <c r="G67" s="1162"/>
      <c r="H67" s="1164" t="s">
        <v>127</v>
      </c>
      <c r="I67" s="1164"/>
      <c r="J67" s="1164"/>
      <c r="K67" s="1164"/>
      <c r="L67" s="1164"/>
      <c r="M67" s="1164"/>
      <c r="N67" s="1164"/>
      <c r="O67" s="1160"/>
      <c r="P67" s="1155"/>
    </row>
    <row r="68" spans="1:16" x14ac:dyDescent="0.2">
      <c r="A68" s="1148"/>
      <c r="B68" s="1157"/>
      <c r="C68" s="142" t="s">
        <v>70</v>
      </c>
      <c r="D68" s="1160"/>
      <c r="E68" s="1161"/>
      <c r="F68" s="1165"/>
      <c r="G68" s="1162"/>
      <c r="H68" s="43" t="s">
        <v>128</v>
      </c>
      <c r="I68" s="43" t="s">
        <v>255</v>
      </c>
      <c r="J68" s="43" t="s">
        <v>256</v>
      </c>
      <c r="K68" s="43" t="s">
        <v>257</v>
      </c>
      <c r="L68" s="43"/>
      <c r="M68" s="43"/>
      <c r="N68" s="43" t="s">
        <v>254</v>
      </c>
      <c r="O68" s="1160"/>
      <c r="P68" s="1155"/>
    </row>
    <row r="69" spans="1:16" x14ac:dyDescent="0.2">
      <c r="A69" s="1148"/>
      <c r="B69" s="1158"/>
      <c r="C69" s="21" t="str">
        <f>IF(F63="","",F63)</f>
        <v/>
      </c>
      <c r="D69" s="51"/>
      <c r="E69" s="51"/>
      <c r="F69" s="1166"/>
      <c r="G69" s="1163"/>
      <c r="H69" s="93"/>
      <c r="I69" s="139">
        <f>$I$25</f>
        <v>0</v>
      </c>
      <c r="J69" s="139">
        <f>$J$25</f>
        <v>0</v>
      </c>
      <c r="K69" s="44">
        <f>$K$25</f>
        <v>0</v>
      </c>
      <c r="L69" s="21"/>
      <c r="M69" s="21"/>
      <c r="N69" s="139">
        <f>$N$25</f>
        <v>0</v>
      </c>
      <c r="O69" s="21">
        <f>O25</f>
        <v>0</v>
      </c>
      <c r="P69" s="1156"/>
    </row>
    <row r="70" spans="1:16" x14ac:dyDescent="0.2">
      <c r="A70" s="100" t="str">
        <f>$A$26</f>
        <v>Jan 2022</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76">
        <f>ROUND(IF((SUM(B70:F70))&gt;L85,L85*H69,SUM(B70:F70)*H69),2)</f>
        <v>0</v>
      </c>
      <c r="I70" s="76">
        <f>ROUND(IF((SUM(B70:F70))&gt;L86,L86*I69,SUM(B70:F70)*I69),2)</f>
        <v>0</v>
      </c>
      <c r="J70" s="76">
        <f>ROUND(IF((SUM(B70:F70))&gt;L86,L86*J69,SUM(B70:F70)*J69),2)</f>
        <v>0</v>
      </c>
      <c r="K70" s="76">
        <f>ROUND(IF((SUM(B70:F70))&gt;L85,L85*K69,SUM(B70:F70)*K69),2)</f>
        <v>0</v>
      </c>
      <c r="L70" s="76">
        <f>ROUND(IF((SUM(B70:F70))&gt;L86,L86*L69,(SUM(B70:F70)-C70)*L69),2)</f>
        <v>0</v>
      </c>
      <c r="M70" s="76">
        <f>ROUND(IF((SUM(B70:F70))&gt;L86,L86*M69,(SUM(B70:F70)-C70)*M69),2)</f>
        <v>0</v>
      </c>
      <c r="N70" s="76">
        <f>ROUND(IF((SUM(B70:F70))&gt;L86,L86*N69,SUM(B70:F70)*N69),2)</f>
        <v>0</v>
      </c>
      <c r="O70" s="23">
        <f>ROUND(SUM(B70+C70+F70)*O69,2)</f>
        <v>0</v>
      </c>
      <c r="P70" s="27">
        <f>SUM(G70:O70)</f>
        <v>0</v>
      </c>
    </row>
    <row r="71" spans="1:16" x14ac:dyDescent="0.2">
      <c r="A71" s="100" t="str">
        <f>$A$27</f>
        <v>Feb 2022</v>
      </c>
      <c r="B71" s="24">
        <f>ROUND(IF(N51=0,0,IFERROR(((LOOKUP(2,1/(A58:A61=A71),G58:G61))*N51*4.348),B70/N51*N51)),2)</f>
        <v>0</v>
      </c>
      <c r="C71" s="23">
        <f>ROUND(IFERROR(((LOOKUP(2,1/(B63=A71),((SUM(B76:B78)+SUM(F76:F78))/3)*C63))),0)+IFERROR(((LOOKUP(2,1/(E63=A71),(B82+F82)*F63))),0),2)</f>
        <v>0</v>
      </c>
      <c r="D71" s="23">
        <f>ROUND(IF(B71=0,0,D69/L51*N51),2)</f>
        <v>0</v>
      </c>
      <c r="E71" s="23">
        <f>ROUND(IF(B71=0,0,E69/N47*N51),2)</f>
        <v>0</v>
      </c>
      <c r="F71" s="24">
        <f>ROUND(IF(N51=0,0,IFERROR(((LOOKUP(2,1/(A58:A61=A71),H58:H61))/N47*N51),F70/N51*N51)),2)</f>
        <v>0</v>
      </c>
      <c r="G71" s="27">
        <f t="shared" ref="G71:G81" si="7">SUM(B71+C71+E71+F71)</f>
        <v>0</v>
      </c>
      <c r="H71" s="76">
        <f>ROUND(IF(SUM(B70:F70)&lt;(L85*1),IF((SUM(B70:F71))&gt;(L85*2),(((L85*2)-(SUM(B70:F71)-C70))*H69)+((SUM(B71:F71)-C70)*H69),SUM(B71:F71)*H69),IF(SUM(B70:F71)&gt;(L85*2),L85*H69,SUM(B71:F71)*H69)),2)</f>
        <v>0</v>
      </c>
      <c r="I71" s="76">
        <f>ROUND(IF(SUM(B70:F70)&lt;(L86*1),IF((SUM(B70:F71))&gt;(L86*2),(((L86*2)-(SUM(B70:F71)-C70))*I69)+((SUM(B71:F71)-C70)*I69),SUM(B71:F71)*I69),IF(SUM(B70:F71)&gt;(L86*2),L86*I69,SUM(B71:F71)*I69)),2)</f>
        <v>0</v>
      </c>
      <c r="J71" s="76">
        <f>ROUND(IF(SUM(B70:F70)&lt;(L86*1),IF((SUM(B70:F71))&gt;(L86*2),(((L86*2)-(SUM(B70:F71)-C70))*J69)+((SUM(B71:F71)-C70)*J69),SUM(B71:F71)*J69),IF(SUM(B70:F71)&gt;(L86*2),L86*J69,SUM(B71:F71)*J69)),2)</f>
        <v>0</v>
      </c>
      <c r="K71" s="76">
        <f>ROUND(IF(SUM(B70:F70)&lt;(L85*1),IF((SUM(B70:F71))&gt;(L85*2),(((L85*2)-(SUM(B70:F71)-C70))*K69)+((SUM(B71:F71)-C70)*K69),SUM(B71:F71)*K69),IF(SUM(B70:F71)&gt;(L85*2),L85*K69,SUM(B71:F71)*K69)),2)</f>
        <v>0</v>
      </c>
      <c r="L71" s="76">
        <f>ROUND(IF(SUM(B70:F70)&lt;(L86*1),IF((SUM(B70:F71))&gt;(L86*2),(((L86*2)-(SUM(B70:F71)-C71))*L69)+((SUM(B71:F71)-C71)*L69),(SUM(B71:F71)-C71)*L69),IF(SUM(B70:F71)&gt;(L86*2),L86*L69,SUM(B71:F71)*L69)),2)</f>
        <v>0</v>
      </c>
      <c r="M71" s="76">
        <f>ROUND(IF(SUM(B70:F70)&lt;(L86*1),IF((SUM(B70:F71))&gt;(L86*2),(((L86*2)-(SUM(B70:F71)-C71))*M69)+((SUM(B71:F71)-C71)*M69),(SUM(B71:F71)-C71)*M69),IF(SUM(B70:F71)&gt;(L86*2),L86*M69,SUM(B71:F71)*M69)),2)</f>
        <v>0</v>
      </c>
      <c r="N71" s="76">
        <f>ROUND(IF(SUM(B70:F70)&lt;(L86*1),IF((SUM(B70:F71))&gt;(L86*2),(((L86*2)-(SUM(B70:F71)-C70))*N69)+((SUM(B71:F71)-C70)*N69),SUM(B71:F71)*N69),IF(SUM(B70:F71)&gt;(L86*2),L86*N69,SUM(B71:F71)*N69)),2)</f>
        <v>0</v>
      </c>
      <c r="O71" s="23">
        <f>ROUND(SUM(B71+C71+F71)*O69,2)</f>
        <v>0</v>
      </c>
      <c r="P71" s="27">
        <f>SUM(G71:O71)</f>
        <v>0</v>
      </c>
    </row>
    <row r="72" spans="1:16" x14ac:dyDescent="0.2">
      <c r="A72" s="100" t="str">
        <f>$A$28</f>
        <v>Mrz 2022</v>
      </c>
      <c r="B72" s="24">
        <f>ROUND(IF(N52=0,0,IFERROR(((LOOKUP(2,1/(A58:A61=A72),G58:G61))*N52*4.348),B71/N52*N52)),2)</f>
        <v>0</v>
      </c>
      <c r="C72" s="23">
        <f>ROUND(IFERROR(((LOOKUP(2,1/(B63=A72),((SUM(B76:B78)+SUM(F76:F78))/3)*C63))),0)+IFERROR(((LOOKUP(2,1/(E63=A72),(B82+F82)*F63))),0),2)</f>
        <v>0</v>
      </c>
      <c r="D72" s="23">
        <f>ROUND(IF(B72=0,0,D69/L51*N52),2)</f>
        <v>0</v>
      </c>
      <c r="E72" s="23">
        <f>ROUND(IF(B72=0,0,E69/N47*N52),2)</f>
        <v>0</v>
      </c>
      <c r="F72" s="24">
        <f>ROUND(IF(N52=0,0,IFERROR(((LOOKUP(2,1/(A58:A61=A72),H58:H61))/N47*N52),F71/N52*N52)),2)</f>
        <v>0</v>
      </c>
      <c r="G72" s="27">
        <f t="shared" si="7"/>
        <v>0</v>
      </c>
      <c r="H72" s="76">
        <f>ROUND(IF(SUM(B70:F71)&lt;(L85*2),IF((SUM(B70:F72))&gt;(L85*3),(((L85*3)-(SUM(B70:F72)-C71))*H69)+((SUM(B72:F72)-C71)*H69),SUM(B72:F72)*H69),IF(SUM(B70:F72)&gt;(L85*3),L85*H69,SUM(B72:F72)*H69)),2)</f>
        <v>0</v>
      </c>
      <c r="I72" s="76">
        <f>ROUND(IF(SUM(B70:F71)&lt;(L86*2),IF((SUM(B70:F72))&gt;(L86*3),(((L86*3)-(SUM(B70:F72)-C71))*I69)+((SUM(B72:F72)-C71)*I69),SUM(B72:F72)*I69),IF(SUM(B70:F72)&gt;(L86*3),L86*I69,SUM(B72:F72)*I69)),2)</f>
        <v>0</v>
      </c>
      <c r="J72" s="76">
        <f>ROUND(IF(SUM(B70:F71)&lt;(L86*2),IF((SUM(B70:F72))&gt;(L86*3),(((L86*3)-(SUM(B70:F72)-C71))*J69)+((SUM(B72:F72)-C71)*J69),SUM(B72:F72)*J69),IF(SUM(B70:F72)&gt;(L86*3),L86*J69,SUM(B72:F72)*J69)),2)</f>
        <v>0</v>
      </c>
      <c r="K72" s="76">
        <f>ROUND(IF(SUM(B70:F71)&lt;(L85*2),IF((SUM(B70:F72))&gt;(L85*3),(((L85*3)-(SUM(B70:F72)-C71))*K69)+((SUM(B72:F72)-C71)*K69),SUM(B72:F72)*K69),IF(SUM(B70:F72)&gt;(L85*3),L85*K69,SUM(B72:F72)*K69)),2)</f>
        <v>0</v>
      </c>
      <c r="L72" s="76">
        <f>ROUND(IF(SUM(B70:F71)&lt;(L86*2),IF((SUM(B70:F72))&gt;(L86*3),(((L86*3)-(SUM(B70:F72)-C72))*L69)+((SUM(B72:F72)-C72)*L69),(SUM(B72:F72)-C72)*L69),IF(SUM(B70:F72)&gt;(L86*3),L86*L69,SUM(B72:F72)*L69)),2)</f>
        <v>0</v>
      </c>
      <c r="M72" s="76">
        <f>ROUND(IF(SUM(B70:F71)&lt;(L86*2),IF((SUM(B70:F72))&gt;(L86*3),(((L86*3)-(SUM(B70:F72)-C72))*M69)+((SUM(B72:F72)-C72)*M69),(SUM(B72:F72)-C72)*M69),IF(SUM(B70:F72)&gt;(L86*3),L86*M69,SUM(B72:F72)*M69)),2)</f>
        <v>0</v>
      </c>
      <c r="N72" s="76">
        <f>ROUND(IF(SUM(B70:F71)&lt;(L86*2),IF((SUM(B70:F72))&gt;(L86*3),(((L86*3)-(SUM(B70:F72)-C71))*N69)+((SUM(B72:F72)-C71)*N69),SUM(B72:F72)*N69),IF(SUM(B70:F72)&gt;(L86*3),L86*N69,SUM(B72:F72)*N69)),2)</f>
        <v>0</v>
      </c>
      <c r="O72" s="23">
        <f>ROUND(SUM(B72+C72+F72)*O69,2)</f>
        <v>0</v>
      </c>
      <c r="P72" s="27">
        <f t="shared" ref="P72:P81" si="8">SUM(G72:O72)</f>
        <v>0</v>
      </c>
    </row>
    <row r="73" spans="1:16" x14ac:dyDescent="0.2">
      <c r="A73" s="100" t="str">
        <f>$A$29</f>
        <v>Apr 2022</v>
      </c>
      <c r="B73" s="24">
        <f>ROUND(IF(N53=0,0,IFERROR(((LOOKUP(2,1/(A58:A61=A73),G58:G61))*N53*4.348),B72/N53*N53)),2)</f>
        <v>0</v>
      </c>
      <c r="C73" s="23">
        <f>ROUND(IFERROR(((LOOKUP(2,1/(B63=A73),((SUM(B76:B78)+SUM(F76:F78))/3)*C63))),0)+IFERROR(((LOOKUP(2,1/(E63=A73),(B82+F82)*F63))),0),2)</f>
        <v>0</v>
      </c>
      <c r="D73" s="23">
        <f>ROUND(IF(B73=0,0,D69/L51*N53),2)</f>
        <v>0</v>
      </c>
      <c r="E73" s="23">
        <f>ROUND(IF(B73=0,0,E69/N47*N53),2)</f>
        <v>0</v>
      </c>
      <c r="F73" s="24">
        <f>ROUND(IF(N53=0,0,IFERROR(((LOOKUP(2,1/(A58:A61=A73),H58:H61))/N47*N53),F72/N53*N53)),2)</f>
        <v>0</v>
      </c>
      <c r="G73" s="27">
        <f t="shared" si="7"/>
        <v>0</v>
      </c>
      <c r="H73" s="76">
        <f>ROUND(IF(SUM(B70:F72)&lt;(L85*3),IF((SUM(B70:F73))&gt;(L85*4),(((L85*4)-(SUM(B70:F73)-C72))*H69)+((SUM(B73:F73)-C72)*H69),SUM(B73:F73)*H69),IF(SUM(B70:F73)&gt;(L85*4),L85*H69,SUM(B73:F73)*H69)),2)</f>
        <v>0</v>
      </c>
      <c r="I73" s="76">
        <f>ROUND(IF(SUM(B70:F72)&lt;(L86*3),IF((SUM(B70:F73))&gt;(L86*4),(((L86*4)-(SUM(B70:F73)-C72))*I69)+((SUM(B73:F73)-C72)*I69),SUM(B73:F73)*I69),IF(SUM(B70:F73)&gt;(L86*4),L86*I69,SUM(B73:F73)*I69)),2)</f>
        <v>0</v>
      </c>
      <c r="J73" s="76">
        <f>ROUND(IF(SUM(B70:F72)&lt;(L86*3),IF((SUM(B70:F73))&gt;(L86*4),(((L86*4)-(SUM(B70:F73)-C72))*J69)+((SUM(B73:F73)-C72)*J69),SUM(B73:F73)*J69),IF(SUM(B70:F73)&gt;(L86*4),L86*J69,SUM(B73:F73)*J69)),2)</f>
        <v>0</v>
      </c>
      <c r="K73" s="76">
        <f>ROUND(IF(SUM(B70:F72)&lt;(L85*3),IF((SUM(B70:F73))&gt;(L85*4),(((L85*4)-(SUM(B70:F73)-C72))*K69)+((SUM(B73:F73)-C72)*K69),SUM(B73:F73)*K69),IF(SUM(B70:F73)&gt;(L85*4),L85*K69,SUM(B73:F73)*K69)),2)</f>
        <v>0</v>
      </c>
      <c r="L73" s="76">
        <f>ROUND(IF(SUM(B70:F72)&lt;(L86*3),IF((SUM(B70:F73))&gt;(L86*4),(((L86*4)-(SUM(B70:F73)-C73))*L69)+((SUM(B73:F73)-C73)*L69),(SUM(B73:F73)-C73)*L69),IF(SUM(B70:F73)&gt;(L86*4),L86*L69,SUM(B73:F73)*L69)),2)</f>
        <v>0</v>
      </c>
      <c r="M73" s="76">
        <f>ROUND(IF(SUM(B70:F72)&lt;(L86*3),IF((SUM(B70:F73))&gt;(L86*4),(((L86*4)-(SUM(B70:F73)-C73))*M69)+((SUM(B73:F73)-C73)*M69),(SUM(B73:F73)-C73)*M69),IF(SUM(B70:F73)&gt;(L86*4),L86*M69,SUM(B73:F73)*M69)),2)</f>
        <v>0</v>
      </c>
      <c r="N73" s="76">
        <f>ROUND(IF(SUM(B70:F72)&lt;(L86*3),IF((SUM(B70:F73))&gt;(L86*4),(((L86*4)-(SUM(B70:F73)-C72))*N69)+((SUM(B73:F73)-C72)*N69),SUM(B73:F73)*N69),IF(SUM(B70:F73)&gt;(L86*4),L86*N69,SUM(B73:F73)*N69)),2)</f>
        <v>0</v>
      </c>
      <c r="O73" s="23">
        <f>ROUND(SUM(B73+C73+F73)*O69,2)</f>
        <v>0</v>
      </c>
      <c r="P73" s="27">
        <f t="shared" si="8"/>
        <v>0</v>
      </c>
    </row>
    <row r="74" spans="1:16" x14ac:dyDescent="0.2">
      <c r="A74" s="100" t="str">
        <f>$A$30</f>
        <v>Mai 2022</v>
      </c>
      <c r="B74" s="24">
        <f>ROUND(IF(N54=0,0,IFERROR(((LOOKUP(2,1/(A58:A61=A74),G58:G61))*N54*4.348),B73/N54*N54)),2)</f>
        <v>0</v>
      </c>
      <c r="C74" s="23">
        <f>ROUND(IFERROR(((LOOKUP(2,1/(B63=A74),((SUM(B76:B78)+SUM(F76:F78))/3)*C63))),0)+IFERROR(((LOOKUP(2,1/(E63=A74),(B82+F82)*F63))),0),2)</f>
        <v>0</v>
      </c>
      <c r="D74" s="23">
        <f>ROUND(IF(B74=0,0,D69/L51*N54),2)</f>
        <v>0</v>
      </c>
      <c r="E74" s="23">
        <f>ROUND(IF(B74=0,0,E69/N47*N54),2)</f>
        <v>0</v>
      </c>
      <c r="F74" s="24">
        <f>ROUND(IF(N54=0,0,IFERROR(((LOOKUP(2,1/(A58:A61=A74),H58:H61))/N47*N54),F73/N54*N54)),2)</f>
        <v>0</v>
      </c>
      <c r="G74" s="27">
        <f t="shared" si="7"/>
        <v>0</v>
      </c>
      <c r="H74" s="76">
        <f>ROUND(IF(SUM(B70:F73)&lt;(L85*4),IF((SUM(B70:F74))&gt;(L85*5),(((L85*5)-(SUM(B70:F74)-C73))*H69)+((SUM(B74:F74)-C73)*H69),SUM(B74:F74)*H69),IF(SUM(B70:F74)&gt;(L85*5),L85*H69,SUM(B74:F74)*H69)),2)</f>
        <v>0</v>
      </c>
      <c r="I74" s="76">
        <f>ROUND(IF(SUM(B70:F73)&lt;(L86*4),IF((SUM(B70:F74))&gt;(L86*5),(((L86*5)-(SUM(B70:F74)-C73))*I69)+((SUM(B74:F74)-C73)*I69),SUM(B74:F74)*I69),IF(SUM(B70:F74)&gt;(L86*5),L86*I69,SUM(B74:F74)*I69)),2)</f>
        <v>0</v>
      </c>
      <c r="J74" s="76">
        <f>ROUND(IF(SUM(B70:F73)&lt;(L86*4),IF((SUM(B70:F74))&gt;(L86*5),(((L86*5)-(SUM(B70:F74)-C73))*J69)+((SUM(B74:F74)-C73)*J69),SUM(B74:F74)*J69),IF(SUM(B70:F74)&gt;(L86*5),L86*J69,SUM(B74:F74)*J69)),2)</f>
        <v>0</v>
      </c>
      <c r="K74" s="76">
        <f>ROUND(IF(SUM(B70:F73)&lt;(L85*4),IF((SUM(B70:F74))&gt;(L85*5),(((L85*5)-(SUM(B70:F74)-C73))*K69)+((SUM(B74:F74)-C73)*K69),SUM(B74:F74)*K69),IF(SUM(B70:F74)&gt;(L85*5),L85*K69,SUM(B74:F74)*K69)),2)</f>
        <v>0</v>
      </c>
      <c r="L74" s="76">
        <f>ROUND(IF(SUM(B70:F73)&lt;(L86*4),IF((SUM(B70:F74))&gt;(L86*5),(((L86*5)-(SUM(B70:F74)-C74))*L69)+((SUM(B74:F74)-C74)*L69),(SUM(B74:F74)-C74)*L69),IF(SUM(B70:F74)&gt;(L86*5),L86*L69,SUM(B74:F74)*L69)),2)</f>
        <v>0</v>
      </c>
      <c r="M74" s="76">
        <f>ROUND(IF(SUM(B70:F73)&lt;(L86*4),IF((SUM(B70:F74))&gt;(L86*5),(((L86*5)-(SUM(B70:F74)-C74))*M69)+((SUM(B74:F74)-C74)*M69),(SUM(B74:F74)-C74)*M69),IF(SUM(B70:F74)&gt;(L86*5),L86*M69,SUM(B74:F74)*M69)),2)</f>
        <v>0</v>
      </c>
      <c r="N74" s="76">
        <f>ROUND(IF(SUM(B70:F73)&lt;(L86*4),IF((SUM(B70:F74))&gt;(L86*5),(((L86*5)-(SUM(B70:F74)-C73))*N69)+((SUM(B74:F74)-C73)*N69),SUM(B74:F74)*N69),IF(SUM(B70:F74)&gt;(L86*5),L86*N69,SUM(B74:F74)*N69)),2)</f>
        <v>0</v>
      </c>
      <c r="O74" s="23">
        <f>ROUND(SUM(B74+C74+F74)*O69,2)</f>
        <v>0</v>
      </c>
      <c r="P74" s="27">
        <f t="shared" si="8"/>
        <v>0</v>
      </c>
    </row>
    <row r="75" spans="1:16" x14ac:dyDescent="0.2">
      <c r="A75" s="100" t="str">
        <f>$A$31</f>
        <v>Jun 2022</v>
      </c>
      <c r="B75" s="24">
        <f>ROUND(IF(N55=0,0,IFERROR(((LOOKUP(2,1/(A58:A61=A75),G58:G61))*N55*4.348),B74/N55*N55)),2)</f>
        <v>0</v>
      </c>
      <c r="C75" s="23">
        <f>ROUND(IFERROR(((LOOKUP(2,1/(B63=A75),((SUM(B76:B78)+SUM(F76:F78))/3)*C63))),0)+IFERROR(((LOOKUP(2,1/(E63=A75),(B82+F82)*F63))),0),2)</f>
        <v>0</v>
      </c>
      <c r="D75" s="23">
        <f>ROUND(IF(B75=0,0,D69/L51*N55),2)</f>
        <v>0</v>
      </c>
      <c r="E75" s="23">
        <f>ROUND(IF(B75=0,0,E69/N47*N55),2)</f>
        <v>0</v>
      </c>
      <c r="F75" s="24">
        <f>ROUND(IF(N55=0,0,IFERROR(((LOOKUP(2,1/(A58:A61=A75),H58:H61))/N47*N55),F74/N55*N55)),2)</f>
        <v>0</v>
      </c>
      <c r="G75" s="27">
        <f t="shared" si="7"/>
        <v>0</v>
      </c>
      <c r="H75" s="76">
        <f>ROUND(IF(SUM(B70:F74)&lt;(L85*5),IF((SUM(B70:F75))&gt;(L85*6),(((L85*6)-(SUM(B70:F75)-C74))*H69)+((SUM(B75:F75)-C74)*H69),SUM(B75:F75)*H69),IF(SUM(B70:F75)&gt;(L85*6),L85*H69,SUM(B75:F75)*H69)),2)</f>
        <v>0</v>
      </c>
      <c r="I75" s="76">
        <f>ROUND(IF(SUM(B70:F74)&lt;(L86*5),IF((SUM(B70:F75))&gt;(L86*6),(((L86*6)-(SUM(B70:F75)-C74))*I69)+((SUM(B75:F75)-C74)*I69),SUM(B75:F75)*I69),IF(SUM(B70:F75)&gt;(L86*6),L86*I69,SUM(B75:F75)*I69)),2)</f>
        <v>0</v>
      </c>
      <c r="J75" s="76">
        <f>ROUND(IF(SUM(B70:F74)&lt;(L86*5),IF((SUM(B70:F75))&gt;(L86*6),(((L86*6)-(SUM(B70:F75)-C74))*J69)+((SUM(B75:F75)-C74)*J69),SUM(B75:F75)*J69),IF(SUM(B70:F75)&gt;(L86*6),L86*J69,SUM(B75:F75)*J69)),2)</f>
        <v>0</v>
      </c>
      <c r="K75" s="76">
        <f>ROUND(IF(SUM(B70:F74)&lt;(L85*5),IF((SUM(B70:F75))&gt;(L85*6),(((L85*6)-(SUM(B70:F75)-C74))*K69)+((SUM(B75:F75)-C74)*K69),SUM(B75:F75)*K69),IF(SUM(B70:F75)&gt;(L85*6),L85*K69,SUM(B75:F75)*K69)),2)</f>
        <v>0</v>
      </c>
      <c r="L75" s="76">
        <f>ROUND(IF(SUM(B70:F74)&lt;(L86*5),IF((SUM(B70:F75))&gt;(L86*6),(((L86*6)-(SUM(B70:F75)-C75))*L69)+((SUM(B75:F75)-C75)*L69),(SUM(B75:F75)-C75)*L69),IF(SUM(B70:F75)&gt;(L86*6),L86*L69,SUM(B75:F75)*L69)),2)</f>
        <v>0</v>
      </c>
      <c r="M75" s="76">
        <f>ROUND(IF(SUM(B70:F74)&lt;(L86*5),IF((SUM(B70:F75))&gt;(L86*6),(((L86*6)-(SUM(B70:F75)-C75))*M69)+((SUM(B75:F75)-C75)*M69),(SUM(B75:F75)-C75)*M69),IF(SUM(B70:F75)&gt;(L86*6),L86*M69,SUM(B75:F75)*M69)),2)</f>
        <v>0</v>
      </c>
      <c r="N75" s="76">
        <f>ROUND(IF(SUM(B70:F74)&lt;(L86*5),IF((SUM(B70:F75))&gt;(L86*6),(((L86*6)-(SUM(B70:F75)-C74))*N69)+((SUM(B75:F75)-C74)*N69),SUM(B75:F75)*N69),IF(SUM(B70:F75)&gt;(L86*6),L86*N69,SUM(B75:F75)*N69)),2)</f>
        <v>0</v>
      </c>
      <c r="O75" s="23">
        <f>ROUND(SUM(B75+C75+F75)*O69,2)</f>
        <v>0</v>
      </c>
      <c r="P75" s="27">
        <f t="shared" si="8"/>
        <v>0</v>
      </c>
    </row>
    <row r="76" spans="1:16" x14ac:dyDescent="0.2">
      <c r="A76" s="100" t="str">
        <f>$A$32</f>
        <v>Jul 2022</v>
      </c>
      <c r="B76" s="24">
        <f>ROUND(IF(P50=0,0,IFERROR(((LOOKUP(2,1/(A58:A61=A76),G58:G61))*P50*4.348),B75/P50*P50)),2)</f>
        <v>0</v>
      </c>
      <c r="C76" s="23">
        <f>ROUND(IFERROR(((LOOKUP(2,1/(B63=A76),((SUM(B76:B78)+SUM(F76:F78))/3)*C63))),0)+IFERROR(((LOOKUP(2,1/(E63=A76),(B82+F82)*F63))),0),2)</f>
        <v>0</v>
      </c>
      <c r="D76" s="23">
        <f>ROUND(IF(B76=0,0,D69/L51*P50),2)</f>
        <v>0</v>
      </c>
      <c r="E76" s="23">
        <f>ROUND(IF(B76=0,0,E69/N47*P50),2)</f>
        <v>0</v>
      </c>
      <c r="F76" s="24">
        <f>ROUND(IF(P50=0,0,IFERROR(((LOOKUP(2,1/(A58:A61=A76),H58:H61))/N47*P50),F75/P50*P50)),2)</f>
        <v>0</v>
      </c>
      <c r="G76" s="27">
        <f t="shared" si="7"/>
        <v>0</v>
      </c>
      <c r="H76" s="76">
        <f>ROUND(IF(SUM(B70:F75)&lt;(L85*6),IF((SUM(B70:F76))&gt;(L85*7),(((L85*7)-(SUM(B70:F76)-C75))*H69)+((SUM(B76:F76)-C75)*H69),SUM(B76:F76)*H69),IF(SUM(B70:F76)&gt;(L85*7),L85*H69,SUM(B76:F76)*H69)),2)</f>
        <v>0</v>
      </c>
      <c r="I76" s="76">
        <f>ROUND(IF(SUM(B70:F75)&lt;(L86*6),IF((SUM(B70:F76))&gt;(L86*7),(((L86*7)-(SUM(B70:F76)-C75))*I69)+((SUM(B76:F76)-C75)*I69),SUM(B76:F76)*I69),IF(SUM(B70:F76)&gt;(L86*7),L86*I69,SUM(B76:F76)*I69)),2)</f>
        <v>0</v>
      </c>
      <c r="J76" s="76">
        <f>ROUND(IF(SUM(B70:F75)&lt;(L86*6),IF((SUM(B70:F76))&gt;(L86*7),(((L86*7)-(SUM(B70:F76)-C75))*J69)+((SUM(B76:F76)-C75)*J69),SUM(B76:F76)*J69),IF(SUM(B70:F76)&gt;(L86*7),L86*J69,SUM(B76:F76)*J69)),2)</f>
        <v>0</v>
      </c>
      <c r="K76" s="76">
        <f>ROUND(IF(SUM(B70:F75)&lt;(L85*6),IF((SUM(B70:F76))&gt;(L85*7),(((L85*7)-(SUM(B70:F76)-C75))*K69)+((SUM(B76:F76)-C75)*K69),SUM(B76:F76)*K69),IF(SUM(B70:F76)&gt;(L85*7),L85*K69,SUM(B76:F76)*K69)),2)</f>
        <v>0</v>
      </c>
      <c r="L76" s="76">
        <f>ROUND(IF(SUM(B70:F75)&lt;(L86*6),IF((SUM(B70:F76))&gt;(L86*7),(((L86*7)-(SUM(B70:F76)-C76))*L69)+((SUM(B76:F76)-C76)*L69),(SUM(B76:F76)-C76)*L69),IF(SUM(B70:F76)&gt;(L86*7),L86*L69,SUM(B76:F76)*L69)),2)</f>
        <v>0</v>
      </c>
      <c r="M76" s="76">
        <f>ROUND(IF(SUM(B70:F75)&lt;(L86*6),IF((SUM(B70:F76))&gt;(L86*7),(((L86*7)-(SUM(B70:F76)-C76))*M69)+((SUM(B76:F76)-C76)*M69),(SUM(B76:F76)-C76)*M69),IF(SUM(B70:F76)&gt;(L86*7),L86*M69,SUM(B76:F76)*M69)),2)</f>
        <v>0</v>
      </c>
      <c r="N76" s="76">
        <f>ROUND(IF(SUM(B70:F75)&lt;(L86*6),IF((SUM(B70:F76))&gt;(L86*7),(((L86*7)-(SUM(B70:F76)-C75))*N69)+((SUM(B76:F76)-C75)*N69),SUM(B76:F76)*N69),IF(SUM(B70:F76)&gt;(L86*7),L86*N69,SUM(B76:F76)*N69)),2)</f>
        <v>0</v>
      </c>
      <c r="O76" s="23">
        <f>ROUND(SUM(B76+C76+F76)*O69,2)</f>
        <v>0</v>
      </c>
      <c r="P76" s="27">
        <f t="shared" si="8"/>
        <v>0</v>
      </c>
    </row>
    <row r="77" spans="1:16" x14ac:dyDescent="0.2">
      <c r="A77" s="100" t="str">
        <f>$A$33</f>
        <v>Aug 2022</v>
      </c>
      <c r="B77" s="24">
        <f>ROUND(IF(P51=0,0,IFERROR(((LOOKUP(2,1/(A58:A61=A77),G58:G61))*P51*4.348),B76/P51*P51)),2)</f>
        <v>0</v>
      </c>
      <c r="C77" s="23">
        <f>ROUND(IFERROR(((LOOKUP(2,1/(B63=A77),((SUM(B76:B78)+SUM(F76:F78))/3)*C63))),0)+IFERROR(((LOOKUP(2,1/(E63=A77),(B82+F82)*F63))),0),2)</f>
        <v>0</v>
      </c>
      <c r="D77" s="23">
        <f>ROUND(IF(B77=0,0,D69/L51*P51),2)</f>
        <v>0</v>
      </c>
      <c r="E77" s="23">
        <f>ROUND(IF(B77=0,0,E69/N47*P51),2)</f>
        <v>0</v>
      </c>
      <c r="F77" s="24">
        <f>ROUND(IF(P51=0,0,IFERROR(((LOOKUP(2,1/(A58:A61=A77),H58:H61))/N47*P51),F76/P51*P51)),2)</f>
        <v>0</v>
      </c>
      <c r="G77" s="27">
        <f t="shared" si="7"/>
        <v>0</v>
      </c>
      <c r="H77" s="76">
        <f>ROUND(IF(SUM(B70:F76)&lt;(L85*7),IF((SUM(B70:F77))&gt;(L85*8),(((L85*8)-(SUM(B70:F77)-C76))*H69)+((SUM(B77:F77)-C76)*H69),SUM(B77:F77)*H69),IF(SUM(B70:F77)&gt;(L85*8),L85*H69,SUM(B77:F77)*H69)),2)</f>
        <v>0</v>
      </c>
      <c r="I77" s="76">
        <f>ROUND(IF(SUM(B70:F76)&lt;(L86*7),IF((SUM(B70:F77))&gt;(L86*8),(((L86*8)-(SUM(B70:F77)-C76))*I69)+((SUM(B77:F77)-C76)*I69),SUM(B77:F77)*I69),IF(SUM(B70:F77)&gt;(L86*8),L86*I69,SUM(B77:F77)*I69)),2)</f>
        <v>0</v>
      </c>
      <c r="J77" s="76">
        <f>ROUND(IF(SUM(B70:F76)&lt;(L86*7),IF((SUM(B70:F77))&gt;(L86*8),(((L86*8)-(SUM(B70:F77)-C76))*J69)+((SUM(B77:F77)-C76)*J69),SUM(B77:F77)*J69),IF(SUM(B70:F77)&gt;(L86*8),L86*J69,SUM(B77:F77)*J69)),2)</f>
        <v>0</v>
      </c>
      <c r="K77" s="76">
        <f>ROUND(IF(SUM(B70:F76)&lt;(L85*7),IF((SUM(B70:F77))&gt;(L85*8),(((L85*8)-(SUM(B70:F77)-C76))*K69)+((SUM(B77:F77)-C76)*K69),SUM(B77:F77)*K69),IF(SUM(B70:F77)&gt;(L85*8),L85*K69,SUM(B77:F77)*K69)),2)</f>
        <v>0</v>
      </c>
      <c r="L77" s="76">
        <f>ROUND(IF(SUM(B70:F76)&lt;(L86*7),IF((SUM(B70:F77))&gt;(L86*8),(((L86*8)-(SUM(B70:F77)-C77))*L69)+((SUM(B77:F77)-C77)*L69),(SUM(B77:F77)-C77)*L69),IF(SUM(B70:F77)&gt;(L86*8),L86*L69,SUM(B77:F77)*L69)),2)</f>
        <v>0</v>
      </c>
      <c r="M77" s="76">
        <f>ROUND(IF(SUM(B70:F76)&lt;(L86*7),IF((SUM(B70:F77))&gt;(L86*8),(((L86*8)-(SUM(B70:F77)-C77))*M69)+((SUM(B77:F77)-C77)*M69),(SUM(B77:F77)-C77)*M69),IF(SUM(B70:F77)&gt;(L86*8),L86*M69,SUM(B77:F77)*M69)),2)</f>
        <v>0</v>
      </c>
      <c r="N77" s="76">
        <f>ROUND(IF(SUM(B70:F76)&lt;(L86*7),IF((SUM(B70:F77))&gt;(L86*8),(((L86*8)-(SUM(B70:F77)-C76))*N69)+((SUM(B77:F77)-C76)*N69),SUM(B77:F77)*N69),IF(SUM(B70:F77)&gt;(L86*8),L86*N69,SUM(B77:F77)*N69)),2)</f>
        <v>0</v>
      </c>
      <c r="O77" s="23">
        <f>ROUND(SUM(B77+C77+F77)*O69,2)</f>
        <v>0</v>
      </c>
      <c r="P77" s="27">
        <f t="shared" si="8"/>
        <v>0</v>
      </c>
    </row>
    <row r="78" spans="1:16" x14ac:dyDescent="0.2">
      <c r="A78" s="100" t="str">
        <f>$A$34</f>
        <v>Sep 2022</v>
      </c>
      <c r="B78" s="24">
        <f>ROUND(IF(P52=0,0,IFERROR(((LOOKUP(2,1/(A58:A61=A78),G58:G61))*P52*4.348),B77/P52*P52)),2)</f>
        <v>0</v>
      </c>
      <c r="C78" s="23">
        <f>ROUND(IFERROR(((LOOKUP(2,1/(B63=A78),((SUM(B76:B78)+SUM(F76:F78))/3)*C63))),0)+IFERROR(((LOOKUP(2,1/(E63=A78),(B82+F82)*F63))),0),2)</f>
        <v>0</v>
      </c>
      <c r="D78" s="23">
        <f>ROUND(IF(B78=0,0,D69/L51*P52),2)</f>
        <v>0</v>
      </c>
      <c r="E78" s="23">
        <f>ROUND(IF(B78=0,0,E69/N47*P52),2)</f>
        <v>0</v>
      </c>
      <c r="F78" s="24">
        <f>ROUND(IF(P52=0,0,IFERROR(((LOOKUP(2,1/(A58:A61=A78),H58:H61))/N47*P52),F77/P52*P52)),2)</f>
        <v>0</v>
      </c>
      <c r="G78" s="27">
        <f t="shared" si="7"/>
        <v>0</v>
      </c>
      <c r="H78" s="76">
        <f>ROUND(IF(SUM(B70:F77)&lt;(L85*8),IF((SUM(B70:F78))&gt;(L85*9),(((L85*9)-(SUM(B70:F78)-C77))*H69)+((SUM(B78:F78)-C77)*H69),SUM(B78:F78)*H69),IF(SUM(B70:F78)&gt;(L85*9),L85*H69,SUM(B78:F78)*H69)),2)</f>
        <v>0</v>
      </c>
      <c r="I78" s="76">
        <f>ROUND(IF(SUM(B70:F77)&lt;(L86*8),IF((SUM(B70:F78))&gt;(L86*9),(((L86*9)-(SUM(B70:F78)-C77))*I69)+((SUM(B78:F78)-C77)*I69),SUM(B78:F78)*I69),IF(SUM(B70:F78)&gt;(L86*9),L86*I69,SUM(B78:F78)*I69)),2)</f>
        <v>0</v>
      </c>
      <c r="J78" s="76">
        <f>ROUND(IF(SUM(B70:F77)&lt;(L86*8),IF((SUM(B70:F78))&gt;(L86*9),(((L86*9)-(SUM(B70:F78)-C77))*J69)+((SUM(B78:F78)-C77)*J69),SUM(B78:F78)*J69),IF(SUM(B70:F78)&gt;(L86*9),L86*J69,SUM(B78:F78)*J69)),2)</f>
        <v>0</v>
      </c>
      <c r="K78" s="76">
        <f>ROUND(IF(SUM(B70:F77)&lt;(L85*8),IF((SUM(B70:F78))&gt;(L85*9),(((L85*9)-(SUM(B70:F78)-C77))*K69)+((SUM(B78:F78)-C77)*K69),SUM(B78:F78)*K69),IF(SUM(B70:F78)&gt;(L85*9),L85*K69,SUM(B78:F78)*K69)),2)</f>
        <v>0</v>
      </c>
      <c r="L78" s="76">
        <f>ROUND(IF(SUM(B70:F77)&lt;(L86*8),IF((SUM(B70:F78))&gt;(L86*9),(((L86*9)-(SUM(B70:F78)-C78))*L69)+((SUM(B78:F78)-C78)*L69),(SUM(B78:F78)-C78)*L69),IF(SUM(B70:F78)&gt;(L86*9),L86*L69,SUM(B78:F78)*L69)),2)</f>
        <v>0</v>
      </c>
      <c r="M78" s="76">
        <f>ROUND(IF(SUM(B70:F77)&lt;(L86*8),IF((SUM(B70:F78))&gt;(L86*9),(((L86*9)-(SUM(B70:F78)-C78))*M69)+((SUM(B78:F78)-C78)*M69),(SUM(B78:F78)-C78)*M69),IF(SUM(B70:F78)&gt;(L86*9),L86*M69,SUM(B78:F78)*M69)),2)</f>
        <v>0</v>
      </c>
      <c r="N78" s="76">
        <f>ROUND(IF(SUM(B70:F77)&lt;(L86*8),IF((SUM(B70:F78))&gt;(L86*9),(((L86*9)-(SUM(B70:F78)-C77))*N69)+((SUM(B78:F78)-C77)*N69),SUM(B78:F78)*N69),IF(SUM(B70:F78)&gt;(L86*9),L86*N69,SUM(B78:F78)*N69)),2)</f>
        <v>0</v>
      </c>
      <c r="O78" s="23">
        <f>ROUND(SUM(B78+C78+F78)*O69,2)</f>
        <v>0</v>
      </c>
      <c r="P78" s="27">
        <f t="shared" si="8"/>
        <v>0</v>
      </c>
    </row>
    <row r="79" spans="1:16" x14ac:dyDescent="0.2">
      <c r="A79" s="100" t="str">
        <f>$A$35</f>
        <v>Okt 2022</v>
      </c>
      <c r="B79" s="24">
        <f>ROUND(IF(P53=0,0,IFERROR(((LOOKUP(2,1/(A58:A61=A79),G58:G61))*P53*4.348),B78/P53*P53)),2)</f>
        <v>0</v>
      </c>
      <c r="C79" s="23">
        <f>ROUND(IFERROR(((LOOKUP(2,1/(B63=A79),((SUM(B76:B78)+SUM(F76:F78))/3)*C63))),0)+IFERROR(((LOOKUP(2,1/(E63=A79),(B82+F82)*F63))),0),2)</f>
        <v>0</v>
      </c>
      <c r="D79" s="23">
        <f>ROUND(IF(B79=0,0,D69/L51*P53),2)</f>
        <v>0</v>
      </c>
      <c r="E79" s="23">
        <f>ROUND(IF(B79=0,0,E69/N47*P53),2)</f>
        <v>0</v>
      </c>
      <c r="F79" s="24">
        <f>ROUND(IF(P53=0,0,IFERROR(((LOOKUP(2,1/(A58:A61=A79),H58:H61))/N47*P53),F78/P53*P53)),2)</f>
        <v>0</v>
      </c>
      <c r="G79" s="27">
        <f t="shared" si="7"/>
        <v>0</v>
      </c>
      <c r="H79" s="76">
        <f>ROUND(IF(SUM(B70:F78)&lt;(L85*9),IF((SUM(B70:F79))&gt;(L85*10),(((L85*10)-(SUM(B70:F79)-C78))*H69)+((SUM(B79:F79)-C78)*H69),SUM(B79:F79)*H69),IF(SUM(B70:F79)&gt;(L85*10),L85*H69,SUM(B79:F79)*H69)),2)</f>
        <v>0</v>
      </c>
      <c r="I79" s="76">
        <f>ROUND(IF(SUM(B70:F78)&lt;(L86*9),IF((SUM(B70:F79))&gt;(L86*10),(((L86*10)-(SUM(B70:F79)-C78))*I69)+((SUM(B79:F79)-C78)*I69),SUM(B79:F79)*I69),IF(SUM(B70:F79)&gt;(L86*10),L86*I69,SUM(B79:F79)*I69)),2)</f>
        <v>0</v>
      </c>
      <c r="J79" s="76">
        <f>ROUND(IF(SUM(B70:F78)&lt;(L86*9),IF((SUM(B70:F79))&gt;(L86*10),(((L86*10)-(SUM(B70:F79)-C78))*J69)+((SUM(B79:F79)-C78)*J69),SUM(B79:F79)*J69),IF(SUM(B70:F79)&gt;(L86*10),L86*J69,SUM(B79:F79)*J69)),2)</f>
        <v>0</v>
      </c>
      <c r="K79" s="76">
        <f>ROUND(IF(SUM(B70:F78)&lt;(L85*9),IF((SUM(B70:F79))&gt;(L85*10),(((L85*10)-(SUM(B70:F79)-C78))*K69)+((SUM(B79:F79)-C78)*K69),SUM(B79:F79)*K69),IF(SUM(B70:F79)&gt;(L85*10),L85*K69,SUM(B79:F79)*K69)),2)</f>
        <v>0</v>
      </c>
      <c r="L79" s="76">
        <f>ROUND(IF(SUM(B70:F78)&lt;(L86*9),IF((SUM(B70:F79))&gt;(L86*10),(((L86*10)-(SUM(B70:F79)-C79))*L69)+((SUM(B79:F79)-C79)*L69),(SUM(B79:F79)-C79)*L69),IF(SUM(B70:F79)&gt;(L86*10),L86*L69,SUM(B79:F79)*L69)),2)</f>
        <v>0</v>
      </c>
      <c r="M79" s="76">
        <f>ROUND(IF(SUM(B70:F78)&lt;(L86*9),IF((SUM(B70:F79))&gt;(L86*10),(((L86*10)-(SUM(B70:F79)-C79))*M69)+((SUM(B79:F79)-C79)*M69),(SUM(B79:F79)-C79)*M69),IF(SUM(B70:F79)&gt;(L86*10),L86*M69,SUM(B79:F79)*M69)),2)</f>
        <v>0</v>
      </c>
      <c r="N79" s="76">
        <f>ROUND(IF(SUM(B70:F78)&lt;(L86*9),IF((SUM(B70:F79))&gt;(L86*10),(((L86*10)-(SUM(B70:F79)-C78))*N69)+((SUM(B79:F79)-C78)*N69),SUM(B79:F79)*N69),IF(SUM(B70:F79)&gt;(L86*10),L86*N69,SUM(B79:F79)*N69)),2)</f>
        <v>0</v>
      </c>
      <c r="O79" s="23">
        <f>ROUND(SUM(B79+C79+F79)*O69,2)</f>
        <v>0</v>
      </c>
      <c r="P79" s="27">
        <f t="shared" si="8"/>
        <v>0</v>
      </c>
    </row>
    <row r="80" spans="1:16" x14ac:dyDescent="0.2">
      <c r="A80" s="100" t="str">
        <f>$A$36</f>
        <v>Nov 2022</v>
      </c>
      <c r="B80" s="24">
        <f>ROUND(IF(P54=0,0,IFERROR(((LOOKUP(2,1/(A58:A61=A80),G58:G61))*P54*4.348),B79/P54*P54)),2)</f>
        <v>0</v>
      </c>
      <c r="C80" s="23">
        <f>ROUND(IFERROR(((LOOKUP(2,1/(B63=A80),((SUM(B76:B78)+SUM(F76:F78))/3)*C63))),0)+IFERROR(((LOOKUP(2,1/(E63=A80),(B82+F82)*F63))),0),2)</f>
        <v>0</v>
      </c>
      <c r="D80" s="23">
        <f>ROUND(IF(B80=0,0,D69/L51*P54),2)</f>
        <v>0</v>
      </c>
      <c r="E80" s="23">
        <f>ROUND(IF(B80=0,0,E69/N47*P54),2)</f>
        <v>0</v>
      </c>
      <c r="F80" s="24">
        <f>ROUND(IF(P54=0,0,IFERROR(((LOOKUP(2,1/(A58:A61=A80),H58:H61))/N47*P54),F79/P54*P54)),2)</f>
        <v>0</v>
      </c>
      <c r="G80" s="27">
        <f t="shared" si="7"/>
        <v>0</v>
      </c>
      <c r="H80" s="76">
        <f>ROUND(IF(SUM(B70:F79)&lt;(L85*10),IF((SUM(B70:F80))&gt;(L85*11),(((L85*11)-(SUM(B70:F80)-C79))*H69)+((SUM(B80:F80)-C79)*H69),SUM(B80:F80)*H69),IF(SUM(B70:F80)&gt;(L85*11),L85*H69,SUM(B80:F80)*H69)),2)</f>
        <v>0</v>
      </c>
      <c r="I80" s="76">
        <f>ROUND(IF(SUM(B70:F79)&lt;(L86*10),IF((SUM(B70:F80))&gt;(L86*11),(((L86*11)-(SUM(B70:F80)-C79))*I69)+((SUM(B80:F80)-C79)*I69),SUM(B80:F80)*I69),IF(SUM(B70:F80)&gt;(L86*11),L86*I69,SUM(B80:F80)*I69)),2)</f>
        <v>0</v>
      </c>
      <c r="J80" s="76">
        <f>ROUND(IF(SUM(B70:F79)&lt;(L86*10),IF((SUM(B70:F80))&gt;(L86*11),(((L86*11)-(SUM(B70:F80)-C79))*J69)+((SUM(B80:F80)-C79)*J69),SUM(B80:F80)*J69),IF(SUM(B70:F80)&gt;(L86*11),L86*J69,SUM(B80:F80)*J69)),2)</f>
        <v>0</v>
      </c>
      <c r="K80" s="76">
        <f>ROUND(IF(SUM(B70:F79)&lt;(L85*10),IF((SUM(B70:F80))&gt;(L85*11),(((L85*11)-(SUM(B70:F80)-C79))*K69)+((SUM(B80:F80)-C79)*K69),SUM(B80:F80)*K69),IF(SUM(B70:F80)&gt;(L85*11),L85*K69,SUM(B80:F80)*K69)),2)</f>
        <v>0</v>
      </c>
      <c r="L80" s="76">
        <f>ROUND(IF(SUM(B70:F79)&lt;(L86*10),IF((SUM(B70:F80))&gt;(L86*11),(((L86*11)-(SUM(B70:F80)-C80))*L69)+((SUM(B80:F80)-C80)*L69),(SUM(B80:F80)-C80)*L69),IF(SUM(B70:F80)&gt;(L86*11),L86*L69,SUM(B80:F80)*L69)),2)</f>
        <v>0</v>
      </c>
      <c r="M80" s="76">
        <f>ROUND(IF(SUM(B70:F79)&lt;(L86*10),IF((SUM(B70:F80))&gt;(L86*11),(((L86*11)-(SUM(B70:F80)-C80))*M69)+((SUM(B80:F80)-C80)*M69),(SUM(B80:F80)-C80)*M69),IF(SUM(B70:F80)&gt;(L86*11),L86*M69,SUM(B80:F80)*M69)),2)</f>
        <v>0</v>
      </c>
      <c r="N80" s="76">
        <f>ROUND(IF(SUM(B70:F79)&lt;(L86*10),IF((SUM(B70:F80))&gt;(L86*11),(((L86*11)-(SUM(B70:F80)-C79))*N69)+((SUM(B80:F80)-C79)*N69),SUM(B80:F80)*N69),IF(SUM(B70:F80)&gt;(L86*11),L86*N69,SUM(B80:F80)*N69)),2)</f>
        <v>0</v>
      </c>
      <c r="O80" s="23">
        <f>ROUND(SUM(B80+C80+F80)*O69,2)</f>
        <v>0</v>
      </c>
      <c r="P80" s="27">
        <f t="shared" si="8"/>
        <v>0</v>
      </c>
    </row>
    <row r="81" spans="1:16" x14ac:dyDescent="0.2">
      <c r="A81" s="100" t="str">
        <f>$A$37</f>
        <v>Dez 2022</v>
      </c>
      <c r="B81" s="24">
        <f>ROUND(IF(P55=0,0,IFERROR(((LOOKUP(2,1/(A58:A61=A81),G58:G61))*P55*4.348),B80/P55*P55)),2)</f>
        <v>0</v>
      </c>
      <c r="C81" s="23">
        <f>ROUND(IFERROR(((LOOKUP(2,1/(B63=A81),((SUM(B76:B78)+SUM(F76:F78))/3)*C63))),0)+IFERROR(((LOOKUP(2,1/(E63=A81),(B82+F82)*F63))),0),2)</f>
        <v>0</v>
      </c>
      <c r="D81" s="23">
        <f>ROUND(IF(B81=0,0,D69/L51*P55),2)</f>
        <v>0</v>
      </c>
      <c r="E81" s="23">
        <f>ROUND(IF(B81=0,0,E69/N47*P55),2)</f>
        <v>0</v>
      </c>
      <c r="F81" s="24">
        <f>ROUND(IF(P55=0,0,IFERROR(((LOOKUP(2,1/(A58:A61=A81),H58:H61))/N47*P55),F80/P55*P55)),2)</f>
        <v>0</v>
      </c>
      <c r="G81" s="27">
        <f t="shared" si="7"/>
        <v>0</v>
      </c>
      <c r="H81" s="76">
        <f>ROUND(IF(SUM(B70:F80)&lt;(L85*11),IF((SUM(B70:F81))&gt;(L85*12),(((L85*12)-(SUM(B70:F81)-C80))*H69)+((SUM(B81:F81)-C80)*H69),SUM(B81:F81)*H69),IF(SUM(B70:F81)&gt;(L85*12),L85*H69,SUM(B81:F81)*H69)),2)</f>
        <v>0</v>
      </c>
      <c r="I81" s="76">
        <f>ROUND(IF(SUM(B70:F80)&lt;(L86*11),IF((SUM(B70:F81))&gt;(L86*12),(((L86*12)-(SUM(B70:F81)-C80))*I69)+((SUM(B81:F81)-C80)*I69),SUM(B81:F81)*I69),IF(SUM(B70:F81)&gt;(L86*12),L86*I69,SUM(B81:F81)*I69)),2)</f>
        <v>0</v>
      </c>
      <c r="J81" s="76">
        <f>ROUND(IF(SUM(B70:F80)&lt;(L86*11),IF((SUM(B70:F81))&gt;(L86*12),(((L86*12)-(SUM(B70:F81)-C80))*J69)+((SUM(B81:F81)-C80)*J69),SUM(B81:F81)*J69),IF(SUM(B70:F81)&gt;(L86*12),L86*J69,SUM(B81:F81)*J69)),2)</f>
        <v>0</v>
      </c>
      <c r="K81" s="76">
        <f>ROUND(IF(SUM(B70:F80)&lt;(L85*11),IF((SUM(B70:F81))&gt;(L85*12),(((L85*12)-(SUM(B70:F81)-C80))*K69)+((SUM(B81:F81)-C80)*K69),SUM(B81:F81)*K69),IF(SUM(B70:F81)&gt;(L85*12),L85*K69,SUM(B81:F81)*K69)),2)</f>
        <v>0</v>
      </c>
      <c r="L81" s="76">
        <f>ROUND(IF(SUM(B70:F80)&lt;(L86*11),IF((SUM(B70:F81))&gt;(L86*12),(((L86*12)-(SUM(B70:F81)-C81))*L69)+((SUM(B81:F81)-C81)*L69),(SUM(B81:F81)-C81)*L69),IF(SUM(B70:F81)&gt;(L86*12),L86*L69,SUM(B81:F81)*L69)),2)</f>
        <v>0</v>
      </c>
      <c r="M81" s="76">
        <f>ROUND(IF(SUM(B70:F80)&lt;(L86*11),IF((SUM(B70:F81))&gt;(L86*12),(((L86*12)-(SUM(B70:F81)-C81))*M69)+((SUM(B81:F81)-C81)*M69),(SUM(B81:F81)-C81)*M69),IF(SUM(B70:F81)&gt;(L86*12),L86*M69,SUM(B81:F81)*M69)),2)</f>
        <v>0</v>
      </c>
      <c r="N81" s="76">
        <f>ROUND(IF(SUM(B70:F80)&lt;(L86*11),IF((SUM(B70:F81))&gt;(L86*12),(((L86*12)-(SUM(B70:F81)-C80))*N69)+((SUM(B81:F81)-C80)*N69),SUM(B81:F81)*N69),IF(SUM(B70:F81)&gt;(L86*12),L86*N69,SUM(B81:F81)*N69)),2)</f>
        <v>0</v>
      </c>
      <c r="O81" s="23">
        <f>ROUND(SUM(B81+C81+F81)*O69,2)</f>
        <v>0</v>
      </c>
      <c r="P81" s="27">
        <f t="shared" si="8"/>
        <v>0</v>
      </c>
    </row>
    <row r="82" spans="1:16" s="14" customFormat="1" ht="15" x14ac:dyDescent="0.25">
      <c r="A82" s="4" t="s">
        <v>2</v>
      </c>
      <c r="B82" s="27">
        <f>SUM(B70:B81)</f>
        <v>0</v>
      </c>
      <c r="C82" s="27">
        <f t="shared" ref="C82:D82" si="9">SUM(C70:C81)</f>
        <v>0</v>
      </c>
      <c r="D82" s="27">
        <f t="shared" si="9"/>
        <v>0</v>
      </c>
      <c r="E82" s="27">
        <f>SUM(E70:E81)</f>
        <v>0</v>
      </c>
      <c r="F82" s="27">
        <f>SUM(F70:F81)</f>
        <v>0</v>
      </c>
      <c r="G82" s="27">
        <f>SUM(G70:G81)</f>
        <v>0</v>
      </c>
      <c r="H82" s="1133">
        <f>SUM(H70:N81)</f>
        <v>0</v>
      </c>
      <c r="I82" s="1134"/>
      <c r="J82" s="1134"/>
      <c r="K82" s="1134"/>
      <c r="L82" s="1134"/>
      <c r="M82" s="1134"/>
      <c r="N82" s="1135"/>
      <c r="O82" s="27">
        <f>SUM(O70:O81)</f>
        <v>0</v>
      </c>
      <c r="P82" s="27">
        <f>SUM(P70:P81)</f>
        <v>0</v>
      </c>
    </row>
    <row r="83" spans="1:16" s="13" customFormat="1" ht="11.25" x14ac:dyDescent="0.2">
      <c r="A83" s="3" t="s">
        <v>1</v>
      </c>
      <c r="B83" s="2"/>
      <c r="C83" s="2"/>
      <c r="D83" s="2"/>
      <c r="E83" s="2"/>
      <c r="F83" s="2"/>
      <c r="G83" s="2"/>
      <c r="H83" s="2"/>
      <c r="I83" s="2"/>
      <c r="J83" s="2"/>
      <c r="K83" s="2"/>
      <c r="L83" s="2"/>
      <c r="M83" s="2"/>
      <c r="N83" s="2"/>
      <c r="O83" s="2"/>
      <c r="P83" s="2"/>
    </row>
    <row r="84" spans="1:16" ht="14.25" customHeight="1" x14ac:dyDescent="0.2">
      <c r="A84" s="1136" t="s">
        <v>133</v>
      </c>
      <c r="B84" s="1137"/>
      <c r="C84" s="1137"/>
      <c r="D84" s="1137" t="s">
        <v>134</v>
      </c>
      <c r="E84" s="1137"/>
      <c r="F84" s="94" t="str">
        <f>IF(IF(G82=0,"",$F$40)=0,"",IF(G82=0,"",$F$40))</f>
        <v/>
      </c>
      <c r="G84" s="77" t="s">
        <v>135</v>
      </c>
      <c r="H84" s="96" t="str">
        <f>IF(IF(G82=0,"",$H$40)=0,"",IF(G82=0,"",$H$40))</f>
        <v/>
      </c>
      <c r="I84" s="73"/>
      <c r="J84" s="194" t="s">
        <v>160</v>
      </c>
      <c r="K84" s="194" t="str">
        <f>$K$40</f>
        <v>2021</v>
      </c>
      <c r="L84" s="194" t="str">
        <f>$L$40</f>
        <v>anteilig 2021</v>
      </c>
      <c r="M84" s="1138" t="s">
        <v>140</v>
      </c>
      <c r="N84" s="1138"/>
      <c r="O84" s="1139"/>
      <c r="P84" s="27">
        <f>ROUND(IF(F84="",IF(E88="",0,(E88*H88/K88)/L51*L52),G82*F84*H84/1000),2)</f>
        <v>0</v>
      </c>
    </row>
    <row r="85" spans="1:16" ht="15" customHeight="1" x14ac:dyDescent="0.2">
      <c r="A85" s="1140" t="s">
        <v>145</v>
      </c>
      <c r="B85" s="1141"/>
      <c r="C85" s="1141"/>
      <c r="D85" s="18"/>
      <c r="E85" s="107" t="s">
        <v>135</v>
      </c>
      <c r="F85" s="95" t="str">
        <f>IF(IF(G82=0,"",$F$41)=0,"",IF(G82=0,"",$F$41))</f>
        <v/>
      </c>
      <c r="G85" s="48"/>
      <c r="H85" s="47"/>
      <c r="I85" s="48"/>
      <c r="J85" s="195" t="s">
        <v>158</v>
      </c>
      <c r="K85" s="198">
        <f>$K$41</f>
        <v>4837.5</v>
      </c>
      <c r="L85" s="197">
        <f>IF(L51="",K85,K85/L51*L52)</f>
        <v>4837.5</v>
      </c>
      <c r="M85" s="1138" t="s">
        <v>139</v>
      </c>
      <c r="N85" s="1138"/>
      <c r="O85" s="1139"/>
      <c r="P85" s="27">
        <f>ROUND(IF(F85="",0,G82*F85/1000),2)</f>
        <v>0</v>
      </c>
    </row>
    <row r="86" spans="1:16" ht="15.75" customHeight="1" x14ac:dyDescent="0.2">
      <c r="A86" s="1142" t="s">
        <v>141</v>
      </c>
      <c r="B86" s="1143"/>
      <c r="C86" s="1143"/>
      <c r="D86" s="1144" t="s">
        <v>143</v>
      </c>
      <c r="E86" s="1144"/>
      <c r="F86" s="1145" t="str">
        <f>IF(IF(G82=0,"",$F$42)=0,"",IF(G82=0,"",$F$42))</f>
        <v/>
      </c>
      <c r="G86" s="1145"/>
      <c r="H86" s="72"/>
      <c r="I86" s="18"/>
      <c r="J86" s="195" t="s">
        <v>159</v>
      </c>
      <c r="K86" s="198">
        <f>$K$42</f>
        <v>6700</v>
      </c>
      <c r="L86" s="197">
        <f>IF(L51="",K86,K86/L51*L52)</f>
        <v>6700</v>
      </c>
      <c r="M86" s="1138" t="s">
        <v>141</v>
      </c>
      <c r="N86" s="1138"/>
      <c r="O86" s="1139"/>
      <c r="P86" s="23">
        <f>ROUND(IF(F86="",0,IF(G82=0,0,F86/L51*L52)),2)</f>
        <v>0</v>
      </c>
    </row>
    <row r="87" spans="1:16" ht="14.25" customHeight="1" x14ac:dyDescent="0.2">
      <c r="A87" s="18"/>
      <c r="B87" s="18"/>
      <c r="C87" s="18"/>
      <c r="D87" s="18"/>
      <c r="E87" s="18"/>
      <c r="F87" s="18"/>
      <c r="G87" s="18"/>
      <c r="H87" s="18"/>
      <c r="I87" s="18"/>
      <c r="J87" s="18"/>
      <c r="K87" s="74"/>
      <c r="L87" s="82"/>
      <c r="M87" s="1127" t="s">
        <v>146</v>
      </c>
      <c r="N87" s="1127"/>
      <c r="O87" s="1128"/>
      <c r="P87" s="23">
        <f>ROUND(IF(G82=0,0,$P$43),2)</f>
        <v>0</v>
      </c>
    </row>
    <row r="88" spans="1:16" ht="14.25" customHeight="1" x14ac:dyDescent="0.2">
      <c r="A88" s="1129" t="s">
        <v>142</v>
      </c>
      <c r="B88" s="1130"/>
      <c r="C88" s="148" t="s">
        <v>136</v>
      </c>
      <c r="D88" s="148" t="s">
        <v>137</v>
      </c>
      <c r="E88" s="1131" t="str">
        <f>IF(IF(G82=0,"",$E$44)=0,"",IF(G82=0,"",$E$44))</f>
        <v/>
      </c>
      <c r="F88" s="1131"/>
      <c r="G88" s="83" t="s">
        <v>138</v>
      </c>
      <c r="H88" s="97" t="str">
        <f>IF(IF(G82=0,"",$H$44)=0,"",IF(G82=0,"",$H$44))</f>
        <v/>
      </c>
      <c r="I88" s="1132" t="s">
        <v>144</v>
      </c>
      <c r="J88" s="1132"/>
      <c r="K88" s="98" t="str">
        <f>IF(IF(G82=0,"",$K$44)=0,"",IF(G82=0,"",$K$44))</f>
        <v/>
      </c>
      <c r="L88" s="29"/>
      <c r="M88" s="29"/>
      <c r="N88" s="29"/>
      <c r="O88" s="28" t="s">
        <v>0</v>
      </c>
      <c r="P88" s="27">
        <f>P82+SUM(P84:P87)</f>
        <v>0</v>
      </c>
    </row>
    <row r="89" spans="1:16" s="12" customFormat="1" ht="13.5" customHeight="1" x14ac:dyDescent="0.2">
      <c r="A89" s="1178" t="s">
        <v>18</v>
      </c>
      <c r="B89" s="1178"/>
      <c r="C89" s="1178"/>
      <c r="D89" s="1179" t="str">
        <f>IF($D$1="","",$D$1)</f>
        <v/>
      </c>
      <c r="E89" s="1179"/>
      <c r="F89" s="1179"/>
      <c r="G89" s="1179"/>
      <c r="H89" s="1179"/>
      <c r="I89" s="1179"/>
      <c r="J89" s="1179"/>
      <c r="K89" s="1179"/>
      <c r="L89" s="1179"/>
      <c r="M89" s="1179"/>
      <c r="N89" s="1179"/>
    </row>
    <row r="90" spans="1:16" s="12" customFormat="1" ht="15" customHeight="1" x14ac:dyDescent="0.2">
      <c r="A90" s="1178" t="s">
        <v>17</v>
      </c>
      <c r="B90" s="1178"/>
      <c r="C90" s="1178" t="s">
        <v>15</v>
      </c>
      <c r="D90" s="1179" t="str">
        <f>IF($D$2="","",$D$2)</f>
        <v/>
      </c>
      <c r="E90" s="1179"/>
      <c r="F90" s="1179"/>
      <c r="G90" s="1179"/>
      <c r="H90" s="1179"/>
      <c r="I90" s="1179"/>
      <c r="J90" s="1179"/>
      <c r="K90" s="1179"/>
      <c r="L90" s="1179"/>
      <c r="M90" s="1179"/>
      <c r="N90" s="1179"/>
    </row>
    <row r="91" spans="1:16" s="12" customFormat="1" ht="15" customHeight="1" x14ac:dyDescent="0.2">
      <c r="A91" s="1178" t="s">
        <v>16</v>
      </c>
      <c r="B91" s="1178"/>
      <c r="C91" s="1178" t="s">
        <v>15</v>
      </c>
      <c r="D91" s="1179" t="str">
        <f>IF($D$3="","",$D$3)</f>
        <v/>
      </c>
      <c r="E91" s="1179"/>
      <c r="F91" s="1179"/>
      <c r="G91" s="1179"/>
      <c r="H91" s="1179"/>
      <c r="I91" s="1179"/>
      <c r="J91" s="1179"/>
      <c r="K91" s="1178" t="s">
        <v>103</v>
      </c>
      <c r="L91" s="1178"/>
      <c r="M91" s="1178"/>
      <c r="N91" s="41" t="str">
        <f>IF($N$3="","",$N$3)</f>
        <v/>
      </c>
    </row>
    <row r="92" spans="1:16" s="13" customFormat="1" ht="11.25" x14ac:dyDescent="0.2">
      <c r="A92" s="1182"/>
      <c r="B92" s="1182"/>
      <c r="C92" s="1182"/>
      <c r="D92" s="1183"/>
      <c r="E92" s="1183"/>
      <c r="F92" s="1183"/>
      <c r="G92" s="1183"/>
      <c r="H92" s="1183"/>
      <c r="I92" s="1183"/>
      <c r="J92" s="1183"/>
      <c r="K92" s="11"/>
      <c r="L92" s="11"/>
      <c r="M92" s="11"/>
      <c r="N92" s="11"/>
      <c r="O92" s="11"/>
      <c r="P92" s="11"/>
    </row>
    <row r="93" spans="1:16" s="15" customFormat="1" ht="13.5" customHeight="1" x14ac:dyDescent="0.2">
      <c r="A93" s="1177" t="s">
        <v>227</v>
      </c>
      <c r="B93" s="1177"/>
      <c r="C93" s="1177"/>
      <c r="D93" s="1177"/>
      <c r="E93" s="1177"/>
      <c r="F93" s="1177"/>
      <c r="G93" s="1177"/>
      <c r="H93" s="1177"/>
      <c r="I93" s="1177"/>
      <c r="J93" s="1177"/>
      <c r="K93" s="9"/>
      <c r="L93" s="9"/>
      <c r="M93" s="9"/>
      <c r="N93" s="59" t="s">
        <v>154</v>
      </c>
      <c r="O93" s="191">
        <f>$O$5</f>
        <v>2022</v>
      </c>
      <c r="P93" s="59" t="s">
        <v>154</v>
      </c>
    </row>
    <row r="94" spans="1:16" s="10" customFormat="1" ht="13.5" customHeight="1" x14ac:dyDescent="0.25">
      <c r="B94" s="32"/>
      <c r="C94" s="32"/>
      <c r="D94" s="5" t="s">
        <v>230</v>
      </c>
      <c r="E94" s="31"/>
      <c r="F94" s="31"/>
      <c r="G94" s="31"/>
      <c r="H94" s="31"/>
      <c r="I94" s="26"/>
      <c r="J94" s="1174" t="s">
        <v>14</v>
      </c>
      <c r="K94" s="1174"/>
      <c r="L94" s="180"/>
      <c r="N94" s="84">
        <f>IF(L96="","",L96)</f>
        <v>0</v>
      </c>
      <c r="O94" s="58" t="str">
        <f>$O$6</f>
        <v>Jan                Jul</v>
      </c>
      <c r="P94" s="85">
        <f>IF(N99="","",N99)</f>
        <v>0</v>
      </c>
    </row>
    <row r="95" spans="1:16" s="7" customFormat="1" ht="13.5" customHeight="1" x14ac:dyDescent="0.25">
      <c r="A95" s="1180" t="s">
        <v>71</v>
      </c>
      <c r="B95" s="1180"/>
      <c r="C95" s="1180"/>
      <c r="D95" s="1184"/>
      <c r="E95" s="1184"/>
      <c r="F95" s="1184"/>
      <c r="G95" s="1184"/>
      <c r="H95" s="1184"/>
      <c r="I95" s="1184"/>
      <c r="J95" s="1174" t="s">
        <v>104</v>
      </c>
      <c r="K95" s="1174"/>
      <c r="L95" s="145"/>
      <c r="N95" s="85">
        <f>IF(N94="","",N94)</f>
        <v>0</v>
      </c>
      <c r="O95" s="58" t="str">
        <f>$O$7</f>
        <v>Feb              Aug</v>
      </c>
      <c r="P95" s="85">
        <f>IF(P94="","",P94)</f>
        <v>0</v>
      </c>
    </row>
    <row r="96" spans="1:16" ht="13.5" customHeight="1" x14ac:dyDescent="0.2">
      <c r="A96" s="1180" t="s">
        <v>13</v>
      </c>
      <c r="B96" s="1180"/>
      <c r="C96" s="1180"/>
      <c r="D96" s="1181"/>
      <c r="E96" s="1181"/>
      <c r="F96" s="1181"/>
      <c r="G96" s="1181"/>
      <c r="H96" s="1181"/>
      <c r="I96" s="1181"/>
      <c r="J96" s="1174" t="s">
        <v>222</v>
      </c>
      <c r="K96" s="1174"/>
      <c r="L96" s="145">
        <f>IF(L97&gt;L95,0,L95-L97)</f>
        <v>0</v>
      </c>
      <c r="N96" s="85">
        <f>IF(N95="","",N95)</f>
        <v>0</v>
      </c>
      <c r="O96" s="58" t="str">
        <f>$O$8</f>
        <v>Mrz              Sep</v>
      </c>
      <c r="P96" s="85">
        <f>IF(P95="","",P95)</f>
        <v>0</v>
      </c>
    </row>
    <row r="97" spans="1:16" ht="13.5" customHeight="1" x14ac:dyDescent="0.2">
      <c r="A97" s="1180" t="s">
        <v>12</v>
      </c>
      <c r="B97" s="1180"/>
      <c r="C97" s="1180"/>
      <c r="D97" s="1181"/>
      <c r="E97" s="1181"/>
      <c r="F97" s="1181"/>
      <c r="G97" s="1181"/>
      <c r="H97" s="1181"/>
      <c r="I97" s="1181"/>
      <c r="J97" s="1174" t="s">
        <v>223</v>
      </c>
      <c r="K97" s="1174"/>
      <c r="L97" s="145"/>
      <c r="N97" s="85">
        <f>IF(N96="","",N96)</f>
        <v>0</v>
      </c>
      <c r="O97" s="58" t="str">
        <f>$O$9</f>
        <v>Apr               Okt</v>
      </c>
      <c r="P97" s="85">
        <f t="shared" ref="P97:P99" si="10">IF(P96="","",P96)</f>
        <v>0</v>
      </c>
    </row>
    <row r="98" spans="1:16" ht="13.5" customHeight="1" x14ac:dyDescent="0.2">
      <c r="A98" s="1180" t="s">
        <v>19</v>
      </c>
      <c r="B98" s="1180"/>
      <c r="C98" s="1180"/>
      <c r="D98" s="1181"/>
      <c r="E98" s="1181"/>
      <c r="F98" s="1181"/>
      <c r="G98" s="1181"/>
      <c r="H98" s="1181"/>
      <c r="I98" s="1181"/>
      <c r="J98" s="1174" t="s">
        <v>97</v>
      </c>
      <c r="K98" s="1174"/>
      <c r="L98" s="17" t="str">
        <f>IF(IF((COUNTIF(B114:B125,"&gt;0"))=0,0,(COUNTIF(B114:B125,"&gt;0")))&gt;Grundlagen!$C$24,Grundlagen!$C$24,IF((COUNTIF(B114:B125,"&gt;0"))=0,"",(COUNTIF(B114:B125,"&gt;0"))))</f>
        <v/>
      </c>
      <c r="M98" s="92"/>
      <c r="N98" s="85">
        <f>IF(N97="","",N97)</f>
        <v>0</v>
      </c>
      <c r="O98" s="58" t="str">
        <f>'päd.Personal - Leitung'!$O$10</f>
        <v>Mai               Nov</v>
      </c>
      <c r="P98" s="85">
        <f t="shared" si="10"/>
        <v>0</v>
      </c>
    </row>
    <row r="99" spans="1:16" ht="13.5" customHeight="1" x14ac:dyDescent="0.2">
      <c r="B99" s="8"/>
      <c r="C99" s="141" t="s">
        <v>162</v>
      </c>
      <c r="D99" s="1175"/>
      <c r="E99" s="1175"/>
      <c r="F99" s="1176" t="s">
        <v>106</v>
      </c>
      <c r="G99" s="1176"/>
      <c r="H99" s="1186"/>
      <c r="I99" s="1186"/>
      <c r="L99" s="147" t="str">
        <f>IF((SUM(F102:F105))=0,"",IF(P100&gt;L96,L96,IF(L96="","",IF(L98="","",P100))))</f>
        <v/>
      </c>
      <c r="N99" s="85">
        <f>IF(N98="","",N98)</f>
        <v>0</v>
      </c>
      <c r="O99" s="58" t="str">
        <f>'päd.Personal - Leitung'!$O$11</f>
        <v>Jun               Dez</v>
      </c>
      <c r="P99" s="85">
        <f t="shared" si="10"/>
        <v>0</v>
      </c>
    </row>
    <row r="100" spans="1:16" ht="13.5" customHeight="1" x14ac:dyDescent="0.2">
      <c r="I100" s="6"/>
      <c r="O100" s="174" t="s">
        <v>251</v>
      </c>
      <c r="P100" s="175">
        <f>IF(L98="",0,((IF(SUMIF(B114,"&gt;0"),N94,0))+(IF(SUMIF(B115,"&gt;0"),N95,0))+(IF(SUMIF(B116,"&gt;0"),N96,0))+(IF(SUMIF(B117,"&gt;0"),N97,0))+(IF(SUMIF(B118,"&gt;0"),N98,0))+(IF(SUMIF(B119,"&gt;0"),N99,0))+(IF(SUMIF(B120,"&gt;0"),P94,0))+(IF(SUMIF(B121,"&gt;0"),P95,0))+(IF(SUMIF(B122,"&gt;0"),P96,0))+(IF(SUMIF(B123,"&gt;0"),P97,0))+(IF(SUMIF(B124,"&gt;0"),P98,0))+(IF(SUMIF(B125,"&gt;0"),P99,0)))/Grundlagen!$C$24)</f>
        <v>0</v>
      </c>
    </row>
    <row r="101" spans="1:16" s="52" customFormat="1" ht="13.5" customHeight="1" x14ac:dyDescent="0.2">
      <c r="A101" s="61" t="s">
        <v>148</v>
      </c>
      <c r="B101" s="1168" t="s">
        <v>149</v>
      </c>
      <c r="C101" s="1168"/>
      <c r="D101" s="62" t="s">
        <v>150</v>
      </c>
      <c r="E101" s="63" t="s">
        <v>151</v>
      </c>
      <c r="F101" s="64" t="str">
        <f>CONCATENATE("Entg. ",N91," h/Wo")</f>
        <v>Entg.  h/Wo</v>
      </c>
      <c r="G101" s="65" t="s">
        <v>152</v>
      </c>
      <c r="H101" s="65" t="s">
        <v>153</v>
      </c>
      <c r="K101" s="1169" t="str">
        <f>CONCATENATE("Zuschläge / Zulagen für ",N91,"h/Wo")</f>
        <v>Zuschläge / Zulagen für h/Wo</v>
      </c>
      <c r="L101" s="1169"/>
      <c r="M101" s="66" t="str">
        <f>IF(A102="","",A102)</f>
        <v>Jan 2022</v>
      </c>
      <c r="N101" s="66" t="str">
        <f>IF(A103="","",A103)</f>
        <v/>
      </c>
      <c r="O101" s="66" t="str">
        <f>IF(A104="","",A104)</f>
        <v/>
      </c>
      <c r="P101" s="66" t="str">
        <f>IF(A105="","",A105)</f>
        <v/>
      </c>
    </row>
    <row r="102" spans="1:16" s="52" customFormat="1" ht="13.5" customHeight="1" x14ac:dyDescent="0.25">
      <c r="A102" s="54" t="str">
        <f>A114</f>
        <v>Jan 2022</v>
      </c>
      <c r="B102" s="1170" t="str">
        <f>IF($D$3="","",$D$3)</f>
        <v/>
      </c>
      <c r="C102" s="1171"/>
      <c r="D102" s="181"/>
      <c r="E102" s="181"/>
      <c r="F102" s="87"/>
      <c r="G102" s="56">
        <f>IF(N91="",0,F102/N91/4.348)</f>
        <v>0</v>
      </c>
      <c r="H102" s="53">
        <f>IF(G102=0,0,M107)</f>
        <v>0</v>
      </c>
      <c r="K102" s="1146"/>
      <c r="L102" s="1146"/>
      <c r="M102" s="86"/>
      <c r="N102" s="86"/>
      <c r="O102" s="86"/>
      <c r="P102" s="86"/>
    </row>
    <row r="103" spans="1:16" s="52" customFormat="1" ht="13.5" customHeight="1" x14ac:dyDescent="0.25">
      <c r="A103" s="55"/>
      <c r="B103" s="1172" t="str">
        <f>IF(A103="","",B102)</f>
        <v/>
      </c>
      <c r="C103" s="1173"/>
      <c r="D103" s="181"/>
      <c r="E103" s="181"/>
      <c r="F103" s="87"/>
      <c r="G103" s="56">
        <f>IF(N91="",0,F103/N91/4.348)</f>
        <v>0</v>
      </c>
      <c r="H103" s="53">
        <f>IF(G103=0,0,N107)</f>
        <v>0</v>
      </c>
      <c r="K103" s="1146"/>
      <c r="L103" s="1146"/>
      <c r="M103" s="86"/>
      <c r="N103" s="86"/>
      <c r="O103" s="86"/>
      <c r="P103" s="86"/>
    </row>
    <row r="104" spans="1:16" s="52" customFormat="1" ht="13.5" customHeight="1" x14ac:dyDescent="0.25">
      <c r="A104" s="55"/>
      <c r="B104" s="1172" t="str">
        <f>IF(A104="","",B103)</f>
        <v/>
      </c>
      <c r="C104" s="1173"/>
      <c r="D104" s="181"/>
      <c r="E104" s="181"/>
      <c r="F104" s="87"/>
      <c r="G104" s="56">
        <f>IF(N91="",0,F104/N91/4.348)</f>
        <v>0</v>
      </c>
      <c r="H104" s="53">
        <f>IF(G104=0,0,O107)</f>
        <v>0</v>
      </c>
      <c r="K104" s="1146"/>
      <c r="L104" s="1146"/>
      <c r="M104" s="86"/>
      <c r="N104" s="86"/>
      <c r="O104" s="86"/>
      <c r="P104" s="86"/>
    </row>
    <row r="105" spans="1:16" s="52" customFormat="1" ht="13.5" customHeight="1" x14ac:dyDescent="0.25">
      <c r="A105" s="55"/>
      <c r="B105" s="1172" t="str">
        <f>IF(A105="","",B104)</f>
        <v/>
      </c>
      <c r="C105" s="1173"/>
      <c r="D105" s="181"/>
      <c r="E105" s="181"/>
      <c r="F105" s="87"/>
      <c r="G105" s="56">
        <f>IF(N91="",0,F105/N91/4.348)</f>
        <v>0</v>
      </c>
      <c r="H105" s="53">
        <f>IF(G105=0,0,P107)</f>
        <v>0</v>
      </c>
      <c r="K105" s="1146"/>
      <c r="L105" s="1146"/>
      <c r="M105" s="86"/>
      <c r="N105" s="86"/>
      <c r="O105" s="86"/>
      <c r="P105" s="86"/>
    </row>
    <row r="106" spans="1:16" s="52" customFormat="1" ht="13.5" customHeight="1" x14ac:dyDescent="0.25">
      <c r="B106" s="1167" t="s">
        <v>157</v>
      </c>
      <c r="C106" s="1167"/>
      <c r="E106" s="1167" t="s">
        <v>156</v>
      </c>
      <c r="F106" s="1167"/>
      <c r="J106" s="69"/>
      <c r="K106" s="1146"/>
      <c r="L106" s="1146"/>
      <c r="M106" s="86"/>
      <c r="N106" s="86"/>
      <c r="O106" s="86"/>
      <c r="P106" s="86"/>
    </row>
    <row r="107" spans="1:16" s="52" customFormat="1" ht="13.5" customHeight="1" x14ac:dyDescent="0.25">
      <c r="A107" s="70" t="s">
        <v>167</v>
      </c>
      <c r="B107" s="67"/>
      <c r="C107" s="99" t="str">
        <f>IF(C63="","",C63)</f>
        <v/>
      </c>
      <c r="D107" s="70" t="s">
        <v>167</v>
      </c>
      <c r="E107" s="67"/>
      <c r="F107" s="99" t="str">
        <f>IF(F63="","",F63)</f>
        <v/>
      </c>
      <c r="J107" s="68"/>
      <c r="M107" s="57">
        <f>SUM(M102:M106)</f>
        <v>0</v>
      </c>
      <c r="N107" s="57">
        <f t="shared" ref="N107:P107" si="11">SUM(N102:N106)</f>
        <v>0</v>
      </c>
      <c r="O107" s="57">
        <f t="shared" si="11"/>
        <v>0</v>
      </c>
      <c r="P107" s="57">
        <f t="shared" si="11"/>
        <v>0</v>
      </c>
    </row>
    <row r="108" spans="1:16" s="52" customFormat="1" ht="13.5" customHeight="1" x14ac:dyDescent="0.2">
      <c r="A108" s="60" t="s">
        <v>155</v>
      </c>
    </row>
    <row r="109" spans="1:16" ht="14.25" customHeight="1" x14ac:dyDescent="0.2">
      <c r="A109" s="1147"/>
      <c r="B109" s="1149" t="s">
        <v>9</v>
      </c>
      <c r="C109" s="1150"/>
      <c r="D109" s="1150"/>
      <c r="E109" s="1150"/>
      <c r="F109" s="1150"/>
      <c r="G109" s="1151"/>
      <c r="H109" s="1152" t="s">
        <v>119</v>
      </c>
      <c r="I109" s="1153"/>
      <c r="J109" s="1153"/>
      <c r="K109" s="1153"/>
      <c r="L109" s="1153"/>
      <c r="M109" s="1153"/>
      <c r="N109" s="1153"/>
      <c r="O109" s="33"/>
      <c r="P109" s="1154" t="s">
        <v>0</v>
      </c>
    </row>
    <row r="110" spans="1:16" ht="14.25" customHeight="1" x14ac:dyDescent="0.2">
      <c r="A110" s="1148"/>
      <c r="B110" s="1157" t="s">
        <v>117</v>
      </c>
      <c r="C110" s="144" t="s">
        <v>115</v>
      </c>
      <c r="D110" s="1159" t="s">
        <v>277</v>
      </c>
      <c r="E110" s="1161" t="s">
        <v>147</v>
      </c>
      <c r="F110" s="149" t="s">
        <v>7</v>
      </c>
      <c r="G110" s="1162" t="s">
        <v>6</v>
      </c>
      <c r="H110" s="1161" t="s">
        <v>129</v>
      </c>
      <c r="I110" s="1161" t="s">
        <v>5</v>
      </c>
      <c r="J110" s="1161" t="s">
        <v>4</v>
      </c>
      <c r="K110" s="1161" t="s">
        <v>3</v>
      </c>
      <c r="L110" s="1161" t="s">
        <v>121</v>
      </c>
      <c r="M110" s="1161" t="s">
        <v>122</v>
      </c>
      <c r="N110" s="1161" t="s">
        <v>123</v>
      </c>
      <c r="O110" s="1160" t="s">
        <v>114</v>
      </c>
      <c r="P110" s="1155"/>
    </row>
    <row r="111" spans="1:16" ht="14.25" customHeight="1" x14ac:dyDescent="0.2">
      <c r="A111" s="1148"/>
      <c r="B111" s="1157"/>
      <c r="C111" s="21" t="str">
        <f>IF(C107="","",C107)</f>
        <v/>
      </c>
      <c r="D111" s="1160"/>
      <c r="E111" s="1161"/>
      <c r="F111" s="1165" t="str">
        <f>IF(H102=0,"","siehe Zuschläge / Zulagen")</f>
        <v/>
      </c>
      <c r="G111" s="1162"/>
      <c r="H111" s="1164" t="s">
        <v>127</v>
      </c>
      <c r="I111" s="1164"/>
      <c r="J111" s="1164"/>
      <c r="K111" s="1164"/>
      <c r="L111" s="1164"/>
      <c r="M111" s="1164"/>
      <c r="N111" s="1164"/>
      <c r="O111" s="1160"/>
      <c r="P111" s="1155"/>
    </row>
    <row r="112" spans="1:16" x14ac:dyDescent="0.2">
      <c r="A112" s="1148"/>
      <c r="B112" s="1157"/>
      <c r="C112" s="142" t="s">
        <v>70</v>
      </c>
      <c r="D112" s="1160"/>
      <c r="E112" s="1161"/>
      <c r="F112" s="1165"/>
      <c r="G112" s="1162"/>
      <c r="H112" s="43" t="s">
        <v>128</v>
      </c>
      <c r="I112" s="43" t="s">
        <v>255</v>
      </c>
      <c r="J112" s="43" t="s">
        <v>256</v>
      </c>
      <c r="K112" s="43" t="s">
        <v>257</v>
      </c>
      <c r="L112" s="43"/>
      <c r="M112" s="43"/>
      <c r="N112" s="43" t="s">
        <v>254</v>
      </c>
      <c r="O112" s="1160"/>
      <c r="P112" s="1155"/>
    </row>
    <row r="113" spans="1:16" x14ac:dyDescent="0.2">
      <c r="A113" s="1148"/>
      <c r="B113" s="1158"/>
      <c r="C113" s="21" t="str">
        <f>IF(F107="","",F107)</f>
        <v/>
      </c>
      <c r="D113" s="51"/>
      <c r="E113" s="51"/>
      <c r="F113" s="1166"/>
      <c r="G113" s="1163"/>
      <c r="H113" s="93"/>
      <c r="I113" s="139">
        <f>$I$25</f>
        <v>0</v>
      </c>
      <c r="J113" s="139">
        <f>$J$25</f>
        <v>0</v>
      </c>
      <c r="K113" s="44">
        <f>$K$25</f>
        <v>0</v>
      </c>
      <c r="L113" s="21"/>
      <c r="M113" s="21"/>
      <c r="N113" s="139">
        <f>$N$25</f>
        <v>0</v>
      </c>
      <c r="O113" s="21">
        <f>O69</f>
        <v>0</v>
      </c>
      <c r="P113" s="1156"/>
    </row>
    <row r="114" spans="1:16" x14ac:dyDescent="0.2">
      <c r="A114" s="100" t="str">
        <f>$A$26</f>
        <v>Jan 2022</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76">
        <f>ROUND(IF((SUM(B114:F114))&gt;L129,L129*H113,SUM(B114:F114)*H113),2)</f>
        <v>0</v>
      </c>
      <c r="I114" s="76">
        <f>ROUND(IF((SUM(B114:F114))&gt;L130,L130*I113,SUM(B114:F114)*I113),2)</f>
        <v>0</v>
      </c>
      <c r="J114" s="76">
        <f>ROUND(IF((SUM(B114:F114))&gt;L130,L130*J113,SUM(B114:F114)*J113),2)</f>
        <v>0</v>
      </c>
      <c r="K114" s="76">
        <f>ROUND(IF((SUM(B114:F114))&gt;L129,L129*K113,SUM(B114:F114)*K113),2)</f>
        <v>0</v>
      </c>
      <c r="L114" s="76">
        <f>ROUND(IF((SUM(B114:F114))&gt;L130,L130*L113,(SUM(B114:F114)-C114)*L113),2)</f>
        <v>0</v>
      </c>
      <c r="M114" s="76">
        <f>ROUND(IF((SUM(B114:F114))&gt;L130,L130*M113,(SUM(B114:F114)-C114)*M113),2)</f>
        <v>0</v>
      </c>
      <c r="N114" s="76">
        <f>ROUND(IF((SUM(B114:F114))&gt;L130,L130*N113,SUM(B114:F114)*N113),2)</f>
        <v>0</v>
      </c>
      <c r="O114" s="23">
        <f>ROUND(SUM(B114+C114+F114)*O113,2)</f>
        <v>0</v>
      </c>
      <c r="P114" s="27">
        <f>SUM(G114:O114)</f>
        <v>0</v>
      </c>
    </row>
    <row r="115" spans="1:16" x14ac:dyDescent="0.2">
      <c r="A115" s="100" t="str">
        <f>$A$27</f>
        <v>Feb 2022</v>
      </c>
      <c r="B115" s="24">
        <f>ROUND(IF(N95=0,0,IFERROR(((LOOKUP(2,1/(A102:A105=A115),G102:G105))*N95*4.348),B114/N95*N95)),2)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ROUND(IF(N95=0,0,IFERROR(((LOOKUP(2,1/(A102:A105=A115),H102:H105))/N91*N95),F114/N95*N95)),2)</f>
        <v>0</v>
      </c>
      <c r="G115" s="27">
        <f t="shared" ref="G115:G125" si="12">SUM(B115+C115+E115+F115)</f>
        <v>0</v>
      </c>
      <c r="H115" s="76">
        <f>ROUND(IF(SUM(B114:F114)&lt;(L129*1),IF((SUM(B114:F115))&gt;(L129*2),(((L129*2)-(SUM(B114:F115)-C114))*H113)+((SUM(B115:F115)-C114)*H113),SUM(B115:F115)*H113),IF(SUM(B114:F115)&gt;(L129*2),L129*H113,SUM(B115:F115)*H113)),2)</f>
        <v>0</v>
      </c>
      <c r="I115" s="76">
        <f>ROUND(IF(SUM(B114:F114)&lt;(L130*1),IF((SUM(B114:F115))&gt;(L130*2),(((L130*2)-(SUM(B114:F115)-C114))*I113)+((SUM(B115:F115)-C114)*I113),SUM(B115:F115)*I113),IF(SUM(B114:F115)&gt;(L130*2),L130*I113,SUM(B115:F115)*I113)),2)</f>
        <v>0</v>
      </c>
      <c r="J115" s="76">
        <f>ROUND(IF(SUM(B114:F114)&lt;(L130*1),IF((SUM(B114:F115))&gt;(L130*2),(((L130*2)-(SUM(B114:F115)-C114))*J113)+((SUM(B115:F115)-C114)*J113),SUM(B115:F115)*J113),IF(SUM(B114:F115)&gt;(L130*2),L130*J113,SUM(B115:F115)*J113)),2)</f>
        <v>0</v>
      </c>
      <c r="K115" s="76">
        <f>ROUND(IF(SUM(B114:F114)&lt;(L129*1),IF((SUM(B114:F115))&gt;(L129*2),(((L129*2)-(SUM(B114:F115)-C114))*K113)+((SUM(B115:F115)-C114)*K113),SUM(B115:F115)*K113),IF(SUM(B114:F115)&gt;(L129*2),L129*K113,SUM(B115:F115)*K113)),2)</f>
        <v>0</v>
      </c>
      <c r="L115" s="76">
        <f>ROUND(IF(SUM(B114:F114)&lt;(L130*1),IF((SUM(B114:F115))&gt;(L130*2),(((L130*2)-(SUM(B114:F115)-C115))*L113)+((SUM(B115:F115)-C115)*L113),(SUM(B115:F115)-C115)*L113),IF(SUM(B114:F115)&gt;(L130*2),L130*L113,SUM(B115:F115)*L113)),2)</f>
        <v>0</v>
      </c>
      <c r="M115" s="76">
        <f>ROUND(IF(SUM(B114:F114)&lt;(L130*1),IF((SUM(B114:F115))&gt;(L130*2),(((L130*2)-(SUM(B114:F115)-C115))*M113)+((SUM(B115:F115)-C115)*M113),(SUM(B115:F115)-C115)*M113),IF(SUM(B114:F115)&gt;(L130*2),L130*M113,SUM(B115:F115)*M113)),2)</f>
        <v>0</v>
      </c>
      <c r="N115" s="76">
        <f>ROUND(IF(SUM(B114:F114)&lt;(L130*1),IF((SUM(B114:F115))&gt;(L130*2),(((L130*2)-(SUM(B114:F115)-C114))*N113)+((SUM(B115:F115)-C114)*N113),SUM(B115:F115)*N113),IF(SUM(B114:F115)&gt;(L130*2),L130*N113,SUM(B115:F115)*N113)),2)</f>
        <v>0</v>
      </c>
      <c r="O115" s="23">
        <f>ROUND(SUM(B115+C115+F115)*O113,2)</f>
        <v>0</v>
      </c>
      <c r="P115" s="27">
        <f>SUM(G115:O115)</f>
        <v>0</v>
      </c>
    </row>
    <row r="116" spans="1:16" x14ac:dyDescent="0.2">
      <c r="A116" s="100" t="str">
        <f>$A$28</f>
        <v>Mrz 2022</v>
      </c>
      <c r="B116" s="24">
        <f>ROUND(IF(N96=0,0,IFERROR(((LOOKUP(2,1/(A102:A105=A116),G102:G105))*N96*4.348),B115/N96*N96)),2)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ROUND(IF(N96=0,0,IFERROR(((LOOKUP(2,1/(A102:A105=A116),H102:H105))/N91*N96),F115/N96*N96)),2)</f>
        <v>0</v>
      </c>
      <c r="G116" s="27">
        <f t="shared" si="12"/>
        <v>0</v>
      </c>
      <c r="H116" s="76">
        <f>ROUND(IF(SUM(B114:F115)&lt;(L129*2),IF((SUM(B114:F116))&gt;(L129*3),(((L129*3)-(SUM(B114:F116)-C115))*H113)+((SUM(B116:F116)-C115)*H113),SUM(B116:F116)*H113),IF(SUM(B114:F116)&gt;(L129*3),L129*H113,SUM(B116:F116)*H113)),2)</f>
        <v>0</v>
      </c>
      <c r="I116" s="76">
        <f>ROUND(IF(SUM(B114:F115)&lt;(L130*2),IF((SUM(B114:F116))&gt;(L130*3),(((L130*3)-(SUM(B114:F116)-C115))*I113)+((SUM(B116:F116)-C115)*I113),SUM(B116:F116)*I113),IF(SUM(B114:F116)&gt;(L130*3),L130*I113,SUM(B116:F116)*I113)),2)</f>
        <v>0</v>
      </c>
      <c r="J116" s="76">
        <f>ROUND(IF(SUM(B114:F115)&lt;(L130*2),IF((SUM(B114:F116))&gt;(L130*3),(((L130*3)-(SUM(B114:F116)-C115))*J113)+((SUM(B116:F116)-C115)*J113),SUM(B116:F116)*J113),IF(SUM(B114:F116)&gt;(L130*3),L130*J113,SUM(B116:F116)*J113)),2)</f>
        <v>0</v>
      </c>
      <c r="K116" s="76">
        <f>ROUND(IF(SUM(B114:F115)&lt;(L129*2),IF((SUM(B114:F116))&gt;(L129*3),(((L129*3)-(SUM(B114:F116)-C115))*K113)+((SUM(B116:F116)-C115)*K113),SUM(B116:F116)*K113),IF(SUM(B114:F116)&gt;(L129*3),L129*K113,SUM(B116:F116)*K113)),2)</f>
        <v>0</v>
      </c>
      <c r="L116" s="76">
        <f>ROUND(IF(SUM(B114:F115)&lt;(L130*2),IF((SUM(B114:F116))&gt;(L130*3),(((L130*3)-(SUM(B114:F116)-C116))*L113)+((SUM(B116:F116)-C116)*L113),(SUM(B116:F116)-C116)*L113),IF(SUM(B114:F116)&gt;(L130*3),L130*L113,SUM(B116:F116)*L113)),2)</f>
        <v>0</v>
      </c>
      <c r="M116" s="76">
        <f>ROUND(IF(SUM(B114:F115)&lt;(L130*2),IF((SUM(B114:F116))&gt;(L130*3),(((L130*3)-(SUM(B114:F116)-C116))*M113)+((SUM(B116:F116)-C116)*M113),(SUM(B116:F116)-C116)*M113),IF(SUM(B114:F116)&gt;(L130*3),L130*M113,SUM(B116:F116)*M113)),2)</f>
        <v>0</v>
      </c>
      <c r="N116" s="76">
        <f>ROUND(IF(SUM(B114:F115)&lt;(L130*2),IF((SUM(B114:F116))&gt;(L130*3),(((L130*3)-(SUM(B114:F116)-C115))*N113)+((SUM(B116:F116)-C115)*N113),SUM(B116:F116)*N113),IF(SUM(B114:F116)&gt;(L130*3),L130*N113,SUM(B116:F116)*N113)),2)</f>
        <v>0</v>
      </c>
      <c r="O116" s="23">
        <f>ROUND(SUM(B116+C116+F116)*O113,2)</f>
        <v>0</v>
      </c>
      <c r="P116" s="27">
        <f t="shared" ref="P116:P125" si="13">SUM(G116:O116)</f>
        <v>0</v>
      </c>
    </row>
    <row r="117" spans="1:16" x14ac:dyDescent="0.2">
      <c r="A117" s="100" t="str">
        <f>$A$29</f>
        <v>Apr 2022</v>
      </c>
      <c r="B117" s="24">
        <f>ROUND(IF(N97=0,0,IFERROR(((LOOKUP(2,1/(A102:A105=A117),G102:G105))*N97*4.348),B116/N97*N97)),2)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ROUND(IF(N97=0,0,IFERROR(((LOOKUP(2,1/(A102:A105=A117),H102:H105))/N91*N97),F116/N97*N97)),2)</f>
        <v>0</v>
      </c>
      <c r="G117" s="27">
        <f t="shared" si="12"/>
        <v>0</v>
      </c>
      <c r="H117" s="76">
        <f>ROUND(IF(SUM(B114:F116)&lt;(L129*3),IF((SUM(B114:F117))&gt;(L129*4),(((L129*4)-(SUM(B114:F117)-C116))*H113)+((SUM(B117:F117)-C116)*H113),SUM(B117:F117)*H113),IF(SUM(B114:F117)&gt;(L129*4),L129*H113,SUM(B117:F117)*H113)),2)</f>
        <v>0</v>
      </c>
      <c r="I117" s="76">
        <f>ROUND(IF(SUM(B114:F116)&lt;(L130*3),IF((SUM(B114:F117))&gt;(L130*4),(((L130*4)-(SUM(B114:F117)-C116))*I113)+((SUM(B117:F117)-C116)*I113),SUM(B117:F117)*I113),IF(SUM(B114:F117)&gt;(L130*4),L130*I113,SUM(B117:F117)*I113)),2)</f>
        <v>0</v>
      </c>
      <c r="J117" s="76">
        <f>ROUND(IF(SUM(B114:F116)&lt;(L130*3),IF((SUM(B114:F117))&gt;(L130*4),(((L130*4)-(SUM(B114:F117)-C116))*J113)+((SUM(B117:F117)-C116)*J113),SUM(B117:F117)*J113),IF(SUM(B114:F117)&gt;(L130*4),L130*J113,SUM(B117:F117)*J113)),2)</f>
        <v>0</v>
      </c>
      <c r="K117" s="76">
        <f>ROUND(IF(SUM(B114:F116)&lt;(L129*3),IF((SUM(B114:F117))&gt;(L129*4),(((L129*4)-(SUM(B114:F117)-C116))*K113)+((SUM(B117:F117)-C116)*K113),SUM(B117:F117)*K113),IF(SUM(B114:F117)&gt;(L129*4),L129*K113,SUM(B117:F117)*K113)),2)</f>
        <v>0</v>
      </c>
      <c r="L117" s="76">
        <f>ROUND(IF(SUM(B114:F116)&lt;(L130*3),IF((SUM(B114:F117))&gt;(L130*4),(((L130*4)-(SUM(B114:F117)-C117))*L113)+((SUM(B117:F117)-C117)*L113),(SUM(B117:F117)-C117)*L113),IF(SUM(B114:F117)&gt;(L130*4),L130*L113,SUM(B117:F117)*L113)),2)</f>
        <v>0</v>
      </c>
      <c r="M117" s="76">
        <f>ROUND(IF(SUM(B114:F116)&lt;(L130*3),IF((SUM(B114:F117))&gt;(L130*4),(((L130*4)-(SUM(B114:F117)-C117))*M113)+((SUM(B117:F117)-C117)*M113),(SUM(B117:F117)-C117)*M113),IF(SUM(B114:F117)&gt;(L130*4),L130*M113,SUM(B117:F117)*M113)),2)</f>
        <v>0</v>
      </c>
      <c r="N117" s="76">
        <f>ROUND(IF(SUM(B114:F116)&lt;(L130*3),IF((SUM(B114:F117))&gt;(L130*4),(((L130*4)-(SUM(B114:F117)-C116))*N113)+((SUM(B117:F117)-C116)*N113),SUM(B117:F117)*N113),IF(SUM(B114:F117)&gt;(L130*4),L130*N113,SUM(B117:F117)*N113)),2)</f>
        <v>0</v>
      </c>
      <c r="O117" s="23">
        <f>ROUND(SUM(B117+C117+F117)*O113,2)</f>
        <v>0</v>
      </c>
      <c r="P117" s="27">
        <f t="shared" si="13"/>
        <v>0</v>
      </c>
    </row>
    <row r="118" spans="1:16" x14ac:dyDescent="0.2">
      <c r="A118" s="100" t="str">
        <f>$A$30</f>
        <v>Mai 2022</v>
      </c>
      <c r="B118" s="24">
        <f>ROUND(IF(N98=0,0,IFERROR(((LOOKUP(2,1/(A102:A105=A118),G102:G105))*N98*4.348),B117/N98*N98)),2)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ROUND(IF(N98=0,0,IFERROR(((LOOKUP(2,1/(A102:A105=A118),H102:H105))/N91*N98),F117/N98*N98)),2)</f>
        <v>0</v>
      </c>
      <c r="G118" s="27">
        <f t="shared" si="12"/>
        <v>0</v>
      </c>
      <c r="H118" s="76">
        <f>ROUND(IF(SUM(B114:F117)&lt;(L129*4),IF((SUM(B114:F118))&gt;(L129*5),(((L129*5)-(SUM(B114:F118)-C117))*H113)+((SUM(B118:F118)-C117)*H113),SUM(B118:F118)*H113),IF(SUM(B114:F118)&gt;(L129*5),L129*H113,SUM(B118:F118)*H113)),2)</f>
        <v>0</v>
      </c>
      <c r="I118" s="76">
        <f>ROUND(IF(SUM(B114:F117)&lt;(L130*4),IF((SUM(B114:F118))&gt;(L130*5),(((L130*5)-(SUM(B114:F118)-C117))*I113)+((SUM(B118:F118)-C117)*I113),SUM(B118:F118)*I113),IF(SUM(B114:F118)&gt;(L130*5),L130*I113,SUM(B118:F118)*I113)),2)</f>
        <v>0</v>
      </c>
      <c r="J118" s="76">
        <f>ROUND(IF(SUM(B114:F117)&lt;(L130*4),IF((SUM(B114:F118))&gt;(L130*5),(((L130*5)-(SUM(B114:F118)-C117))*J113)+((SUM(B118:F118)-C117)*J113),SUM(B118:F118)*J113),IF(SUM(B114:F118)&gt;(L130*5),L130*J113,SUM(B118:F118)*J113)),2)</f>
        <v>0</v>
      </c>
      <c r="K118" s="76">
        <f>ROUND(IF(SUM(B114:F117)&lt;(L129*4),IF((SUM(B114:F118))&gt;(L129*5),(((L129*5)-(SUM(B114:F118)-C117))*K113)+((SUM(B118:F118)-C117)*K113),SUM(B118:F118)*K113),IF(SUM(B114:F118)&gt;(L129*5),L129*K113,SUM(B118:F118)*K113)),2)</f>
        <v>0</v>
      </c>
      <c r="L118" s="76">
        <f>ROUND(IF(SUM(B114:F117)&lt;(L130*4),IF((SUM(B114:F118))&gt;(L130*5),(((L130*5)-(SUM(B114:F118)-C118))*L113)+((SUM(B118:F118)-C118)*L113),(SUM(B118:F118)-C118)*L113),IF(SUM(B114:F118)&gt;(L130*5),L130*L113,SUM(B118:F118)*L113)),2)</f>
        <v>0</v>
      </c>
      <c r="M118" s="76">
        <f>ROUND(IF(SUM(B114:F117)&lt;(L130*4),IF((SUM(B114:F118))&gt;(L130*5),(((L130*5)-(SUM(B114:F118)-C118))*M113)+((SUM(B118:F118)-C118)*M113),(SUM(B118:F118)-C118)*M113),IF(SUM(B114:F118)&gt;(L130*5),L130*M113,SUM(B118:F118)*M113)),2)</f>
        <v>0</v>
      </c>
      <c r="N118" s="76">
        <f>ROUND(IF(SUM(B114:F117)&lt;(L130*4),IF((SUM(B114:F118))&gt;(L130*5),(((L130*5)-(SUM(B114:F118)-C117))*N113)+((SUM(B118:F118)-C117)*N113),SUM(B118:F118)*N113),IF(SUM(B114:F118)&gt;(L130*5),L130*N113,SUM(B118:F118)*N113)),2)</f>
        <v>0</v>
      </c>
      <c r="O118" s="23">
        <f>ROUND(SUM(B118+C118+F118)*O113,2)</f>
        <v>0</v>
      </c>
      <c r="P118" s="27">
        <f t="shared" si="13"/>
        <v>0</v>
      </c>
    </row>
    <row r="119" spans="1:16" x14ac:dyDescent="0.2">
      <c r="A119" s="100" t="str">
        <f>$A$31</f>
        <v>Jun 2022</v>
      </c>
      <c r="B119" s="24">
        <f>ROUND(IF(N99=0,0,IFERROR(((LOOKUP(2,1/(A102:A105=A119),G102:G105))*N99*4.348),B118/N99*N99)),2)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ROUND(IF(N99=0,0,IFERROR(((LOOKUP(2,1/(A102:A105=A119),H102:H105))/N91*N99),F118/N99*N99)),2)</f>
        <v>0</v>
      </c>
      <c r="G119" s="27">
        <f t="shared" si="12"/>
        <v>0</v>
      </c>
      <c r="H119" s="76">
        <f>ROUND(IF(SUM(B114:F118)&lt;(L129*5),IF((SUM(B114:F119))&gt;(L129*6),(((L129*6)-(SUM(B114:F119)-C118))*H113)+((SUM(B119:F119)-C118)*H113),SUM(B119:F119)*H113),IF(SUM(B114:F119)&gt;(L129*6),L129*H113,SUM(B119:F119)*H113)),2)</f>
        <v>0</v>
      </c>
      <c r="I119" s="76">
        <f>ROUND(IF(SUM(B114:F118)&lt;(L130*5),IF((SUM(B114:F119))&gt;(L130*6),(((L130*6)-(SUM(B114:F119)-C118))*I113)+((SUM(B119:F119)-C118)*I113),SUM(B119:F119)*I113),IF(SUM(B114:F119)&gt;(L130*6),L130*I113,SUM(B119:F119)*I113)),2)</f>
        <v>0</v>
      </c>
      <c r="J119" s="76">
        <f>ROUND(IF(SUM(B114:F118)&lt;(L130*5),IF((SUM(B114:F119))&gt;(L130*6),(((L130*6)-(SUM(B114:F119)-C118))*J113)+((SUM(B119:F119)-C118)*J113),SUM(B119:F119)*J113),IF(SUM(B114:F119)&gt;(L130*6),L130*J113,SUM(B119:F119)*J113)),2)</f>
        <v>0</v>
      </c>
      <c r="K119" s="76">
        <f>ROUND(IF(SUM(B114:F118)&lt;(L129*5),IF((SUM(B114:F119))&gt;(L129*6),(((L129*6)-(SUM(B114:F119)-C118))*K113)+((SUM(B119:F119)-C118)*K113),SUM(B119:F119)*K113),IF(SUM(B114:F119)&gt;(L129*6),L129*K113,SUM(B119:F119)*K113)),2)</f>
        <v>0</v>
      </c>
      <c r="L119" s="76">
        <f>ROUND(IF(SUM(B114:F118)&lt;(L130*5),IF((SUM(B114:F119))&gt;(L130*6),(((L130*6)-(SUM(B114:F119)-C119))*L113)+((SUM(B119:F119)-C119)*L113),(SUM(B119:F119)-C119)*L113),IF(SUM(B114:F119)&gt;(L130*6),L130*L113,SUM(B119:F119)*L113)),2)</f>
        <v>0</v>
      </c>
      <c r="M119" s="76">
        <f>ROUND(IF(SUM(B114:F118)&lt;(L130*5),IF((SUM(B114:F119))&gt;(L130*6),(((L130*6)-(SUM(B114:F119)-C119))*M113)+((SUM(B119:F119)-C119)*M113),(SUM(B119:F119)-C119)*M113),IF(SUM(B114:F119)&gt;(L130*6),L130*M113,SUM(B119:F119)*M113)),2)</f>
        <v>0</v>
      </c>
      <c r="N119" s="76">
        <f>ROUND(IF(SUM(B114:F118)&lt;(L130*5),IF((SUM(B114:F119))&gt;(L130*6),(((L130*6)-(SUM(B114:F119)-C118))*N113)+((SUM(B119:F119)-C118)*N113),SUM(B119:F119)*N113),IF(SUM(B114:F119)&gt;(L130*6),L130*N113,SUM(B119:F119)*N113)),2)</f>
        <v>0</v>
      </c>
      <c r="O119" s="23">
        <f>ROUND(SUM(B119+C119+F119)*O113,2)</f>
        <v>0</v>
      </c>
      <c r="P119" s="27">
        <f t="shared" si="13"/>
        <v>0</v>
      </c>
    </row>
    <row r="120" spans="1:16" x14ac:dyDescent="0.2">
      <c r="A120" s="100" t="str">
        <f>$A$32</f>
        <v>Jul 2022</v>
      </c>
      <c r="B120" s="24">
        <f>ROUND(IF(P94=0,0,IFERROR(((LOOKUP(2,1/(A102:A105=A120),G102:G105))*P94*4.348),B119/P94*P94)),2)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ROUND(IF(P94=0,0,IFERROR(((LOOKUP(2,1/(A102:A105=A120),H102:H105))/N91*P94),F119/P94*P94)),2)</f>
        <v>0</v>
      </c>
      <c r="G120" s="27">
        <f t="shared" si="12"/>
        <v>0</v>
      </c>
      <c r="H120" s="76">
        <f>ROUND(IF(SUM(B114:F119)&lt;(L129*6),IF((SUM(B114:F120))&gt;(L129*7),(((L129*7)-(SUM(B114:F120)-C119))*H113)+((SUM(B120:F120)-C119)*H113),SUM(B120:F120)*H113),IF(SUM(B114:F120)&gt;(L129*7),L129*H113,SUM(B120:F120)*H113)),2)</f>
        <v>0</v>
      </c>
      <c r="I120" s="76">
        <f>ROUND(IF(SUM(B114:F119)&lt;(L130*6),IF((SUM(B114:F120))&gt;(L130*7),(((L130*7)-(SUM(B114:F120)-C119))*I113)+((SUM(B120:F120)-C119)*I113),SUM(B120:F120)*I113),IF(SUM(B114:F120)&gt;(L130*7),L130*I113,SUM(B120:F120)*I113)),2)</f>
        <v>0</v>
      </c>
      <c r="J120" s="76">
        <f>ROUND(IF(SUM(B114:F119)&lt;(L130*6),IF((SUM(B114:F120))&gt;(L130*7),(((L130*7)-(SUM(B114:F120)-C119))*J113)+((SUM(B120:F120)-C119)*J113),SUM(B120:F120)*J113),IF(SUM(B114:F120)&gt;(L130*7),L130*J113,SUM(B120:F120)*J113)),2)</f>
        <v>0</v>
      </c>
      <c r="K120" s="76">
        <f>ROUND(IF(SUM(B114:F119)&lt;(L129*6),IF((SUM(B114:F120))&gt;(L129*7),(((L129*7)-(SUM(B114:F120)-C119))*K113)+((SUM(B120:F120)-C119)*K113),SUM(B120:F120)*K113),IF(SUM(B114:F120)&gt;(L129*7),L129*K113,SUM(B120:F120)*K113)),2)</f>
        <v>0</v>
      </c>
      <c r="L120" s="76">
        <f>ROUND(IF(SUM(B114:F119)&lt;(L130*6),IF((SUM(B114:F120))&gt;(L130*7),(((L130*7)-(SUM(B114:F120)-C120))*L113)+((SUM(B120:F120)-C120)*L113),(SUM(B120:F120)-C120)*L113),IF(SUM(B114:F120)&gt;(L130*7),L130*L113,SUM(B120:F120)*L113)),2)</f>
        <v>0</v>
      </c>
      <c r="M120" s="76">
        <f>ROUND(IF(SUM(B114:F119)&lt;(L130*6),IF((SUM(B114:F120))&gt;(L130*7),(((L130*7)-(SUM(B114:F120)-C120))*M113)+((SUM(B120:F120)-C120)*M113),(SUM(B120:F120)-C120)*M113),IF(SUM(B114:F120)&gt;(L130*7),L130*M113,SUM(B120:F120)*M113)),2)</f>
        <v>0</v>
      </c>
      <c r="N120" s="76">
        <f>ROUND(IF(SUM(B114:F119)&lt;(L130*6),IF((SUM(B114:F120))&gt;(L130*7),(((L130*7)-(SUM(B114:F120)-C119))*N113)+((SUM(B120:F120)-C119)*N113),SUM(B120:F120)*N113),IF(SUM(B114:F120)&gt;(L130*7),L130*N113,SUM(B120:F120)*N113)),2)</f>
        <v>0</v>
      </c>
      <c r="O120" s="23">
        <f>ROUND(SUM(B120+C120+F120)*O113,2)</f>
        <v>0</v>
      </c>
      <c r="P120" s="27">
        <f t="shared" si="13"/>
        <v>0</v>
      </c>
    </row>
    <row r="121" spans="1:16" x14ac:dyDescent="0.2">
      <c r="A121" s="100" t="str">
        <f>$A$33</f>
        <v>Aug 2022</v>
      </c>
      <c r="B121" s="24">
        <f>ROUND(IF(P95=0,0,IFERROR(((LOOKUP(2,1/(A102:A105=A121),G102:G105))*P95*4.348),B120/P95*P95)),2)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ROUND(IF(P95=0,0,IFERROR(((LOOKUP(2,1/(A102:A105=A121),H102:H105))/N91*P95),F120/P95*P95)),2)</f>
        <v>0</v>
      </c>
      <c r="G121" s="27">
        <f t="shared" si="12"/>
        <v>0</v>
      </c>
      <c r="H121" s="76">
        <f>ROUND(IF(SUM(B114:F120)&lt;(L129*7),IF((SUM(B114:F121))&gt;(L129*8),(((L129*8)-(SUM(B114:F121)-C120))*H113)+((SUM(B121:F121)-C120)*H113),SUM(B121:F121)*H113),IF(SUM(B114:F121)&gt;(L129*8),L129*H113,SUM(B121:F121)*H113)),2)</f>
        <v>0</v>
      </c>
      <c r="I121" s="76">
        <f>ROUND(IF(SUM(B114:F120)&lt;(L130*7),IF((SUM(B114:F121))&gt;(L130*8),(((L130*8)-(SUM(B114:F121)-C120))*I113)+((SUM(B121:F121)-C120)*I113),SUM(B121:F121)*I113),IF(SUM(B114:F121)&gt;(L130*8),L130*I113,SUM(B121:F121)*I113)),2)</f>
        <v>0</v>
      </c>
      <c r="J121" s="76">
        <f>ROUND(IF(SUM(B114:F120)&lt;(L130*7),IF((SUM(B114:F121))&gt;(L130*8),(((L130*8)-(SUM(B114:F121)-C120))*J113)+((SUM(B121:F121)-C120)*J113),SUM(B121:F121)*J113),IF(SUM(B114:F121)&gt;(L130*8),L130*J113,SUM(B121:F121)*J113)),2)</f>
        <v>0</v>
      </c>
      <c r="K121" s="76">
        <f>ROUND(IF(SUM(B114:F120)&lt;(L129*7),IF((SUM(B114:F121))&gt;(L129*8),(((L129*8)-(SUM(B114:F121)-C120))*K113)+((SUM(B121:F121)-C120)*K113),SUM(B121:F121)*K113),IF(SUM(B114:F121)&gt;(L129*8),L129*K113,SUM(B121:F121)*K113)),2)</f>
        <v>0</v>
      </c>
      <c r="L121" s="76">
        <f>ROUND(IF(SUM(B114:F120)&lt;(L130*7),IF((SUM(B114:F121))&gt;(L130*8),(((L130*8)-(SUM(B114:F121)-C121))*L113)+((SUM(B121:F121)-C121)*L113),(SUM(B121:F121)-C121)*L113),IF(SUM(B114:F121)&gt;(L130*8),L130*L113,SUM(B121:F121)*L113)),2)</f>
        <v>0</v>
      </c>
      <c r="M121" s="76">
        <f>ROUND(IF(SUM(B114:F120)&lt;(L130*7),IF((SUM(B114:F121))&gt;(L130*8),(((L130*8)-(SUM(B114:F121)-C121))*M113)+((SUM(B121:F121)-C121)*M113),(SUM(B121:F121)-C121)*M113),IF(SUM(B114:F121)&gt;(L130*8),L130*M113,SUM(B121:F121)*M113)),2)</f>
        <v>0</v>
      </c>
      <c r="N121" s="76">
        <f>ROUND(IF(SUM(B114:F120)&lt;(L130*7),IF((SUM(B114:F121))&gt;(L130*8),(((L130*8)-(SUM(B114:F121)-C120))*N113)+((SUM(B121:F121)-C120)*N113),SUM(B121:F121)*N113),IF(SUM(B114:F121)&gt;(L130*8),L130*N113,SUM(B121:F121)*N113)),2)</f>
        <v>0</v>
      </c>
      <c r="O121" s="23">
        <f>ROUND(SUM(B121+C121+F121)*O113,2)</f>
        <v>0</v>
      </c>
      <c r="P121" s="27">
        <f t="shared" si="13"/>
        <v>0</v>
      </c>
    </row>
    <row r="122" spans="1:16" x14ac:dyDescent="0.2">
      <c r="A122" s="100" t="str">
        <f>$A$34</f>
        <v>Sep 2022</v>
      </c>
      <c r="B122" s="24">
        <f>ROUND(IF(P96=0,0,IFERROR(((LOOKUP(2,1/(A102:A105=A122),G102:G105))*P96*4.348),B121/P96*P96)),2)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ROUND(IF(P96=0,0,IFERROR(((LOOKUP(2,1/(A102:A105=A122),H102:H105))/N91*P96),F121/P96*P96)),2)</f>
        <v>0</v>
      </c>
      <c r="G122" s="27">
        <f t="shared" si="12"/>
        <v>0</v>
      </c>
      <c r="H122" s="76">
        <f>ROUND(IF(SUM(B114:F121)&lt;(L129*8),IF((SUM(B114:F122))&gt;(L129*9),(((L129*9)-(SUM(B114:F122)-C121))*H113)+((SUM(B122:F122)-C121)*H113),SUM(B122:F122)*H113),IF(SUM(B114:F122)&gt;(L129*9),L129*H113,SUM(B122:F122)*H113)),2)</f>
        <v>0</v>
      </c>
      <c r="I122" s="76">
        <f>ROUND(IF(SUM(B114:F121)&lt;(L130*8),IF((SUM(B114:F122))&gt;(L130*9),(((L130*9)-(SUM(B114:F122)-C121))*I113)+((SUM(B122:F122)-C121)*I113),SUM(B122:F122)*I113),IF(SUM(B114:F122)&gt;(L130*9),L130*I113,SUM(B122:F122)*I113)),2)</f>
        <v>0</v>
      </c>
      <c r="J122" s="76">
        <f>ROUND(IF(SUM(B114:F121)&lt;(L130*8),IF((SUM(B114:F122))&gt;(L130*9),(((L130*9)-(SUM(B114:F122)-C121))*J113)+((SUM(B122:F122)-C121)*J113),SUM(B122:F122)*J113),IF(SUM(B114:F122)&gt;(L130*9),L130*J113,SUM(B122:F122)*J113)),2)</f>
        <v>0</v>
      </c>
      <c r="K122" s="76">
        <f>ROUND(IF(SUM(B114:F121)&lt;(L129*8),IF((SUM(B114:F122))&gt;(L129*9),(((L129*9)-(SUM(B114:F122)-C121))*K113)+((SUM(B122:F122)-C121)*K113),SUM(B122:F122)*K113),IF(SUM(B114:F122)&gt;(L129*9),L129*K113,SUM(B122:F122)*K113)),2)</f>
        <v>0</v>
      </c>
      <c r="L122" s="76">
        <f>ROUND(IF(SUM(B114:F121)&lt;(L130*8),IF((SUM(B114:F122))&gt;(L130*9),(((L130*9)-(SUM(B114:F122)-C122))*L113)+((SUM(B122:F122)-C122)*L113),(SUM(B122:F122)-C122)*L113),IF(SUM(B114:F122)&gt;(L130*9),L130*L113,SUM(B122:F122)*L113)),2)</f>
        <v>0</v>
      </c>
      <c r="M122" s="76">
        <f>ROUND(IF(SUM(B114:F121)&lt;(L130*8),IF((SUM(B114:F122))&gt;(L130*9),(((L130*9)-(SUM(B114:F122)-C122))*M113)+((SUM(B122:F122)-C122)*M113),(SUM(B122:F122)-C122)*M113),IF(SUM(B114:F122)&gt;(L130*9),L130*M113,SUM(B122:F122)*M113)),2)</f>
        <v>0</v>
      </c>
      <c r="N122" s="76">
        <f>ROUND(IF(SUM(B114:F121)&lt;(L130*8),IF((SUM(B114:F122))&gt;(L130*9),(((L130*9)-(SUM(B114:F122)-C121))*N113)+((SUM(B122:F122)-C121)*N113),SUM(B122:F122)*N113),IF(SUM(B114:F122)&gt;(L130*9),L130*N113,SUM(B122:F122)*N113)),2)</f>
        <v>0</v>
      </c>
      <c r="O122" s="23">
        <f>ROUND(SUM(B122+C122+F122)*O113,2)</f>
        <v>0</v>
      </c>
      <c r="P122" s="27">
        <f t="shared" si="13"/>
        <v>0</v>
      </c>
    </row>
    <row r="123" spans="1:16" x14ac:dyDescent="0.2">
      <c r="A123" s="100" t="str">
        <f>$A$35</f>
        <v>Okt 2022</v>
      </c>
      <c r="B123" s="24">
        <f>ROUND(IF(P97=0,0,IFERROR(((LOOKUP(2,1/(A102:A105=A123),G102:G105))*P97*4.348),B122/P97*P97)),2)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ROUND(IF(P97=0,0,IFERROR(((LOOKUP(2,1/(A102:A105=A123),H102:H105))/N91*P97),F122/P97*P97)),2)</f>
        <v>0</v>
      </c>
      <c r="G123" s="27">
        <f t="shared" si="12"/>
        <v>0</v>
      </c>
      <c r="H123" s="76">
        <f>ROUND(IF(SUM(B114:F122)&lt;(L129*9),IF((SUM(B114:F123))&gt;(L129*10),(((L129*10)-(SUM(B114:F123)-C122))*H113)+((SUM(B123:F123)-C122)*H113),SUM(B123:F123)*H113),IF(SUM(B114:F123)&gt;(L129*10),L129*H113,SUM(B123:F123)*H113)),2)</f>
        <v>0</v>
      </c>
      <c r="I123" s="76">
        <f>ROUND(IF(SUM(B114:F122)&lt;(L130*9),IF((SUM(B114:F123))&gt;(L130*10),(((L130*10)-(SUM(B114:F123)-C122))*I113)+((SUM(B123:F123)-C122)*I113),SUM(B123:F123)*I113),IF(SUM(B114:F123)&gt;(L130*10),L130*I113,SUM(B123:F123)*I113)),2)</f>
        <v>0</v>
      </c>
      <c r="J123" s="76">
        <f>ROUND(IF(SUM(B114:F122)&lt;(L130*9),IF((SUM(B114:F123))&gt;(L130*10),(((L130*10)-(SUM(B114:F123)-C122))*J113)+((SUM(B123:F123)-C122)*J113),SUM(B123:F123)*J113),IF(SUM(B114:F123)&gt;(L130*10),L130*J113,SUM(B123:F123)*J113)),2)</f>
        <v>0</v>
      </c>
      <c r="K123" s="76">
        <f>ROUND(IF(SUM(B114:F122)&lt;(L129*9),IF((SUM(B114:F123))&gt;(L129*10),(((L129*10)-(SUM(B114:F123)-C122))*K113)+((SUM(B123:F123)-C122)*K113),SUM(B123:F123)*K113),IF(SUM(B114:F123)&gt;(L129*10),L129*K113,SUM(B123:F123)*K113)),2)</f>
        <v>0</v>
      </c>
      <c r="L123" s="76">
        <f>ROUND(IF(SUM(B114:F122)&lt;(L130*9),IF((SUM(B114:F123))&gt;(L130*10),(((L130*10)-(SUM(B114:F123)-C123))*L113)+((SUM(B123:F123)-C123)*L113),(SUM(B123:F123)-C123)*L113),IF(SUM(B114:F123)&gt;(L130*10),L130*L113,SUM(B123:F123)*L113)),2)</f>
        <v>0</v>
      </c>
      <c r="M123" s="76">
        <f>ROUND(IF(SUM(B114:F122)&lt;(L130*9),IF((SUM(B114:F123))&gt;(L130*10),(((L130*10)-(SUM(B114:F123)-C123))*M113)+((SUM(B123:F123)-C123)*M113),(SUM(B123:F123)-C123)*M113),IF(SUM(B114:F123)&gt;(L130*10),L130*M113,SUM(B123:F123)*M113)),2)</f>
        <v>0</v>
      </c>
      <c r="N123" s="76">
        <f>ROUND(IF(SUM(B114:F122)&lt;(L130*9),IF((SUM(B114:F123))&gt;(L130*10),(((L130*10)-(SUM(B114:F123)-C122))*N113)+((SUM(B123:F123)-C122)*N113),SUM(B123:F123)*N113),IF(SUM(B114:F123)&gt;(L130*10),L130*N113,SUM(B123:F123)*N113)),2)</f>
        <v>0</v>
      </c>
      <c r="O123" s="23">
        <f>ROUND(SUM(B123+C123+F123)*O113,2)</f>
        <v>0</v>
      </c>
      <c r="P123" s="27">
        <f t="shared" si="13"/>
        <v>0</v>
      </c>
    </row>
    <row r="124" spans="1:16" x14ac:dyDescent="0.2">
      <c r="A124" s="100" t="str">
        <f>$A$36</f>
        <v>Nov 2022</v>
      </c>
      <c r="B124" s="24">
        <f>ROUND(IF(P98=0,0,IFERROR(((LOOKUP(2,1/(A102:A105=A124),G102:G105))*P98*4.348),B123/P98*P98)),2)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ROUND(IF(P98=0,0,IFERROR(((LOOKUP(2,1/(A102:A105=A124),H102:H105))/N91*P98),F123/P98*P98)),2)</f>
        <v>0</v>
      </c>
      <c r="G124" s="27">
        <f t="shared" si="12"/>
        <v>0</v>
      </c>
      <c r="H124" s="76">
        <f>ROUND(IF(SUM(B114:F123)&lt;(L129*10),IF((SUM(B114:F124))&gt;(L129*11),(((L129*11)-(SUM(B114:F124)-C123))*H113)+((SUM(B124:F124)-C123)*H113),SUM(B124:F124)*H113),IF(SUM(B114:F124)&gt;(L129*11),L129*H113,SUM(B124:F124)*H113)),2)</f>
        <v>0</v>
      </c>
      <c r="I124" s="76">
        <f>ROUND(IF(SUM(B114:F123)&lt;(L130*10),IF((SUM(B114:F124))&gt;(L130*11),(((L130*11)-(SUM(B114:F124)-C123))*I113)+((SUM(B124:F124)-C123)*I113),SUM(B124:F124)*I113),IF(SUM(B114:F124)&gt;(L130*11),L130*I113,SUM(B124:F124)*I113)),2)</f>
        <v>0</v>
      </c>
      <c r="J124" s="76">
        <f>ROUND(IF(SUM(B114:F123)&lt;(L130*10),IF((SUM(B114:F124))&gt;(L130*11),(((L130*11)-(SUM(B114:F124)-C123))*J113)+((SUM(B124:F124)-C123)*J113),SUM(B124:F124)*J113),IF(SUM(B114:F124)&gt;(L130*11),L130*J113,SUM(B124:F124)*J113)),2)</f>
        <v>0</v>
      </c>
      <c r="K124" s="76">
        <f>ROUND(IF(SUM(B114:F123)&lt;(L129*10),IF((SUM(B114:F124))&gt;(L129*11),(((L129*11)-(SUM(B114:F124)-C123))*K113)+((SUM(B124:F124)-C123)*K113),SUM(B124:F124)*K113),IF(SUM(B114:F124)&gt;(L129*11),L129*K113,SUM(B124:F124)*K113)),2)</f>
        <v>0</v>
      </c>
      <c r="L124" s="76">
        <f>ROUND(IF(SUM(B114:F123)&lt;(L130*10),IF((SUM(B114:F124))&gt;(L130*11),(((L130*11)-(SUM(B114:F124)-C124))*L113)+((SUM(B124:F124)-C124)*L113),(SUM(B124:F124)-C124)*L113),IF(SUM(B114:F124)&gt;(L130*11),L130*L113,SUM(B124:F124)*L113)),2)</f>
        <v>0</v>
      </c>
      <c r="M124" s="76">
        <f>ROUND(IF(SUM(B114:F123)&lt;(L130*10),IF((SUM(B114:F124))&gt;(L130*11),(((L130*11)-(SUM(B114:F124)-C124))*M113)+((SUM(B124:F124)-C124)*M113),(SUM(B124:F124)-C124)*M113),IF(SUM(B114:F124)&gt;(L130*11),L130*M113,SUM(B124:F124)*M113)),2)</f>
        <v>0</v>
      </c>
      <c r="N124" s="76">
        <f>ROUND(IF(SUM(B114:F123)&lt;(L130*10),IF((SUM(B114:F124))&gt;(L130*11),(((L130*11)-(SUM(B114:F124)-C123))*N113)+((SUM(B124:F124)-C123)*N113),SUM(B124:F124)*N113),IF(SUM(B114:F124)&gt;(L130*11),L130*N113,SUM(B124:F124)*N113)),2)</f>
        <v>0</v>
      </c>
      <c r="O124" s="23">
        <f>ROUND(SUM(B124+C124+F124)*O113,2)</f>
        <v>0</v>
      </c>
      <c r="P124" s="27">
        <f t="shared" si="13"/>
        <v>0</v>
      </c>
    </row>
    <row r="125" spans="1:16" x14ac:dyDescent="0.2">
      <c r="A125" s="100" t="str">
        <f>$A$37</f>
        <v>Dez 2022</v>
      </c>
      <c r="B125" s="24">
        <f>ROUND(IF(P99=0,0,IFERROR(((LOOKUP(2,1/(A102:A105=A125),G102:G105))*P99*4.348),B124/P99*P99)),2)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ROUND(IF(P99=0,0,IFERROR(((LOOKUP(2,1/(A102:A105=A125),H102:H105))/N91*P99),F124/P99*P99)),2)</f>
        <v>0</v>
      </c>
      <c r="G125" s="27">
        <f t="shared" si="12"/>
        <v>0</v>
      </c>
      <c r="H125" s="76">
        <f>ROUND(IF(SUM(B114:F124)&lt;(L129*11),IF((SUM(B114:F125))&gt;(L129*12),(((L129*12)-(SUM(B114:F125)-C124))*H113)+((SUM(B125:F125)-C124)*H113),SUM(B125:F125)*H113),IF(SUM(B114:F125)&gt;(L129*12),L129*H113,SUM(B125:F125)*H113)),2)</f>
        <v>0</v>
      </c>
      <c r="I125" s="76">
        <f>ROUND(IF(SUM(B114:F124)&lt;(L130*11),IF((SUM(B114:F125))&gt;(L130*12),(((L130*12)-(SUM(B114:F125)-C124))*I113)+((SUM(B125:F125)-C124)*I113),SUM(B125:F125)*I113),IF(SUM(B114:F125)&gt;(L130*12),L130*I113,SUM(B125:F125)*I113)),2)</f>
        <v>0</v>
      </c>
      <c r="J125" s="76">
        <f>ROUND(IF(SUM(B114:F124)&lt;(L130*11),IF((SUM(B114:F125))&gt;(L130*12),(((L130*12)-(SUM(B114:F125)-C124))*J113)+((SUM(B125:F125)-C124)*J113),SUM(B125:F125)*J113),IF(SUM(B114:F125)&gt;(L130*12),L130*J113,SUM(B125:F125)*J113)),2)</f>
        <v>0</v>
      </c>
      <c r="K125" s="76">
        <f>ROUND(IF(SUM(B114:F124)&lt;(L129*11),IF((SUM(B114:F125))&gt;(L129*12),(((L129*12)-(SUM(B114:F125)-C124))*K113)+((SUM(B125:F125)-C124)*K113),SUM(B125:F125)*K113),IF(SUM(B114:F125)&gt;(L129*12),L129*K113,SUM(B125:F125)*K113)),2)</f>
        <v>0</v>
      </c>
      <c r="L125" s="76">
        <f>ROUND(IF(SUM(B114:F124)&lt;(L130*11),IF((SUM(B114:F125))&gt;(L130*12),(((L130*12)-(SUM(B114:F125)-C125))*L113)+((SUM(B125:F125)-C125)*L113),(SUM(B125:F125)-C125)*L113),IF(SUM(B114:F125)&gt;(L130*12),L130*L113,SUM(B125:F125)*L113)),2)</f>
        <v>0</v>
      </c>
      <c r="M125" s="76">
        <f>ROUND(IF(SUM(B114:F124)&lt;(L130*11),IF((SUM(B114:F125))&gt;(L130*12),(((L130*12)-(SUM(B114:F125)-C125))*M113)+((SUM(B125:F125)-C125)*M113),(SUM(B125:F125)-C125)*M113),IF(SUM(B114:F125)&gt;(L130*12),L130*M113,SUM(B125:F125)*M113)),2)</f>
        <v>0</v>
      </c>
      <c r="N125" s="76">
        <f>ROUND(IF(SUM(B114:F124)&lt;(L130*11),IF((SUM(B114:F125))&gt;(L130*12),(((L130*12)-(SUM(B114:F125)-C124))*N113)+((SUM(B125:F125)-C124)*N113),SUM(B125:F125)*N113),IF(SUM(B114:F125)&gt;(L130*12),L130*N113,SUM(B125:F125)*N113)),2)</f>
        <v>0</v>
      </c>
      <c r="O125" s="23">
        <f>ROUND(SUM(B125+C125+F125)*O113,2)</f>
        <v>0</v>
      </c>
      <c r="P125" s="27">
        <f t="shared" si="13"/>
        <v>0</v>
      </c>
    </row>
    <row r="126" spans="1:16"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133">
        <f>SUM(H114:N125)</f>
        <v>0</v>
      </c>
      <c r="I126" s="1134"/>
      <c r="J126" s="1134"/>
      <c r="K126" s="1134"/>
      <c r="L126" s="1134"/>
      <c r="M126" s="1134"/>
      <c r="N126" s="1135"/>
      <c r="O126" s="27">
        <f>SUM(O114:O125)</f>
        <v>0</v>
      </c>
      <c r="P126" s="27">
        <f>SUM(P114:P125)</f>
        <v>0</v>
      </c>
    </row>
    <row r="127" spans="1:16" s="13" customFormat="1" ht="11.25" x14ac:dyDescent="0.2">
      <c r="A127" s="3" t="s">
        <v>1</v>
      </c>
      <c r="B127" s="2"/>
      <c r="C127" s="2"/>
      <c r="D127" s="2"/>
      <c r="E127" s="2"/>
      <c r="F127" s="2"/>
      <c r="G127" s="2"/>
      <c r="H127" s="2"/>
      <c r="I127" s="2"/>
      <c r="J127" s="2"/>
      <c r="K127" s="2"/>
      <c r="L127" s="2"/>
      <c r="M127" s="2"/>
      <c r="N127" s="2"/>
      <c r="O127" s="2"/>
      <c r="P127" s="2"/>
    </row>
    <row r="128" spans="1:16" ht="14.25" customHeight="1" x14ac:dyDescent="0.2">
      <c r="A128" s="1136" t="s">
        <v>133</v>
      </c>
      <c r="B128" s="1137"/>
      <c r="C128" s="1137"/>
      <c r="D128" s="1137" t="s">
        <v>134</v>
      </c>
      <c r="E128" s="1137"/>
      <c r="F128" s="94" t="str">
        <f>IF(IF(G126=0,"",$F$40)=0,"",IF(G126=0,"",$F$40))</f>
        <v/>
      </c>
      <c r="G128" s="77" t="s">
        <v>135</v>
      </c>
      <c r="H128" s="96" t="str">
        <f>IF(IF(G126=0,"",$H$40)=0,"",IF(G126=0,"",$H$40))</f>
        <v/>
      </c>
      <c r="I128" s="73"/>
      <c r="J128" s="194" t="s">
        <v>160</v>
      </c>
      <c r="K128" s="194" t="str">
        <f>$K$40</f>
        <v>2021</v>
      </c>
      <c r="L128" s="194" t="str">
        <f>$L$40</f>
        <v>anteilig 2021</v>
      </c>
      <c r="M128" s="1138" t="s">
        <v>140</v>
      </c>
      <c r="N128" s="1138"/>
      <c r="O128" s="1139"/>
      <c r="P128" s="27">
        <f>ROUND(IF(F128="",IF(E132="",0,(E132*H132/K132)/L95*L96),G126*F128*H128/1000),2)</f>
        <v>0</v>
      </c>
    </row>
    <row r="129" spans="1:16" ht="15" customHeight="1" x14ac:dyDescent="0.2">
      <c r="A129" s="1140" t="s">
        <v>145</v>
      </c>
      <c r="B129" s="1141"/>
      <c r="C129" s="1141"/>
      <c r="D129" s="18"/>
      <c r="E129" s="107" t="s">
        <v>135</v>
      </c>
      <c r="F129" s="95" t="str">
        <f>IF(IF(G126=0,"",$F$41)=0,"",IF(G126=0,"",$F$41))</f>
        <v/>
      </c>
      <c r="G129" s="48"/>
      <c r="H129" s="47"/>
      <c r="I129" s="48"/>
      <c r="J129" s="195" t="s">
        <v>158</v>
      </c>
      <c r="K129" s="198">
        <f>$K$41</f>
        <v>4837.5</v>
      </c>
      <c r="L129" s="197">
        <f>IF(L95="",K129,K129/L95*L96)</f>
        <v>4837.5</v>
      </c>
      <c r="M129" s="1138" t="s">
        <v>139</v>
      </c>
      <c r="N129" s="1138"/>
      <c r="O129" s="1139"/>
      <c r="P129" s="27">
        <f>ROUND(IF(F129="",0,G126*F129/1000),2)</f>
        <v>0</v>
      </c>
    </row>
    <row r="130" spans="1:16" ht="15.75" customHeight="1" x14ac:dyDescent="0.2">
      <c r="A130" s="1142" t="s">
        <v>141</v>
      </c>
      <c r="B130" s="1143"/>
      <c r="C130" s="1143"/>
      <c r="D130" s="1144" t="s">
        <v>143</v>
      </c>
      <c r="E130" s="1144"/>
      <c r="F130" s="1145" t="str">
        <f>IF(IF(G126=0,"",$F$42)=0,"",IF(G126=0,"",$F$42))</f>
        <v/>
      </c>
      <c r="G130" s="1145"/>
      <c r="H130" s="72"/>
      <c r="I130" s="18"/>
      <c r="J130" s="195" t="s">
        <v>159</v>
      </c>
      <c r="K130" s="198">
        <f>$K$42</f>
        <v>6700</v>
      </c>
      <c r="L130" s="197">
        <f>IF(L95="",K130,K130/L95*L96)</f>
        <v>6700</v>
      </c>
      <c r="M130" s="1138" t="s">
        <v>141</v>
      </c>
      <c r="N130" s="1138"/>
      <c r="O130" s="1139"/>
      <c r="P130" s="23">
        <f>ROUND(IF(F130="",0,IF(G126=0,0,F130/L95*L96)),2)</f>
        <v>0</v>
      </c>
    </row>
    <row r="131" spans="1:16" ht="14.25" customHeight="1" x14ac:dyDescent="0.2">
      <c r="A131" s="18"/>
      <c r="B131" s="18"/>
      <c r="C131" s="18"/>
      <c r="D131" s="18"/>
      <c r="E131" s="18"/>
      <c r="F131" s="18"/>
      <c r="G131" s="18"/>
      <c r="H131" s="18"/>
      <c r="I131" s="18"/>
      <c r="J131" s="18"/>
      <c r="K131" s="74"/>
      <c r="L131" s="82"/>
      <c r="M131" s="1127" t="s">
        <v>146</v>
      </c>
      <c r="N131" s="1127"/>
      <c r="O131" s="1128"/>
      <c r="P131" s="23">
        <f>ROUND(IF(G126=0,0,$P$43),2)</f>
        <v>0</v>
      </c>
    </row>
    <row r="132" spans="1:16" ht="14.25" customHeight="1" x14ac:dyDescent="0.2">
      <c r="A132" s="1129" t="s">
        <v>142</v>
      </c>
      <c r="B132" s="1130"/>
      <c r="C132" s="148" t="s">
        <v>136</v>
      </c>
      <c r="D132" s="148" t="s">
        <v>137</v>
      </c>
      <c r="E132" s="1131" t="str">
        <f>IF(IF(G126=0,"",$E$44)=0,"",IF(G126=0,"",$E$44))</f>
        <v/>
      </c>
      <c r="F132" s="1131"/>
      <c r="G132" s="83" t="s">
        <v>138</v>
      </c>
      <c r="H132" s="97" t="str">
        <f>IF(IF(G126=0,"",$H$44)=0,"",IF(G126=0,"",$H$44))</f>
        <v/>
      </c>
      <c r="I132" s="1132" t="s">
        <v>144</v>
      </c>
      <c r="J132" s="1132"/>
      <c r="K132" s="98" t="str">
        <f>IF(IF(G126=0,"",$K$44)=0,"",IF(G126=0,"",$K$44))</f>
        <v/>
      </c>
      <c r="L132" s="29"/>
      <c r="M132" s="29"/>
      <c r="N132" s="29"/>
      <c r="O132" s="28" t="s">
        <v>0</v>
      </c>
      <c r="P132" s="27">
        <f>P126+SUM(P128:P131)</f>
        <v>0</v>
      </c>
    </row>
    <row r="133" spans="1:16" s="12" customFormat="1" ht="13.5" customHeight="1" x14ac:dyDescent="0.2">
      <c r="A133" s="1178" t="s">
        <v>18</v>
      </c>
      <c r="B133" s="1178"/>
      <c r="C133" s="1178"/>
      <c r="D133" s="1179" t="str">
        <f>IF($D$1="","",$D$1)</f>
        <v/>
      </c>
      <c r="E133" s="1179"/>
      <c r="F133" s="1179"/>
      <c r="G133" s="1179"/>
      <c r="H133" s="1179"/>
      <c r="I133" s="1179"/>
      <c r="J133" s="1179"/>
      <c r="K133" s="1179"/>
      <c r="L133" s="1179"/>
      <c r="M133" s="1179"/>
      <c r="N133" s="1179"/>
    </row>
    <row r="134" spans="1:16" s="12" customFormat="1" ht="15" customHeight="1" x14ac:dyDescent="0.2">
      <c r="A134" s="1178" t="s">
        <v>17</v>
      </c>
      <c r="B134" s="1178"/>
      <c r="C134" s="1178" t="s">
        <v>15</v>
      </c>
      <c r="D134" s="1179" t="str">
        <f>IF($D$2="","",$D$2)</f>
        <v/>
      </c>
      <c r="E134" s="1179"/>
      <c r="F134" s="1179"/>
      <c r="G134" s="1179"/>
      <c r="H134" s="1179"/>
      <c r="I134" s="1179"/>
      <c r="J134" s="1179"/>
      <c r="K134" s="1179"/>
      <c r="L134" s="1179"/>
      <c r="M134" s="1179"/>
      <c r="N134" s="1179"/>
    </row>
    <row r="135" spans="1:16" s="12" customFormat="1" ht="15" customHeight="1" x14ac:dyDescent="0.2">
      <c r="A135" s="1178" t="s">
        <v>16</v>
      </c>
      <c r="B135" s="1178"/>
      <c r="C135" s="1178" t="s">
        <v>15</v>
      </c>
      <c r="D135" s="1179" t="str">
        <f>IF($D$3="","",$D$3)</f>
        <v/>
      </c>
      <c r="E135" s="1179"/>
      <c r="F135" s="1179"/>
      <c r="G135" s="1179"/>
      <c r="H135" s="1179"/>
      <c r="I135" s="1179"/>
      <c r="J135" s="1179"/>
      <c r="K135" s="1178" t="s">
        <v>103</v>
      </c>
      <c r="L135" s="1178"/>
      <c r="M135" s="1178"/>
      <c r="N135" s="41" t="str">
        <f>IF($N$3="","",$N$3)</f>
        <v/>
      </c>
    </row>
    <row r="136" spans="1:16" s="13" customFormat="1" ht="11.25" x14ac:dyDescent="0.2">
      <c r="A136" s="1182"/>
      <c r="B136" s="1182"/>
      <c r="C136" s="1182"/>
      <c r="D136" s="1183"/>
      <c r="E136" s="1183"/>
      <c r="F136" s="1183"/>
      <c r="G136" s="1183"/>
      <c r="H136" s="1183"/>
      <c r="I136" s="1183"/>
      <c r="J136" s="1183"/>
      <c r="K136" s="11"/>
      <c r="L136" s="11"/>
      <c r="M136" s="11"/>
      <c r="N136" s="11"/>
      <c r="O136" s="11"/>
      <c r="P136" s="11"/>
    </row>
    <row r="137" spans="1:16" s="15" customFormat="1" ht="13.5" customHeight="1" x14ac:dyDescent="0.2">
      <c r="A137" s="1177" t="s">
        <v>227</v>
      </c>
      <c r="B137" s="1177"/>
      <c r="C137" s="1177"/>
      <c r="D137" s="1177"/>
      <c r="E137" s="1177"/>
      <c r="F137" s="1177"/>
      <c r="G137" s="1177"/>
      <c r="H137" s="1177"/>
      <c r="I137" s="1177"/>
      <c r="J137" s="1177"/>
      <c r="K137" s="9"/>
      <c r="L137" s="9"/>
      <c r="M137" s="9"/>
      <c r="N137" s="59" t="s">
        <v>154</v>
      </c>
      <c r="O137" s="191">
        <f>$O$5</f>
        <v>2022</v>
      </c>
      <c r="P137" s="59" t="s">
        <v>154</v>
      </c>
    </row>
    <row r="138" spans="1:16" s="10" customFormat="1" ht="13.5" customHeight="1" x14ac:dyDescent="0.25">
      <c r="B138" s="32"/>
      <c r="C138" s="32"/>
      <c r="D138" s="5" t="s">
        <v>231</v>
      </c>
      <c r="E138" s="31"/>
      <c r="F138" s="31"/>
      <c r="G138" s="31"/>
      <c r="H138" s="31"/>
      <c r="I138" s="26"/>
      <c r="J138" s="1174" t="s">
        <v>14</v>
      </c>
      <c r="K138" s="1174"/>
      <c r="L138" s="180"/>
      <c r="N138" s="84">
        <f>IF(L140="","",L140)</f>
        <v>0</v>
      </c>
      <c r="O138" s="58" t="str">
        <f>$O$6</f>
        <v>Jan                Jul</v>
      </c>
      <c r="P138" s="85">
        <f>IF(N143="","",N143)</f>
        <v>0</v>
      </c>
    </row>
    <row r="139" spans="1:16" s="7" customFormat="1" ht="13.5" customHeight="1" x14ac:dyDescent="0.25">
      <c r="A139" s="1180" t="s">
        <v>71</v>
      </c>
      <c r="B139" s="1180"/>
      <c r="C139" s="1180"/>
      <c r="D139" s="1184"/>
      <c r="E139" s="1184"/>
      <c r="F139" s="1184"/>
      <c r="G139" s="1184"/>
      <c r="H139" s="1184"/>
      <c r="I139" s="1184"/>
      <c r="J139" s="1174" t="s">
        <v>104</v>
      </c>
      <c r="K139" s="1174"/>
      <c r="L139" s="145"/>
      <c r="N139" s="85">
        <f>IF(N138="","",N138)</f>
        <v>0</v>
      </c>
      <c r="O139" s="58" t="str">
        <f>$O$7</f>
        <v>Feb              Aug</v>
      </c>
      <c r="P139" s="85">
        <f>IF(P138="","",P138)</f>
        <v>0</v>
      </c>
    </row>
    <row r="140" spans="1:16" ht="13.5" customHeight="1" x14ac:dyDescent="0.2">
      <c r="A140" s="1180" t="s">
        <v>13</v>
      </c>
      <c r="B140" s="1180"/>
      <c r="C140" s="1180"/>
      <c r="D140" s="1181"/>
      <c r="E140" s="1181"/>
      <c r="F140" s="1181"/>
      <c r="G140" s="1181"/>
      <c r="H140" s="1181"/>
      <c r="I140" s="1181"/>
      <c r="J140" s="1174" t="s">
        <v>222</v>
      </c>
      <c r="K140" s="1174"/>
      <c r="L140" s="145">
        <f>IF(L141&gt;L139,0,L139-L141)</f>
        <v>0</v>
      </c>
      <c r="N140" s="85">
        <f>IF(N139="","",N139)</f>
        <v>0</v>
      </c>
      <c r="O140" s="58" t="str">
        <f>$O$8</f>
        <v>Mrz              Sep</v>
      </c>
      <c r="P140" s="85">
        <f>IF(P139="","",P139)</f>
        <v>0</v>
      </c>
    </row>
    <row r="141" spans="1:16" ht="13.5" customHeight="1" x14ac:dyDescent="0.2">
      <c r="A141" s="1180" t="s">
        <v>12</v>
      </c>
      <c r="B141" s="1180"/>
      <c r="C141" s="1180"/>
      <c r="D141" s="1181"/>
      <c r="E141" s="1181"/>
      <c r="F141" s="1181"/>
      <c r="G141" s="1181"/>
      <c r="H141" s="1181"/>
      <c r="I141" s="1181"/>
      <c r="J141" s="1174" t="s">
        <v>223</v>
      </c>
      <c r="K141" s="1174"/>
      <c r="L141" s="145"/>
      <c r="N141" s="85">
        <f>IF(N140="","",N140)</f>
        <v>0</v>
      </c>
      <c r="O141" s="58" t="str">
        <f>$O$9</f>
        <v>Apr               Okt</v>
      </c>
      <c r="P141" s="85">
        <f t="shared" ref="P141:P143" si="15">IF(P140="","",P140)</f>
        <v>0</v>
      </c>
    </row>
    <row r="142" spans="1:16" ht="13.5" customHeight="1" x14ac:dyDescent="0.2">
      <c r="A142" s="1180" t="s">
        <v>19</v>
      </c>
      <c r="B142" s="1180"/>
      <c r="C142" s="1180"/>
      <c r="D142" s="1181"/>
      <c r="E142" s="1181"/>
      <c r="F142" s="1181"/>
      <c r="G142" s="1181"/>
      <c r="H142" s="1181"/>
      <c r="I142" s="1181"/>
      <c r="J142" s="1174" t="s">
        <v>97</v>
      </c>
      <c r="K142" s="1174"/>
      <c r="L142" s="17" t="str">
        <f>IF(IF((COUNTIF(B158:B169,"&gt;0"))=0,0,(COUNTIF(B158:B169,"&gt;0")))&gt;Grundlagen!$C$24,Grundlagen!$C$24,IF((COUNTIF(B158:B169,"&gt;0"))=0,"",(COUNTIF(B158:B169,"&gt;0"))))</f>
        <v/>
      </c>
      <c r="M142" s="92"/>
      <c r="N142" s="85">
        <f>IF(N141="","",N141)</f>
        <v>0</v>
      </c>
      <c r="O142" s="58" t="str">
        <f>'päd.Personal - Leitung'!$O$10</f>
        <v>Mai               Nov</v>
      </c>
      <c r="P142" s="85">
        <f t="shared" si="15"/>
        <v>0</v>
      </c>
    </row>
    <row r="143" spans="1:16" ht="13.5" customHeight="1" x14ac:dyDescent="0.2">
      <c r="B143" s="8"/>
      <c r="C143" s="141" t="s">
        <v>162</v>
      </c>
      <c r="D143" s="1175"/>
      <c r="E143" s="1175"/>
      <c r="F143" s="1176" t="s">
        <v>106</v>
      </c>
      <c r="G143" s="1176"/>
      <c r="H143" s="1186"/>
      <c r="I143" s="1186"/>
      <c r="L143" s="147" t="str">
        <f>IF((SUM(F146:F149))=0,"",IF(P144&gt;L140,L140,IF(L140="","",IF(L142="","",P144))))</f>
        <v/>
      </c>
      <c r="N143" s="85">
        <f>IF(N142="","",N142)</f>
        <v>0</v>
      </c>
      <c r="O143" s="58" t="str">
        <f>'päd.Personal - Leitung'!$O$11</f>
        <v>Jun               Dez</v>
      </c>
      <c r="P143" s="85">
        <f t="shared" si="15"/>
        <v>0</v>
      </c>
    </row>
    <row r="144" spans="1:16" ht="13.5" customHeight="1" x14ac:dyDescent="0.2">
      <c r="I144" s="6"/>
      <c r="O144" s="174" t="s">
        <v>251</v>
      </c>
      <c r="P144" s="175">
        <f>IF(L142="",0,((IF(SUMIF(B158,"&gt;0"),N138,0))+(IF(SUMIF(B159,"&gt;0"),N139,0))+(IF(SUMIF(B160,"&gt;0"),N140,0))+(IF(SUMIF(B161,"&gt;0"),N141,0))+(IF(SUMIF(B162,"&gt;0"),N142,0))+(IF(SUMIF(B163,"&gt;0"),N143,0))+(IF(SUMIF(B164,"&gt;0"),P138,0))+(IF(SUMIF(B165,"&gt;0"),P139,0))+(IF(SUMIF(B166,"&gt;0"),P140,0))+(IF(SUMIF(B167,"&gt;0"),P141,0))+(IF(SUMIF(B168,"&gt;0"),P142,0))+(IF(SUMIF(B169,"&gt;0"),P143,0)))/Grundlagen!$C$24)</f>
        <v>0</v>
      </c>
    </row>
    <row r="145" spans="1:16" s="52" customFormat="1" ht="13.5" customHeight="1" x14ac:dyDescent="0.2">
      <c r="A145" s="61" t="s">
        <v>148</v>
      </c>
      <c r="B145" s="1168" t="s">
        <v>149</v>
      </c>
      <c r="C145" s="1168"/>
      <c r="D145" s="62" t="s">
        <v>150</v>
      </c>
      <c r="E145" s="63" t="s">
        <v>151</v>
      </c>
      <c r="F145" s="64" t="str">
        <f>CONCATENATE("Entg. ",N135," h/Wo")</f>
        <v>Entg.  h/Wo</v>
      </c>
      <c r="G145" s="65" t="s">
        <v>152</v>
      </c>
      <c r="H145" s="65" t="s">
        <v>153</v>
      </c>
      <c r="K145" s="1169" t="str">
        <f>CONCATENATE("Zuschläge / Zulagen für ",N135,"h/Wo")</f>
        <v>Zuschläge / Zulagen für h/Wo</v>
      </c>
      <c r="L145" s="1169"/>
      <c r="M145" s="66" t="str">
        <f>IF(A146="","",A146)</f>
        <v>Jan 2022</v>
      </c>
      <c r="N145" s="66" t="str">
        <f>IF(A147="","",A147)</f>
        <v/>
      </c>
      <c r="O145" s="66" t="str">
        <f>IF(A148="","",A148)</f>
        <v/>
      </c>
      <c r="P145" s="66" t="str">
        <f>IF(A149="","",A149)</f>
        <v/>
      </c>
    </row>
    <row r="146" spans="1:16" s="52" customFormat="1" ht="13.5" customHeight="1" x14ac:dyDescent="0.25">
      <c r="A146" s="54" t="str">
        <f>A158</f>
        <v>Jan 2022</v>
      </c>
      <c r="B146" s="1170" t="str">
        <f>IF($D$3="","",$D$3)</f>
        <v/>
      </c>
      <c r="C146" s="1171"/>
      <c r="D146" s="181"/>
      <c r="E146" s="181"/>
      <c r="F146" s="87"/>
      <c r="G146" s="56">
        <f>IF(N135="",0,F146/N135/4.348)</f>
        <v>0</v>
      </c>
      <c r="H146" s="53">
        <f>IF(G146=0,0,M151)</f>
        <v>0</v>
      </c>
      <c r="K146" s="1146"/>
      <c r="L146" s="1146"/>
      <c r="M146" s="86"/>
      <c r="N146" s="86"/>
      <c r="O146" s="86"/>
      <c r="P146" s="86"/>
    </row>
    <row r="147" spans="1:16" s="52" customFormat="1" ht="13.5" customHeight="1" x14ac:dyDescent="0.25">
      <c r="A147" s="55"/>
      <c r="B147" s="1172" t="str">
        <f>IF(A147="","",B146)</f>
        <v/>
      </c>
      <c r="C147" s="1173"/>
      <c r="D147" s="181"/>
      <c r="E147" s="181"/>
      <c r="F147" s="87"/>
      <c r="G147" s="56">
        <f>IF(N135="",0,F147/N135/4.348)</f>
        <v>0</v>
      </c>
      <c r="H147" s="53">
        <f>IF(G147=0,0,N151)</f>
        <v>0</v>
      </c>
      <c r="K147" s="1146"/>
      <c r="L147" s="1146"/>
      <c r="M147" s="86"/>
      <c r="N147" s="86"/>
      <c r="O147" s="86"/>
      <c r="P147" s="86"/>
    </row>
    <row r="148" spans="1:16" s="52" customFormat="1" ht="13.5" customHeight="1" x14ac:dyDescent="0.25">
      <c r="A148" s="55"/>
      <c r="B148" s="1172" t="str">
        <f>IF(A148="","",B147)</f>
        <v/>
      </c>
      <c r="C148" s="1173"/>
      <c r="D148" s="181"/>
      <c r="E148" s="181"/>
      <c r="F148" s="87"/>
      <c r="G148" s="56">
        <f>IF(N135="",0,F148/N135/4.348)</f>
        <v>0</v>
      </c>
      <c r="H148" s="53">
        <f>IF(G148=0,0,O151)</f>
        <v>0</v>
      </c>
      <c r="K148" s="1146"/>
      <c r="L148" s="1146"/>
      <c r="M148" s="86"/>
      <c r="N148" s="86"/>
      <c r="O148" s="86"/>
      <c r="P148" s="86"/>
    </row>
    <row r="149" spans="1:16" s="52" customFormat="1" ht="13.5" customHeight="1" x14ac:dyDescent="0.25">
      <c r="A149" s="55"/>
      <c r="B149" s="1172" t="str">
        <f>IF(A149="","",B148)</f>
        <v/>
      </c>
      <c r="C149" s="1173"/>
      <c r="D149" s="181"/>
      <c r="E149" s="181"/>
      <c r="F149" s="87"/>
      <c r="G149" s="56">
        <f>IF(N135="",0,F149/N135/4.348)</f>
        <v>0</v>
      </c>
      <c r="H149" s="53">
        <f>IF(G149=0,0,P151)</f>
        <v>0</v>
      </c>
      <c r="K149" s="1146"/>
      <c r="L149" s="1146"/>
      <c r="M149" s="86"/>
      <c r="N149" s="86"/>
      <c r="O149" s="86"/>
      <c r="P149" s="86"/>
    </row>
    <row r="150" spans="1:16" s="52" customFormat="1" ht="13.5" customHeight="1" x14ac:dyDescent="0.25">
      <c r="B150" s="1167" t="s">
        <v>157</v>
      </c>
      <c r="C150" s="1167"/>
      <c r="E150" s="1167" t="s">
        <v>156</v>
      </c>
      <c r="F150" s="1167"/>
      <c r="J150" s="69"/>
      <c r="K150" s="1146"/>
      <c r="L150" s="1146"/>
      <c r="M150" s="86"/>
      <c r="N150" s="86"/>
      <c r="O150" s="86"/>
      <c r="P150" s="86"/>
    </row>
    <row r="151" spans="1:16" s="52" customFormat="1" ht="13.5" customHeight="1" x14ac:dyDescent="0.25">
      <c r="A151" s="70" t="s">
        <v>167</v>
      </c>
      <c r="B151" s="67"/>
      <c r="C151" s="99" t="str">
        <f>IF(C107="","",C107)</f>
        <v/>
      </c>
      <c r="D151" s="70" t="s">
        <v>167</v>
      </c>
      <c r="E151" s="67"/>
      <c r="F151" s="99" t="str">
        <f>IF(F107="","",F107)</f>
        <v/>
      </c>
      <c r="J151" s="68"/>
      <c r="M151" s="57">
        <f>SUM(M146:M150)</f>
        <v>0</v>
      </c>
      <c r="N151" s="57">
        <f t="shared" ref="N151:P151" si="16">SUM(N146:N150)</f>
        <v>0</v>
      </c>
      <c r="O151" s="57">
        <f t="shared" si="16"/>
        <v>0</v>
      </c>
      <c r="P151" s="57">
        <f t="shared" si="16"/>
        <v>0</v>
      </c>
    </row>
    <row r="152" spans="1:16" s="52" customFormat="1" ht="13.5" customHeight="1" x14ac:dyDescent="0.2">
      <c r="A152" s="60" t="s">
        <v>155</v>
      </c>
    </row>
    <row r="153" spans="1:16" ht="14.25" customHeight="1" x14ac:dyDescent="0.2">
      <c r="A153" s="1147"/>
      <c r="B153" s="1149" t="s">
        <v>9</v>
      </c>
      <c r="C153" s="1150"/>
      <c r="D153" s="1150"/>
      <c r="E153" s="1150"/>
      <c r="F153" s="1150"/>
      <c r="G153" s="1151"/>
      <c r="H153" s="1152" t="s">
        <v>119</v>
      </c>
      <c r="I153" s="1153"/>
      <c r="J153" s="1153"/>
      <c r="K153" s="1153"/>
      <c r="L153" s="1153"/>
      <c r="M153" s="1153"/>
      <c r="N153" s="1153"/>
      <c r="O153" s="33"/>
      <c r="P153" s="1154" t="s">
        <v>0</v>
      </c>
    </row>
    <row r="154" spans="1:16" ht="14.25" customHeight="1" x14ac:dyDescent="0.2">
      <c r="A154" s="1148"/>
      <c r="B154" s="1157" t="s">
        <v>117</v>
      </c>
      <c r="C154" s="144" t="s">
        <v>115</v>
      </c>
      <c r="D154" s="1159" t="s">
        <v>277</v>
      </c>
      <c r="E154" s="1161" t="s">
        <v>147</v>
      </c>
      <c r="F154" s="149" t="s">
        <v>7</v>
      </c>
      <c r="G154" s="1162" t="s">
        <v>6</v>
      </c>
      <c r="H154" s="1161" t="s">
        <v>129</v>
      </c>
      <c r="I154" s="1161" t="s">
        <v>5</v>
      </c>
      <c r="J154" s="1161" t="s">
        <v>4</v>
      </c>
      <c r="K154" s="1161" t="s">
        <v>3</v>
      </c>
      <c r="L154" s="1161" t="s">
        <v>121</v>
      </c>
      <c r="M154" s="1161" t="s">
        <v>122</v>
      </c>
      <c r="N154" s="1161" t="s">
        <v>123</v>
      </c>
      <c r="O154" s="1160" t="s">
        <v>114</v>
      </c>
      <c r="P154" s="1155"/>
    </row>
    <row r="155" spans="1:16" ht="14.25" customHeight="1" x14ac:dyDescent="0.2">
      <c r="A155" s="1148"/>
      <c r="B155" s="1157"/>
      <c r="C155" s="21" t="str">
        <f>IF(C151="","",C151)</f>
        <v/>
      </c>
      <c r="D155" s="1160"/>
      <c r="E155" s="1161"/>
      <c r="F155" s="1165" t="str">
        <f>IF(H146=0,"","siehe Zuschläge / Zulagen")</f>
        <v/>
      </c>
      <c r="G155" s="1162"/>
      <c r="H155" s="1164" t="s">
        <v>127</v>
      </c>
      <c r="I155" s="1164"/>
      <c r="J155" s="1164"/>
      <c r="K155" s="1164"/>
      <c r="L155" s="1164"/>
      <c r="M155" s="1164"/>
      <c r="N155" s="1164"/>
      <c r="O155" s="1160"/>
      <c r="P155" s="1155"/>
    </row>
    <row r="156" spans="1:16" x14ac:dyDescent="0.2">
      <c r="A156" s="1148"/>
      <c r="B156" s="1157"/>
      <c r="C156" s="142" t="s">
        <v>70</v>
      </c>
      <c r="D156" s="1160"/>
      <c r="E156" s="1161"/>
      <c r="F156" s="1165"/>
      <c r="G156" s="1162"/>
      <c r="H156" s="43" t="s">
        <v>128</v>
      </c>
      <c r="I156" s="43" t="s">
        <v>255</v>
      </c>
      <c r="J156" s="43" t="s">
        <v>256</v>
      </c>
      <c r="K156" s="43" t="s">
        <v>257</v>
      </c>
      <c r="L156" s="43"/>
      <c r="M156" s="43"/>
      <c r="N156" s="43" t="s">
        <v>254</v>
      </c>
      <c r="O156" s="1160"/>
      <c r="P156" s="1155"/>
    </row>
    <row r="157" spans="1:16" x14ac:dyDescent="0.2">
      <c r="A157" s="1148"/>
      <c r="B157" s="1158"/>
      <c r="C157" s="21" t="str">
        <f>IF(F151="","",F151)</f>
        <v/>
      </c>
      <c r="D157" s="51"/>
      <c r="E157" s="51"/>
      <c r="F157" s="1166"/>
      <c r="G157" s="1163"/>
      <c r="H157" s="93"/>
      <c r="I157" s="139">
        <f>$I$25</f>
        <v>0</v>
      </c>
      <c r="J157" s="139">
        <f>$J$25</f>
        <v>0</v>
      </c>
      <c r="K157" s="44">
        <f>$K$25</f>
        <v>0</v>
      </c>
      <c r="L157" s="21"/>
      <c r="M157" s="21"/>
      <c r="N157" s="139">
        <f>$N$25</f>
        <v>0</v>
      </c>
      <c r="O157" s="21">
        <f>O113</f>
        <v>0</v>
      </c>
      <c r="P157" s="1156"/>
    </row>
    <row r="158" spans="1:16" x14ac:dyDescent="0.2">
      <c r="A158" s="100" t="str">
        <f>$A$26</f>
        <v>Jan 2022</v>
      </c>
      <c r="B158" s="24">
        <f>ROUND(IF(N138=0,0,(LOOKUP(2,1/(A146:A149=A158),G146:G149))*N138*4.348),2)</f>
        <v>0</v>
      </c>
      <c r="C158" s="23">
        <f>ROUND(IFERROR(((LOOKUP(2,1/(B151=A158),((SUM(B164:B166)+SUM(F164:F166))/3)*C151))),0)+IFERROR(((LOOKUP(2,1/(E151=A158),(B170+F170)*F151))),0),2)</f>
        <v>0</v>
      </c>
      <c r="D158" s="23">
        <f>ROUND(IF(B158=0,0,D157/L139*N138),2)</f>
        <v>0</v>
      </c>
      <c r="E158" s="23">
        <f>ROUND(IF(B158=0,0,E157/N135*N138),2)</f>
        <v>0</v>
      </c>
      <c r="F158" s="24">
        <f>ROUND(IF(N138=0,0,(LOOKUP(2,1/(A146:A149=A158),H146:H149))/N135*N138),2)</f>
        <v>0</v>
      </c>
      <c r="G158" s="27">
        <f>SUM(B158+C158+E158+F158)</f>
        <v>0</v>
      </c>
      <c r="H158" s="76">
        <f>ROUND(IF((SUM(B158:F158))&gt;L173,L173*H157,SUM(B158:F158)*H157),2)</f>
        <v>0</v>
      </c>
      <c r="I158" s="76">
        <f>ROUND(IF((SUM(B158:F158))&gt;L174,L174*I157,SUM(B158:F158)*I157),2)</f>
        <v>0</v>
      </c>
      <c r="J158" s="76">
        <f>ROUND(IF((SUM(B158:F158))&gt;L174,L174*J157,SUM(B158:F158)*J157),2)</f>
        <v>0</v>
      </c>
      <c r="K158" s="76">
        <f>ROUND(IF((SUM(B158:F158))&gt;L173,L173*K157,SUM(B158:F158)*K157),2)</f>
        <v>0</v>
      </c>
      <c r="L158" s="76">
        <f>ROUND(IF((SUM(B158:F158))&gt;L174,L174*L157,(SUM(B158:F158)-C158)*L157),2)</f>
        <v>0</v>
      </c>
      <c r="M158" s="76">
        <f>ROUND(IF((SUM(B158:F158))&gt;L174,L174*M157,(SUM(B158:F158)-C158)*M157),2)</f>
        <v>0</v>
      </c>
      <c r="N158" s="76">
        <f>ROUND(IF((SUM(B158:F158))&gt;L174,L174*N157,SUM(B158:F158)*N157),2)</f>
        <v>0</v>
      </c>
      <c r="O158" s="23">
        <f>ROUND(SUM(B158+C158+F158)*O157,2)</f>
        <v>0</v>
      </c>
      <c r="P158" s="27">
        <f>SUM(G158:O158)</f>
        <v>0</v>
      </c>
    </row>
    <row r="159" spans="1:16" x14ac:dyDescent="0.2">
      <c r="A159" s="100" t="str">
        <f>$A$27</f>
        <v>Feb 2022</v>
      </c>
      <c r="B159" s="24">
        <f>ROUND(IF(N139=0,0,IFERROR(((LOOKUP(2,1/(A146:A149=A159),G146:G149))*N139*4.348),B158/N139*N139)),2)</f>
        <v>0</v>
      </c>
      <c r="C159" s="23">
        <f>ROUND(IFERROR(((LOOKUP(2,1/(B151=A159),((SUM(B164:B166)+SUM(F164:F166))/3)*C151))),0)+IFERROR(((LOOKUP(2,1/(E151=A159),(B170+F170)*F151))),0),2)</f>
        <v>0</v>
      </c>
      <c r="D159" s="23">
        <f>ROUND(IF(B159=0,0,D157/L139*N139),2)</f>
        <v>0</v>
      </c>
      <c r="E159" s="23">
        <f>ROUND(IF(B159=0,0,E157/N135*N139),2)</f>
        <v>0</v>
      </c>
      <c r="F159" s="24">
        <f>ROUND(IF(N139=0,0,IFERROR(((LOOKUP(2,1/(A146:A149=A159),H146:H149))/N135*N139),F158/N139*N139)),2)</f>
        <v>0</v>
      </c>
      <c r="G159" s="27">
        <f t="shared" ref="G159:G169" si="17">SUM(B159+C159+E159+F159)</f>
        <v>0</v>
      </c>
      <c r="H159" s="76">
        <f>ROUND(IF(SUM(B158:F158)&lt;(L173*1),IF((SUM(B158:F159))&gt;(L173*2),(((L173*2)-(SUM(B158:F159)-C158))*H157)+((SUM(B159:F159)-C158)*H157),SUM(B159:F159)*H157),IF(SUM(B158:F159)&gt;(L173*2),L173*H157,SUM(B159:F159)*H157)),2)</f>
        <v>0</v>
      </c>
      <c r="I159" s="76">
        <f>ROUND(IF(SUM(B158:F158)&lt;(L174*1),IF((SUM(B158:F159))&gt;(L174*2),(((L174*2)-(SUM(B158:F159)-C158))*I157)+((SUM(B159:F159)-C158)*I157),SUM(B159:F159)*I157),IF(SUM(B158:F159)&gt;(L174*2),L174*I157,SUM(B159:F159)*I157)),2)</f>
        <v>0</v>
      </c>
      <c r="J159" s="76">
        <f>ROUND(IF(SUM(B158:F158)&lt;(L174*1),IF((SUM(B158:F159))&gt;(L174*2),(((L174*2)-(SUM(B158:F159)-C158))*J157)+((SUM(B159:F159)-C158)*J157),SUM(B159:F159)*J157),IF(SUM(B158:F159)&gt;(L174*2),L174*J157,SUM(B159:F159)*J157)),2)</f>
        <v>0</v>
      </c>
      <c r="K159" s="76">
        <f>ROUND(IF(SUM(B158:F158)&lt;(L173*1),IF((SUM(B158:F159))&gt;(L173*2),(((L173*2)-(SUM(B158:F159)-C158))*K157)+((SUM(B159:F159)-C158)*K157),SUM(B159:F159)*K157),IF(SUM(B158:F159)&gt;(L173*2),L173*K157,SUM(B159:F159)*K157)),2)</f>
        <v>0</v>
      </c>
      <c r="L159" s="76">
        <f>ROUND(IF(SUM(B158:F158)&lt;(L174*1),IF((SUM(B158:F159))&gt;(L174*2),(((L174*2)-(SUM(B158:F159)-C159))*L157)+((SUM(B159:F159)-C159)*L157),(SUM(B159:F159)-C159)*L157),IF(SUM(B158:F159)&gt;(L174*2),L174*L157,SUM(B159:F159)*L157)),2)</f>
        <v>0</v>
      </c>
      <c r="M159" s="76">
        <f>ROUND(IF(SUM(B158:F158)&lt;(L174*1),IF((SUM(B158:F159))&gt;(L174*2),(((L174*2)-(SUM(B158:F159)-C159))*M157)+((SUM(B159:F159)-C159)*M157),(SUM(B159:F159)-C159)*M157),IF(SUM(B158:F159)&gt;(L174*2),L174*M157,SUM(B159:F159)*M157)),2)</f>
        <v>0</v>
      </c>
      <c r="N159" s="76">
        <f>ROUND(IF(SUM(B158:F158)&lt;(L174*1),IF((SUM(B158:F159))&gt;(L174*2),(((L174*2)-(SUM(B158:F159)-C158))*N157)+((SUM(B159:F159)-C158)*N157),SUM(B159:F159)*N157),IF(SUM(B158:F159)&gt;(L174*2),L174*N157,SUM(B159:F159)*N157)),2)</f>
        <v>0</v>
      </c>
      <c r="O159" s="23">
        <f>ROUND(SUM(B159+C159+F159)*O157,2)</f>
        <v>0</v>
      </c>
      <c r="P159" s="27">
        <f>SUM(G159:O159)</f>
        <v>0</v>
      </c>
    </row>
    <row r="160" spans="1:16" x14ac:dyDescent="0.2">
      <c r="A160" s="100" t="str">
        <f>$A$28</f>
        <v>Mrz 2022</v>
      </c>
      <c r="B160" s="24">
        <f>ROUND(IF(N140=0,0,IFERROR(((LOOKUP(2,1/(A146:A149=A160),G146:G149))*N140*4.348),B159/N140*N140)),2)</f>
        <v>0</v>
      </c>
      <c r="C160" s="23">
        <f>ROUND(IFERROR(((LOOKUP(2,1/(B151=A160),((SUM(B164:B166)+SUM(F164:F166))/3)*C151))),0)+IFERROR(((LOOKUP(2,1/(E151=A160),(B170+F170)*F151))),0),2)</f>
        <v>0</v>
      </c>
      <c r="D160" s="23">
        <f>ROUND(IF(B160=0,0,D157/L139*N140),2)</f>
        <v>0</v>
      </c>
      <c r="E160" s="23">
        <f>ROUND(IF(B160=0,0,E157/N135*N140),2)</f>
        <v>0</v>
      </c>
      <c r="F160" s="24">
        <f>ROUND(IF(N140=0,0,IFERROR(((LOOKUP(2,1/(A146:A149=A160),H146:H149))/N135*N140),F159/N140*N140)),2)</f>
        <v>0</v>
      </c>
      <c r="G160" s="27">
        <f t="shared" si="17"/>
        <v>0</v>
      </c>
      <c r="H160" s="76">
        <f>ROUND(IF(SUM(B158:F159)&lt;(L173*2),IF((SUM(B158:F160))&gt;(L173*3),(((L173*3)-(SUM(B158:F160)-C159))*H157)+((SUM(B160:F160)-C159)*H157),SUM(B160:F160)*H157),IF(SUM(B158:F160)&gt;(L173*3),L173*H157,SUM(B160:F160)*H157)),2)</f>
        <v>0</v>
      </c>
      <c r="I160" s="76">
        <f>ROUND(IF(SUM(B158:F159)&lt;(L174*2),IF((SUM(B158:F160))&gt;(L174*3),(((L174*3)-(SUM(B158:F160)-C159))*I157)+((SUM(B160:F160)-C159)*I157),SUM(B160:F160)*I157),IF(SUM(B158:F160)&gt;(L174*3),L174*I157,SUM(B160:F160)*I157)),2)</f>
        <v>0</v>
      </c>
      <c r="J160" s="76">
        <f>ROUND(IF(SUM(B158:F159)&lt;(L174*2),IF((SUM(B158:F160))&gt;(L174*3),(((L174*3)-(SUM(B158:F160)-C159))*J157)+((SUM(B160:F160)-C159)*J157),SUM(B160:F160)*J157),IF(SUM(B158:F160)&gt;(L174*3),L174*J157,SUM(B160:F160)*J157)),2)</f>
        <v>0</v>
      </c>
      <c r="K160" s="76">
        <f>ROUND(IF(SUM(B158:F159)&lt;(L173*2),IF((SUM(B158:F160))&gt;(L173*3),(((L173*3)-(SUM(B158:F160)-C159))*K157)+((SUM(B160:F160)-C159)*K157),SUM(B160:F160)*K157),IF(SUM(B158:F160)&gt;(L173*3),L173*K157,SUM(B160:F160)*K157)),2)</f>
        <v>0</v>
      </c>
      <c r="L160" s="76">
        <f>ROUND(IF(SUM(B158:F159)&lt;(L174*2),IF((SUM(B158:F160))&gt;(L174*3),(((L174*3)-(SUM(B158:F160)-C160))*L157)+((SUM(B160:F160)-C160)*L157),(SUM(B160:F160)-C160)*L157),IF(SUM(B158:F160)&gt;(L174*3),L174*L157,SUM(B160:F160)*L157)),2)</f>
        <v>0</v>
      </c>
      <c r="M160" s="76">
        <f>ROUND(IF(SUM(B158:F159)&lt;(L174*2),IF((SUM(B158:F160))&gt;(L174*3),(((L174*3)-(SUM(B158:F160)-C160))*M157)+((SUM(B160:F160)-C160)*M157),(SUM(B160:F160)-C160)*M157),IF(SUM(B158:F160)&gt;(L174*3),L174*M157,SUM(B160:F160)*M157)),2)</f>
        <v>0</v>
      </c>
      <c r="N160" s="76">
        <f>ROUND(IF(SUM(B158:F159)&lt;(L174*2),IF((SUM(B158:F160))&gt;(L174*3),(((L174*3)-(SUM(B158:F160)-C159))*N157)+((SUM(B160:F160)-C159)*N157),SUM(B160:F160)*N157),IF(SUM(B158:F160)&gt;(L174*3),L174*N157,SUM(B160:F160)*N157)),2)</f>
        <v>0</v>
      </c>
      <c r="O160" s="23">
        <f>ROUND(SUM(B160+C160+F160)*O157,2)</f>
        <v>0</v>
      </c>
      <c r="P160" s="27">
        <f t="shared" ref="P160:P169" si="18">SUM(G160:O160)</f>
        <v>0</v>
      </c>
    </row>
    <row r="161" spans="1:16" x14ac:dyDescent="0.2">
      <c r="A161" s="100" t="str">
        <f>$A$29</f>
        <v>Apr 2022</v>
      </c>
      <c r="B161" s="24">
        <f>ROUND(IF(N141=0,0,IFERROR(((LOOKUP(2,1/(A146:A149=A161),G146:G149))*N141*4.348),B160/N141*N141)),2)</f>
        <v>0</v>
      </c>
      <c r="C161" s="23">
        <f>ROUND(IFERROR(((LOOKUP(2,1/(B151=A161),((SUM(B164:B166)+SUM(F164:F166))/3)*C151))),0)+IFERROR(((LOOKUP(2,1/(E151=A161),(B170+F170)*F151))),0),2)</f>
        <v>0</v>
      </c>
      <c r="D161" s="23">
        <f>ROUND(IF(B161=0,0,D157/L139*N141),2)</f>
        <v>0</v>
      </c>
      <c r="E161" s="23">
        <f>ROUND(IF(B161=0,0,E157/N135*N141),2)</f>
        <v>0</v>
      </c>
      <c r="F161" s="24">
        <f>ROUND(IF(N141=0,0,IFERROR(((LOOKUP(2,1/(A146:A149=A161),H146:H149))/N135*N141),F160/N141*N141)),2)</f>
        <v>0</v>
      </c>
      <c r="G161" s="27">
        <f t="shared" si="17"/>
        <v>0</v>
      </c>
      <c r="H161" s="76">
        <f>ROUND(IF(SUM(B158:F160)&lt;(L173*3),IF((SUM(B158:F161))&gt;(L173*4),(((L173*4)-(SUM(B158:F161)-C160))*H157)+((SUM(B161:F161)-C160)*H157),SUM(B161:F161)*H157),IF(SUM(B158:F161)&gt;(L173*4),L173*H157,SUM(B161:F161)*H157)),2)</f>
        <v>0</v>
      </c>
      <c r="I161" s="76">
        <f>ROUND(IF(SUM(B158:F160)&lt;(L174*3),IF((SUM(B158:F161))&gt;(L174*4),(((L174*4)-(SUM(B158:F161)-C160))*I157)+((SUM(B161:F161)-C160)*I157),SUM(B161:F161)*I157),IF(SUM(B158:F161)&gt;(L174*4),L174*I157,SUM(B161:F161)*I157)),2)</f>
        <v>0</v>
      </c>
      <c r="J161" s="76">
        <f>ROUND(IF(SUM(B158:F160)&lt;(L174*3),IF((SUM(B158:F161))&gt;(L174*4),(((L174*4)-(SUM(B158:F161)-C160))*J157)+((SUM(B161:F161)-C160)*J157),SUM(B161:F161)*J157),IF(SUM(B158:F161)&gt;(L174*4),L174*J157,SUM(B161:F161)*J157)),2)</f>
        <v>0</v>
      </c>
      <c r="K161" s="76">
        <f>ROUND(IF(SUM(B158:F160)&lt;(L173*3),IF((SUM(B158:F161))&gt;(L173*4),(((L173*4)-(SUM(B158:F161)-C160))*K157)+((SUM(B161:F161)-C160)*K157),SUM(B161:F161)*K157),IF(SUM(B158:F161)&gt;(L173*4),L173*K157,SUM(B161:F161)*K157)),2)</f>
        <v>0</v>
      </c>
      <c r="L161" s="76">
        <f>ROUND(IF(SUM(B158:F160)&lt;(L174*3),IF((SUM(B158:F161))&gt;(L174*4),(((L174*4)-(SUM(B158:F161)-C161))*L157)+((SUM(B161:F161)-C161)*L157),(SUM(B161:F161)-C161)*L157),IF(SUM(B158:F161)&gt;(L174*4),L174*L157,SUM(B161:F161)*L157)),2)</f>
        <v>0</v>
      </c>
      <c r="M161" s="76">
        <f>ROUND(IF(SUM(B158:F160)&lt;(L174*3),IF((SUM(B158:F161))&gt;(L174*4),(((L174*4)-(SUM(B158:F161)-C161))*M157)+((SUM(B161:F161)-C161)*M157),(SUM(B161:F161)-C161)*M157),IF(SUM(B158:F161)&gt;(L174*4),L174*M157,SUM(B161:F161)*M157)),2)</f>
        <v>0</v>
      </c>
      <c r="N161" s="76">
        <f>ROUND(IF(SUM(B158:F160)&lt;(L174*3),IF((SUM(B158:F161))&gt;(L174*4),(((L174*4)-(SUM(B158:F161)-C160))*N157)+((SUM(B161:F161)-C160)*N157),SUM(B161:F161)*N157),IF(SUM(B158:F161)&gt;(L174*4),L174*N157,SUM(B161:F161)*N157)),2)</f>
        <v>0</v>
      </c>
      <c r="O161" s="23">
        <f>ROUND(SUM(B161+C161+F161)*O157,2)</f>
        <v>0</v>
      </c>
      <c r="P161" s="27">
        <f t="shared" si="18"/>
        <v>0</v>
      </c>
    </row>
    <row r="162" spans="1:16" x14ac:dyDescent="0.2">
      <c r="A162" s="100" t="str">
        <f>$A$30</f>
        <v>Mai 2022</v>
      </c>
      <c r="B162" s="24">
        <f>ROUND(IF(N142=0,0,IFERROR(((LOOKUP(2,1/(A146:A149=A162),G146:G149))*N142*4.348),B161/N142*N142)),2)</f>
        <v>0</v>
      </c>
      <c r="C162" s="23">
        <f>ROUND(IFERROR(((LOOKUP(2,1/(B151=A162),((SUM(B164:B166)+SUM(F164:F166))/3)*C151))),0)+IFERROR(((LOOKUP(2,1/(E151=A162),(B170+F170)*F151))),0),2)</f>
        <v>0</v>
      </c>
      <c r="D162" s="23">
        <f>ROUND(IF(B162=0,0,D157/L139*N142),2)</f>
        <v>0</v>
      </c>
      <c r="E162" s="23">
        <f>ROUND(IF(B162=0,0,E157/N135*N142),2)</f>
        <v>0</v>
      </c>
      <c r="F162" s="24">
        <f>ROUND(IF(N142=0,0,IFERROR(((LOOKUP(2,1/(A146:A149=A162),H146:H149))/N135*N142),F161/N142*N142)),2)</f>
        <v>0</v>
      </c>
      <c r="G162" s="27">
        <f t="shared" si="17"/>
        <v>0</v>
      </c>
      <c r="H162" s="76">
        <f>ROUND(IF(SUM(B158:F161)&lt;(L173*4),IF((SUM(B158:F162))&gt;(L173*5),(((L173*5)-(SUM(B158:F162)-C161))*H157)+((SUM(B162:F162)-C161)*H157),SUM(B162:F162)*H157),IF(SUM(B158:F162)&gt;(L173*5),L173*H157,SUM(B162:F162)*H157)),2)</f>
        <v>0</v>
      </c>
      <c r="I162" s="76">
        <f>ROUND(IF(SUM(B158:F161)&lt;(L174*4),IF((SUM(B158:F162))&gt;(L174*5),(((L174*5)-(SUM(B158:F162)-C161))*I157)+((SUM(B162:F162)-C161)*I157),SUM(B162:F162)*I157),IF(SUM(B158:F162)&gt;(L174*5),L174*I157,SUM(B162:F162)*I157)),2)</f>
        <v>0</v>
      </c>
      <c r="J162" s="76">
        <f>ROUND(IF(SUM(B158:F161)&lt;(L174*4),IF((SUM(B158:F162))&gt;(L174*5),(((L174*5)-(SUM(B158:F162)-C161))*J157)+((SUM(B162:F162)-C161)*J157),SUM(B162:F162)*J157),IF(SUM(B158:F162)&gt;(L174*5),L174*J157,SUM(B162:F162)*J157)),2)</f>
        <v>0</v>
      </c>
      <c r="K162" s="76">
        <f>ROUND(IF(SUM(B158:F161)&lt;(L173*4),IF((SUM(B158:F162))&gt;(L173*5),(((L173*5)-(SUM(B158:F162)-C161))*K157)+((SUM(B162:F162)-C161)*K157),SUM(B162:F162)*K157),IF(SUM(B158:F162)&gt;(L173*5),L173*K157,SUM(B162:F162)*K157)),2)</f>
        <v>0</v>
      </c>
      <c r="L162" s="76">
        <f>ROUND(IF(SUM(B158:F161)&lt;(L174*4),IF((SUM(B158:F162))&gt;(L174*5),(((L174*5)-(SUM(B158:F162)-C162))*L157)+((SUM(B162:F162)-C162)*L157),(SUM(B162:F162)-C162)*L157),IF(SUM(B158:F162)&gt;(L174*5),L174*L157,SUM(B162:F162)*L157)),2)</f>
        <v>0</v>
      </c>
      <c r="M162" s="76">
        <f>ROUND(IF(SUM(B158:F161)&lt;(L174*4),IF((SUM(B158:F162))&gt;(L174*5),(((L174*5)-(SUM(B158:F162)-C162))*M157)+((SUM(B162:F162)-C162)*M157),(SUM(B162:F162)-C162)*M157),IF(SUM(B158:F162)&gt;(L174*5),L174*M157,SUM(B162:F162)*M157)),2)</f>
        <v>0</v>
      </c>
      <c r="N162" s="76">
        <f>ROUND(IF(SUM(B158:F161)&lt;(L174*4),IF((SUM(B158:F162))&gt;(L174*5),(((L174*5)-(SUM(B158:F162)-C161))*N157)+((SUM(B162:F162)-C161)*N157),SUM(B162:F162)*N157),IF(SUM(B158:F162)&gt;(L174*5),L174*N157,SUM(B162:F162)*N157)),2)</f>
        <v>0</v>
      </c>
      <c r="O162" s="23">
        <f>ROUND(SUM(B162+C162+F162)*O157,2)</f>
        <v>0</v>
      </c>
      <c r="P162" s="27">
        <f t="shared" si="18"/>
        <v>0</v>
      </c>
    </row>
    <row r="163" spans="1:16" x14ac:dyDescent="0.2">
      <c r="A163" s="100" t="str">
        <f>$A$31</f>
        <v>Jun 2022</v>
      </c>
      <c r="B163" s="24">
        <f>ROUND(IF(N143=0,0,IFERROR(((LOOKUP(2,1/(A146:A149=A163),G146:G149))*N143*4.348),B162/N143*N143)),2)</f>
        <v>0</v>
      </c>
      <c r="C163" s="23">
        <f>ROUND(IFERROR(((LOOKUP(2,1/(B151=A163),((SUM(B164:B166)+SUM(F164:F166))/3)*C151))),0)+IFERROR(((LOOKUP(2,1/(E151=A163),(B170+F170)*F151))),0),2)</f>
        <v>0</v>
      </c>
      <c r="D163" s="23">
        <f>ROUND(IF(B163=0,0,D157/L139*N143),2)</f>
        <v>0</v>
      </c>
      <c r="E163" s="23">
        <f>ROUND(IF(B163=0,0,E157/N135*N143),2)</f>
        <v>0</v>
      </c>
      <c r="F163" s="24">
        <f>ROUND(IF(N143=0,0,IFERROR(((LOOKUP(2,1/(A146:A149=A163),H146:H149))/N135*N143),F162/N143*N143)),2)</f>
        <v>0</v>
      </c>
      <c r="G163" s="27">
        <f t="shared" si="17"/>
        <v>0</v>
      </c>
      <c r="H163" s="76">
        <f>ROUND(IF(SUM(B158:F162)&lt;(L173*5),IF((SUM(B158:F163))&gt;(L173*6),(((L173*6)-(SUM(B158:F163)-C162))*H157)+((SUM(B163:F163)-C162)*H157),SUM(B163:F163)*H157),IF(SUM(B158:F163)&gt;(L173*6),L173*H157,SUM(B163:F163)*H157)),2)</f>
        <v>0</v>
      </c>
      <c r="I163" s="76">
        <f>ROUND(IF(SUM(B158:F162)&lt;(L174*5),IF((SUM(B158:F163))&gt;(L174*6),(((L174*6)-(SUM(B158:F163)-C162))*I157)+((SUM(B163:F163)-C162)*I157),SUM(B163:F163)*I157),IF(SUM(B158:F163)&gt;(L174*6),L174*I157,SUM(B163:F163)*I157)),2)</f>
        <v>0</v>
      </c>
      <c r="J163" s="76">
        <f>ROUND(IF(SUM(B158:F162)&lt;(L174*5),IF((SUM(B158:F163))&gt;(L174*6),(((L174*6)-(SUM(B158:F163)-C162))*J157)+((SUM(B163:F163)-C162)*J157),SUM(B163:F163)*J157),IF(SUM(B158:F163)&gt;(L174*6),L174*J157,SUM(B163:F163)*J157)),2)</f>
        <v>0</v>
      </c>
      <c r="K163" s="76">
        <f>ROUND(IF(SUM(B158:F162)&lt;(L173*5),IF((SUM(B158:F163))&gt;(L173*6),(((L173*6)-(SUM(B158:F163)-C162))*K157)+((SUM(B163:F163)-C162)*K157),SUM(B163:F163)*K157),IF(SUM(B158:F163)&gt;(L173*6),L173*K157,SUM(B163:F163)*K157)),2)</f>
        <v>0</v>
      </c>
      <c r="L163" s="76">
        <f>ROUND(IF(SUM(B158:F162)&lt;(L174*5),IF((SUM(B158:F163))&gt;(L174*6),(((L174*6)-(SUM(B158:F163)-C163))*L157)+((SUM(B163:F163)-C163)*L157),(SUM(B163:F163)-C163)*L157),IF(SUM(B158:F163)&gt;(L174*6),L174*L157,SUM(B163:F163)*L157)),2)</f>
        <v>0</v>
      </c>
      <c r="M163" s="76">
        <f>ROUND(IF(SUM(B158:F162)&lt;(L174*5),IF((SUM(B158:F163))&gt;(L174*6),(((L174*6)-(SUM(B158:F163)-C163))*M157)+((SUM(B163:F163)-C163)*M157),(SUM(B163:F163)-C163)*M157),IF(SUM(B158:F163)&gt;(L174*6),L174*M157,SUM(B163:F163)*M157)),2)</f>
        <v>0</v>
      </c>
      <c r="N163" s="76">
        <f>ROUND(IF(SUM(B158:F162)&lt;(L174*5),IF((SUM(B158:F163))&gt;(L174*6),(((L174*6)-(SUM(B158:F163)-C162))*N157)+((SUM(B163:F163)-C162)*N157),SUM(B163:F163)*N157),IF(SUM(B158:F163)&gt;(L174*6),L174*N157,SUM(B163:F163)*N157)),2)</f>
        <v>0</v>
      </c>
      <c r="O163" s="23">
        <f>ROUND(SUM(B163+C163+F163)*O157,2)</f>
        <v>0</v>
      </c>
      <c r="P163" s="27">
        <f t="shared" si="18"/>
        <v>0</v>
      </c>
    </row>
    <row r="164" spans="1:16" x14ac:dyDescent="0.2">
      <c r="A164" s="100" t="str">
        <f>$A$32</f>
        <v>Jul 2022</v>
      </c>
      <c r="B164" s="24">
        <f>ROUND(IF(P138=0,0,IFERROR(((LOOKUP(2,1/(A146:A149=A164),G146:G149))*P138*4.348),B163/P138*P138)),2)</f>
        <v>0</v>
      </c>
      <c r="C164" s="23">
        <f>ROUND(IFERROR(((LOOKUP(2,1/(B151=A164),((SUM(B164:B166)+SUM(F164:F166))/3)*C151))),0)+IFERROR(((LOOKUP(2,1/(E151=A164),(B170+F170)*F151))),0),2)</f>
        <v>0</v>
      </c>
      <c r="D164" s="23">
        <f>ROUND(IF(B164=0,0,D157/L139*P138),2)</f>
        <v>0</v>
      </c>
      <c r="E164" s="23">
        <f>ROUND(IF(B164=0,0,E157/N135*P138),2)</f>
        <v>0</v>
      </c>
      <c r="F164" s="24">
        <f>ROUND(IF(P138=0,0,IFERROR(((LOOKUP(2,1/(A146:A149=A164),H146:H149))/N135*P138),F163/P138*P138)),2)</f>
        <v>0</v>
      </c>
      <c r="G164" s="27">
        <f t="shared" si="17"/>
        <v>0</v>
      </c>
      <c r="H164" s="76">
        <f>ROUND(IF(SUM(B158:F163)&lt;(L173*6),IF((SUM(B158:F164))&gt;(L173*7),(((L173*7)-(SUM(B158:F164)-C163))*H157)+((SUM(B164:F164)-C163)*H157),SUM(B164:F164)*H157),IF(SUM(B158:F164)&gt;(L173*7),L173*H157,SUM(B164:F164)*H157)),2)</f>
        <v>0</v>
      </c>
      <c r="I164" s="76">
        <f>ROUND(IF(SUM(B158:F163)&lt;(L174*6),IF((SUM(B158:F164))&gt;(L174*7),(((L174*7)-(SUM(B158:F164)-C163))*I157)+((SUM(B164:F164)-C163)*I157),SUM(B164:F164)*I157),IF(SUM(B158:F164)&gt;(L174*7),L174*I157,SUM(B164:F164)*I157)),2)</f>
        <v>0</v>
      </c>
      <c r="J164" s="76">
        <f>ROUND(IF(SUM(B158:F163)&lt;(L174*6),IF((SUM(B158:F164))&gt;(L174*7),(((L174*7)-(SUM(B158:F164)-C163))*J157)+((SUM(B164:F164)-C163)*J157),SUM(B164:F164)*J157),IF(SUM(B158:F164)&gt;(L174*7),L174*J157,SUM(B164:F164)*J157)),2)</f>
        <v>0</v>
      </c>
      <c r="K164" s="76">
        <f>ROUND(IF(SUM(B158:F163)&lt;(L173*6),IF((SUM(B158:F164))&gt;(L173*7),(((L173*7)-(SUM(B158:F164)-C163))*K157)+((SUM(B164:F164)-C163)*K157),SUM(B164:F164)*K157),IF(SUM(B158:F164)&gt;(L173*7),L173*K157,SUM(B164:F164)*K157)),2)</f>
        <v>0</v>
      </c>
      <c r="L164" s="76">
        <f>ROUND(IF(SUM(B158:F163)&lt;(L174*6),IF((SUM(B158:F164))&gt;(L174*7),(((L174*7)-(SUM(B158:F164)-C164))*L157)+((SUM(B164:F164)-C164)*L157),(SUM(B164:F164)-C164)*L157),IF(SUM(B158:F164)&gt;(L174*7),L174*L157,SUM(B164:F164)*L157)),2)</f>
        <v>0</v>
      </c>
      <c r="M164" s="76">
        <f>ROUND(IF(SUM(B158:F163)&lt;(L174*6),IF((SUM(B158:F164))&gt;(L174*7),(((L174*7)-(SUM(B158:F164)-C164))*M157)+((SUM(B164:F164)-C164)*M157),(SUM(B164:F164)-C164)*M157),IF(SUM(B158:F164)&gt;(L174*7),L174*M157,SUM(B164:F164)*M157)),2)</f>
        <v>0</v>
      </c>
      <c r="N164" s="76">
        <f>ROUND(IF(SUM(B158:F163)&lt;(L174*6),IF((SUM(B158:F164))&gt;(L174*7),(((L174*7)-(SUM(B158:F164)-C163))*N157)+((SUM(B164:F164)-C163)*N157),SUM(B164:F164)*N157),IF(SUM(B158:F164)&gt;(L174*7),L174*N157,SUM(B164:F164)*N157)),2)</f>
        <v>0</v>
      </c>
      <c r="O164" s="23">
        <f>ROUND(SUM(B164+C164+F164)*O157,2)</f>
        <v>0</v>
      </c>
      <c r="P164" s="27">
        <f t="shared" si="18"/>
        <v>0</v>
      </c>
    </row>
    <row r="165" spans="1:16" x14ac:dyDescent="0.2">
      <c r="A165" s="100" t="str">
        <f>$A$33</f>
        <v>Aug 2022</v>
      </c>
      <c r="B165" s="24">
        <f>ROUND(IF(P139=0,0,IFERROR(((LOOKUP(2,1/(A146:A149=A165),G146:G149))*P139*4.348),B164/P139*P139)),2)</f>
        <v>0</v>
      </c>
      <c r="C165" s="23">
        <f>ROUND(IFERROR(((LOOKUP(2,1/(B151=A165),((SUM(B164:B166)+SUM(F164:F166))/3)*C151))),0)+IFERROR(((LOOKUP(2,1/(E151=A165),(B170+F170)*F151))),0),2)</f>
        <v>0</v>
      </c>
      <c r="D165" s="23">
        <f>ROUND(IF(B165=0,0,D157/L139*P139),2)</f>
        <v>0</v>
      </c>
      <c r="E165" s="23">
        <f>ROUND(IF(B165=0,0,E157/N135*P139),2)</f>
        <v>0</v>
      </c>
      <c r="F165" s="24">
        <f>ROUND(IF(P139=0,0,IFERROR(((LOOKUP(2,1/(A146:A149=A165),H146:H149))/N135*P139),F164/P139*P139)),2)</f>
        <v>0</v>
      </c>
      <c r="G165" s="27">
        <f t="shared" si="17"/>
        <v>0</v>
      </c>
      <c r="H165" s="76">
        <f>ROUND(IF(SUM(B158:F164)&lt;(L173*7),IF((SUM(B158:F165))&gt;(L173*8),(((L173*8)-(SUM(B158:F165)-C164))*H157)+((SUM(B165:F165)-C164)*H157),SUM(B165:F165)*H157),IF(SUM(B158:F165)&gt;(L173*8),L173*H157,SUM(B165:F165)*H157)),2)</f>
        <v>0</v>
      </c>
      <c r="I165" s="76">
        <f>ROUND(IF(SUM(B158:F164)&lt;(L174*7),IF((SUM(B158:F165))&gt;(L174*8),(((L174*8)-(SUM(B158:F165)-C164))*I157)+((SUM(B165:F165)-C164)*I157),SUM(B165:F165)*I157),IF(SUM(B158:F165)&gt;(L174*8),L174*I157,SUM(B165:F165)*I157)),2)</f>
        <v>0</v>
      </c>
      <c r="J165" s="76">
        <f>ROUND(IF(SUM(B158:F164)&lt;(L174*7),IF((SUM(B158:F165))&gt;(L174*8),(((L174*8)-(SUM(B158:F165)-C164))*J157)+((SUM(B165:F165)-C164)*J157),SUM(B165:F165)*J157),IF(SUM(B158:F165)&gt;(L174*8),L174*J157,SUM(B165:F165)*J157)),2)</f>
        <v>0</v>
      </c>
      <c r="K165" s="76">
        <f>ROUND(IF(SUM(B158:F164)&lt;(L173*7),IF((SUM(B158:F165))&gt;(L173*8),(((L173*8)-(SUM(B158:F165)-C164))*K157)+((SUM(B165:F165)-C164)*K157),SUM(B165:F165)*K157),IF(SUM(B158:F165)&gt;(L173*8),L173*K157,SUM(B165:F165)*K157)),2)</f>
        <v>0</v>
      </c>
      <c r="L165" s="76">
        <f>ROUND(IF(SUM(B158:F164)&lt;(L174*7),IF((SUM(B158:F165))&gt;(L174*8),(((L174*8)-(SUM(B158:F165)-C165))*L157)+((SUM(B165:F165)-C165)*L157),(SUM(B165:F165)-C165)*L157),IF(SUM(B158:F165)&gt;(L174*8),L174*L157,SUM(B165:F165)*L157)),2)</f>
        <v>0</v>
      </c>
      <c r="M165" s="76">
        <f>ROUND(IF(SUM(B158:F164)&lt;(L174*7),IF((SUM(B158:F165))&gt;(L174*8),(((L174*8)-(SUM(B158:F165)-C165))*M157)+((SUM(B165:F165)-C165)*M157),(SUM(B165:F165)-C165)*M157),IF(SUM(B158:F165)&gt;(L174*8),L174*M157,SUM(B165:F165)*M157)),2)</f>
        <v>0</v>
      </c>
      <c r="N165" s="76">
        <f>ROUND(IF(SUM(B158:F164)&lt;(L174*7),IF((SUM(B158:F165))&gt;(L174*8),(((L174*8)-(SUM(B158:F165)-C164))*N157)+((SUM(B165:F165)-C164)*N157),SUM(B165:F165)*N157),IF(SUM(B158:F165)&gt;(L174*8),L174*N157,SUM(B165:F165)*N157)),2)</f>
        <v>0</v>
      </c>
      <c r="O165" s="23">
        <f>ROUND(SUM(B165+C165+F165)*O157,2)</f>
        <v>0</v>
      </c>
      <c r="P165" s="27">
        <f t="shared" si="18"/>
        <v>0</v>
      </c>
    </row>
    <row r="166" spans="1:16" x14ac:dyDescent="0.2">
      <c r="A166" s="100" t="str">
        <f>$A$34</f>
        <v>Sep 2022</v>
      </c>
      <c r="B166" s="24">
        <f>ROUND(IF(P140=0,0,IFERROR(((LOOKUP(2,1/(A146:A149=A166),G146:G149))*P140*4.348),B165/P140*P140)),2)</f>
        <v>0</v>
      </c>
      <c r="C166" s="23">
        <f>ROUND(IFERROR(((LOOKUP(2,1/(B151=A166),((SUM(B164:B166)+SUM(F164:F166))/3)*C151))),0)+IFERROR(((LOOKUP(2,1/(E151=A166),(B170+F170)*F151))),0),2)</f>
        <v>0</v>
      </c>
      <c r="D166" s="23">
        <f>ROUND(IF(B166=0,0,D157/L139*P140),2)</f>
        <v>0</v>
      </c>
      <c r="E166" s="23">
        <f>ROUND(IF(B166=0,0,E157/N135*P140),2)</f>
        <v>0</v>
      </c>
      <c r="F166" s="24">
        <f>ROUND(IF(P140=0,0,IFERROR(((LOOKUP(2,1/(A146:A149=A166),H146:H149))/N135*P140),F165/P140*P140)),2)</f>
        <v>0</v>
      </c>
      <c r="G166" s="27">
        <f t="shared" si="17"/>
        <v>0</v>
      </c>
      <c r="H166" s="76">
        <f>ROUND(IF(SUM(B158:F165)&lt;(L173*8),IF((SUM(B158:F166))&gt;(L173*9),(((L173*9)-(SUM(B158:F166)-C165))*H157)+((SUM(B166:F166)-C165)*H157),SUM(B166:F166)*H157),IF(SUM(B158:F166)&gt;(L173*9),L173*H157,SUM(B166:F166)*H157)),2)</f>
        <v>0</v>
      </c>
      <c r="I166" s="76">
        <f>ROUND(IF(SUM(B158:F165)&lt;(L174*8),IF((SUM(B158:F166))&gt;(L174*9),(((L174*9)-(SUM(B158:F166)-C165))*I157)+((SUM(B166:F166)-C165)*I157),SUM(B166:F166)*I157),IF(SUM(B158:F166)&gt;(L174*9),L174*I157,SUM(B166:F166)*I157)),2)</f>
        <v>0</v>
      </c>
      <c r="J166" s="76">
        <f>ROUND(IF(SUM(B158:F165)&lt;(L174*8),IF((SUM(B158:F166))&gt;(L174*9),(((L174*9)-(SUM(B158:F166)-C165))*J157)+((SUM(B166:F166)-C165)*J157),SUM(B166:F166)*J157),IF(SUM(B158:F166)&gt;(L174*9),L174*J157,SUM(B166:F166)*J157)),2)</f>
        <v>0</v>
      </c>
      <c r="K166" s="76">
        <f>ROUND(IF(SUM(B158:F165)&lt;(L173*8),IF((SUM(B158:F166))&gt;(L173*9),(((L173*9)-(SUM(B158:F166)-C165))*K157)+((SUM(B166:F166)-C165)*K157),SUM(B166:F166)*K157),IF(SUM(B158:F166)&gt;(L173*9),L173*K157,SUM(B166:F166)*K157)),2)</f>
        <v>0</v>
      </c>
      <c r="L166" s="76">
        <f>ROUND(IF(SUM(B158:F165)&lt;(L174*8),IF((SUM(B158:F166))&gt;(L174*9),(((L174*9)-(SUM(B158:F166)-C166))*L157)+((SUM(B166:F166)-C166)*L157),(SUM(B166:F166)-C166)*L157),IF(SUM(B158:F166)&gt;(L174*9),L174*L157,SUM(B166:F166)*L157)),2)</f>
        <v>0</v>
      </c>
      <c r="M166" s="76">
        <f>ROUND(IF(SUM(B158:F165)&lt;(L174*8),IF((SUM(B158:F166))&gt;(L174*9),(((L174*9)-(SUM(B158:F166)-C166))*M157)+((SUM(B166:F166)-C166)*M157),(SUM(B166:F166)-C166)*M157),IF(SUM(B158:F166)&gt;(L174*9),L174*M157,SUM(B166:F166)*M157)),2)</f>
        <v>0</v>
      </c>
      <c r="N166" s="76">
        <f>ROUND(IF(SUM(B158:F165)&lt;(L174*8),IF((SUM(B158:F166))&gt;(L174*9),(((L174*9)-(SUM(B158:F166)-C165))*N157)+((SUM(B166:F166)-C165)*N157),SUM(B166:F166)*N157),IF(SUM(B158:F166)&gt;(L174*9),L174*N157,SUM(B166:F166)*N157)),2)</f>
        <v>0</v>
      </c>
      <c r="O166" s="23">
        <f>ROUND(SUM(B166+C166+F166)*O157,2)</f>
        <v>0</v>
      </c>
      <c r="P166" s="27">
        <f t="shared" si="18"/>
        <v>0</v>
      </c>
    </row>
    <row r="167" spans="1:16" x14ac:dyDescent="0.2">
      <c r="A167" s="100" t="str">
        <f>$A$35</f>
        <v>Okt 2022</v>
      </c>
      <c r="B167" s="24">
        <f>ROUND(IF(P141=0,0,IFERROR(((LOOKUP(2,1/(A146:A149=A167),G146:G149))*P141*4.348),B166/P141*P141)),2)</f>
        <v>0</v>
      </c>
      <c r="C167" s="23">
        <f>ROUND(IFERROR(((LOOKUP(2,1/(B151=A167),((SUM(B164:B166)+SUM(F164:F166))/3)*C151))),0)+IFERROR(((LOOKUP(2,1/(E151=A167),(B170+F170)*F151))),0),2)</f>
        <v>0</v>
      </c>
      <c r="D167" s="23">
        <f>ROUND(IF(B167=0,0,D157/L139*P141),2)</f>
        <v>0</v>
      </c>
      <c r="E167" s="23">
        <f>ROUND(IF(B167=0,0,E157/N135*P141),2)</f>
        <v>0</v>
      </c>
      <c r="F167" s="24">
        <f>ROUND(IF(P141=0,0,IFERROR(((LOOKUP(2,1/(A146:A149=A167),H146:H149))/N135*P141),F166/P141*P141)),2)</f>
        <v>0</v>
      </c>
      <c r="G167" s="27">
        <f t="shared" si="17"/>
        <v>0</v>
      </c>
      <c r="H167" s="76">
        <f>ROUND(IF(SUM(B158:F166)&lt;(L173*9),IF((SUM(B158:F167))&gt;(L173*10),(((L173*10)-(SUM(B158:F167)-C166))*H157)+((SUM(B167:F167)-C166)*H157),SUM(B167:F167)*H157),IF(SUM(B158:F167)&gt;(L173*10),L173*H157,SUM(B167:F167)*H157)),2)</f>
        <v>0</v>
      </c>
      <c r="I167" s="76">
        <f>ROUND(IF(SUM(B158:F166)&lt;(L174*9),IF((SUM(B158:F167))&gt;(L174*10),(((L174*10)-(SUM(B158:F167)-C166))*I157)+((SUM(B167:F167)-C166)*I157),SUM(B167:F167)*I157),IF(SUM(B158:F167)&gt;(L174*10),L174*I157,SUM(B167:F167)*I157)),2)</f>
        <v>0</v>
      </c>
      <c r="J167" s="76">
        <f>ROUND(IF(SUM(B158:F166)&lt;(L174*9),IF((SUM(B158:F167))&gt;(L174*10),(((L174*10)-(SUM(B158:F167)-C166))*J157)+((SUM(B167:F167)-C166)*J157),SUM(B167:F167)*J157),IF(SUM(B158:F167)&gt;(L174*10),L174*J157,SUM(B167:F167)*J157)),2)</f>
        <v>0</v>
      </c>
      <c r="K167" s="76">
        <f>ROUND(IF(SUM(B158:F166)&lt;(L173*9),IF((SUM(B158:F167))&gt;(L173*10),(((L173*10)-(SUM(B158:F167)-C166))*K157)+((SUM(B167:F167)-C166)*K157),SUM(B167:F167)*K157),IF(SUM(B158:F167)&gt;(L173*10),L173*K157,SUM(B167:F167)*K157)),2)</f>
        <v>0</v>
      </c>
      <c r="L167" s="76">
        <f>ROUND(IF(SUM(B158:F166)&lt;(L174*9),IF((SUM(B158:F167))&gt;(L174*10),(((L174*10)-(SUM(B158:F167)-C167))*L157)+((SUM(B167:F167)-C167)*L157),(SUM(B167:F167)-C167)*L157),IF(SUM(B158:F167)&gt;(L174*10),L174*L157,SUM(B167:F167)*L157)),2)</f>
        <v>0</v>
      </c>
      <c r="M167" s="76">
        <f>ROUND(IF(SUM(B158:F166)&lt;(L174*9),IF((SUM(B158:F167))&gt;(L174*10),(((L174*10)-(SUM(B158:F167)-C167))*M157)+((SUM(B167:F167)-C167)*M157),(SUM(B167:F167)-C167)*M157),IF(SUM(B158:F167)&gt;(L174*10),L174*M157,SUM(B167:F167)*M157)),2)</f>
        <v>0</v>
      </c>
      <c r="N167" s="76">
        <f>ROUND(IF(SUM(B158:F166)&lt;(L174*9),IF((SUM(B158:F167))&gt;(L174*10),(((L174*10)-(SUM(B158:F167)-C166))*N157)+((SUM(B167:F167)-C166)*N157),SUM(B167:F167)*N157),IF(SUM(B158:F167)&gt;(L174*10),L174*N157,SUM(B167:F167)*N157)),2)</f>
        <v>0</v>
      </c>
      <c r="O167" s="23">
        <f>ROUND(SUM(B167+C167+F167)*O157,2)</f>
        <v>0</v>
      </c>
      <c r="P167" s="27">
        <f t="shared" si="18"/>
        <v>0</v>
      </c>
    </row>
    <row r="168" spans="1:16" x14ac:dyDescent="0.2">
      <c r="A168" s="100" t="str">
        <f>$A$36</f>
        <v>Nov 2022</v>
      </c>
      <c r="B168" s="24">
        <f>ROUND(IF(P142=0,0,IFERROR(((LOOKUP(2,1/(A146:A149=A168),G146:G149))*P142*4.348),B167/P142*P142)),2)</f>
        <v>0</v>
      </c>
      <c r="C168" s="23">
        <f>ROUND(IFERROR(((LOOKUP(2,1/(B151=A168),((SUM(B164:B166)+SUM(F164:F166))/3)*C151))),0)+IFERROR(((LOOKUP(2,1/(E151=A168),(B170+F170)*F151))),0),2)</f>
        <v>0</v>
      </c>
      <c r="D168" s="23">
        <f>ROUND(IF(B168=0,0,D157/L139*P142),2)</f>
        <v>0</v>
      </c>
      <c r="E168" s="23">
        <f>ROUND(IF(B168=0,0,E157/N135*P142),2)</f>
        <v>0</v>
      </c>
      <c r="F168" s="24">
        <f>ROUND(IF(P142=0,0,IFERROR(((LOOKUP(2,1/(A146:A149=A168),H146:H149))/N135*P142),F167/P142*P142)),2)</f>
        <v>0</v>
      </c>
      <c r="G168" s="27">
        <f t="shared" si="17"/>
        <v>0</v>
      </c>
      <c r="H168" s="76">
        <f>ROUND(IF(SUM(B158:F167)&lt;(L173*10),IF((SUM(B158:F168))&gt;(L173*11),(((L173*11)-(SUM(B158:F168)-C167))*H157)+((SUM(B168:F168)-C167)*H157),SUM(B168:F168)*H157),IF(SUM(B158:F168)&gt;(L173*11),L173*H157,SUM(B168:F168)*H157)),2)</f>
        <v>0</v>
      </c>
      <c r="I168" s="76">
        <f>ROUND(IF(SUM(B158:F167)&lt;(L174*10),IF((SUM(B158:F168))&gt;(L174*11),(((L174*11)-(SUM(B158:F168)-C167))*I157)+((SUM(B168:F168)-C167)*I157),SUM(B168:F168)*I157),IF(SUM(B158:F168)&gt;(L174*11),L174*I157,SUM(B168:F168)*I157)),2)</f>
        <v>0</v>
      </c>
      <c r="J168" s="76">
        <f>ROUND(IF(SUM(B158:F167)&lt;(L174*10),IF((SUM(B158:F168))&gt;(L174*11),(((L174*11)-(SUM(B158:F168)-C167))*J157)+((SUM(B168:F168)-C167)*J157),SUM(B168:F168)*J157),IF(SUM(B158:F168)&gt;(L174*11),L174*J157,SUM(B168:F168)*J157)),2)</f>
        <v>0</v>
      </c>
      <c r="K168" s="76">
        <f>ROUND(IF(SUM(B158:F167)&lt;(L173*10),IF((SUM(B158:F168))&gt;(L173*11),(((L173*11)-(SUM(B158:F168)-C167))*K157)+((SUM(B168:F168)-C167)*K157),SUM(B168:F168)*K157),IF(SUM(B158:F168)&gt;(L173*11),L173*K157,SUM(B168:F168)*K157)),2)</f>
        <v>0</v>
      </c>
      <c r="L168" s="76">
        <f>ROUND(IF(SUM(B158:F167)&lt;(L174*10),IF((SUM(B158:F168))&gt;(L174*11),(((L174*11)-(SUM(B158:F168)-C168))*L157)+((SUM(B168:F168)-C168)*L157),(SUM(B168:F168)-C168)*L157),IF(SUM(B158:F168)&gt;(L174*11),L174*L157,SUM(B168:F168)*L157)),2)</f>
        <v>0</v>
      </c>
      <c r="M168" s="76">
        <f>ROUND(IF(SUM(B158:F167)&lt;(L174*10),IF((SUM(B158:F168))&gt;(L174*11),(((L174*11)-(SUM(B158:F168)-C168))*M157)+((SUM(B168:F168)-C168)*M157),(SUM(B168:F168)-C168)*M157),IF(SUM(B158:F168)&gt;(L174*11),L174*M157,SUM(B168:F168)*M157)),2)</f>
        <v>0</v>
      </c>
      <c r="N168" s="76">
        <f>ROUND(IF(SUM(B158:F167)&lt;(L174*10),IF((SUM(B158:F168))&gt;(L174*11),(((L174*11)-(SUM(B158:F168)-C167))*N157)+((SUM(B168:F168)-C167)*N157),SUM(B168:F168)*N157),IF(SUM(B158:F168)&gt;(L174*11),L174*N157,SUM(B168:F168)*N157)),2)</f>
        <v>0</v>
      </c>
      <c r="O168" s="23">
        <f>ROUND(SUM(B168+C168+F168)*O157,2)</f>
        <v>0</v>
      </c>
      <c r="P168" s="27">
        <f t="shared" si="18"/>
        <v>0</v>
      </c>
    </row>
    <row r="169" spans="1:16" x14ac:dyDescent="0.2">
      <c r="A169" s="100" t="str">
        <f>$A$37</f>
        <v>Dez 2022</v>
      </c>
      <c r="B169" s="24">
        <f>ROUND(IF(P143=0,0,IFERROR(((LOOKUP(2,1/(A146:A149=A169),G146:G149))*P143*4.348),B168/P143*P143)),2)</f>
        <v>0</v>
      </c>
      <c r="C169" s="23">
        <f>ROUND(IFERROR(((LOOKUP(2,1/(B151=A169),((SUM(B164:B166)+SUM(F164:F166))/3)*C151))),0)+IFERROR(((LOOKUP(2,1/(E151=A169),(B170+F170)*F151))),0),2)</f>
        <v>0</v>
      </c>
      <c r="D169" s="23">
        <f>ROUND(IF(B169=0,0,D157/L139*P143),2)</f>
        <v>0</v>
      </c>
      <c r="E169" s="23">
        <f>ROUND(IF(B169=0,0,E157/N135*P143),2)</f>
        <v>0</v>
      </c>
      <c r="F169" s="24">
        <f>ROUND(IF(P143=0,0,IFERROR(((LOOKUP(2,1/(A146:A149=A169),H146:H149))/N135*P143),F168/P143*P143)),2)</f>
        <v>0</v>
      </c>
      <c r="G169" s="27">
        <f t="shared" si="17"/>
        <v>0</v>
      </c>
      <c r="H169" s="76">
        <f>ROUND(IF(SUM(B158:F168)&lt;(L173*11),IF((SUM(B158:F169))&gt;(L173*12),(((L173*12)-(SUM(B158:F169)-C168))*H157)+((SUM(B169:F169)-C168)*H157),SUM(B169:F169)*H157),IF(SUM(B158:F169)&gt;(L173*12),L173*H157,SUM(B169:F169)*H157)),2)</f>
        <v>0</v>
      </c>
      <c r="I169" s="76">
        <f>ROUND(IF(SUM(B158:F168)&lt;(L174*11),IF((SUM(B158:F169))&gt;(L174*12),(((L174*12)-(SUM(B158:F169)-C168))*I157)+((SUM(B169:F169)-C168)*I157),SUM(B169:F169)*I157),IF(SUM(B158:F169)&gt;(L174*12),L174*I157,SUM(B169:F169)*I157)),2)</f>
        <v>0</v>
      </c>
      <c r="J169" s="76">
        <f>ROUND(IF(SUM(B158:F168)&lt;(L174*11),IF((SUM(B158:F169))&gt;(L174*12),(((L174*12)-(SUM(B158:F169)-C168))*J157)+((SUM(B169:F169)-C168)*J157),SUM(B169:F169)*J157),IF(SUM(B158:F169)&gt;(L174*12),L174*J157,SUM(B169:F169)*J157)),2)</f>
        <v>0</v>
      </c>
      <c r="K169" s="76">
        <f>ROUND(IF(SUM(B158:F168)&lt;(L173*11),IF((SUM(B158:F169))&gt;(L173*12),(((L173*12)-(SUM(B158:F169)-C168))*K157)+((SUM(B169:F169)-C168)*K157),SUM(B169:F169)*K157),IF(SUM(B158:F169)&gt;(L173*12),L173*K157,SUM(B169:F169)*K157)),2)</f>
        <v>0</v>
      </c>
      <c r="L169" s="76">
        <f>ROUND(IF(SUM(B158:F168)&lt;(L174*11),IF((SUM(B158:F169))&gt;(L174*12),(((L174*12)-(SUM(B158:F169)-C169))*L157)+((SUM(B169:F169)-C169)*L157),(SUM(B169:F169)-C169)*L157),IF(SUM(B158:F169)&gt;(L174*12),L174*L157,SUM(B169:F169)*L157)),2)</f>
        <v>0</v>
      </c>
      <c r="M169" s="76">
        <f>ROUND(IF(SUM(B158:F168)&lt;(L174*11),IF((SUM(B158:F169))&gt;(L174*12),(((L174*12)-(SUM(B158:F169)-C169))*M157)+((SUM(B169:F169)-C169)*M157),(SUM(B169:F169)-C169)*M157),IF(SUM(B158:F169)&gt;(L174*12),L174*M157,SUM(B169:F169)*M157)),2)</f>
        <v>0</v>
      </c>
      <c r="N169" s="76">
        <f>ROUND(IF(SUM(B158:F168)&lt;(L174*11),IF((SUM(B158:F169))&gt;(L174*12),(((L174*12)-(SUM(B158:F169)-C168))*N157)+((SUM(B169:F169)-C168)*N157),SUM(B169:F169)*N157),IF(SUM(B158:F169)&gt;(L174*12),L174*N157,SUM(B169:F169)*N157)),2)</f>
        <v>0</v>
      </c>
      <c r="O169" s="23">
        <f>ROUND(SUM(B169+C169+F169)*O157,2)</f>
        <v>0</v>
      </c>
      <c r="P169" s="27">
        <f t="shared" si="18"/>
        <v>0</v>
      </c>
    </row>
    <row r="170" spans="1:16" s="14" customFormat="1" ht="15" x14ac:dyDescent="0.25">
      <c r="A170" s="4" t="s">
        <v>2</v>
      </c>
      <c r="B170" s="27">
        <f>SUM(B158:B169)</f>
        <v>0</v>
      </c>
      <c r="C170" s="27">
        <f t="shared" ref="C170:D170" si="19">SUM(C158:C169)</f>
        <v>0</v>
      </c>
      <c r="D170" s="27">
        <f t="shared" si="19"/>
        <v>0</v>
      </c>
      <c r="E170" s="27">
        <f>SUM(E158:E169)</f>
        <v>0</v>
      </c>
      <c r="F170" s="27">
        <f>SUM(F158:F169)</f>
        <v>0</v>
      </c>
      <c r="G170" s="27">
        <f>SUM(G158:G169)</f>
        <v>0</v>
      </c>
      <c r="H170" s="1133">
        <f>SUM(H158:N169)</f>
        <v>0</v>
      </c>
      <c r="I170" s="1134"/>
      <c r="J170" s="1134"/>
      <c r="K170" s="1134"/>
      <c r="L170" s="1134"/>
      <c r="M170" s="1134"/>
      <c r="N170" s="1135"/>
      <c r="O170" s="27">
        <f>SUM(O158:O169)</f>
        <v>0</v>
      </c>
      <c r="P170" s="27">
        <f>SUM(P158:P169)</f>
        <v>0</v>
      </c>
    </row>
    <row r="171" spans="1:16" s="13" customFormat="1" ht="11.25" x14ac:dyDescent="0.2">
      <c r="A171" s="3" t="s">
        <v>1</v>
      </c>
      <c r="B171" s="2"/>
      <c r="C171" s="2"/>
      <c r="D171" s="2"/>
      <c r="E171" s="2"/>
      <c r="F171" s="2"/>
      <c r="G171" s="2"/>
      <c r="H171" s="2"/>
      <c r="I171" s="2"/>
      <c r="J171" s="2"/>
      <c r="K171" s="2"/>
      <c r="L171" s="2"/>
      <c r="M171" s="2"/>
      <c r="N171" s="2"/>
      <c r="O171" s="2"/>
      <c r="P171" s="2"/>
    </row>
    <row r="172" spans="1:16" ht="14.25" customHeight="1" x14ac:dyDescent="0.2">
      <c r="A172" s="1136" t="s">
        <v>133</v>
      </c>
      <c r="B172" s="1137"/>
      <c r="C172" s="1137"/>
      <c r="D172" s="1137" t="s">
        <v>134</v>
      </c>
      <c r="E172" s="1137"/>
      <c r="F172" s="94" t="str">
        <f>IF(IF(G170=0,"",$F$40)=0,"",IF(G170=0,"",$F$40))</f>
        <v/>
      </c>
      <c r="G172" s="77" t="s">
        <v>135</v>
      </c>
      <c r="H172" s="96" t="str">
        <f>IF(IF(G170=0,"",$H$40)=0,"",IF(G170=0,"",$H$40))</f>
        <v/>
      </c>
      <c r="I172" s="73"/>
      <c r="J172" s="194" t="s">
        <v>160</v>
      </c>
      <c r="K172" s="194" t="str">
        <f>$K$40</f>
        <v>2021</v>
      </c>
      <c r="L172" s="194" t="str">
        <f>$L$40</f>
        <v>anteilig 2021</v>
      </c>
      <c r="M172" s="1138" t="s">
        <v>140</v>
      </c>
      <c r="N172" s="1138"/>
      <c r="O172" s="1139"/>
      <c r="P172" s="27">
        <f>ROUND(IF(F172="",IF(E176="",0,(E176*H176/K176)/L139*L140),G170*F172*H172/1000),2)</f>
        <v>0</v>
      </c>
    </row>
    <row r="173" spans="1:16" ht="15" customHeight="1" x14ac:dyDescent="0.2">
      <c r="A173" s="1140" t="s">
        <v>145</v>
      </c>
      <c r="B173" s="1141"/>
      <c r="C173" s="1141"/>
      <c r="D173" s="18"/>
      <c r="E173" s="107" t="s">
        <v>135</v>
      </c>
      <c r="F173" s="95" t="str">
        <f>IF(IF(G170=0,"",$F$41)=0,"",IF(G170=0,"",$F$41))</f>
        <v/>
      </c>
      <c r="G173" s="48"/>
      <c r="H173" s="47"/>
      <c r="I173" s="48"/>
      <c r="J173" s="195" t="s">
        <v>158</v>
      </c>
      <c r="K173" s="198">
        <f>$K$41</f>
        <v>4837.5</v>
      </c>
      <c r="L173" s="197">
        <f>IF(L139="",K173,K173/L139*L140)</f>
        <v>4837.5</v>
      </c>
      <c r="M173" s="1138" t="s">
        <v>139</v>
      </c>
      <c r="N173" s="1138"/>
      <c r="O173" s="1139"/>
      <c r="P173" s="27">
        <f>ROUND(IF(F173="",0,G170*F173/1000),2)</f>
        <v>0</v>
      </c>
    </row>
    <row r="174" spans="1:16" ht="15.75" customHeight="1" x14ac:dyDescent="0.2">
      <c r="A174" s="1142" t="s">
        <v>141</v>
      </c>
      <c r="B174" s="1143"/>
      <c r="C174" s="1143"/>
      <c r="D174" s="1144" t="s">
        <v>143</v>
      </c>
      <c r="E174" s="1144"/>
      <c r="F174" s="1145" t="str">
        <f>IF(IF(G170=0,"",$F$42)=0,"",IF(G170=0,"",$F$42))</f>
        <v/>
      </c>
      <c r="G174" s="1145"/>
      <c r="H174" s="72"/>
      <c r="I174" s="18"/>
      <c r="J174" s="195" t="s">
        <v>159</v>
      </c>
      <c r="K174" s="198">
        <f>$K$42</f>
        <v>6700</v>
      </c>
      <c r="L174" s="197">
        <f>IF(L139="",K174,K174/L139*L140)</f>
        <v>6700</v>
      </c>
      <c r="M174" s="1138" t="s">
        <v>141</v>
      </c>
      <c r="N174" s="1138"/>
      <c r="O174" s="1139"/>
      <c r="P174" s="23">
        <f>ROUND(IF(F174="",0,IF(G170=0,0,F174/L139*L140)),2)</f>
        <v>0</v>
      </c>
    </row>
    <row r="175" spans="1:16" ht="14.25" customHeight="1" x14ac:dyDescent="0.2">
      <c r="A175" s="18"/>
      <c r="B175" s="18"/>
      <c r="C175" s="18"/>
      <c r="D175" s="18"/>
      <c r="E175" s="18"/>
      <c r="F175" s="18"/>
      <c r="G175" s="18"/>
      <c r="H175" s="18"/>
      <c r="I175" s="18"/>
      <c r="J175" s="18"/>
      <c r="K175" s="74"/>
      <c r="L175" s="82"/>
      <c r="M175" s="1127" t="s">
        <v>146</v>
      </c>
      <c r="N175" s="1127"/>
      <c r="O175" s="1128"/>
      <c r="P175" s="23">
        <f>ROUND(IF(G170=0,0,$P$43),2)</f>
        <v>0</v>
      </c>
    </row>
    <row r="176" spans="1:16" ht="14.25" customHeight="1" x14ac:dyDescent="0.2">
      <c r="A176" s="1129" t="s">
        <v>142</v>
      </c>
      <c r="B176" s="1130"/>
      <c r="C176" s="148" t="s">
        <v>136</v>
      </c>
      <c r="D176" s="148" t="s">
        <v>137</v>
      </c>
      <c r="E176" s="1131" t="str">
        <f>IF(IF(G170=0,"",$E$44)=0,"",IF(G170=0,"",$E$44))</f>
        <v/>
      </c>
      <c r="F176" s="1131"/>
      <c r="G176" s="83" t="s">
        <v>138</v>
      </c>
      <c r="H176" s="97" t="str">
        <f>IF(IF(G170=0,"",$H$44)=0,"",IF(G170=0,"",$H$44))</f>
        <v/>
      </c>
      <c r="I176" s="1132" t="s">
        <v>144</v>
      </c>
      <c r="J176" s="1132"/>
      <c r="K176" s="98" t="str">
        <f>IF(IF(G170=0,"",$K$44)=0,"",IF(G170=0,"",$K$44))</f>
        <v/>
      </c>
      <c r="L176" s="29"/>
      <c r="M176" s="29"/>
      <c r="N176" s="29"/>
      <c r="O176" s="28" t="s">
        <v>0</v>
      </c>
      <c r="P176" s="27">
        <f>P170+SUM(P172:P175)</f>
        <v>0</v>
      </c>
    </row>
    <row r="177" spans="1:16" s="12" customFormat="1" ht="13.5" customHeight="1" x14ac:dyDescent="0.2">
      <c r="A177" s="1178" t="s">
        <v>18</v>
      </c>
      <c r="B177" s="1178"/>
      <c r="C177" s="1178"/>
      <c r="D177" s="1179" t="str">
        <f>IF($D$1="","",$D$1)</f>
        <v/>
      </c>
      <c r="E177" s="1179"/>
      <c r="F177" s="1179"/>
      <c r="G177" s="1179"/>
      <c r="H177" s="1179"/>
      <c r="I177" s="1179"/>
      <c r="J177" s="1179"/>
      <c r="K177" s="1179"/>
      <c r="L177" s="1179"/>
      <c r="M177" s="1179"/>
      <c r="N177" s="1179"/>
    </row>
    <row r="178" spans="1:16" s="12" customFormat="1" ht="15" customHeight="1" x14ac:dyDescent="0.2">
      <c r="A178" s="1178" t="s">
        <v>17</v>
      </c>
      <c r="B178" s="1178"/>
      <c r="C178" s="1178" t="s">
        <v>15</v>
      </c>
      <c r="D178" s="1179" t="str">
        <f>IF($D$2="","",$D$2)</f>
        <v/>
      </c>
      <c r="E178" s="1179"/>
      <c r="F178" s="1179"/>
      <c r="G178" s="1179"/>
      <c r="H178" s="1179"/>
      <c r="I178" s="1179"/>
      <c r="J178" s="1179"/>
      <c r="K178" s="1179"/>
      <c r="L178" s="1179"/>
      <c r="M178" s="1179"/>
      <c r="N178" s="1179"/>
    </row>
    <row r="179" spans="1:16" s="12" customFormat="1" ht="15" customHeight="1" x14ac:dyDescent="0.2">
      <c r="A179" s="1178" t="s">
        <v>16</v>
      </c>
      <c r="B179" s="1178"/>
      <c r="C179" s="1178" t="s">
        <v>15</v>
      </c>
      <c r="D179" s="1179" t="str">
        <f>IF($D$3="","",$D$3)</f>
        <v/>
      </c>
      <c r="E179" s="1179"/>
      <c r="F179" s="1179"/>
      <c r="G179" s="1179"/>
      <c r="H179" s="1179"/>
      <c r="I179" s="1179"/>
      <c r="J179" s="1179"/>
      <c r="K179" s="1178" t="s">
        <v>103</v>
      </c>
      <c r="L179" s="1178"/>
      <c r="M179" s="1178"/>
      <c r="N179" s="41" t="str">
        <f>IF($N$3="","",$N$3)</f>
        <v/>
      </c>
    </row>
    <row r="180" spans="1:16" s="13" customFormat="1" ht="11.25" x14ac:dyDescent="0.2">
      <c r="A180" s="1182"/>
      <c r="B180" s="1182"/>
      <c r="C180" s="1182"/>
      <c r="D180" s="1183"/>
      <c r="E180" s="1183"/>
      <c r="F180" s="1183"/>
      <c r="G180" s="1183"/>
      <c r="H180" s="1183"/>
      <c r="I180" s="1183"/>
      <c r="J180" s="1183"/>
      <c r="K180" s="11"/>
      <c r="L180" s="11"/>
      <c r="M180" s="11"/>
      <c r="N180" s="11"/>
      <c r="O180" s="11"/>
      <c r="P180" s="11"/>
    </row>
    <row r="181" spans="1:16" s="15" customFormat="1" ht="13.5" customHeight="1" x14ac:dyDescent="0.2">
      <c r="A181" s="1177" t="s">
        <v>227</v>
      </c>
      <c r="B181" s="1177"/>
      <c r="C181" s="1177"/>
      <c r="D181" s="1177"/>
      <c r="E181" s="1177"/>
      <c r="F181" s="1177"/>
      <c r="G181" s="1177"/>
      <c r="H181" s="1177"/>
      <c r="I181" s="1177"/>
      <c r="J181" s="1177"/>
      <c r="K181" s="9"/>
      <c r="L181" s="9"/>
      <c r="M181" s="9"/>
      <c r="N181" s="59" t="s">
        <v>154</v>
      </c>
      <c r="O181" s="191">
        <f>$O$5</f>
        <v>2022</v>
      </c>
      <c r="P181" s="59" t="s">
        <v>154</v>
      </c>
    </row>
    <row r="182" spans="1:16" s="10" customFormat="1" ht="13.5" customHeight="1" x14ac:dyDescent="0.25">
      <c r="B182" s="32"/>
      <c r="C182" s="32"/>
      <c r="D182" s="5" t="s">
        <v>232</v>
      </c>
      <c r="E182" s="31"/>
      <c r="F182" s="31"/>
      <c r="G182" s="31"/>
      <c r="H182" s="31"/>
      <c r="I182" s="26"/>
      <c r="J182" s="1174" t="s">
        <v>14</v>
      </c>
      <c r="K182" s="1174"/>
      <c r="L182" s="180"/>
      <c r="N182" s="84">
        <f>IF(L184="","",L184)</f>
        <v>0</v>
      </c>
      <c r="O182" s="58" t="str">
        <f>$O$6</f>
        <v>Jan                Jul</v>
      </c>
      <c r="P182" s="85">
        <f>IF(N187="","",N187)</f>
        <v>0</v>
      </c>
    </row>
    <row r="183" spans="1:16" s="7" customFormat="1" ht="13.5" customHeight="1" x14ac:dyDescent="0.25">
      <c r="A183" s="1180" t="s">
        <v>71</v>
      </c>
      <c r="B183" s="1180"/>
      <c r="C183" s="1180"/>
      <c r="D183" s="1184"/>
      <c r="E183" s="1184"/>
      <c r="F183" s="1184"/>
      <c r="G183" s="1184"/>
      <c r="H183" s="1184"/>
      <c r="I183" s="1184"/>
      <c r="J183" s="1174" t="s">
        <v>104</v>
      </c>
      <c r="K183" s="1174"/>
      <c r="L183" s="145"/>
      <c r="N183" s="85">
        <f>IF(N182="","",N182)</f>
        <v>0</v>
      </c>
      <c r="O183" s="58" t="str">
        <f>$O$7</f>
        <v>Feb              Aug</v>
      </c>
      <c r="P183" s="85">
        <f>IF(P182="","",P182)</f>
        <v>0</v>
      </c>
    </row>
    <row r="184" spans="1:16" ht="13.5" customHeight="1" x14ac:dyDescent="0.2">
      <c r="A184" s="1180" t="s">
        <v>13</v>
      </c>
      <c r="B184" s="1180"/>
      <c r="C184" s="1180"/>
      <c r="D184" s="1181"/>
      <c r="E184" s="1181"/>
      <c r="F184" s="1181"/>
      <c r="G184" s="1181"/>
      <c r="H184" s="1181"/>
      <c r="I184" s="1181"/>
      <c r="J184" s="1174" t="s">
        <v>222</v>
      </c>
      <c r="K184" s="1174"/>
      <c r="L184" s="145">
        <f>IF(L185&gt;L183,0,L183-L185)</f>
        <v>0</v>
      </c>
      <c r="N184" s="85">
        <f>IF(N183="","",N183)</f>
        <v>0</v>
      </c>
      <c r="O184" s="58" t="str">
        <f>$O$8</f>
        <v>Mrz              Sep</v>
      </c>
      <c r="P184" s="85">
        <f>IF(P183="","",P183)</f>
        <v>0</v>
      </c>
    </row>
    <row r="185" spans="1:16" ht="13.5" customHeight="1" x14ac:dyDescent="0.2">
      <c r="A185" s="1180" t="s">
        <v>12</v>
      </c>
      <c r="B185" s="1180"/>
      <c r="C185" s="1180"/>
      <c r="D185" s="1181"/>
      <c r="E185" s="1181"/>
      <c r="F185" s="1181"/>
      <c r="G185" s="1181"/>
      <c r="H185" s="1181"/>
      <c r="I185" s="1181"/>
      <c r="J185" s="1174" t="s">
        <v>223</v>
      </c>
      <c r="K185" s="1174"/>
      <c r="L185" s="145"/>
      <c r="N185" s="85">
        <f>IF(N184="","",N184)</f>
        <v>0</v>
      </c>
      <c r="O185" s="58" t="str">
        <f>$O$9</f>
        <v>Apr               Okt</v>
      </c>
      <c r="P185" s="85">
        <f t="shared" ref="P185:P187" si="20">IF(P184="","",P184)</f>
        <v>0</v>
      </c>
    </row>
    <row r="186" spans="1:16" ht="13.5" customHeight="1" x14ac:dyDescent="0.2">
      <c r="A186" s="1180" t="s">
        <v>19</v>
      </c>
      <c r="B186" s="1180"/>
      <c r="C186" s="1180"/>
      <c r="D186" s="1181"/>
      <c r="E186" s="1181"/>
      <c r="F186" s="1181"/>
      <c r="G186" s="1181"/>
      <c r="H186" s="1181"/>
      <c r="I186" s="1181"/>
      <c r="J186" s="1174" t="s">
        <v>97</v>
      </c>
      <c r="K186" s="1174"/>
      <c r="L186" s="17" t="str">
        <f>IF(IF((COUNTIF(B202:B213,"&gt;0"))=0,0,(COUNTIF(B202:B213,"&gt;0")))&gt;Grundlagen!$C$24,Grundlagen!$C$24,IF((COUNTIF(B202:B213,"&gt;0"))=0,"",(COUNTIF(B202:B213,"&gt;0"))))</f>
        <v/>
      </c>
      <c r="M186" s="92"/>
      <c r="N186" s="85">
        <f>IF(N185="","",N185)</f>
        <v>0</v>
      </c>
      <c r="O186" s="58" t="str">
        <f>'päd.Personal - Leitung'!$O$10</f>
        <v>Mai               Nov</v>
      </c>
      <c r="P186" s="85">
        <f t="shared" si="20"/>
        <v>0</v>
      </c>
    </row>
    <row r="187" spans="1:16" ht="13.5" customHeight="1" x14ac:dyDescent="0.2">
      <c r="B187" s="8"/>
      <c r="C187" s="141" t="s">
        <v>162</v>
      </c>
      <c r="D187" s="1175"/>
      <c r="E187" s="1175"/>
      <c r="F187" s="1176" t="s">
        <v>106</v>
      </c>
      <c r="G187" s="1176"/>
      <c r="H187" s="1186"/>
      <c r="I187" s="1186"/>
      <c r="L187" s="147" t="str">
        <f>IF((SUM(F190:F193))=0,"",IF(P188&gt;L184,L184,IF(L184="","",IF(L186="","",P188))))</f>
        <v/>
      </c>
      <c r="N187" s="85">
        <f>IF(N186="","",N186)</f>
        <v>0</v>
      </c>
      <c r="O187" s="58" t="str">
        <f>'päd.Personal - Leitung'!$O$11</f>
        <v>Jun               Dez</v>
      </c>
      <c r="P187" s="85">
        <f t="shared" si="20"/>
        <v>0</v>
      </c>
    </row>
    <row r="188" spans="1:16" ht="13.5" customHeight="1" x14ac:dyDescent="0.2">
      <c r="I188" s="6"/>
      <c r="O188" s="174" t="s">
        <v>251</v>
      </c>
      <c r="P188" s="175">
        <f>IF(L186="",0,((IF(SUMIF(B202,"&gt;0"),N182,0))+(IF(SUMIF(B203,"&gt;0"),N183,0))+(IF(SUMIF(B204,"&gt;0"),N184,0))+(IF(SUMIF(B205,"&gt;0"),N185,0))+(IF(SUMIF(B206,"&gt;0"),N186,0))+(IF(SUMIF(B207,"&gt;0"),N187,0))+(IF(SUMIF(B208,"&gt;0"),P182,0))+(IF(SUMIF(B209,"&gt;0"),P183,0))+(IF(SUMIF(B210,"&gt;0"),P184,0))+(IF(SUMIF(B211,"&gt;0"),P185,0))+(IF(SUMIF(B212,"&gt;0"),P186,0))+(IF(SUMIF(B213,"&gt;0"),P187,0)))/Grundlagen!$C$24)</f>
        <v>0</v>
      </c>
    </row>
    <row r="189" spans="1:16" s="52" customFormat="1" ht="13.5" customHeight="1" x14ac:dyDescent="0.2">
      <c r="A189" s="61" t="s">
        <v>148</v>
      </c>
      <c r="B189" s="1168" t="s">
        <v>149</v>
      </c>
      <c r="C189" s="1168"/>
      <c r="D189" s="62" t="s">
        <v>150</v>
      </c>
      <c r="E189" s="63" t="s">
        <v>151</v>
      </c>
      <c r="F189" s="64" t="str">
        <f>CONCATENATE("Entg. ",N179," h/Wo")</f>
        <v>Entg.  h/Wo</v>
      </c>
      <c r="G189" s="65" t="s">
        <v>152</v>
      </c>
      <c r="H189" s="65" t="s">
        <v>153</v>
      </c>
      <c r="K189" s="1169" t="str">
        <f>CONCATENATE("Zuschläge / Zulagen für ",N179,"h/Wo")</f>
        <v>Zuschläge / Zulagen für h/Wo</v>
      </c>
      <c r="L189" s="1169"/>
      <c r="M189" s="66" t="str">
        <f>IF(A190="","",A190)</f>
        <v>Jan 2022</v>
      </c>
      <c r="N189" s="66" t="str">
        <f>IF(A191="","",A191)</f>
        <v/>
      </c>
      <c r="O189" s="66" t="str">
        <f>IF(A192="","",A192)</f>
        <v/>
      </c>
      <c r="P189" s="66" t="str">
        <f>IF(A193="","",A193)</f>
        <v/>
      </c>
    </row>
    <row r="190" spans="1:16" s="52" customFormat="1" ht="13.5" customHeight="1" x14ac:dyDescent="0.25">
      <c r="A190" s="54" t="str">
        <f>A202</f>
        <v>Jan 2022</v>
      </c>
      <c r="B190" s="1170" t="str">
        <f>IF($D$3="","",$D$3)</f>
        <v/>
      </c>
      <c r="C190" s="1171"/>
      <c r="D190" s="181"/>
      <c r="E190" s="181"/>
      <c r="F190" s="87"/>
      <c r="G190" s="56">
        <f>IF(N179="",0,F190/N179/4.348)</f>
        <v>0</v>
      </c>
      <c r="H190" s="53">
        <f>IF(G190=0,0,M195)</f>
        <v>0</v>
      </c>
      <c r="K190" s="1146"/>
      <c r="L190" s="1146"/>
      <c r="M190" s="86"/>
      <c r="N190" s="86"/>
      <c r="O190" s="86"/>
      <c r="P190" s="86"/>
    </row>
    <row r="191" spans="1:16" s="52" customFormat="1" ht="13.5" customHeight="1" x14ac:dyDescent="0.25">
      <c r="A191" s="55"/>
      <c r="B191" s="1172" t="str">
        <f>IF(A191="","",B190)</f>
        <v/>
      </c>
      <c r="C191" s="1173"/>
      <c r="D191" s="181"/>
      <c r="E191" s="181"/>
      <c r="F191" s="87"/>
      <c r="G191" s="56">
        <f>IF(N179="",0,F191/N179/4.348)</f>
        <v>0</v>
      </c>
      <c r="H191" s="53">
        <f>IF(G191=0,0,N195)</f>
        <v>0</v>
      </c>
      <c r="K191" s="1146"/>
      <c r="L191" s="1146"/>
      <c r="M191" s="86"/>
      <c r="N191" s="86"/>
      <c r="O191" s="86"/>
      <c r="P191" s="86"/>
    </row>
    <row r="192" spans="1:16" s="52" customFormat="1" ht="13.5" customHeight="1" x14ac:dyDescent="0.25">
      <c r="A192" s="55"/>
      <c r="B192" s="1172" t="str">
        <f>IF(A192="","",B191)</f>
        <v/>
      </c>
      <c r="C192" s="1173"/>
      <c r="D192" s="181"/>
      <c r="E192" s="181"/>
      <c r="F192" s="87"/>
      <c r="G192" s="56">
        <f>IF(N179="",0,F192/N179/4.348)</f>
        <v>0</v>
      </c>
      <c r="H192" s="53">
        <f>IF(G192=0,0,O195)</f>
        <v>0</v>
      </c>
      <c r="K192" s="1146"/>
      <c r="L192" s="1146"/>
      <c r="M192" s="86"/>
      <c r="N192" s="86"/>
      <c r="O192" s="86"/>
      <c r="P192" s="86"/>
    </row>
    <row r="193" spans="1:16" s="52" customFormat="1" ht="13.5" customHeight="1" x14ac:dyDescent="0.25">
      <c r="A193" s="55"/>
      <c r="B193" s="1172" t="str">
        <f>IF(A193="","",B192)</f>
        <v/>
      </c>
      <c r="C193" s="1173"/>
      <c r="D193" s="181"/>
      <c r="E193" s="181"/>
      <c r="F193" s="87"/>
      <c r="G193" s="56">
        <f>IF(N179="",0,F193/N179/4.348)</f>
        <v>0</v>
      </c>
      <c r="H193" s="53">
        <f>IF(G193=0,0,P195)</f>
        <v>0</v>
      </c>
      <c r="K193" s="1146"/>
      <c r="L193" s="1146"/>
      <c r="M193" s="86"/>
      <c r="N193" s="86"/>
      <c r="O193" s="86"/>
      <c r="P193" s="86"/>
    </row>
    <row r="194" spans="1:16" s="52" customFormat="1" ht="13.5" customHeight="1" x14ac:dyDescent="0.25">
      <c r="B194" s="1167" t="s">
        <v>157</v>
      </c>
      <c r="C194" s="1167"/>
      <c r="E194" s="1167" t="s">
        <v>156</v>
      </c>
      <c r="F194" s="1167"/>
      <c r="J194" s="69"/>
      <c r="K194" s="1146"/>
      <c r="L194" s="1146"/>
      <c r="M194" s="86"/>
      <c r="N194" s="86"/>
      <c r="O194" s="86"/>
      <c r="P194" s="86"/>
    </row>
    <row r="195" spans="1:16" s="52" customFormat="1" ht="13.5" customHeight="1" x14ac:dyDescent="0.25">
      <c r="A195" s="70" t="s">
        <v>167</v>
      </c>
      <c r="B195" s="67"/>
      <c r="C195" s="99" t="str">
        <f>IF(C151="","",C151)</f>
        <v/>
      </c>
      <c r="D195" s="70" t="s">
        <v>167</v>
      </c>
      <c r="E195" s="67"/>
      <c r="F195" s="99" t="str">
        <f>IF(F151="","",F151)</f>
        <v/>
      </c>
      <c r="J195" s="68"/>
      <c r="M195" s="57">
        <f>SUM(M190:M194)</f>
        <v>0</v>
      </c>
      <c r="N195" s="57">
        <f t="shared" ref="N195:P195" si="21">SUM(N190:N194)</f>
        <v>0</v>
      </c>
      <c r="O195" s="57">
        <f t="shared" si="21"/>
        <v>0</v>
      </c>
      <c r="P195" s="57">
        <f t="shared" si="21"/>
        <v>0</v>
      </c>
    </row>
    <row r="196" spans="1:16" s="52" customFormat="1" ht="13.5" customHeight="1" x14ac:dyDescent="0.2">
      <c r="A196" s="60" t="s">
        <v>155</v>
      </c>
    </row>
    <row r="197" spans="1:16" ht="14.25" customHeight="1" x14ac:dyDescent="0.2">
      <c r="A197" s="1147"/>
      <c r="B197" s="1149" t="s">
        <v>9</v>
      </c>
      <c r="C197" s="1150"/>
      <c r="D197" s="1150"/>
      <c r="E197" s="1150"/>
      <c r="F197" s="1150"/>
      <c r="G197" s="1151"/>
      <c r="H197" s="1152" t="s">
        <v>119</v>
      </c>
      <c r="I197" s="1153"/>
      <c r="J197" s="1153"/>
      <c r="K197" s="1153"/>
      <c r="L197" s="1153"/>
      <c r="M197" s="1153"/>
      <c r="N197" s="1153"/>
      <c r="O197" s="33"/>
      <c r="P197" s="1154" t="s">
        <v>0</v>
      </c>
    </row>
    <row r="198" spans="1:16" ht="14.25" customHeight="1" x14ac:dyDescent="0.2">
      <c r="A198" s="1148"/>
      <c r="B198" s="1157" t="s">
        <v>117</v>
      </c>
      <c r="C198" s="144" t="s">
        <v>115</v>
      </c>
      <c r="D198" s="1159" t="s">
        <v>277</v>
      </c>
      <c r="E198" s="1161" t="s">
        <v>147</v>
      </c>
      <c r="F198" s="149" t="s">
        <v>7</v>
      </c>
      <c r="G198" s="1162" t="s">
        <v>6</v>
      </c>
      <c r="H198" s="1161" t="s">
        <v>129</v>
      </c>
      <c r="I198" s="1161" t="s">
        <v>5</v>
      </c>
      <c r="J198" s="1161" t="s">
        <v>4</v>
      </c>
      <c r="K198" s="1161" t="s">
        <v>3</v>
      </c>
      <c r="L198" s="1161" t="s">
        <v>121</v>
      </c>
      <c r="M198" s="1161" t="s">
        <v>122</v>
      </c>
      <c r="N198" s="1161" t="s">
        <v>123</v>
      </c>
      <c r="O198" s="1160" t="s">
        <v>114</v>
      </c>
      <c r="P198" s="1155"/>
    </row>
    <row r="199" spans="1:16" ht="14.25" customHeight="1" x14ac:dyDescent="0.2">
      <c r="A199" s="1148"/>
      <c r="B199" s="1157"/>
      <c r="C199" s="21" t="str">
        <f>IF(C195="","",C195)</f>
        <v/>
      </c>
      <c r="D199" s="1160"/>
      <c r="E199" s="1161"/>
      <c r="F199" s="1165" t="str">
        <f>IF(H190=0,"","siehe Zuschläge / Zulagen")</f>
        <v/>
      </c>
      <c r="G199" s="1162"/>
      <c r="H199" s="1164" t="s">
        <v>127</v>
      </c>
      <c r="I199" s="1164"/>
      <c r="J199" s="1164"/>
      <c r="K199" s="1164"/>
      <c r="L199" s="1164"/>
      <c r="M199" s="1164"/>
      <c r="N199" s="1164"/>
      <c r="O199" s="1160"/>
      <c r="P199" s="1155"/>
    </row>
    <row r="200" spans="1:16" x14ac:dyDescent="0.2">
      <c r="A200" s="1148"/>
      <c r="B200" s="1157"/>
      <c r="C200" s="142" t="s">
        <v>70</v>
      </c>
      <c r="D200" s="1160"/>
      <c r="E200" s="1161"/>
      <c r="F200" s="1165"/>
      <c r="G200" s="1162"/>
      <c r="H200" s="43" t="s">
        <v>128</v>
      </c>
      <c r="I200" s="43" t="s">
        <v>255</v>
      </c>
      <c r="J200" s="43" t="s">
        <v>256</v>
      </c>
      <c r="K200" s="43" t="s">
        <v>257</v>
      </c>
      <c r="L200" s="43"/>
      <c r="M200" s="43"/>
      <c r="N200" s="43" t="s">
        <v>254</v>
      </c>
      <c r="O200" s="1160"/>
      <c r="P200" s="1155"/>
    </row>
    <row r="201" spans="1:16" x14ac:dyDescent="0.2">
      <c r="A201" s="1148"/>
      <c r="B201" s="1158"/>
      <c r="C201" s="21" t="str">
        <f>IF(F195="","",F195)</f>
        <v/>
      </c>
      <c r="D201" s="51"/>
      <c r="E201" s="51"/>
      <c r="F201" s="1166"/>
      <c r="G201" s="1163"/>
      <c r="H201" s="93"/>
      <c r="I201" s="139">
        <f>$I$25</f>
        <v>0</v>
      </c>
      <c r="J201" s="139">
        <f>$J$25</f>
        <v>0</v>
      </c>
      <c r="K201" s="44">
        <f>$K$25</f>
        <v>0</v>
      </c>
      <c r="L201" s="21"/>
      <c r="M201" s="21"/>
      <c r="N201" s="139">
        <f>$N$25</f>
        <v>0</v>
      </c>
      <c r="O201" s="21">
        <f>O157</f>
        <v>0</v>
      </c>
      <c r="P201" s="1156"/>
    </row>
    <row r="202" spans="1:16" x14ac:dyDescent="0.2">
      <c r="A202" s="100" t="str">
        <f>$A$26</f>
        <v>Jan 2022</v>
      </c>
      <c r="B202" s="24">
        <f>ROUND(IF(N182=0,0,(LOOKUP(2,1/(A190:A193=A202),G190:G193))*N182*4.348),2)</f>
        <v>0</v>
      </c>
      <c r="C202" s="23">
        <f>ROUND(IFERROR(((LOOKUP(2,1/(B195=A202),((SUM(B208:B210)+SUM(F208:F210))/3)*C195))),0)+IFERROR(((LOOKUP(2,1/(E195=A202),(B214+F214)*F195))),0),2)</f>
        <v>0</v>
      </c>
      <c r="D202" s="23">
        <f>ROUND(IF(B202=0,0,D201/L183*N182),2)</f>
        <v>0</v>
      </c>
      <c r="E202" s="23">
        <f>ROUND(IF(B202=0,0,E201/N179*N182),2)</f>
        <v>0</v>
      </c>
      <c r="F202" s="24">
        <f>ROUND(IF(N182=0,0,(LOOKUP(2,1/(A190:A193=A202),H190:H193))/N179*N182),2)</f>
        <v>0</v>
      </c>
      <c r="G202" s="27">
        <f>SUM(B202+C202+E202+F202)</f>
        <v>0</v>
      </c>
      <c r="H202" s="76">
        <f>ROUND(IF((SUM(B202:F202))&gt;L217,L217*H201,SUM(B202:F202)*H201),2)</f>
        <v>0</v>
      </c>
      <c r="I202" s="76">
        <f>ROUND(IF((SUM(B202:F202))&gt;L218,L218*I201,SUM(B202:F202)*I201),2)</f>
        <v>0</v>
      </c>
      <c r="J202" s="76">
        <f>ROUND(IF((SUM(B202:F202))&gt;L218,L218*J201,SUM(B202:F202)*J201),2)</f>
        <v>0</v>
      </c>
      <c r="K202" s="76">
        <f>ROUND(IF((SUM(B202:F202))&gt;L217,L217*K201,SUM(B202:F202)*K201),2)</f>
        <v>0</v>
      </c>
      <c r="L202" s="76">
        <f>ROUND(IF((SUM(B202:F202))&gt;L218,L218*L201,(SUM(B202:F202)-C202)*L201),2)</f>
        <v>0</v>
      </c>
      <c r="M202" s="76">
        <f>ROUND(IF((SUM(B202:F202))&gt;L218,L218*M201,(SUM(B202:F202)-C202)*M201),2)</f>
        <v>0</v>
      </c>
      <c r="N202" s="76">
        <f>ROUND(IF((SUM(B202:F202))&gt;L218,L218*N201,SUM(B202:F202)*N201),2)</f>
        <v>0</v>
      </c>
      <c r="O202" s="23">
        <f>ROUND(SUM(B202+C202+F202)*O201,2)</f>
        <v>0</v>
      </c>
      <c r="P202" s="27">
        <f>SUM(G202:O202)</f>
        <v>0</v>
      </c>
    </row>
    <row r="203" spans="1:16" x14ac:dyDescent="0.2">
      <c r="A203" s="100" t="str">
        <f>$A$27</f>
        <v>Feb 2022</v>
      </c>
      <c r="B203" s="24">
        <f>ROUND(IF(N183=0,0,IFERROR(((LOOKUP(2,1/(A190:A193=A203),G190:G193))*N183*4.348),B202/N183*N183)),2)</f>
        <v>0</v>
      </c>
      <c r="C203" s="23">
        <f>ROUND(IFERROR(((LOOKUP(2,1/(B195=A203),((SUM(B208:B210)+SUM(F208:F210))/3)*C195))),0)+IFERROR(((LOOKUP(2,1/(E195=A203),(B214+F214)*F195))),0),2)</f>
        <v>0</v>
      </c>
      <c r="D203" s="23">
        <f>ROUND(IF(B203=0,0,D201/L183*N183),2)</f>
        <v>0</v>
      </c>
      <c r="E203" s="23">
        <f>ROUND(IF(B203=0,0,E201/N179*N183),2)</f>
        <v>0</v>
      </c>
      <c r="F203" s="24">
        <f>ROUND(IF(N183=0,0,IFERROR(((LOOKUP(2,1/(A190:A193=A203),H190:H193))/N179*N183),F202/N183*N183)),2)</f>
        <v>0</v>
      </c>
      <c r="G203" s="27">
        <f t="shared" ref="G203:G213" si="22">SUM(B203+C203+E203+F203)</f>
        <v>0</v>
      </c>
      <c r="H203" s="76">
        <f>ROUND(IF(SUM(B202:F202)&lt;(L217*1),IF((SUM(B202:F203))&gt;(L217*2),(((L217*2)-(SUM(B202:F203)-C202))*H201)+((SUM(B203:F203)-C202)*H201),SUM(B203:F203)*H201),IF(SUM(B202:F203)&gt;(L217*2),L217*H201,SUM(B203:F203)*H201)),2)</f>
        <v>0</v>
      </c>
      <c r="I203" s="76">
        <f>ROUND(IF(SUM(B202:F202)&lt;(L218*1),IF((SUM(B202:F203))&gt;(L218*2),(((L218*2)-(SUM(B202:F203)-C202))*I201)+((SUM(B203:F203)-C202)*I201),SUM(B203:F203)*I201),IF(SUM(B202:F203)&gt;(L218*2),L218*I201,SUM(B203:F203)*I201)),2)</f>
        <v>0</v>
      </c>
      <c r="J203" s="76">
        <f>ROUND(IF(SUM(B202:F202)&lt;(L218*1),IF((SUM(B202:F203))&gt;(L218*2),(((L218*2)-(SUM(B202:F203)-C202))*J201)+((SUM(B203:F203)-C202)*J201),SUM(B203:F203)*J201),IF(SUM(B202:F203)&gt;(L218*2),L218*J201,SUM(B203:F203)*J201)),2)</f>
        <v>0</v>
      </c>
      <c r="K203" s="76">
        <f>ROUND(IF(SUM(B202:F202)&lt;(L217*1),IF((SUM(B202:F203))&gt;(L217*2),(((L217*2)-(SUM(B202:F203)-C202))*K201)+((SUM(B203:F203)-C202)*K201),SUM(B203:F203)*K201),IF(SUM(B202:F203)&gt;(L217*2),L217*K201,SUM(B203:F203)*K201)),2)</f>
        <v>0</v>
      </c>
      <c r="L203" s="76">
        <f>ROUND(IF(SUM(B202:F202)&lt;(L218*1),IF((SUM(B202:F203))&gt;(L218*2),(((L218*2)-(SUM(B202:F203)-C203))*L201)+((SUM(B203:F203)-C203)*L201),(SUM(B203:F203)-C203)*L201),IF(SUM(B202:F203)&gt;(L218*2),L218*L201,SUM(B203:F203)*L201)),2)</f>
        <v>0</v>
      </c>
      <c r="M203" s="76">
        <f>ROUND(IF(SUM(B202:F202)&lt;(L218*1),IF((SUM(B202:F203))&gt;(L218*2),(((L218*2)-(SUM(B202:F203)-C203))*M201)+((SUM(B203:F203)-C203)*M201),(SUM(B203:F203)-C203)*M201),IF(SUM(B202:F203)&gt;(L218*2),L218*M201,SUM(B203:F203)*M201)),2)</f>
        <v>0</v>
      </c>
      <c r="N203" s="76">
        <f>ROUND(IF(SUM(B202:F202)&lt;(L218*1),IF((SUM(B202:F203))&gt;(L218*2),(((L218*2)-(SUM(B202:F203)-C202))*N201)+((SUM(B203:F203)-C202)*N201),SUM(B203:F203)*N201),IF(SUM(B202:F203)&gt;(L218*2),L218*N201,SUM(B203:F203)*N201)),2)</f>
        <v>0</v>
      </c>
      <c r="O203" s="23">
        <f>ROUND(SUM(B203+C203+F203)*O201,2)</f>
        <v>0</v>
      </c>
      <c r="P203" s="27">
        <f>SUM(G203:O203)</f>
        <v>0</v>
      </c>
    </row>
    <row r="204" spans="1:16" x14ac:dyDescent="0.2">
      <c r="A204" s="100" t="str">
        <f>$A$28</f>
        <v>Mrz 2022</v>
      </c>
      <c r="B204" s="24">
        <f>ROUND(IF(N184=0,0,IFERROR(((LOOKUP(2,1/(A190:A193=A204),G190:G193))*N184*4.348),B203/N184*N184)),2)</f>
        <v>0</v>
      </c>
      <c r="C204" s="23">
        <f>ROUND(IFERROR(((LOOKUP(2,1/(B195=A204),((SUM(B208:B210)+SUM(F208:F210))/3)*C195))),0)+IFERROR(((LOOKUP(2,1/(E195=A204),(B214+F214)*F195))),0),2)</f>
        <v>0</v>
      </c>
      <c r="D204" s="23">
        <f>ROUND(IF(B204=0,0,D201/L183*N184),2)</f>
        <v>0</v>
      </c>
      <c r="E204" s="23">
        <f>ROUND(IF(B204=0,0,E201/N179*N184),2)</f>
        <v>0</v>
      </c>
      <c r="F204" s="24">
        <f>ROUND(IF(N184=0,0,IFERROR(((LOOKUP(2,1/(A190:A193=A204),H190:H193))/N179*N184),F203/N184*N184)),2)</f>
        <v>0</v>
      </c>
      <c r="G204" s="27">
        <f t="shared" si="22"/>
        <v>0</v>
      </c>
      <c r="H204" s="76">
        <f>ROUND(IF(SUM(B202:F203)&lt;(L217*2),IF((SUM(B202:F204))&gt;(L217*3),(((L217*3)-(SUM(B202:F204)-C203))*H201)+((SUM(B204:F204)-C203)*H201),SUM(B204:F204)*H201),IF(SUM(B202:F204)&gt;(L217*3),L217*H201,SUM(B204:F204)*H201)),2)</f>
        <v>0</v>
      </c>
      <c r="I204" s="76">
        <f>ROUND(IF(SUM(B202:F203)&lt;(L218*2),IF((SUM(B202:F204))&gt;(L218*3),(((L218*3)-(SUM(B202:F204)-C203))*I201)+((SUM(B204:F204)-C203)*I201),SUM(B204:F204)*I201),IF(SUM(B202:F204)&gt;(L218*3),L218*I201,SUM(B204:F204)*I201)),2)</f>
        <v>0</v>
      </c>
      <c r="J204" s="76">
        <f>ROUND(IF(SUM(B202:F203)&lt;(L218*2),IF((SUM(B202:F204))&gt;(L218*3),(((L218*3)-(SUM(B202:F204)-C203))*J201)+((SUM(B204:F204)-C203)*J201),SUM(B204:F204)*J201),IF(SUM(B202:F204)&gt;(L218*3),L218*J201,SUM(B204:F204)*J201)),2)</f>
        <v>0</v>
      </c>
      <c r="K204" s="76">
        <f>ROUND(IF(SUM(B202:F203)&lt;(L217*2),IF((SUM(B202:F204))&gt;(L217*3),(((L217*3)-(SUM(B202:F204)-C203))*K201)+((SUM(B204:F204)-C203)*K201),SUM(B204:F204)*K201),IF(SUM(B202:F204)&gt;(L217*3),L217*K201,SUM(B204:F204)*K201)),2)</f>
        <v>0</v>
      </c>
      <c r="L204" s="76">
        <f>ROUND(IF(SUM(B202:F203)&lt;(L218*2),IF((SUM(B202:F204))&gt;(L218*3),(((L218*3)-(SUM(B202:F204)-C204))*L201)+((SUM(B204:F204)-C204)*L201),(SUM(B204:F204)-C204)*L201),IF(SUM(B202:F204)&gt;(L218*3),L218*L201,SUM(B204:F204)*L201)),2)</f>
        <v>0</v>
      </c>
      <c r="M204" s="76">
        <f>ROUND(IF(SUM(B202:F203)&lt;(L218*2),IF((SUM(B202:F204))&gt;(L218*3),(((L218*3)-(SUM(B202:F204)-C204))*M201)+((SUM(B204:F204)-C204)*M201),(SUM(B204:F204)-C204)*M201),IF(SUM(B202:F204)&gt;(L218*3),L218*M201,SUM(B204:F204)*M201)),2)</f>
        <v>0</v>
      </c>
      <c r="N204" s="76">
        <f>ROUND(IF(SUM(B202:F203)&lt;(L218*2),IF((SUM(B202:F204))&gt;(L218*3),(((L218*3)-(SUM(B202:F204)-C203))*N201)+((SUM(B204:F204)-C203)*N201),SUM(B204:F204)*N201),IF(SUM(B202:F204)&gt;(L218*3),L218*N201,SUM(B204:F204)*N201)),2)</f>
        <v>0</v>
      </c>
      <c r="O204" s="23">
        <f>ROUND(SUM(B204+C204+F204)*O201,2)</f>
        <v>0</v>
      </c>
      <c r="P204" s="27">
        <f t="shared" ref="P204:P213" si="23">SUM(G204:O204)</f>
        <v>0</v>
      </c>
    </row>
    <row r="205" spans="1:16" x14ac:dyDescent="0.2">
      <c r="A205" s="100" t="str">
        <f>$A$29</f>
        <v>Apr 2022</v>
      </c>
      <c r="B205" s="24">
        <f>ROUND(IF(N185=0,0,IFERROR(((LOOKUP(2,1/(A190:A193=A205),G190:G193))*N185*4.348),B204/N185*N185)),2)</f>
        <v>0</v>
      </c>
      <c r="C205" s="23">
        <f>ROUND(IFERROR(((LOOKUP(2,1/(B195=A205),((SUM(B208:B210)+SUM(F208:F210))/3)*C195))),0)+IFERROR(((LOOKUP(2,1/(E195=A205),(B214+F214)*F195))),0),2)</f>
        <v>0</v>
      </c>
      <c r="D205" s="23">
        <f>ROUND(IF(B205=0,0,D201/L183*N185),2)</f>
        <v>0</v>
      </c>
      <c r="E205" s="23">
        <f>ROUND(IF(B205=0,0,E201/N179*N185),2)</f>
        <v>0</v>
      </c>
      <c r="F205" s="24">
        <f>ROUND(IF(N185=0,0,IFERROR(((LOOKUP(2,1/(A190:A193=A205),H190:H193))/N179*N185),F204/N185*N185)),2)</f>
        <v>0</v>
      </c>
      <c r="G205" s="27">
        <f t="shared" si="22"/>
        <v>0</v>
      </c>
      <c r="H205" s="76">
        <f>ROUND(IF(SUM(B202:F204)&lt;(L217*3),IF((SUM(B202:F205))&gt;(L217*4),(((L217*4)-(SUM(B202:F205)-C204))*H201)+((SUM(B205:F205)-C204)*H201),SUM(B205:F205)*H201),IF(SUM(B202:F205)&gt;(L217*4),L217*H201,SUM(B205:F205)*H201)),2)</f>
        <v>0</v>
      </c>
      <c r="I205" s="76">
        <f>ROUND(IF(SUM(B202:F204)&lt;(L218*3),IF((SUM(B202:F205))&gt;(L218*4),(((L218*4)-(SUM(B202:F205)-C204))*I201)+((SUM(B205:F205)-C204)*I201),SUM(B205:F205)*I201),IF(SUM(B202:F205)&gt;(L218*4),L218*I201,SUM(B205:F205)*I201)),2)</f>
        <v>0</v>
      </c>
      <c r="J205" s="76">
        <f>ROUND(IF(SUM(B202:F204)&lt;(L218*3),IF((SUM(B202:F205))&gt;(L218*4),(((L218*4)-(SUM(B202:F205)-C204))*J201)+((SUM(B205:F205)-C204)*J201),SUM(B205:F205)*J201),IF(SUM(B202:F205)&gt;(L218*4),L218*J201,SUM(B205:F205)*J201)),2)</f>
        <v>0</v>
      </c>
      <c r="K205" s="76">
        <f>ROUND(IF(SUM(B202:F204)&lt;(L217*3),IF((SUM(B202:F205))&gt;(L217*4),(((L217*4)-(SUM(B202:F205)-C204))*K201)+((SUM(B205:F205)-C204)*K201),SUM(B205:F205)*K201),IF(SUM(B202:F205)&gt;(L217*4),L217*K201,SUM(B205:F205)*K201)),2)</f>
        <v>0</v>
      </c>
      <c r="L205" s="76">
        <f>ROUND(IF(SUM(B202:F204)&lt;(L218*3),IF((SUM(B202:F205))&gt;(L218*4),(((L218*4)-(SUM(B202:F205)-C205))*L201)+((SUM(B205:F205)-C205)*L201),(SUM(B205:F205)-C205)*L201),IF(SUM(B202:F205)&gt;(L218*4),L218*L201,SUM(B205:F205)*L201)),2)</f>
        <v>0</v>
      </c>
      <c r="M205" s="76">
        <f>ROUND(IF(SUM(B202:F204)&lt;(L218*3),IF((SUM(B202:F205))&gt;(L218*4),(((L218*4)-(SUM(B202:F205)-C205))*M201)+((SUM(B205:F205)-C205)*M201),(SUM(B205:F205)-C205)*M201),IF(SUM(B202:F205)&gt;(L218*4),L218*M201,SUM(B205:F205)*M201)),2)</f>
        <v>0</v>
      </c>
      <c r="N205" s="76">
        <f>ROUND(IF(SUM(B202:F204)&lt;(L218*3),IF((SUM(B202:F205))&gt;(L218*4),(((L218*4)-(SUM(B202:F205)-C204))*N201)+((SUM(B205:F205)-C204)*N201),SUM(B205:F205)*N201),IF(SUM(B202:F205)&gt;(L218*4),L218*N201,SUM(B205:F205)*N201)),2)</f>
        <v>0</v>
      </c>
      <c r="O205" s="23">
        <f>ROUND(SUM(B205+C205+F205)*O201,2)</f>
        <v>0</v>
      </c>
      <c r="P205" s="27">
        <f t="shared" si="23"/>
        <v>0</v>
      </c>
    </row>
    <row r="206" spans="1:16" x14ac:dyDescent="0.2">
      <c r="A206" s="100" t="str">
        <f>$A$30</f>
        <v>Mai 2022</v>
      </c>
      <c r="B206" s="24">
        <f>ROUND(IF(N186=0,0,IFERROR(((LOOKUP(2,1/(A190:A193=A206),G190:G193))*N186*4.348),B205/N186*N186)),2)</f>
        <v>0</v>
      </c>
      <c r="C206" s="23">
        <f>ROUND(IFERROR(((LOOKUP(2,1/(B195=A206),((SUM(B208:B210)+SUM(F208:F210))/3)*C195))),0)+IFERROR(((LOOKUP(2,1/(E195=A206),(B214+F214)*F195))),0),2)</f>
        <v>0</v>
      </c>
      <c r="D206" s="23">
        <f>ROUND(IF(B206=0,0,D201/L183*N186),2)</f>
        <v>0</v>
      </c>
      <c r="E206" s="23">
        <f>ROUND(IF(B206=0,0,E201/N179*N186),2)</f>
        <v>0</v>
      </c>
      <c r="F206" s="24">
        <f>ROUND(IF(N186=0,0,IFERROR(((LOOKUP(2,1/(A190:A193=A206),H190:H193))/N179*N186),F205/N186*N186)),2)</f>
        <v>0</v>
      </c>
      <c r="G206" s="27">
        <f t="shared" si="22"/>
        <v>0</v>
      </c>
      <c r="H206" s="76">
        <f>ROUND(IF(SUM(B202:F205)&lt;(L217*4),IF((SUM(B202:F206))&gt;(L217*5),(((L217*5)-(SUM(B202:F206)-C205))*H201)+((SUM(B206:F206)-C205)*H201),SUM(B206:F206)*H201),IF(SUM(B202:F206)&gt;(L217*5),L217*H201,SUM(B206:F206)*H201)),2)</f>
        <v>0</v>
      </c>
      <c r="I206" s="76">
        <f>ROUND(IF(SUM(B202:F205)&lt;(L218*4),IF((SUM(B202:F206))&gt;(L218*5),(((L218*5)-(SUM(B202:F206)-C205))*I201)+((SUM(B206:F206)-C205)*I201),SUM(B206:F206)*I201),IF(SUM(B202:F206)&gt;(L218*5),L218*I201,SUM(B206:F206)*I201)),2)</f>
        <v>0</v>
      </c>
      <c r="J206" s="76">
        <f>ROUND(IF(SUM(B202:F205)&lt;(L218*4),IF((SUM(B202:F206))&gt;(L218*5),(((L218*5)-(SUM(B202:F206)-C205))*J201)+((SUM(B206:F206)-C205)*J201),SUM(B206:F206)*J201),IF(SUM(B202:F206)&gt;(L218*5),L218*J201,SUM(B206:F206)*J201)),2)</f>
        <v>0</v>
      </c>
      <c r="K206" s="76">
        <f>ROUND(IF(SUM(B202:F205)&lt;(L217*4),IF((SUM(B202:F206))&gt;(L217*5),(((L217*5)-(SUM(B202:F206)-C205))*K201)+((SUM(B206:F206)-C205)*K201),SUM(B206:F206)*K201),IF(SUM(B202:F206)&gt;(L217*5),L217*K201,SUM(B206:F206)*K201)),2)</f>
        <v>0</v>
      </c>
      <c r="L206" s="76">
        <f>ROUND(IF(SUM(B202:F205)&lt;(L218*4),IF((SUM(B202:F206))&gt;(L218*5),(((L218*5)-(SUM(B202:F206)-C206))*L201)+((SUM(B206:F206)-C206)*L201),(SUM(B206:F206)-C206)*L201),IF(SUM(B202:F206)&gt;(L218*5),L218*L201,SUM(B206:F206)*L201)),2)</f>
        <v>0</v>
      </c>
      <c r="M206" s="76">
        <f>ROUND(IF(SUM(B202:F205)&lt;(L218*4),IF((SUM(B202:F206))&gt;(L218*5),(((L218*5)-(SUM(B202:F206)-C206))*M201)+((SUM(B206:F206)-C206)*M201),(SUM(B206:F206)-C206)*M201),IF(SUM(B202:F206)&gt;(L218*5),L218*M201,SUM(B206:F206)*M201)),2)</f>
        <v>0</v>
      </c>
      <c r="N206" s="76">
        <f>ROUND(IF(SUM(B202:F205)&lt;(L218*4),IF((SUM(B202:F206))&gt;(L218*5),(((L218*5)-(SUM(B202:F206)-C205))*N201)+((SUM(B206:F206)-C205)*N201),SUM(B206:F206)*N201),IF(SUM(B202:F206)&gt;(L218*5),L218*N201,SUM(B206:F206)*N201)),2)</f>
        <v>0</v>
      </c>
      <c r="O206" s="23">
        <f>ROUND(SUM(B206+C206+F206)*O201,2)</f>
        <v>0</v>
      </c>
      <c r="P206" s="27">
        <f t="shared" si="23"/>
        <v>0</v>
      </c>
    </row>
    <row r="207" spans="1:16" x14ac:dyDescent="0.2">
      <c r="A207" s="100" t="str">
        <f>$A$31</f>
        <v>Jun 2022</v>
      </c>
      <c r="B207" s="24">
        <f>ROUND(IF(N187=0,0,IFERROR(((LOOKUP(2,1/(A190:A193=A207),G190:G193))*N187*4.348),B206/N187*N187)),2)</f>
        <v>0</v>
      </c>
      <c r="C207" s="23">
        <f>ROUND(IFERROR(((LOOKUP(2,1/(B195=A207),((SUM(B208:B210)+SUM(F208:F210))/3)*C195))),0)+IFERROR(((LOOKUP(2,1/(E195=A207),(B214+F214)*F195))),0),2)</f>
        <v>0</v>
      </c>
      <c r="D207" s="23">
        <f>ROUND(IF(B207=0,0,D201/L183*N187),2)</f>
        <v>0</v>
      </c>
      <c r="E207" s="23">
        <f>ROUND(IF(B207=0,0,E201/N179*N187),2)</f>
        <v>0</v>
      </c>
      <c r="F207" s="24">
        <f>ROUND(IF(N187=0,0,IFERROR(((LOOKUP(2,1/(A190:A193=A207),H190:H193))/N179*N187),F206/N187*N187)),2)</f>
        <v>0</v>
      </c>
      <c r="G207" s="27">
        <f t="shared" si="22"/>
        <v>0</v>
      </c>
      <c r="H207" s="76">
        <f>ROUND(IF(SUM(B202:F206)&lt;(L217*5),IF((SUM(B202:F207))&gt;(L217*6),(((L217*6)-(SUM(B202:F207)-C206))*H201)+((SUM(B207:F207)-C206)*H201),SUM(B207:F207)*H201),IF(SUM(B202:F207)&gt;(L217*6),L217*H201,SUM(B207:F207)*H201)),2)</f>
        <v>0</v>
      </c>
      <c r="I207" s="76">
        <f>ROUND(IF(SUM(B202:F206)&lt;(L218*5),IF((SUM(B202:F207))&gt;(L218*6),(((L218*6)-(SUM(B202:F207)-C206))*I201)+((SUM(B207:F207)-C206)*I201),SUM(B207:F207)*I201),IF(SUM(B202:F207)&gt;(L218*6),L218*I201,SUM(B207:F207)*I201)),2)</f>
        <v>0</v>
      </c>
      <c r="J207" s="76">
        <f>ROUND(IF(SUM(B202:F206)&lt;(L218*5),IF((SUM(B202:F207))&gt;(L218*6),(((L218*6)-(SUM(B202:F207)-C206))*J201)+((SUM(B207:F207)-C206)*J201),SUM(B207:F207)*J201),IF(SUM(B202:F207)&gt;(L218*6),L218*J201,SUM(B207:F207)*J201)),2)</f>
        <v>0</v>
      </c>
      <c r="K207" s="76">
        <f>ROUND(IF(SUM(B202:F206)&lt;(L217*5),IF((SUM(B202:F207))&gt;(L217*6),(((L217*6)-(SUM(B202:F207)-C206))*K201)+((SUM(B207:F207)-C206)*K201),SUM(B207:F207)*K201),IF(SUM(B202:F207)&gt;(L217*6),L217*K201,SUM(B207:F207)*K201)),2)</f>
        <v>0</v>
      </c>
      <c r="L207" s="76">
        <f>ROUND(IF(SUM(B202:F206)&lt;(L218*5),IF((SUM(B202:F207))&gt;(L218*6),(((L218*6)-(SUM(B202:F207)-C207))*L201)+((SUM(B207:F207)-C207)*L201),(SUM(B207:F207)-C207)*L201),IF(SUM(B202:F207)&gt;(L218*6),L218*L201,SUM(B207:F207)*L201)),2)</f>
        <v>0</v>
      </c>
      <c r="M207" s="76">
        <f>ROUND(IF(SUM(B202:F206)&lt;(L218*5),IF((SUM(B202:F207))&gt;(L218*6),(((L218*6)-(SUM(B202:F207)-C207))*M201)+((SUM(B207:F207)-C207)*M201),(SUM(B207:F207)-C207)*M201),IF(SUM(B202:F207)&gt;(L218*6),L218*M201,SUM(B207:F207)*M201)),2)</f>
        <v>0</v>
      </c>
      <c r="N207" s="76">
        <f>ROUND(IF(SUM(B202:F206)&lt;(L218*5),IF((SUM(B202:F207))&gt;(L218*6),(((L218*6)-(SUM(B202:F207)-C206))*N201)+((SUM(B207:F207)-C206)*N201),SUM(B207:F207)*N201),IF(SUM(B202:F207)&gt;(L218*6),L218*N201,SUM(B207:F207)*N201)),2)</f>
        <v>0</v>
      </c>
      <c r="O207" s="23">
        <f>ROUND(SUM(B207+C207+F207)*O201,2)</f>
        <v>0</v>
      </c>
      <c r="P207" s="27">
        <f t="shared" si="23"/>
        <v>0</v>
      </c>
    </row>
    <row r="208" spans="1:16" x14ac:dyDescent="0.2">
      <c r="A208" s="100" t="str">
        <f>$A$32</f>
        <v>Jul 2022</v>
      </c>
      <c r="B208" s="24">
        <f>ROUND(IF(P182=0,0,IFERROR(((LOOKUP(2,1/(A190:A193=A208),G190:G193))*P182*4.348),B207/P182*P182)),2)</f>
        <v>0</v>
      </c>
      <c r="C208" s="23">
        <f>ROUND(IFERROR(((LOOKUP(2,1/(B195=A208),((SUM(B208:B210)+SUM(F208:F210))/3)*C195))),0)+IFERROR(((LOOKUP(2,1/(E195=A208),(B214+F214)*F195))),0),2)</f>
        <v>0</v>
      </c>
      <c r="D208" s="23">
        <f>ROUND(IF(B208=0,0,D201/L183*P182),2)</f>
        <v>0</v>
      </c>
      <c r="E208" s="23">
        <f>ROUND(IF(B208=0,0,E201/N179*P182),2)</f>
        <v>0</v>
      </c>
      <c r="F208" s="24">
        <f>ROUND(IF(P182=0,0,IFERROR(((LOOKUP(2,1/(A190:A193=A208),H190:H193))/N179*P182),F207/P182*P182)),2)</f>
        <v>0</v>
      </c>
      <c r="G208" s="27">
        <f t="shared" si="22"/>
        <v>0</v>
      </c>
      <c r="H208" s="76">
        <f>ROUND(IF(SUM(B202:F207)&lt;(L217*6),IF((SUM(B202:F208))&gt;(L217*7),(((L217*7)-(SUM(B202:F208)-C207))*H201)+((SUM(B208:F208)-C207)*H201),SUM(B208:F208)*H201),IF(SUM(B202:F208)&gt;(L217*7),L217*H201,SUM(B208:F208)*H201)),2)</f>
        <v>0</v>
      </c>
      <c r="I208" s="76">
        <f>ROUND(IF(SUM(B202:F207)&lt;(L218*6),IF((SUM(B202:F208))&gt;(L218*7),(((L218*7)-(SUM(B202:F208)-C207))*I201)+((SUM(B208:F208)-C207)*I201),SUM(B208:F208)*I201),IF(SUM(B202:F208)&gt;(L218*7),L218*I201,SUM(B208:F208)*I201)),2)</f>
        <v>0</v>
      </c>
      <c r="J208" s="76">
        <f>ROUND(IF(SUM(B202:F207)&lt;(L218*6),IF((SUM(B202:F208))&gt;(L218*7),(((L218*7)-(SUM(B202:F208)-C207))*J201)+((SUM(B208:F208)-C207)*J201),SUM(B208:F208)*J201),IF(SUM(B202:F208)&gt;(L218*7),L218*J201,SUM(B208:F208)*J201)),2)</f>
        <v>0</v>
      </c>
      <c r="K208" s="76">
        <f>ROUND(IF(SUM(B202:F207)&lt;(L217*6),IF((SUM(B202:F208))&gt;(L217*7),(((L217*7)-(SUM(B202:F208)-C207))*K201)+((SUM(B208:F208)-C207)*K201),SUM(B208:F208)*K201),IF(SUM(B202:F208)&gt;(L217*7),L217*K201,SUM(B208:F208)*K201)),2)</f>
        <v>0</v>
      </c>
      <c r="L208" s="76">
        <f>ROUND(IF(SUM(B202:F207)&lt;(L218*6),IF((SUM(B202:F208))&gt;(L218*7),(((L218*7)-(SUM(B202:F208)-C208))*L201)+((SUM(B208:F208)-C208)*L201),(SUM(B208:F208)-C208)*L201),IF(SUM(B202:F208)&gt;(L218*7),L218*L201,SUM(B208:F208)*L201)),2)</f>
        <v>0</v>
      </c>
      <c r="M208" s="76">
        <f>ROUND(IF(SUM(B202:F207)&lt;(L218*6),IF((SUM(B202:F208))&gt;(L218*7),(((L218*7)-(SUM(B202:F208)-C208))*M201)+((SUM(B208:F208)-C208)*M201),(SUM(B208:F208)-C208)*M201),IF(SUM(B202:F208)&gt;(L218*7),L218*M201,SUM(B208:F208)*M201)),2)</f>
        <v>0</v>
      </c>
      <c r="N208" s="76">
        <f>ROUND(IF(SUM(B202:F207)&lt;(L218*6),IF((SUM(B202:F208))&gt;(L218*7),(((L218*7)-(SUM(B202:F208)-C207))*N201)+((SUM(B208:F208)-C207)*N201),SUM(B208:F208)*N201),IF(SUM(B202:F208)&gt;(L218*7),L218*N201,SUM(B208:F208)*N201)),2)</f>
        <v>0</v>
      </c>
      <c r="O208" s="23">
        <f>ROUND(SUM(B208+C208+F208)*O201,2)</f>
        <v>0</v>
      </c>
      <c r="P208" s="27">
        <f t="shared" si="23"/>
        <v>0</v>
      </c>
    </row>
    <row r="209" spans="1:16" x14ac:dyDescent="0.2">
      <c r="A209" s="100" t="str">
        <f>$A$33</f>
        <v>Aug 2022</v>
      </c>
      <c r="B209" s="24">
        <f>ROUND(IF(P183=0,0,IFERROR(((LOOKUP(2,1/(A190:A193=A209),G190:G193))*P183*4.348),B208/P183*P183)),2)</f>
        <v>0</v>
      </c>
      <c r="C209" s="23">
        <f>ROUND(IFERROR(((LOOKUP(2,1/(B195=A209),((SUM(B208:B210)+SUM(F208:F210))/3)*C195))),0)+IFERROR(((LOOKUP(2,1/(E195=A209),(B214+F214)*F195))),0),2)</f>
        <v>0</v>
      </c>
      <c r="D209" s="23">
        <f>ROUND(IF(B209=0,0,D201/L183*P183),2)</f>
        <v>0</v>
      </c>
      <c r="E209" s="23">
        <f>ROUND(IF(B209=0,0,E201/N179*P183),2)</f>
        <v>0</v>
      </c>
      <c r="F209" s="24">
        <f>ROUND(IF(P183=0,0,IFERROR(((LOOKUP(2,1/(A190:A193=A209),H190:H193))/N179*P183),F208/P183*P183)),2)</f>
        <v>0</v>
      </c>
      <c r="G209" s="27">
        <f t="shared" si="22"/>
        <v>0</v>
      </c>
      <c r="H209" s="76">
        <f>ROUND(IF(SUM(B202:F208)&lt;(L217*7),IF((SUM(B202:F209))&gt;(L217*8),(((L217*8)-(SUM(B202:F209)-C208))*H201)+((SUM(B209:F209)-C208)*H201),SUM(B209:F209)*H201),IF(SUM(B202:F209)&gt;(L217*8),L217*H201,SUM(B209:F209)*H201)),2)</f>
        <v>0</v>
      </c>
      <c r="I209" s="76">
        <f>ROUND(IF(SUM(B202:F208)&lt;(L218*7),IF((SUM(B202:F209))&gt;(L218*8),(((L218*8)-(SUM(B202:F209)-C208))*I201)+((SUM(B209:F209)-C208)*I201),SUM(B209:F209)*I201),IF(SUM(B202:F209)&gt;(L218*8),L218*I201,SUM(B209:F209)*I201)),2)</f>
        <v>0</v>
      </c>
      <c r="J209" s="76">
        <f>ROUND(IF(SUM(B202:F208)&lt;(L218*7),IF((SUM(B202:F209))&gt;(L218*8),(((L218*8)-(SUM(B202:F209)-C208))*J201)+((SUM(B209:F209)-C208)*J201),SUM(B209:F209)*J201),IF(SUM(B202:F209)&gt;(L218*8),L218*J201,SUM(B209:F209)*J201)),2)</f>
        <v>0</v>
      </c>
      <c r="K209" s="76">
        <f>ROUND(IF(SUM(B202:F208)&lt;(L217*7),IF((SUM(B202:F209))&gt;(L217*8),(((L217*8)-(SUM(B202:F209)-C208))*K201)+((SUM(B209:F209)-C208)*K201),SUM(B209:F209)*K201),IF(SUM(B202:F209)&gt;(L217*8),L217*K201,SUM(B209:F209)*K201)),2)</f>
        <v>0</v>
      </c>
      <c r="L209" s="76">
        <f>ROUND(IF(SUM(B202:F208)&lt;(L218*7),IF((SUM(B202:F209))&gt;(L218*8),(((L218*8)-(SUM(B202:F209)-C209))*L201)+((SUM(B209:F209)-C209)*L201),(SUM(B209:F209)-C209)*L201),IF(SUM(B202:F209)&gt;(L218*8),L218*L201,SUM(B209:F209)*L201)),2)</f>
        <v>0</v>
      </c>
      <c r="M209" s="76">
        <f>ROUND(IF(SUM(B202:F208)&lt;(L218*7),IF((SUM(B202:F209))&gt;(L218*8),(((L218*8)-(SUM(B202:F209)-C209))*M201)+((SUM(B209:F209)-C209)*M201),(SUM(B209:F209)-C209)*M201),IF(SUM(B202:F209)&gt;(L218*8),L218*M201,SUM(B209:F209)*M201)),2)</f>
        <v>0</v>
      </c>
      <c r="N209" s="76">
        <f>ROUND(IF(SUM(B202:F208)&lt;(L218*7),IF((SUM(B202:F209))&gt;(L218*8),(((L218*8)-(SUM(B202:F209)-C208))*N201)+((SUM(B209:F209)-C208)*N201),SUM(B209:F209)*N201),IF(SUM(B202:F209)&gt;(L218*8),L218*N201,SUM(B209:F209)*N201)),2)</f>
        <v>0</v>
      </c>
      <c r="O209" s="23">
        <f>ROUND(SUM(B209+C209+F209)*O201,2)</f>
        <v>0</v>
      </c>
      <c r="P209" s="27">
        <f t="shared" si="23"/>
        <v>0</v>
      </c>
    </row>
    <row r="210" spans="1:16" x14ac:dyDescent="0.2">
      <c r="A210" s="100" t="str">
        <f>$A$34</f>
        <v>Sep 2022</v>
      </c>
      <c r="B210" s="24">
        <f>ROUND(IF(P184=0,0,IFERROR(((LOOKUP(2,1/(A190:A193=A210),G190:G193))*P184*4.348),B209/P184*P184)),2)</f>
        <v>0</v>
      </c>
      <c r="C210" s="23">
        <f>ROUND(IFERROR(((LOOKUP(2,1/(B195=A210),((SUM(B208:B210)+SUM(F208:F210))/3)*C195))),0)+IFERROR(((LOOKUP(2,1/(E195=A210),(B214+F214)*F195))),0),2)</f>
        <v>0</v>
      </c>
      <c r="D210" s="23">
        <f>ROUND(IF(B210=0,0,D201/L183*P184),2)</f>
        <v>0</v>
      </c>
      <c r="E210" s="23">
        <f>ROUND(IF(B210=0,0,E201/N179*P184),2)</f>
        <v>0</v>
      </c>
      <c r="F210" s="24">
        <f>ROUND(IF(P184=0,0,IFERROR(((LOOKUP(2,1/(A190:A193=A210),H190:H193))/N179*P184),F209/P184*P184)),2)</f>
        <v>0</v>
      </c>
      <c r="G210" s="27">
        <f t="shared" si="22"/>
        <v>0</v>
      </c>
      <c r="H210" s="76">
        <f>ROUND(IF(SUM(B202:F209)&lt;(L217*8),IF((SUM(B202:F210))&gt;(L217*9),(((L217*9)-(SUM(B202:F210)-C209))*H201)+((SUM(B210:F210)-C209)*H201),SUM(B210:F210)*H201),IF(SUM(B202:F210)&gt;(L217*9),L217*H201,SUM(B210:F210)*H201)),2)</f>
        <v>0</v>
      </c>
      <c r="I210" s="76">
        <f>ROUND(IF(SUM(B202:F209)&lt;(L218*8),IF((SUM(B202:F210))&gt;(L218*9),(((L218*9)-(SUM(B202:F210)-C209))*I201)+((SUM(B210:F210)-C209)*I201),SUM(B210:F210)*I201),IF(SUM(B202:F210)&gt;(L218*9),L218*I201,SUM(B210:F210)*I201)),2)</f>
        <v>0</v>
      </c>
      <c r="J210" s="76">
        <f>ROUND(IF(SUM(B202:F209)&lt;(L218*8),IF((SUM(B202:F210))&gt;(L218*9),(((L218*9)-(SUM(B202:F210)-C209))*J201)+((SUM(B210:F210)-C209)*J201),SUM(B210:F210)*J201),IF(SUM(B202:F210)&gt;(L218*9),L218*J201,SUM(B210:F210)*J201)),2)</f>
        <v>0</v>
      </c>
      <c r="K210" s="76">
        <f>ROUND(IF(SUM(B202:F209)&lt;(L217*8),IF((SUM(B202:F210))&gt;(L217*9),(((L217*9)-(SUM(B202:F210)-C209))*K201)+((SUM(B210:F210)-C209)*K201),SUM(B210:F210)*K201),IF(SUM(B202:F210)&gt;(L217*9),L217*K201,SUM(B210:F210)*K201)),2)</f>
        <v>0</v>
      </c>
      <c r="L210" s="76">
        <f>ROUND(IF(SUM(B202:F209)&lt;(L218*8),IF((SUM(B202:F210))&gt;(L218*9),(((L218*9)-(SUM(B202:F210)-C210))*L201)+((SUM(B210:F210)-C210)*L201),(SUM(B210:F210)-C210)*L201),IF(SUM(B202:F210)&gt;(L218*9),L218*L201,SUM(B210:F210)*L201)),2)</f>
        <v>0</v>
      </c>
      <c r="M210" s="76">
        <f>ROUND(IF(SUM(B202:F209)&lt;(L218*8),IF((SUM(B202:F210))&gt;(L218*9),(((L218*9)-(SUM(B202:F210)-C210))*M201)+((SUM(B210:F210)-C210)*M201),(SUM(B210:F210)-C210)*M201),IF(SUM(B202:F210)&gt;(L218*9),L218*M201,SUM(B210:F210)*M201)),2)</f>
        <v>0</v>
      </c>
      <c r="N210" s="76">
        <f>ROUND(IF(SUM(B202:F209)&lt;(L218*8),IF((SUM(B202:F210))&gt;(L218*9),(((L218*9)-(SUM(B202:F210)-C209))*N201)+((SUM(B210:F210)-C209)*N201),SUM(B210:F210)*N201),IF(SUM(B202:F210)&gt;(L218*9),L218*N201,SUM(B210:F210)*N201)),2)</f>
        <v>0</v>
      </c>
      <c r="O210" s="23">
        <f>ROUND(SUM(B210+C210+F210)*O201,2)</f>
        <v>0</v>
      </c>
      <c r="P210" s="27">
        <f t="shared" si="23"/>
        <v>0</v>
      </c>
    </row>
    <row r="211" spans="1:16" x14ac:dyDescent="0.2">
      <c r="A211" s="100" t="str">
        <f>$A$35</f>
        <v>Okt 2022</v>
      </c>
      <c r="B211" s="24">
        <f>ROUND(IF(P185=0,0,IFERROR(((LOOKUP(2,1/(A190:A193=A211),G190:G193))*P185*4.348),B210/P185*P185)),2)</f>
        <v>0</v>
      </c>
      <c r="C211" s="23">
        <f>ROUND(IFERROR(((LOOKUP(2,1/(B195=A211),((SUM(B208:B210)+SUM(F208:F210))/3)*C195))),0)+IFERROR(((LOOKUP(2,1/(E195=A211),(B214+F214)*F195))),0),2)</f>
        <v>0</v>
      </c>
      <c r="D211" s="23">
        <f>ROUND(IF(B211=0,0,D201/L183*P185),2)</f>
        <v>0</v>
      </c>
      <c r="E211" s="23">
        <f>ROUND(IF(B211=0,0,E201/N179*P185),2)</f>
        <v>0</v>
      </c>
      <c r="F211" s="24">
        <f>ROUND(IF(P185=0,0,IFERROR(((LOOKUP(2,1/(A190:A193=A211),H190:H193))/N179*P185),F210/P185*P185)),2)</f>
        <v>0</v>
      </c>
      <c r="G211" s="27">
        <f t="shared" si="22"/>
        <v>0</v>
      </c>
      <c r="H211" s="76">
        <f>ROUND(IF(SUM(B202:F210)&lt;(L217*9),IF((SUM(B202:F211))&gt;(L217*10),(((L217*10)-(SUM(B202:F211)-C210))*H201)+((SUM(B211:F211)-C210)*H201),SUM(B211:F211)*H201),IF(SUM(B202:F211)&gt;(L217*10),L217*H201,SUM(B211:F211)*H201)),2)</f>
        <v>0</v>
      </c>
      <c r="I211" s="76">
        <f>ROUND(IF(SUM(B202:F210)&lt;(L218*9),IF((SUM(B202:F211))&gt;(L218*10),(((L218*10)-(SUM(B202:F211)-C210))*I201)+((SUM(B211:F211)-C210)*I201),SUM(B211:F211)*I201),IF(SUM(B202:F211)&gt;(L218*10),L218*I201,SUM(B211:F211)*I201)),2)</f>
        <v>0</v>
      </c>
      <c r="J211" s="76">
        <f>ROUND(IF(SUM(B202:F210)&lt;(L218*9),IF((SUM(B202:F211))&gt;(L218*10),(((L218*10)-(SUM(B202:F211)-C210))*J201)+((SUM(B211:F211)-C210)*J201),SUM(B211:F211)*J201),IF(SUM(B202:F211)&gt;(L218*10),L218*J201,SUM(B211:F211)*J201)),2)</f>
        <v>0</v>
      </c>
      <c r="K211" s="76">
        <f>ROUND(IF(SUM(B202:F210)&lt;(L217*9),IF((SUM(B202:F211))&gt;(L217*10),(((L217*10)-(SUM(B202:F211)-C210))*K201)+((SUM(B211:F211)-C210)*K201),SUM(B211:F211)*K201),IF(SUM(B202:F211)&gt;(L217*10),L217*K201,SUM(B211:F211)*K201)),2)</f>
        <v>0</v>
      </c>
      <c r="L211" s="76">
        <f>ROUND(IF(SUM(B202:F210)&lt;(L218*9),IF((SUM(B202:F211))&gt;(L218*10),(((L218*10)-(SUM(B202:F211)-C211))*L201)+((SUM(B211:F211)-C211)*L201),(SUM(B211:F211)-C211)*L201),IF(SUM(B202:F211)&gt;(L218*10),L218*L201,SUM(B211:F211)*L201)),2)</f>
        <v>0</v>
      </c>
      <c r="M211" s="76">
        <f>ROUND(IF(SUM(B202:F210)&lt;(L218*9),IF((SUM(B202:F211))&gt;(L218*10),(((L218*10)-(SUM(B202:F211)-C211))*M201)+((SUM(B211:F211)-C211)*M201),(SUM(B211:F211)-C211)*M201),IF(SUM(B202:F211)&gt;(L218*10),L218*M201,SUM(B211:F211)*M201)),2)</f>
        <v>0</v>
      </c>
      <c r="N211" s="76">
        <f>ROUND(IF(SUM(B202:F210)&lt;(L218*9),IF((SUM(B202:F211))&gt;(L218*10),(((L218*10)-(SUM(B202:F211)-C210))*N201)+((SUM(B211:F211)-C210)*N201),SUM(B211:F211)*N201),IF(SUM(B202:F211)&gt;(L218*10),L218*N201,SUM(B211:F211)*N201)),2)</f>
        <v>0</v>
      </c>
      <c r="O211" s="23">
        <f>ROUND(SUM(B211+C211+F211)*O201,2)</f>
        <v>0</v>
      </c>
      <c r="P211" s="27">
        <f t="shared" si="23"/>
        <v>0</v>
      </c>
    </row>
    <row r="212" spans="1:16" x14ac:dyDescent="0.2">
      <c r="A212" s="100" t="str">
        <f>$A$36</f>
        <v>Nov 2022</v>
      </c>
      <c r="B212" s="24">
        <f>ROUND(IF(P186=0,0,IFERROR(((LOOKUP(2,1/(A190:A193=A212),G190:G193))*P186*4.348),B211/P186*P186)),2)</f>
        <v>0</v>
      </c>
      <c r="C212" s="23">
        <f>ROUND(IFERROR(((LOOKUP(2,1/(B195=A212),((SUM(B208:B210)+SUM(F208:F210))/3)*C195))),0)+IFERROR(((LOOKUP(2,1/(E195=A212),(B214+F214)*F195))),0),2)</f>
        <v>0</v>
      </c>
      <c r="D212" s="23">
        <f>ROUND(IF(B212=0,0,D201/L183*P186),2)</f>
        <v>0</v>
      </c>
      <c r="E212" s="23">
        <f>ROUND(IF(B212=0,0,E201/N179*P186),2)</f>
        <v>0</v>
      </c>
      <c r="F212" s="24">
        <f>ROUND(IF(P186=0,0,IFERROR(((LOOKUP(2,1/(A190:A193=A212),H190:H193))/N179*P186),F211/P186*P186)),2)</f>
        <v>0</v>
      </c>
      <c r="G212" s="27">
        <f t="shared" si="22"/>
        <v>0</v>
      </c>
      <c r="H212" s="76">
        <f>ROUND(IF(SUM(B202:F211)&lt;(L217*10),IF((SUM(B202:F212))&gt;(L217*11),(((L217*11)-(SUM(B202:F212)-C211))*H201)+((SUM(B212:F212)-C211)*H201),SUM(B212:F212)*H201),IF(SUM(B202:F212)&gt;(L217*11),L217*H201,SUM(B212:F212)*H201)),2)</f>
        <v>0</v>
      </c>
      <c r="I212" s="76">
        <f>ROUND(IF(SUM(B202:F211)&lt;(L218*10),IF((SUM(B202:F212))&gt;(L218*11),(((L218*11)-(SUM(B202:F212)-C211))*I201)+((SUM(B212:F212)-C211)*I201),SUM(B212:F212)*I201),IF(SUM(B202:F212)&gt;(L218*11),L218*I201,SUM(B212:F212)*I201)),2)</f>
        <v>0</v>
      </c>
      <c r="J212" s="76">
        <f>ROUND(IF(SUM(B202:F211)&lt;(L218*10),IF((SUM(B202:F212))&gt;(L218*11),(((L218*11)-(SUM(B202:F212)-C211))*J201)+((SUM(B212:F212)-C211)*J201),SUM(B212:F212)*J201),IF(SUM(B202:F212)&gt;(L218*11),L218*J201,SUM(B212:F212)*J201)),2)</f>
        <v>0</v>
      </c>
      <c r="K212" s="76">
        <f>ROUND(IF(SUM(B202:F211)&lt;(L217*10),IF((SUM(B202:F212))&gt;(L217*11),(((L217*11)-(SUM(B202:F212)-C211))*K201)+((SUM(B212:F212)-C211)*K201),SUM(B212:F212)*K201),IF(SUM(B202:F212)&gt;(L217*11),L217*K201,SUM(B212:F212)*K201)),2)</f>
        <v>0</v>
      </c>
      <c r="L212" s="76">
        <f>ROUND(IF(SUM(B202:F211)&lt;(L218*10),IF((SUM(B202:F212))&gt;(L218*11),(((L218*11)-(SUM(B202:F212)-C212))*L201)+((SUM(B212:F212)-C212)*L201),(SUM(B212:F212)-C212)*L201),IF(SUM(B202:F212)&gt;(L218*11),L218*L201,SUM(B212:F212)*L201)),2)</f>
        <v>0</v>
      </c>
      <c r="M212" s="76">
        <f>ROUND(IF(SUM(B202:F211)&lt;(L218*10),IF((SUM(B202:F212))&gt;(L218*11),(((L218*11)-(SUM(B202:F212)-C212))*M201)+((SUM(B212:F212)-C212)*M201),(SUM(B212:F212)-C212)*M201),IF(SUM(B202:F212)&gt;(L218*11),L218*M201,SUM(B212:F212)*M201)),2)</f>
        <v>0</v>
      </c>
      <c r="N212" s="76">
        <f>ROUND(IF(SUM(B202:F211)&lt;(L218*10),IF((SUM(B202:F212))&gt;(L218*11),(((L218*11)-(SUM(B202:F212)-C211))*N201)+((SUM(B212:F212)-C211)*N201),SUM(B212:F212)*N201),IF(SUM(B202:F212)&gt;(L218*11),L218*N201,SUM(B212:F212)*N201)),2)</f>
        <v>0</v>
      </c>
      <c r="O212" s="23">
        <f>ROUND(SUM(B212+C212+F212)*O201,2)</f>
        <v>0</v>
      </c>
      <c r="P212" s="27">
        <f t="shared" si="23"/>
        <v>0</v>
      </c>
    </row>
    <row r="213" spans="1:16" x14ac:dyDescent="0.2">
      <c r="A213" s="100" t="str">
        <f>$A$37</f>
        <v>Dez 2022</v>
      </c>
      <c r="B213" s="24">
        <f>ROUND(IF(P187=0,0,IFERROR(((LOOKUP(2,1/(A190:A193=A213),G190:G193))*P187*4.348),B212/P187*P187)),2)</f>
        <v>0</v>
      </c>
      <c r="C213" s="23">
        <f>ROUND(IFERROR(((LOOKUP(2,1/(B195=A213),((SUM(B208:B210)+SUM(F208:F210))/3)*C195))),0)+IFERROR(((LOOKUP(2,1/(E195=A213),(B214+F214)*F195))),0),2)</f>
        <v>0</v>
      </c>
      <c r="D213" s="23">
        <f>ROUND(IF(B213=0,0,D201/L183*P187),2)</f>
        <v>0</v>
      </c>
      <c r="E213" s="23">
        <f>ROUND(IF(B213=0,0,E201/N179*P187),2)</f>
        <v>0</v>
      </c>
      <c r="F213" s="24">
        <f>ROUND(IF(P187=0,0,IFERROR(((LOOKUP(2,1/(A190:A193=A213),H190:H193))/N179*P187),F212/P187*P187)),2)</f>
        <v>0</v>
      </c>
      <c r="G213" s="27">
        <f t="shared" si="22"/>
        <v>0</v>
      </c>
      <c r="H213" s="76">
        <f>ROUND(IF(SUM(B202:F212)&lt;(L217*11),IF((SUM(B202:F213))&gt;(L217*12),(((L217*12)-(SUM(B202:F213)-C212))*H201)+((SUM(B213:F213)-C212)*H201),SUM(B213:F213)*H201),IF(SUM(B202:F213)&gt;(L217*12),L217*H201,SUM(B213:F213)*H201)),2)</f>
        <v>0</v>
      </c>
      <c r="I213" s="76">
        <f>ROUND(IF(SUM(B202:F212)&lt;(L218*11),IF((SUM(B202:F213))&gt;(L218*12),(((L218*12)-(SUM(B202:F213)-C212))*I201)+((SUM(B213:F213)-C212)*I201),SUM(B213:F213)*I201),IF(SUM(B202:F213)&gt;(L218*12),L218*I201,SUM(B213:F213)*I201)),2)</f>
        <v>0</v>
      </c>
      <c r="J213" s="76">
        <f>ROUND(IF(SUM(B202:F212)&lt;(L218*11),IF((SUM(B202:F213))&gt;(L218*12),(((L218*12)-(SUM(B202:F213)-C212))*J201)+((SUM(B213:F213)-C212)*J201),SUM(B213:F213)*J201),IF(SUM(B202:F213)&gt;(L218*12),L218*J201,SUM(B213:F213)*J201)),2)</f>
        <v>0</v>
      </c>
      <c r="K213" s="76">
        <f>ROUND(IF(SUM(B202:F212)&lt;(L217*11),IF((SUM(B202:F213))&gt;(L217*12),(((L217*12)-(SUM(B202:F213)-C212))*K201)+((SUM(B213:F213)-C212)*K201),SUM(B213:F213)*K201),IF(SUM(B202:F213)&gt;(L217*12),L217*K201,SUM(B213:F213)*K201)),2)</f>
        <v>0</v>
      </c>
      <c r="L213" s="76">
        <f>ROUND(IF(SUM(B202:F212)&lt;(L218*11),IF((SUM(B202:F213))&gt;(L218*12),(((L218*12)-(SUM(B202:F213)-C213))*L201)+((SUM(B213:F213)-C213)*L201),(SUM(B213:F213)-C213)*L201),IF(SUM(B202:F213)&gt;(L218*12),L218*L201,SUM(B213:F213)*L201)),2)</f>
        <v>0</v>
      </c>
      <c r="M213" s="76">
        <f>ROUND(IF(SUM(B202:F212)&lt;(L218*11),IF((SUM(B202:F213))&gt;(L218*12),(((L218*12)-(SUM(B202:F213)-C213))*M201)+((SUM(B213:F213)-C213)*M201),(SUM(B213:F213)-C213)*M201),IF(SUM(B202:F213)&gt;(L218*12),L218*M201,SUM(B213:F213)*M201)),2)</f>
        <v>0</v>
      </c>
      <c r="N213" s="76">
        <f>ROUND(IF(SUM(B202:F212)&lt;(L218*11),IF((SUM(B202:F213))&gt;(L218*12),(((L218*12)-(SUM(B202:F213)-C212))*N201)+((SUM(B213:F213)-C212)*N201),SUM(B213:F213)*N201),IF(SUM(B202:F213)&gt;(L218*12),L218*N201,SUM(B213:F213)*N201)),2)</f>
        <v>0</v>
      </c>
      <c r="O213" s="23">
        <f>ROUND(SUM(B213+C213+F213)*O201,2)</f>
        <v>0</v>
      </c>
      <c r="P213" s="27">
        <f t="shared" si="23"/>
        <v>0</v>
      </c>
    </row>
    <row r="214" spans="1:16" s="14" customFormat="1" ht="15" x14ac:dyDescent="0.25">
      <c r="A214" s="4" t="s">
        <v>2</v>
      </c>
      <c r="B214" s="27">
        <f>SUM(B202:B213)</f>
        <v>0</v>
      </c>
      <c r="C214" s="27">
        <f t="shared" ref="C214:D214" si="24">SUM(C202:C213)</f>
        <v>0</v>
      </c>
      <c r="D214" s="27">
        <f t="shared" si="24"/>
        <v>0</v>
      </c>
      <c r="E214" s="27">
        <f>SUM(E202:E213)</f>
        <v>0</v>
      </c>
      <c r="F214" s="27">
        <f>SUM(F202:F213)</f>
        <v>0</v>
      </c>
      <c r="G214" s="27">
        <f>SUM(G202:G213)</f>
        <v>0</v>
      </c>
      <c r="H214" s="1133">
        <f>SUM(H202:N213)</f>
        <v>0</v>
      </c>
      <c r="I214" s="1134"/>
      <c r="J214" s="1134"/>
      <c r="K214" s="1134"/>
      <c r="L214" s="1134"/>
      <c r="M214" s="1134"/>
      <c r="N214" s="1135"/>
      <c r="O214" s="27">
        <f>SUM(O202:O213)</f>
        <v>0</v>
      </c>
      <c r="P214" s="27">
        <f>SUM(P202:P213)</f>
        <v>0</v>
      </c>
    </row>
    <row r="215" spans="1:16" s="13" customFormat="1" ht="11.25" x14ac:dyDescent="0.2">
      <c r="A215" s="3" t="s">
        <v>1</v>
      </c>
      <c r="B215" s="2"/>
      <c r="C215" s="2"/>
      <c r="D215" s="2"/>
      <c r="E215" s="2"/>
      <c r="F215" s="2"/>
      <c r="G215" s="2"/>
      <c r="H215" s="2"/>
      <c r="I215" s="2"/>
      <c r="J215" s="2"/>
      <c r="K215" s="2"/>
      <c r="L215" s="2"/>
      <c r="M215" s="2"/>
      <c r="N215" s="2"/>
      <c r="O215" s="2"/>
      <c r="P215" s="2"/>
    </row>
    <row r="216" spans="1:16" ht="14.25" customHeight="1" x14ac:dyDescent="0.2">
      <c r="A216" s="1136" t="s">
        <v>133</v>
      </c>
      <c r="B216" s="1137"/>
      <c r="C216" s="1137"/>
      <c r="D216" s="1137" t="s">
        <v>134</v>
      </c>
      <c r="E216" s="1137"/>
      <c r="F216" s="94" t="str">
        <f>IF(IF(G214=0,"",$F$40)=0,"",IF(G214=0,"",$F$40))</f>
        <v/>
      </c>
      <c r="G216" s="77" t="s">
        <v>135</v>
      </c>
      <c r="H216" s="96" t="str">
        <f>IF(IF(G214=0,"",$H$40)=0,"",IF(G214=0,"",$H$40))</f>
        <v/>
      </c>
      <c r="I216" s="73"/>
      <c r="J216" s="194" t="s">
        <v>160</v>
      </c>
      <c r="K216" s="194" t="str">
        <f>$K$40</f>
        <v>2021</v>
      </c>
      <c r="L216" s="194" t="str">
        <f>$L$40</f>
        <v>anteilig 2021</v>
      </c>
      <c r="M216" s="1138" t="s">
        <v>140</v>
      </c>
      <c r="N216" s="1138"/>
      <c r="O216" s="1139"/>
      <c r="P216" s="27">
        <f>ROUND(IF(F216="",IF(E220="",0,(E220*H220/K220)/L183*L184),G214*F216*H216/1000),2)</f>
        <v>0</v>
      </c>
    </row>
    <row r="217" spans="1:16" ht="15" customHeight="1" x14ac:dyDescent="0.2">
      <c r="A217" s="1140" t="s">
        <v>145</v>
      </c>
      <c r="B217" s="1141"/>
      <c r="C217" s="1141"/>
      <c r="D217" s="18"/>
      <c r="E217" s="107" t="s">
        <v>135</v>
      </c>
      <c r="F217" s="95" t="str">
        <f>IF(IF(G214=0,"",$F$41)=0,"",IF(G214=0,"",$F$41))</f>
        <v/>
      </c>
      <c r="G217" s="48"/>
      <c r="H217" s="47"/>
      <c r="I217" s="48"/>
      <c r="J217" s="195" t="s">
        <v>158</v>
      </c>
      <c r="K217" s="198">
        <f>$K$41</f>
        <v>4837.5</v>
      </c>
      <c r="L217" s="197">
        <f>IF(L183="",K217,K217/L183*L184)</f>
        <v>4837.5</v>
      </c>
      <c r="M217" s="1138" t="s">
        <v>139</v>
      </c>
      <c r="N217" s="1138"/>
      <c r="O217" s="1139"/>
      <c r="P217" s="27">
        <f>ROUND(IF(F217="",0,G214*F217/1000),2)</f>
        <v>0</v>
      </c>
    </row>
    <row r="218" spans="1:16" ht="15.75" customHeight="1" x14ac:dyDescent="0.2">
      <c r="A218" s="1142" t="s">
        <v>141</v>
      </c>
      <c r="B218" s="1143"/>
      <c r="C218" s="1143"/>
      <c r="D218" s="1144" t="s">
        <v>143</v>
      </c>
      <c r="E218" s="1144"/>
      <c r="F218" s="1145" t="str">
        <f>IF(IF(G214=0,"",$F$42)=0,"",IF(G214=0,"",$F$42))</f>
        <v/>
      </c>
      <c r="G218" s="1145"/>
      <c r="H218" s="72"/>
      <c r="I218" s="18"/>
      <c r="J218" s="195" t="s">
        <v>159</v>
      </c>
      <c r="K218" s="198">
        <f>$K$42</f>
        <v>6700</v>
      </c>
      <c r="L218" s="197">
        <f>IF(L183="",K218,K218/L183*L184)</f>
        <v>6700</v>
      </c>
      <c r="M218" s="1138" t="s">
        <v>141</v>
      </c>
      <c r="N218" s="1138"/>
      <c r="O218" s="1139"/>
      <c r="P218" s="23">
        <f>ROUND(IF(F218="",0,IF(G214=0,0,F218/L183*L184)),2)</f>
        <v>0</v>
      </c>
    </row>
    <row r="219" spans="1:16" ht="14.25" customHeight="1" x14ac:dyDescent="0.2">
      <c r="A219" s="18"/>
      <c r="B219" s="18"/>
      <c r="C219" s="18"/>
      <c r="D219" s="18"/>
      <c r="E219" s="18"/>
      <c r="F219" s="18"/>
      <c r="G219" s="18"/>
      <c r="H219" s="18"/>
      <c r="I219" s="18"/>
      <c r="J219" s="18"/>
      <c r="K219" s="74"/>
      <c r="L219" s="82"/>
      <c r="M219" s="1127" t="s">
        <v>146</v>
      </c>
      <c r="N219" s="1127"/>
      <c r="O219" s="1128"/>
      <c r="P219" s="23">
        <f>ROUND(IF(G214=0,0,$P$43),2)</f>
        <v>0</v>
      </c>
    </row>
    <row r="220" spans="1:16" ht="14.25" customHeight="1" x14ac:dyDescent="0.2">
      <c r="A220" s="1129" t="s">
        <v>142</v>
      </c>
      <c r="B220" s="1130"/>
      <c r="C220" s="148" t="s">
        <v>136</v>
      </c>
      <c r="D220" s="148" t="s">
        <v>137</v>
      </c>
      <c r="E220" s="1131" t="str">
        <f>IF(IF(G214=0,"",$E$44)=0,"",IF(G214=0,"",$E$44))</f>
        <v/>
      </c>
      <c r="F220" s="1131"/>
      <c r="G220" s="83" t="s">
        <v>138</v>
      </c>
      <c r="H220" s="97" t="str">
        <f>IF(IF(G214=0,"",$H$44)=0,"",IF(G214=0,"",$H$44))</f>
        <v/>
      </c>
      <c r="I220" s="1132" t="s">
        <v>144</v>
      </c>
      <c r="J220" s="1132"/>
      <c r="K220" s="98" t="str">
        <f>IF(IF(G214=0,"",$K$44)=0,"",IF(G214=0,"",$K$44))</f>
        <v/>
      </c>
      <c r="L220" s="29"/>
      <c r="M220" s="29"/>
      <c r="N220" s="29"/>
      <c r="O220" s="28" t="s">
        <v>0</v>
      </c>
      <c r="P220" s="27">
        <f>P214+SUM(P216:P219)</f>
        <v>0</v>
      </c>
    </row>
    <row r="221" spans="1:16" s="12" customFormat="1" ht="13.5" customHeight="1" x14ac:dyDescent="0.2">
      <c r="A221" s="1178" t="s">
        <v>18</v>
      </c>
      <c r="B221" s="1178"/>
      <c r="C221" s="1178"/>
      <c r="D221" s="1179" t="str">
        <f>IF($D$1="","",$D$1)</f>
        <v/>
      </c>
      <c r="E221" s="1179"/>
      <c r="F221" s="1179"/>
      <c r="G221" s="1179"/>
      <c r="H221" s="1179"/>
      <c r="I221" s="1179"/>
      <c r="J221" s="1179"/>
      <c r="K221" s="1179"/>
      <c r="L221" s="1179"/>
      <c r="M221" s="1179"/>
      <c r="N221" s="1179"/>
    </row>
    <row r="222" spans="1:16" s="12" customFormat="1" ht="15" customHeight="1" x14ac:dyDescent="0.2">
      <c r="A222" s="1178" t="s">
        <v>17</v>
      </c>
      <c r="B222" s="1178"/>
      <c r="C222" s="1178" t="s">
        <v>15</v>
      </c>
      <c r="D222" s="1179" t="str">
        <f>IF($D$2="","",$D$2)</f>
        <v/>
      </c>
      <c r="E222" s="1179"/>
      <c r="F222" s="1179"/>
      <c r="G222" s="1179"/>
      <c r="H222" s="1179"/>
      <c r="I222" s="1179"/>
      <c r="J222" s="1179"/>
      <c r="K222" s="1179"/>
      <c r="L222" s="1179"/>
      <c r="M222" s="1179"/>
      <c r="N222" s="1179"/>
    </row>
    <row r="223" spans="1:16" s="12" customFormat="1" ht="15" customHeight="1" x14ac:dyDescent="0.2">
      <c r="A223" s="1178" t="s">
        <v>16</v>
      </c>
      <c r="B223" s="1178"/>
      <c r="C223" s="1178" t="s">
        <v>15</v>
      </c>
      <c r="D223" s="1179" t="str">
        <f>IF($D$3="","",$D$3)</f>
        <v/>
      </c>
      <c r="E223" s="1179"/>
      <c r="F223" s="1179"/>
      <c r="G223" s="1179"/>
      <c r="H223" s="1179"/>
      <c r="I223" s="1179"/>
      <c r="J223" s="1179"/>
      <c r="K223" s="1178" t="s">
        <v>103</v>
      </c>
      <c r="L223" s="1178"/>
      <c r="M223" s="1178"/>
      <c r="N223" s="41" t="str">
        <f>IF($N$3="","",$N$3)</f>
        <v/>
      </c>
    </row>
    <row r="224" spans="1:16" s="13" customFormat="1" ht="11.25" x14ac:dyDescent="0.2">
      <c r="A224" s="1182"/>
      <c r="B224" s="1182"/>
      <c r="C224" s="1182"/>
      <c r="D224" s="1183"/>
      <c r="E224" s="1183"/>
      <c r="F224" s="1183"/>
      <c r="G224" s="1183"/>
      <c r="H224" s="1183"/>
      <c r="I224" s="1183"/>
      <c r="J224" s="1183"/>
      <c r="K224" s="11"/>
      <c r="L224" s="11"/>
      <c r="M224" s="11"/>
      <c r="N224" s="11"/>
      <c r="O224" s="11"/>
      <c r="P224" s="11"/>
    </row>
    <row r="225" spans="1:16" s="20" customFormat="1" x14ac:dyDescent="0.2">
      <c r="A225" s="1177" t="s">
        <v>233</v>
      </c>
      <c r="B225" s="1177"/>
      <c r="C225" s="1177"/>
      <c r="D225" s="1177"/>
      <c r="E225" s="1177"/>
      <c r="F225" s="1177"/>
      <c r="G225" s="1177"/>
      <c r="H225" s="1177"/>
      <c r="I225" s="1177"/>
      <c r="J225" s="1177"/>
      <c r="K225" s="1177"/>
      <c r="L225" s="1177"/>
      <c r="M225" s="1177"/>
      <c r="N225" s="59" t="s">
        <v>154</v>
      </c>
      <c r="O225" s="191">
        <f>'päd.Personal - Leitung'!$O$5</f>
        <v>2022</v>
      </c>
      <c r="P225" s="59" t="s">
        <v>154</v>
      </c>
    </row>
    <row r="226" spans="1:16" s="10" customFormat="1" ht="13.5" customHeight="1" x14ac:dyDescent="0.25">
      <c r="B226" s="32"/>
      <c r="C226" s="32"/>
      <c r="D226" s="5" t="s">
        <v>234</v>
      </c>
      <c r="E226" s="31"/>
      <c r="F226" s="31"/>
      <c r="G226" s="31"/>
      <c r="H226" s="31"/>
      <c r="I226" s="26"/>
      <c r="J226" s="1174" t="s">
        <v>14</v>
      </c>
      <c r="K226" s="1174"/>
      <c r="L226" s="180"/>
      <c r="N226" s="84">
        <f>IF(L228="","",L228)</f>
        <v>0</v>
      </c>
      <c r="O226" s="58" t="str">
        <f>'päd.Personal - Leitung'!$O$6</f>
        <v>Jan                Jul</v>
      </c>
      <c r="P226" s="85">
        <f>IF(N231="","",N231)</f>
        <v>0</v>
      </c>
    </row>
    <row r="227" spans="1:16" s="7" customFormat="1" ht="13.5" customHeight="1" x14ac:dyDescent="0.25">
      <c r="A227" s="1180" t="s">
        <v>71</v>
      </c>
      <c r="B227" s="1180"/>
      <c r="C227" s="1180"/>
      <c r="D227" s="1184"/>
      <c r="E227" s="1184"/>
      <c r="F227" s="1184"/>
      <c r="G227" s="1184"/>
      <c r="H227" s="1184"/>
      <c r="I227" s="1184"/>
      <c r="J227" s="1174" t="s">
        <v>104</v>
      </c>
      <c r="K227" s="1174"/>
      <c r="L227" s="145"/>
      <c r="N227" s="85">
        <f>IF(N226="","",N226)</f>
        <v>0</v>
      </c>
      <c r="O227" s="58" t="str">
        <f>'päd.Personal - Leitung'!$O$7</f>
        <v>Feb              Aug</v>
      </c>
      <c r="P227" s="85">
        <f>IF(P226="","",P226)</f>
        <v>0</v>
      </c>
    </row>
    <row r="228" spans="1:16" ht="13.5" customHeight="1" x14ac:dyDescent="0.2">
      <c r="A228" s="1180" t="s">
        <v>13</v>
      </c>
      <c r="B228" s="1180"/>
      <c r="C228" s="1180"/>
      <c r="D228" s="1181"/>
      <c r="E228" s="1181"/>
      <c r="F228" s="1181"/>
      <c r="G228" s="1181"/>
      <c r="H228" s="1181"/>
      <c r="I228" s="1181"/>
      <c r="J228" s="1174" t="s">
        <v>222</v>
      </c>
      <c r="K228" s="1174"/>
      <c r="L228" s="145">
        <f>IF(L229&gt;L227,0,L227-L229)</f>
        <v>0</v>
      </c>
      <c r="N228" s="85">
        <f>IF(N227="","",N227)</f>
        <v>0</v>
      </c>
      <c r="O228" s="58" t="str">
        <f>'päd.Personal - Leitung'!$O$8</f>
        <v>Mrz              Sep</v>
      </c>
      <c r="P228" s="85">
        <f>IF(P227="","",P227)</f>
        <v>0</v>
      </c>
    </row>
    <row r="229" spans="1:16" ht="13.5" customHeight="1" x14ac:dyDescent="0.2">
      <c r="A229" s="1180" t="s">
        <v>12</v>
      </c>
      <c r="B229" s="1180"/>
      <c r="C229" s="1180"/>
      <c r="D229" s="1181"/>
      <c r="E229" s="1181"/>
      <c r="F229" s="1181"/>
      <c r="G229" s="1181"/>
      <c r="H229" s="1181"/>
      <c r="I229" s="1181"/>
      <c r="J229" s="1174" t="s">
        <v>223</v>
      </c>
      <c r="K229" s="1174"/>
      <c r="L229" s="145"/>
      <c r="N229" s="85">
        <f>IF(N228="","",N228)</f>
        <v>0</v>
      </c>
      <c r="O229" s="58" t="str">
        <f>'päd.Personal - Leitung'!$O$9</f>
        <v>Apr               Okt</v>
      </c>
      <c r="P229" s="85">
        <f t="shared" ref="P229:P231" si="25">IF(P228="","",P228)</f>
        <v>0</v>
      </c>
    </row>
    <row r="230" spans="1:16" ht="13.5" customHeight="1" x14ac:dyDescent="0.2">
      <c r="A230" s="1180" t="s">
        <v>19</v>
      </c>
      <c r="B230" s="1180"/>
      <c r="C230" s="1180"/>
      <c r="D230" s="1181"/>
      <c r="E230" s="1181"/>
      <c r="F230" s="1181"/>
      <c r="G230" s="1181"/>
      <c r="H230" s="1181"/>
      <c r="I230" s="1181"/>
      <c r="J230" s="1174" t="s">
        <v>97</v>
      </c>
      <c r="K230" s="1174"/>
      <c r="L230" s="17" t="str">
        <f>IF(IF((COUNTIF(B246:B257,"&gt;0"))=0,0,(COUNTIF(B246:B257,"&gt;0")))&gt;Grundlagen!$C$24,Grundlagen!$C$24,IF((COUNTIF(B246:B257,"&gt;0"))=0,"",(COUNTIF(B246:B257,"&gt;0"))))</f>
        <v/>
      </c>
      <c r="M230" s="92"/>
      <c r="N230" s="85">
        <f>IF(N229="","",N229)</f>
        <v>0</v>
      </c>
      <c r="O230" s="58" t="str">
        <f>'päd.Personal - Leitung'!$O$10</f>
        <v>Mai               Nov</v>
      </c>
      <c r="P230" s="85">
        <f t="shared" si="25"/>
        <v>0</v>
      </c>
    </row>
    <row r="231" spans="1:16" ht="13.5" customHeight="1" x14ac:dyDescent="0.2">
      <c r="B231" s="8"/>
      <c r="C231" s="141" t="s">
        <v>162</v>
      </c>
      <c r="D231" s="1175"/>
      <c r="E231" s="1175"/>
      <c r="F231" s="1176" t="s">
        <v>110</v>
      </c>
      <c r="G231" s="1176"/>
      <c r="H231" s="1186"/>
      <c r="I231" s="1186"/>
      <c r="L231" s="147" t="str">
        <f>IF((SUM(F234:F237))=0,"",IF(P232&gt;L228,L228,IF(L228="","",IF(L230="","",P232))))</f>
        <v/>
      </c>
      <c r="N231" s="85">
        <f>IF(N230="","",N230)</f>
        <v>0</v>
      </c>
      <c r="O231" s="58" t="str">
        <f>'päd.Personal - Leitung'!$O$11</f>
        <v>Jun               Dez</v>
      </c>
      <c r="P231" s="85">
        <f t="shared" si="25"/>
        <v>0</v>
      </c>
    </row>
    <row r="232" spans="1:16" ht="13.5" customHeight="1" x14ac:dyDescent="0.2">
      <c r="F232" s="1176" t="s">
        <v>180</v>
      </c>
      <c r="G232" s="1176"/>
      <c r="H232" s="1186"/>
      <c r="I232" s="1186"/>
      <c r="O232" s="174" t="s">
        <v>251</v>
      </c>
      <c r="P232" s="175">
        <f>IF(L230="",0,((IF(SUMIF(B246,"&gt;0"),N226,0))+(IF(SUMIF(B247,"&gt;0"),N227,0))+(IF(SUMIF(B248,"&gt;0"),N228,0))+(IF(SUMIF(B249,"&gt;0"),N229,0))+(IF(SUMIF(B250,"&gt;0"),N230,0))+(IF(SUMIF(B251,"&gt;0"),N231,0))+(IF(SUMIF(B252,"&gt;0"),P226,0))+(IF(SUMIF(B253,"&gt;0"),P227,0))+(IF(SUMIF(B254,"&gt;0"),P228,0))+(IF(SUMIF(B255,"&gt;0"),P229,0))+(IF(SUMIF(B256,"&gt;0"),P230,0))+(IF(SUMIF(B257,"&gt;0"),P231,0)))/Grundlagen!$C$24)</f>
        <v>0</v>
      </c>
    </row>
    <row r="233" spans="1:16" s="52" customFormat="1" ht="13.5" customHeight="1" x14ac:dyDescent="0.2">
      <c r="A233" s="61" t="s">
        <v>148</v>
      </c>
      <c r="B233" s="1168" t="s">
        <v>149</v>
      </c>
      <c r="C233" s="1168"/>
      <c r="D233" s="62" t="s">
        <v>150</v>
      </c>
      <c r="E233" s="63" t="s">
        <v>151</v>
      </c>
      <c r="F233" s="64" t="str">
        <f>CONCATENATE("Entg. ",N223," h/Wo")</f>
        <v>Entg.  h/Wo</v>
      </c>
      <c r="G233" s="65" t="s">
        <v>152</v>
      </c>
      <c r="H233" s="65" t="s">
        <v>153</v>
      </c>
      <c r="K233" s="1169" t="str">
        <f>CONCATENATE("Zuschläge / Zulagen für ",N223,"h/Wo")</f>
        <v>Zuschläge / Zulagen für h/Wo</v>
      </c>
      <c r="L233" s="1169"/>
      <c r="M233" s="66" t="str">
        <f>IF(A234="","",A234)</f>
        <v>Jan 2022</v>
      </c>
      <c r="N233" s="66" t="str">
        <f>IF(A235="","",A235)</f>
        <v/>
      </c>
      <c r="O233" s="66" t="str">
        <f>IF(A236="","",A236)</f>
        <v/>
      </c>
      <c r="P233" s="66" t="str">
        <f>IF(A237="","",A237)</f>
        <v/>
      </c>
    </row>
    <row r="234" spans="1:16" s="52" customFormat="1" ht="13.5" customHeight="1" x14ac:dyDescent="0.25">
      <c r="A234" s="54" t="str">
        <f>A246</f>
        <v>Jan 2022</v>
      </c>
      <c r="B234" s="1170" t="str">
        <f>IF($D$3="","",$D$3)</f>
        <v/>
      </c>
      <c r="C234" s="1171"/>
      <c r="D234" s="181"/>
      <c r="E234" s="181"/>
      <c r="F234" s="87"/>
      <c r="G234" s="56">
        <f>IF(N223="",0,F234/N223/4.348)</f>
        <v>0</v>
      </c>
      <c r="H234" s="53">
        <f>IF(G234=0,0,M239)</f>
        <v>0</v>
      </c>
      <c r="K234" s="1146"/>
      <c r="L234" s="1146"/>
      <c r="M234" s="86"/>
      <c r="N234" s="86"/>
      <c r="O234" s="86"/>
      <c r="P234" s="86"/>
    </row>
    <row r="235" spans="1:16" s="52" customFormat="1" ht="13.5" customHeight="1" x14ac:dyDescent="0.25">
      <c r="A235" s="55"/>
      <c r="B235" s="1172" t="str">
        <f>IF(A235="","",B234)</f>
        <v/>
      </c>
      <c r="C235" s="1173"/>
      <c r="D235" s="181"/>
      <c r="E235" s="181"/>
      <c r="F235" s="87"/>
      <c r="G235" s="56">
        <f>IF(N223="",0,F235/N223/4.348)</f>
        <v>0</v>
      </c>
      <c r="H235" s="53">
        <f>IF(G235=0,0,N239)</f>
        <v>0</v>
      </c>
      <c r="K235" s="1146"/>
      <c r="L235" s="1146"/>
      <c r="M235" s="86"/>
      <c r="N235" s="86"/>
      <c r="O235" s="86"/>
      <c r="P235" s="86"/>
    </row>
    <row r="236" spans="1:16" s="52" customFormat="1" ht="13.5" customHeight="1" x14ac:dyDescent="0.25">
      <c r="A236" s="55"/>
      <c r="B236" s="1172" t="str">
        <f>IF(A236="","",B235)</f>
        <v/>
      </c>
      <c r="C236" s="1173"/>
      <c r="D236" s="181"/>
      <c r="E236" s="181"/>
      <c r="F236" s="87"/>
      <c r="G236" s="56">
        <f>IF(N223="",0,F236/N223/4.348)</f>
        <v>0</v>
      </c>
      <c r="H236" s="53">
        <f>IF(G236=0,0,O239)</f>
        <v>0</v>
      </c>
      <c r="K236" s="1146"/>
      <c r="L236" s="1146"/>
      <c r="M236" s="86"/>
      <c r="N236" s="86"/>
      <c r="O236" s="86"/>
      <c r="P236" s="86"/>
    </row>
    <row r="237" spans="1:16" s="52" customFormat="1" ht="13.5" customHeight="1" x14ac:dyDescent="0.25">
      <c r="A237" s="55"/>
      <c r="B237" s="1172" t="str">
        <f>IF(A237="","",B236)</f>
        <v/>
      </c>
      <c r="C237" s="1173"/>
      <c r="D237" s="181"/>
      <c r="E237" s="181"/>
      <c r="F237" s="87"/>
      <c r="G237" s="56">
        <f>IF(N223="",0,F237/N223/4.348)</f>
        <v>0</v>
      </c>
      <c r="H237" s="53">
        <f>IF(G237=0,0,P239)</f>
        <v>0</v>
      </c>
      <c r="K237" s="1146"/>
      <c r="L237" s="1146"/>
      <c r="M237" s="86"/>
      <c r="N237" s="86"/>
      <c r="O237" s="86"/>
      <c r="P237" s="86"/>
    </row>
    <row r="238" spans="1:16" s="52" customFormat="1" ht="13.5" customHeight="1" x14ac:dyDescent="0.25">
      <c r="B238" s="1167" t="s">
        <v>157</v>
      </c>
      <c r="C238" s="1167"/>
      <c r="E238" s="1167" t="s">
        <v>156</v>
      </c>
      <c r="F238" s="1167"/>
      <c r="J238" s="69"/>
      <c r="K238" s="1146"/>
      <c r="L238" s="1146"/>
      <c r="M238" s="86"/>
      <c r="N238" s="86"/>
      <c r="O238" s="86"/>
      <c r="P238" s="86"/>
    </row>
    <row r="239" spans="1:16" s="52" customFormat="1" ht="13.5" customHeight="1" x14ac:dyDescent="0.25">
      <c r="A239" s="70" t="s">
        <v>167</v>
      </c>
      <c r="B239" s="67"/>
      <c r="C239" s="99" t="str">
        <f>IF(C195="","",C195)</f>
        <v/>
      </c>
      <c r="D239" s="70" t="s">
        <v>167</v>
      </c>
      <c r="E239" s="67"/>
      <c r="F239" s="99" t="str">
        <f>IF(F195="","",F195)</f>
        <v/>
      </c>
      <c r="J239" s="68"/>
      <c r="M239" s="57">
        <f>SUM(M234:M238)</f>
        <v>0</v>
      </c>
      <c r="N239" s="57">
        <f t="shared" ref="N239:P239" si="26">SUM(N234:N238)</f>
        <v>0</v>
      </c>
      <c r="O239" s="57">
        <f t="shared" si="26"/>
        <v>0</v>
      </c>
      <c r="P239" s="57">
        <f t="shared" si="26"/>
        <v>0</v>
      </c>
    </row>
    <row r="240" spans="1:16" s="52" customFormat="1" ht="13.5" customHeight="1" x14ac:dyDescent="0.2">
      <c r="A240" s="60" t="s">
        <v>155</v>
      </c>
    </row>
    <row r="241" spans="1:16" s="20" customFormat="1" ht="14.25" customHeight="1" x14ac:dyDescent="0.2">
      <c r="A241" s="1147"/>
      <c r="B241" s="1149" t="s">
        <v>9</v>
      </c>
      <c r="C241" s="1150"/>
      <c r="D241" s="1150"/>
      <c r="E241" s="1150"/>
      <c r="F241" s="1150"/>
      <c r="G241" s="1151"/>
      <c r="H241" s="1152" t="s">
        <v>119</v>
      </c>
      <c r="I241" s="1153"/>
      <c r="J241" s="1153"/>
      <c r="K241" s="1153"/>
      <c r="L241" s="1153"/>
      <c r="M241" s="1153"/>
      <c r="N241" s="1195" t="s">
        <v>112</v>
      </c>
      <c r="O241" s="33"/>
      <c r="P241" s="1154" t="s">
        <v>0</v>
      </c>
    </row>
    <row r="242" spans="1:16" s="20" customFormat="1" ht="14.25" customHeight="1" x14ac:dyDescent="0.2">
      <c r="A242" s="1148"/>
      <c r="B242" s="1157" t="s">
        <v>117</v>
      </c>
      <c r="C242" s="144" t="s">
        <v>115</v>
      </c>
      <c r="D242" s="1159" t="s">
        <v>277</v>
      </c>
      <c r="E242" s="1161" t="s">
        <v>147</v>
      </c>
      <c r="F242" s="149" t="s">
        <v>7</v>
      </c>
      <c r="G242" s="1162" t="s">
        <v>6</v>
      </c>
      <c r="H242" s="1161" t="s">
        <v>129</v>
      </c>
      <c r="I242" s="1161" t="s">
        <v>111</v>
      </c>
      <c r="J242" s="1161" t="s">
        <v>5</v>
      </c>
      <c r="K242" s="1161" t="s">
        <v>4</v>
      </c>
      <c r="L242" s="1161" t="s">
        <v>3</v>
      </c>
      <c r="M242" s="1161" t="s">
        <v>98</v>
      </c>
      <c r="N242" s="1196"/>
      <c r="O242" s="1160" t="s">
        <v>114</v>
      </c>
      <c r="P242" s="1155"/>
    </row>
    <row r="243" spans="1:16" s="20" customFormat="1" ht="14.25" customHeight="1" x14ac:dyDescent="0.2">
      <c r="A243" s="1148"/>
      <c r="B243" s="1157"/>
      <c r="C243" s="21" t="str">
        <f>IF(C239="","",C239)</f>
        <v/>
      </c>
      <c r="D243" s="1160"/>
      <c r="E243" s="1161"/>
      <c r="F243" s="1165" t="str">
        <f>IF(H234=0,"","siehe Zuschläge / Zulagen")</f>
        <v/>
      </c>
      <c r="G243" s="1162"/>
      <c r="H243" s="1164" t="s">
        <v>127</v>
      </c>
      <c r="I243" s="1161"/>
      <c r="J243" s="1164"/>
      <c r="K243" s="1164"/>
      <c r="L243" s="1164"/>
      <c r="M243" s="1161"/>
      <c r="N243" s="1196"/>
      <c r="O243" s="1160"/>
      <c r="P243" s="1155"/>
    </row>
    <row r="244" spans="1:16" s="20" customFormat="1" x14ac:dyDescent="0.2">
      <c r="A244" s="1148"/>
      <c r="B244" s="1157"/>
      <c r="C244" s="142" t="s">
        <v>70</v>
      </c>
      <c r="D244" s="1160"/>
      <c r="E244" s="1161"/>
      <c r="F244" s="1165"/>
      <c r="G244" s="1162"/>
      <c r="H244" s="43" t="s">
        <v>128</v>
      </c>
      <c r="I244" s="1161"/>
      <c r="J244" s="43" t="s">
        <v>255</v>
      </c>
      <c r="K244" s="43" t="s">
        <v>256</v>
      </c>
      <c r="L244" s="43" t="s">
        <v>257</v>
      </c>
      <c r="M244" s="1161"/>
      <c r="N244" s="1196"/>
      <c r="O244" s="1160"/>
      <c r="P244" s="1155"/>
    </row>
    <row r="245" spans="1:16" s="20" customFormat="1" x14ac:dyDescent="0.2">
      <c r="A245" s="1148"/>
      <c r="B245" s="1158"/>
      <c r="C245" s="21" t="str">
        <f>IF(F239="","",F239)</f>
        <v/>
      </c>
      <c r="D245" s="51"/>
      <c r="E245" s="51"/>
      <c r="F245" s="1166"/>
      <c r="G245" s="1163"/>
      <c r="H245" s="93"/>
      <c r="I245" s="21"/>
      <c r="J245" s="139">
        <f>'päd.Personal - Leitung'!$I$69</f>
        <v>0</v>
      </c>
      <c r="K245" s="139">
        <f>'päd.Personal - Leitung'!$J$69</f>
        <v>0</v>
      </c>
      <c r="L245" s="44">
        <f>'päd.Personal - Leitung'!$K$69</f>
        <v>0</v>
      </c>
      <c r="M245" s="21"/>
      <c r="N245" s="21"/>
      <c r="O245" s="21">
        <f>'päd.Personal - Leitung'!$O$69</f>
        <v>0</v>
      </c>
      <c r="P245" s="1156"/>
    </row>
    <row r="246" spans="1:16" s="20" customFormat="1" x14ac:dyDescent="0.2">
      <c r="A246" s="100" t="str">
        <f>'päd.Personal - Leitung'!$A$26</f>
        <v>Jan 2022</v>
      </c>
      <c r="B246" s="24">
        <f>ROUND(IF(N226=0,0,(LOOKUP(2,1/(A234:A237=A246),G234:G237))*N226*4.348*50%),2)</f>
        <v>0</v>
      </c>
      <c r="C246" s="23">
        <f>ROUND(IFERROR(((LOOKUP(2,1/(B239=A246),((SUM(B252:B254)+SUM(F252:F254))/3)*C239))),0)+IFERROR(((LOOKUP(2,1/(E239=A246),(B258+F258)*F239))),0),2)</f>
        <v>0</v>
      </c>
      <c r="D246" s="23">
        <f>ROUND(IF(B246=0,0,D245/L227*N226*50%),2)</f>
        <v>0</v>
      </c>
      <c r="E246" s="23">
        <f>ROUND(IF(B246=0,0,E245/N223*N226*50%),2)</f>
        <v>0</v>
      </c>
      <c r="F246" s="24">
        <f>ROUND(IF(N226=0,0,(LOOKUP(2,1/(A234:A237=A246),H234:H237))/N223*N226*50%),2)</f>
        <v>0</v>
      </c>
      <c r="G246" s="27">
        <f>SUM(B246+C246+E246+F246)</f>
        <v>0</v>
      </c>
      <c r="H246" s="76">
        <f>ROUND(IF((SUM(B246:F246))&gt;L261,L261*H245,SUM(B246:F246)*H245),2)</f>
        <v>0</v>
      </c>
      <c r="I246" s="76">
        <f>ROUND(IF((SUM(B246:F246)*80%)&gt;((L262*1)*90%),((((L262*1)*90%)-((SUM(B246:F246)-C246))*I245)+((SUM(B246:F246)-C246)*I245)*80%),((SUM(B246:F246)-C246)*I245)*80%),2)</f>
        <v>0</v>
      </c>
      <c r="J246" s="76">
        <f>ROUND(IF((SUM(B246:F246))&gt;L262,L262*J245,SUM(B246:F246)*J245),2)</f>
        <v>0</v>
      </c>
      <c r="K246" s="76">
        <f>ROUND(IF((SUM(B246:F246))&gt;L262,L262*K245,SUM(B246:F246)*K245),2)</f>
        <v>0</v>
      </c>
      <c r="L246" s="76">
        <f>ROUND(IF((SUM(B246:F246))&gt;L261,L261*L245,SUM(B246:F246)*L245),2)</f>
        <v>0</v>
      </c>
      <c r="M246" s="76">
        <f>ROUND(IF((SUM(B246:F246))&gt;L262,L262*M245,(SUM(B246:F246)-C246)*M245),2)</f>
        <v>0</v>
      </c>
      <c r="N246" s="23">
        <f>ROUND((B246+E246+F246)*N245,2)</f>
        <v>0</v>
      </c>
      <c r="O246" s="23">
        <f>ROUND(SUM(B246+C246+F246)*O245,2)</f>
        <v>0</v>
      </c>
      <c r="P246" s="27">
        <f>SUM(G246:O246)</f>
        <v>0</v>
      </c>
    </row>
    <row r="247" spans="1:16" s="20" customFormat="1" x14ac:dyDescent="0.2">
      <c r="A247" s="100" t="str">
        <f>'päd.Personal - Leitung'!$A$27</f>
        <v>Feb 2022</v>
      </c>
      <c r="B247" s="24">
        <f>ROUND(IF(N227=0,0,IFERROR(((LOOKUP(2,1/(A234:A237=A247),G234:G237))*N227*4.348*50%),B246/N227*N227)),2)</f>
        <v>0</v>
      </c>
      <c r="C247" s="23">
        <f>ROUND(IFERROR(((LOOKUP(2,1/(B239=A247),((SUM(B252:B254)+SUM(F252:F254))/3)*C239))),0)+IFERROR(((LOOKUP(2,1/(E239=A247),(B258+F258)*F239))),0),2)</f>
        <v>0</v>
      </c>
      <c r="D247" s="23">
        <f>ROUND(IF(B247=0,0,D245/L227*N227*50%),2)</f>
        <v>0</v>
      </c>
      <c r="E247" s="23">
        <f>ROUND(IF(B247=0,0,E245/N223*N227*50%),2)</f>
        <v>0</v>
      </c>
      <c r="F247" s="24">
        <f>ROUND(IF(N227=0,0,IFERROR(((LOOKUP(2,1/(A234:A237=A247),H234:H237))/N223*N227),F246/N227*N227*50%)),2)</f>
        <v>0</v>
      </c>
      <c r="G247" s="27">
        <f t="shared" ref="G247:G257" si="27">SUM(B247+C247+E247+F247)</f>
        <v>0</v>
      </c>
      <c r="H247" s="76">
        <f>ROUND(IF(SUM(B246:F246)&lt;(L261*1),IF((SUM(B246:F247))&gt;(L261*2),(((L261*2)-(SUM(B246:F247)-C246))*H245)+((SUM(B247:F247)-C246)*H245),SUM(B247:F247)*H245),IF(SUM(B246:F247)&gt;(L261*2),L261*H245,SUM(B247:F247)*H245)),2)</f>
        <v>0</v>
      </c>
      <c r="I247" s="76">
        <f>ROUND(IF((SUM(B246:F247)*80%)&gt;((L262*2)*90%),((((L262*2)*90%)-((SUM(B246:F247)-C247))*I245)+((SUM(B247:F247)-C247)*I245)*80%),((SUM(B247:F247)-C247)*I245)*80%),2)</f>
        <v>0</v>
      </c>
      <c r="J247" s="76">
        <f>ROUND(IF(SUM(B246:F246)&lt;(L262*1),IF((SUM(B246:F247))&gt;(L262*2),(((L262*2)-(SUM(B246:F247)-C246))*J245)+((SUM(B247:F247)-C246)*J245),SUM(B247:F247)*J245),IF(SUM(B246:F247)&gt;(L262*2),L262*J245,SUM(B247:F247)*J245)),2)</f>
        <v>0</v>
      </c>
      <c r="K247" s="76">
        <f>ROUND(IF(SUM(B246:F246)&lt;(L262*1),IF((SUM(B246:F247))&gt;(L262*2),(((L262*2)-(SUM(B246:F247)-C246))*K245)+((SUM(B247:F247)-C246)*K245),SUM(B247:F247)*K245),IF(SUM(B246:F247)&gt;(L262*2),L262*K245,SUM(B247:F247)*K245)),2)</f>
        <v>0</v>
      </c>
      <c r="L247" s="76">
        <f>ROUND(IF(SUM(B246:F246)&lt;(L261*1),IF((SUM(B246:F247))&gt;(L261*2),(((L261*2)-(SUM(B246:F247)-C246))*L245)+((SUM(B247:F247)-C246)*L245),SUM(B247:F247)*L245),IF(SUM(B246:F247)&gt;(L261*2),L261*L245,SUM(B247:F247)*L245)),2)</f>
        <v>0</v>
      </c>
      <c r="M247" s="76">
        <f>ROUND(IF(SUM(B246:F246)&lt;(L262*1),IF((SUM(B246:F247))&gt;(L262*2),(((L262*2)-(SUM(B246:F247)-C247))*M245)+((SUM(B247:F247)-C247)*M245),(SUM(B247:F247)-C247)*M245),IF(SUM(B246:F247)&gt;(L262*2),L262*M245,SUM(B247:F247)*M245)),2)</f>
        <v>0</v>
      </c>
      <c r="N247" s="23">
        <f>ROUND((B247+E247+F247)*N245,2)</f>
        <v>0</v>
      </c>
      <c r="O247" s="23">
        <f>ROUND(SUM(B247+C247+F247)*O245,2)</f>
        <v>0</v>
      </c>
      <c r="P247" s="27">
        <f t="shared" ref="P247:P256" si="28">SUM(G247:O247)</f>
        <v>0</v>
      </c>
    </row>
    <row r="248" spans="1:16" s="20" customFormat="1" x14ac:dyDescent="0.2">
      <c r="A248" s="100" t="str">
        <f>'päd.Personal - Leitung'!$A$28</f>
        <v>Mrz 2022</v>
      </c>
      <c r="B248" s="24">
        <f>ROUND(IF(N228=0,0,IFERROR(((LOOKUP(2,1/(A234:A237=A248),G234:G237))*N228*4.348*50%),B247/N228*N228)),2)</f>
        <v>0</v>
      </c>
      <c r="C248" s="23">
        <f>ROUND(IFERROR(((LOOKUP(2,1/(B239=A248),((SUM(B252:B254)+SUM(F252:F254))/3)*C239))),0)+IFERROR(((LOOKUP(2,1/(E239=A248),(B258+F258)*F239))),0),2)</f>
        <v>0</v>
      </c>
      <c r="D248" s="23">
        <f>ROUND(IF(B248=0,0,D245/L227*N228*50%),2)</f>
        <v>0</v>
      </c>
      <c r="E248" s="23">
        <f>ROUND(IF(B248=0,0,E245/N223*N228*50%),2)</f>
        <v>0</v>
      </c>
      <c r="F248" s="24">
        <f>ROUND(IF(N228=0,0,IFERROR(((LOOKUP(2,1/(A234:A237=A248),H234:H237))/N223*N228),F247/N228*N228*50%)),2)</f>
        <v>0</v>
      </c>
      <c r="G248" s="27">
        <f t="shared" si="27"/>
        <v>0</v>
      </c>
      <c r="H248" s="76">
        <f>ROUND(IF(SUM(B246:F247)&lt;(L261*2),IF((SUM(B246:F248))&gt;(L261*3),(((L261*3)-(SUM(B246:F248)-C247))*H245)+((SUM(B248:F248)-C247)*H245),SUM(B248:F248)*H245),IF(SUM(B246:F248)&gt;(L261*3),L261*H245,SUM(B248:F248)*H245)),2)</f>
        <v>0</v>
      </c>
      <c r="I248" s="76">
        <f>ROUND(IF((SUM(B246:F248)*80%)&gt;((L262*3)*90%),((((L262*3)*90%)-((SUM(B246:F248)-C248))*I245)+((SUM(B248:F248)-C248)*I245)*80%),((SUM(B248:F248)-C248)*I245)*80%),2)</f>
        <v>0</v>
      </c>
      <c r="J248" s="76">
        <f>ROUND(IF(SUM(B246:F247)&lt;(L262*2),IF((SUM(B246:F248))&gt;(L262*3),(((L262*3)-(SUM(B246:F248)-C247))*J245)+((SUM(B248:F248)-C247)*J245),SUM(B248:F248)*J245),IF(SUM(B246:F248)&gt;(L262*3),L262*J245,SUM(B248:F248)*J245)),2)</f>
        <v>0</v>
      </c>
      <c r="K248" s="76">
        <f>ROUND(IF(SUM(B246:F247)&lt;(L262*2),IF((SUM(B246:F248))&gt;(L262*3),(((L262*3)-(SUM(B246:F248)-C247))*K245)+((SUM(B248:F248)-C247)*K245),SUM(B248:F248)*K245),IF(SUM(B246:F248)&gt;(L262*3),L262*K245,SUM(B248:F248)*K245)),2)</f>
        <v>0</v>
      </c>
      <c r="L248" s="76">
        <f>ROUND(IF(SUM(B246:F247)&lt;(L261*2),IF((SUM(B246:F248))&gt;(L261*3),(((L261*3)-(SUM(B246:F248)-C247))*L245)+((SUM(B248:F248)-C247)*L245),SUM(B248:F248)*L245),IF(SUM(B246:F248)&gt;(L261*3),L261*L245,SUM(B248:F248)*L245)),2)</f>
        <v>0</v>
      </c>
      <c r="M248" s="76">
        <f>ROUND(IF(SUM(B246:F247)&lt;(L262*2),IF((SUM(B246:F248))&gt;(L262*3),(((L262*3)-(SUM(B246:F248)-C248))*M245)+((SUM(B248:F248)-C248)*M245),(SUM(B248:F248)-C248)*M245),IF(SUM(B246:F248)&gt;(L262*3),L262*M245,SUM(B248:F248)*M245)),2)</f>
        <v>0</v>
      </c>
      <c r="N248" s="23">
        <f>ROUND((B248+E248+F248)*N245,2)</f>
        <v>0</v>
      </c>
      <c r="O248" s="23">
        <f>ROUND(SUM(B248+C248+F248)*O245,2)</f>
        <v>0</v>
      </c>
      <c r="P248" s="27">
        <f t="shared" si="28"/>
        <v>0</v>
      </c>
    </row>
    <row r="249" spans="1:16" s="20" customFormat="1" x14ac:dyDescent="0.2">
      <c r="A249" s="100" t="str">
        <f>'päd.Personal - Leitung'!$A$29</f>
        <v>Apr 2022</v>
      </c>
      <c r="B249" s="24">
        <f>ROUND(IF(N229=0,0,IFERROR(((LOOKUP(2,1/(A234:A237=A249),G234:G237))*N229*4.348*50%),B248/N229*N229)),2)</f>
        <v>0</v>
      </c>
      <c r="C249" s="23">
        <f>ROUND(IFERROR(((LOOKUP(2,1/(B239=A249),((SUM(B252:B254)+SUM(F252:F254))/3)*C239))),0)+IFERROR(((LOOKUP(2,1/(E239=A249),(B258+F258)*F239))),0),2)</f>
        <v>0</v>
      </c>
      <c r="D249" s="23">
        <f>ROUND(IF(B249=0,0,D245/L227*N229*50%),2)</f>
        <v>0</v>
      </c>
      <c r="E249" s="23">
        <f>ROUND(IF(B249=0,0,E245/N223*N229*50%),2)</f>
        <v>0</v>
      </c>
      <c r="F249" s="24">
        <f>ROUND(IF(N229=0,0,IFERROR(((LOOKUP(2,1/(A234:A237=A249),H234:H237))/N223*N229),F248/N229*N229*50%)),2)</f>
        <v>0</v>
      </c>
      <c r="G249" s="27">
        <f t="shared" si="27"/>
        <v>0</v>
      </c>
      <c r="H249" s="76">
        <f>ROUND(IF(SUM(B246:F248)&lt;(L261*3),IF((SUM(B246:F249))&gt;(L261*4),(((L261*4)-(SUM(B246:F249)-C248))*H245)+((SUM(B249:F249)-C248)*H245),SUM(B249:F249)*H245),IF(SUM(B246:F249)&gt;(L261*4),L261*H245,SUM(B249:F249)*H245)),2)</f>
        <v>0</v>
      </c>
      <c r="I249" s="76">
        <f>ROUND(IF((SUM(B246:F249)*80%)&gt;((L262*4)*90%),((((L262*4)*90%)-((SUM(B246:F249)-C249))*I245)+((SUM(B249:F249)-C249)*I245)*80%),((SUM(B249:F249)-C249)*I245)*80%),2)</f>
        <v>0</v>
      </c>
      <c r="J249" s="76">
        <f>ROUND(IF(SUM(B246:F248)&lt;(L262*3),IF((SUM(B246:F249))&gt;(L262*4),(((L262*4)-(SUM(B246:F249)-C248))*J245)+((SUM(B249:F249)-C248)*J245),SUM(B249:F249)*J245),IF(SUM(B246:F249)&gt;(L262*4),L262*J245,SUM(B249:F249)*J245)),2)</f>
        <v>0</v>
      </c>
      <c r="K249" s="76">
        <f>ROUND(IF(SUM(B246:F248)&lt;(L262*3),IF((SUM(B246:F249))&gt;(L262*4),(((L262*4)-(SUM(B246:F249)-C248))*K245)+((SUM(B249:F249)-C248)*K245),SUM(B249:F249)*K245),IF(SUM(B246:F249)&gt;(L262*4),L262*K245,SUM(B249:F249)*K245)),2)</f>
        <v>0</v>
      </c>
      <c r="L249" s="76">
        <f>ROUND(IF(SUM(B246:F248)&lt;(L261*3),IF((SUM(B246:F249))&gt;(L261*4),(((L261*4)-(SUM(B246:F249)-C248))*L245)+((SUM(B249:F249)-C248)*L245),SUM(B249:F249)*L245),IF(SUM(B246:F249)&gt;(L261*4),L261*L245,SUM(B249:F249)*L245)),2)</f>
        <v>0</v>
      </c>
      <c r="M249" s="76">
        <f>ROUND(IF(SUM(B246:F248)&lt;(L262*3),IF((SUM(B246:F249))&gt;(L262*4),(((L262*4)-(SUM(B246:F249)-C249))*M245)+((SUM(B249:F249)-C249)*M245),(SUM(B249:F249)-C249)*M245),IF(SUM(B246:F249)&gt;(L262*4),L262*M245,SUM(B249:F249)*M245)),2)</f>
        <v>0</v>
      </c>
      <c r="N249" s="23">
        <f>ROUND((B249+E249+F249)*N245,2)</f>
        <v>0</v>
      </c>
      <c r="O249" s="23">
        <f>ROUND(SUM(B249+C249+F249)*O245,2)</f>
        <v>0</v>
      </c>
      <c r="P249" s="27">
        <f t="shared" si="28"/>
        <v>0</v>
      </c>
    </row>
    <row r="250" spans="1:16" s="20" customFormat="1" x14ac:dyDescent="0.2">
      <c r="A250" s="100" t="str">
        <f>'päd.Personal - Leitung'!$A$30</f>
        <v>Mai 2022</v>
      </c>
      <c r="B250" s="24">
        <f>ROUND(IF(N230=0,0,IFERROR(((LOOKUP(2,1/(A234:A237=A250),G234:G237))*N230*4.348*50%),B249/N230*N230)),2)</f>
        <v>0</v>
      </c>
      <c r="C250" s="23">
        <f>ROUND(IFERROR(((LOOKUP(2,1/(B239=A250),((SUM(B252:B254)+SUM(F252:F254))/3)*C239))),0)+IFERROR(((LOOKUP(2,1/(E239=A250),(B258+F258)*F239))),0),2)</f>
        <v>0</v>
      </c>
      <c r="D250" s="23">
        <f>ROUND(IF(B250=0,0,D245/L227*N230*50%),2)</f>
        <v>0</v>
      </c>
      <c r="E250" s="23">
        <f>ROUND(IF(B250=0,0,E245/N223*N230*50%),2)</f>
        <v>0</v>
      </c>
      <c r="F250" s="24">
        <f>ROUND(IF(N230=0,0,IFERROR(((LOOKUP(2,1/(A234:A237=A250),H234:H237))/N223*N230),F249/N230*N230*50%)),2)</f>
        <v>0</v>
      </c>
      <c r="G250" s="27">
        <f t="shared" si="27"/>
        <v>0</v>
      </c>
      <c r="H250" s="76">
        <f>ROUND(IF(SUM(B246:F249)&lt;(L261*4),IF((SUM(B246:F250))&gt;(L261*5),(((L261*5)-(SUM(B246:F250)-C249))*H245)+((SUM(B250:F250)-C249)*H245),SUM(B250:F250)*H245),IF(SUM(B246:F250)&gt;(L261*5),L261*H245,SUM(B250:F250)*H245)),2)</f>
        <v>0</v>
      </c>
      <c r="I250" s="76">
        <f>ROUND(IF((SUM(B246:F250)*80%)&gt;((L262*5)*90%),((((L262*5)*90%)-((SUM(B246:F250)-C250))*I245)+((SUM(B250:F250)-C250)*I245)*80%),((SUM(B250:F250)-C250)*I245)*80%),2)</f>
        <v>0</v>
      </c>
      <c r="J250" s="76">
        <f>ROUND(IF(SUM(B246:F249)&lt;(L262*4),IF((SUM(B246:F250))&gt;(L262*5),(((L262*5)-(SUM(B246:F250)-C249))*J245)+((SUM(B250:F250)-C249)*J245),SUM(B250:F250)*J245),IF(SUM(B246:F250)&gt;(L262*5),L262*J245,SUM(B250:F250)*J245)),2)</f>
        <v>0</v>
      </c>
      <c r="K250" s="76">
        <f>ROUND(IF(SUM(B246:F249)&lt;(L262*4),IF((SUM(B246:F250))&gt;(L262*5),(((L262*5)-(SUM(B246:F250)-C249))*K245)+((SUM(B250:F250)-C249)*K245),SUM(B250:F250)*K245),IF(SUM(B246:F250)&gt;(L262*5),L262*K245,SUM(B250:F250)*K245)),2)</f>
        <v>0</v>
      </c>
      <c r="L250" s="76">
        <f>ROUND(IF(SUM(B246:F249)&lt;(L261*4),IF((SUM(B246:F250))&gt;(L261*5),(((L261*5)-(SUM(B246:F250)-C249))*L245)+((SUM(B250:F250)-C249)*L245),SUM(B250:F250)*L245),IF(SUM(B246:F250)&gt;(L261*5),L261*L245,SUM(B250:F250)*L245)),2)</f>
        <v>0</v>
      </c>
      <c r="M250" s="76">
        <f>ROUND(IF(SUM(B246:F249)&lt;(L262*4),IF((SUM(B246:F250))&gt;(L262*5),(((L262*5)-(SUM(B246:F250)-C250))*M245)+((SUM(B250:F250)-C250)*M245),(SUM(B250:F250)-C250)*M245),IF(SUM(B246:F250)&gt;(L262*5),L262*M245,SUM(B250:F250)*M245)),2)</f>
        <v>0</v>
      </c>
      <c r="N250" s="23">
        <f>ROUND((B250+E250+F250)*N245,2)</f>
        <v>0</v>
      </c>
      <c r="O250" s="23">
        <f>ROUND(SUM(B250+C250+F250)*O245,2)</f>
        <v>0</v>
      </c>
      <c r="P250" s="27">
        <f t="shared" si="28"/>
        <v>0</v>
      </c>
    </row>
    <row r="251" spans="1:16" s="20" customFormat="1" x14ac:dyDescent="0.2">
      <c r="A251" s="100" t="str">
        <f>'päd.Personal - Leitung'!$A$31</f>
        <v>Jun 2022</v>
      </c>
      <c r="B251" s="24">
        <f>ROUND(IF(N231=0,0,IFERROR(((LOOKUP(2,1/(A234:A237=A251),G234:G237))*N231*4.348*50%),B250/N231*N231)),2)</f>
        <v>0</v>
      </c>
      <c r="C251" s="23">
        <f>ROUND(IFERROR(((LOOKUP(2,1/(B239=A251),((SUM(B252:B254)+SUM(F252:F254))/3)*C239))),0)+IFERROR(((LOOKUP(2,1/(E239=A251),(B258+F258)*F239))),0),2)</f>
        <v>0</v>
      </c>
      <c r="D251" s="23">
        <f>ROUND(IF(B251=0,0,D245/L227*N231*50%),2)</f>
        <v>0</v>
      </c>
      <c r="E251" s="23">
        <f>ROUND(IF(B251=0,0,E245/N223*N231*50%),2)</f>
        <v>0</v>
      </c>
      <c r="F251" s="24">
        <f>ROUND(IF(N231=0,0,IFERROR(((LOOKUP(2,1/(A234:A237=A251),H234:H237))/N223*N231),F250/N231*N231*50%)),2)</f>
        <v>0</v>
      </c>
      <c r="G251" s="27">
        <f t="shared" si="27"/>
        <v>0</v>
      </c>
      <c r="H251" s="76">
        <f>ROUND(IF(SUM(B246:F250)&lt;(L261*5),IF((SUM(B246:F251))&gt;(L261*6),(((L261*6)-(SUM(B246:F251)-C250))*H245)+((SUM(B251:F251)-C250)*H245),SUM(B251:F251)*H245),IF(SUM(B246:F251)&gt;(L261*6),L261*H245,SUM(B251:F251)*H245)),2)</f>
        <v>0</v>
      </c>
      <c r="I251" s="76">
        <f>ROUND(IF((SUM(B246:F251)*80%)&gt;((L262*6)*90%),((((L262*6)*90%)-((SUM(B246:F251)-C251))*I245)+((SUM(B251:F251)-C251)*I245)*80%),((SUM(B251:F251)-C251)*I245)*80%),2)</f>
        <v>0</v>
      </c>
      <c r="J251" s="76">
        <f>ROUND(IF(SUM(B246:F250)&lt;(L262*5),IF((SUM(B246:F251))&gt;(L262*6),(((L262*6)-(SUM(B246:F251)-C250))*J245)+((SUM(B251:F251)-C250)*J245),SUM(B251:F251)*J245),IF(SUM(B246:F251)&gt;(L262*6),L262*J245,SUM(B251:F251)*J245)),2)</f>
        <v>0</v>
      </c>
      <c r="K251" s="76">
        <f>ROUND(IF(SUM(B246:F250)&lt;(L262*5),IF((SUM(B246:F251))&gt;(L262*6),(((L262*6)-(SUM(B246:F251)-C250))*K245)+((SUM(B251:F251)-C250)*K245),SUM(B251:F251)*K245),IF(SUM(B246:F251)&gt;(L262*6),L262*K245,SUM(B251:F251)*K245)),2)</f>
        <v>0</v>
      </c>
      <c r="L251" s="76">
        <f>ROUND(IF(SUM(B246:F250)&lt;(L261*5),IF((SUM(B246:F251))&gt;(L261*6),(((L261*6)-(SUM(B246:F251)-C250))*L245)+((SUM(B251:F251)-C250)*L245),SUM(B251:F251)*L245),IF(SUM(B246:F251)&gt;(L261*6),L261*L245,SUM(B251:F251)*L245)),2)</f>
        <v>0</v>
      </c>
      <c r="M251" s="76">
        <f>ROUND(IF(SUM(B246:F250)&lt;(L262*5),IF((SUM(B246:F251))&gt;(L262*6),(((L262*6)-(SUM(B246:F251)-C251))*M245)+((SUM(B251:F251)-C251)*M245),(SUM(B251:F251)-C251)*M245),IF(SUM(B246:F251)&gt;(L262*6),L262*M245,SUM(B251:F251)*M245)),2)</f>
        <v>0</v>
      </c>
      <c r="N251" s="23">
        <f>ROUND((B251+E251+F251)*N245,2)</f>
        <v>0</v>
      </c>
      <c r="O251" s="23">
        <f>ROUND(SUM(B251+C251+F251)*O245,2)</f>
        <v>0</v>
      </c>
      <c r="P251" s="27">
        <f t="shared" si="28"/>
        <v>0</v>
      </c>
    </row>
    <row r="252" spans="1:16" s="20" customFormat="1" x14ac:dyDescent="0.2">
      <c r="A252" s="100" t="str">
        <f>'päd.Personal - Leitung'!$A$32</f>
        <v>Jul 2022</v>
      </c>
      <c r="B252" s="24">
        <f>ROUND(IF(P226=0,0,IFERROR(((LOOKUP(2,1/(A234:A237=A252),G234:G237))*P226*4.348*50%),B251/P226*P226)),2)</f>
        <v>0</v>
      </c>
      <c r="C252" s="23">
        <f>ROUND(IFERROR(((LOOKUP(2,1/(B239=A252),((SUM(B252:B254)+SUM(F252:F254))/3)*C239))),0)+IFERROR(((LOOKUP(2,1/(E239=A252),(B258+F258)*F239))),0),2)</f>
        <v>0</v>
      </c>
      <c r="D252" s="23">
        <f>ROUND(IF(B252=0,0,D245/L227*P226*50%),2)</f>
        <v>0</v>
      </c>
      <c r="E252" s="23">
        <f>ROUND(IF(B252=0,0,E245/N223*P226*50%),2)</f>
        <v>0</v>
      </c>
      <c r="F252" s="24">
        <f>ROUND(IF(P226=0,0,IFERROR(((LOOKUP(2,1/(A234:A237=A252),H234:H237))/N223*P226),F251/P226*P226*50%)),2)</f>
        <v>0</v>
      </c>
      <c r="G252" s="27">
        <f t="shared" si="27"/>
        <v>0</v>
      </c>
      <c r="H252" s="76">
        <f>ROUND(IF(SUM(B246:F251)&lt;(L261*6),IF((SUM(B246:F252))&gt;(L261*7),(((L261*7)-(SUM(B246:F252)-C251))*H245)+((SUM(B252:F252)-C251)*H245),SUM(B252:F252)*H245),IF(SUM(B246:F252)&gt;(L261*7),L261*H245,SUM(B252:F252)*H245)),2)</f>
        <v>0</v>
      </c>
      <c r="I252" s="76">
        <f>ROUND(IF((SUM(B246:F252)*80%)&gt;((L262*7)*90%),((((L262*7)*90%)-((SUM(B246:F252)-C252))*I245)+((SUM(B252:F252)-C252)*I245)*80%),((SUM(B252:F252)-C252)*I245)*80%),2)</f>
        <v>0</v>
      </c>
      <c r="J252" s="76">
        <f>ROUND(IF(SUM(B246:F251)&lt;(L262*6),IF((SUM(B246:F252))&gt;(L262*7),(((L262*7)-(SUM(B246:F252)-C251))*J245)+((SUM(B252:F252)-C251)*J245),SUM(B252:F252)*J245),IF(SUM(B246:F252)&gt;(L262*7),L262*J245,SUM(B252:F252)*J245)),2)</f>
        <v>0</v>
      </c>
      <c r="K252" s="76">
        <f>ROUND(IF(SUM(B246:F251)&lt;(L262*6),IF((SUM(B246:F252))&gt;(L262*7),(((L262*7)-(SUM(B246:F252)-C251))*K245)+((SUM(B252:F252)-C251)*K245),SUM(B252:F252)*K245),IF(SUM(B246:F252)&gt;(L262*7),L262*K245,SUM(B252:F252)*K245)),2)</f>
        <v>0</v>
      </c>
      <c r="L252" s="76">
        <f>ROUND(IF(SUM(B246:F251)&lt;(L261*6),IF((SUM(B246:F252))&gt;(L261*7),(((L261*7)-(SUM(B246:F252)-C251))*L245)+((SUM(B252:F252)-C251)*L245),SUM(B252:F252)*L245),IF(SUM(B246:F252)&gt;(L261*7),L261*L245,SUM(B252:F252)*L245)),2)</f>
        <v>0</v>
      </c>
      <c r="M252" s="76">
        <f>ROUND(IF(SUM(B246:F251)&lt;(L262*6),IF((SUM(B246:F252))&gt;(L262*7),(((L262*7)-(SUM(B246:F252)-C252))*M245)+((SUM(B252:F252)-C252)*M245),(SUM(B252:F252)-C252)*M245),IF(SUM(B246:F252)&gt;(L262*7),L262*M245,SUM(B252:F252)*M245)),2)</f>
        <v>0</v>
      </c>
      <c r="N252" s="23">
        <f>ROUND((B252+E252+F252)*N245,2)</f>
        <v>0</v>
      </c>
      <c r="O252" s="23">
        <f>ROUND(SUM(B252+C252+F252)*O245,2)</f>
        <v>0</v>
      </c>
      <c r="P252" s="27">
        <f t="shared" si="28"/>
        <v>0</v>
      </c>
    </row>
    <row r="253" spans="1:16" s="20" customFormat="1" x14ac:dyDescent="0.2">
      <c r="A253" s="100" t="str">
        <f>'päd.Personal - Leitung'!$A$33</f>
        <v>Aug 2022</v>
      </c>
      <c r="B253" s="24">
        <f>ROUND(IF(P227=0,0,IFERROR(((LOOKUP(2,1/(A234:A237=A253),G234:G237))*P227*4.348*50%),B252/P227*P227)),2)</f>
        <v>0</v>
      </c>
      <c r="C253" s="23">
        <f>ROUND(IFERROR(((LOOKUP(2,1/(B239=A253),((SUM(B252:B254)+SUM(F252:F254))/3)*C239))),0)+IFERROR(((LOOKUP(2,1/(E239=A253),(B258+F258)*F239))),0),2)</f>
        <v>0</v>
      </c>
      <c r="D253" s="23">
        <f>ROUND(IF(B253=0,0,D245/L227*P227*50%),2)</f>
        <v>0</v>
      </c>
      <c r="E253" s="23">
        <f>ROUND(IF(B253=0,0,E245/N223*P227*50%),2)</f>
        <v>0</v>
      </c>
      <c r="F253" s="24">
        <f>ROUND(IF(P227=0,0,IFERROR(((LOOKUP(2,1/(A234:A237=A253),H234:H237))/N223*P227),F252/P227*P227*50%)),2)</f>
        <v>0</v>
      </c>
      <c r="G253" s="27">
        <f t="shared" si="27"/>
        <v>0</v>
      </c>
      <c r="H253" s="76">
        <f>ROUND(IF(SUM(B246:F252)&lt;(L261*7),IF((SUM(B246:F253))&gt;(L261*8),(((L261*8)-(SUM(B246:F253)-C252))*H245)+((SUM(B253:F253)-C252)*H245),SUM(B253:F253)*H245),IF(SUM(B246:F253)&gt;(L261*8),L261*H245,SUM(B253:F253)*H245)),2)</f>
        <v>0</v>
      </c>
      <c r="I253" s="76">
        <f>ROUND(IF((SUM(B246:F253)*80%)&gt;((L262*8)*90%),((((L262*8)*90%)-((SUM(B246:F253)-C253))*I245)+((SUM(B253:F253)-C253)*I245)*80%),((SUM(B253:F253)-C253)*I245)*80%),2)</f>
        <v>0</v>
      </c>
      <c r="J253" s="76">
        <f>ROUND(IF(SUM(B246:F252)&lt;(L262*7),IF((SUM(B246:F253))&gt;(L262*8),(((L262*8)-(SUM(B246:F253)-C252))*J245)+((SUM(B253:F253)-C252)*J245),SUM(B253:F253)*J245),IF(SUM(B246:F253)&gt;(L262*8),L262*J245,SUM(B253:F253)*J245)),2)</f>
        <v>0</v>
      </c>
      <c r="K253" s="76">
        <f>ROUND(IF(SUM(B246:F252)&lt;(L262*7),IF((SUM(B246:F253))&gt;(L262*8),(((L262*8)-(SUM(B246:F253)-C252))*K245)+((SUM(B253:F253)-C252)*K245),SUM(B253:F253)*K245),IF(SUM(B246:F253)&gt;(L262*8),L262*K245,SUM(B253:F253)*K245)),2)</f>
        <v>0</v>
      </c>
      <c r="L253" s="76">
        <f>ROUND(IF(SUM(B246:F252)&lt;(L261*7),IF((SUM(B246:F253))&gt;(L261*8),(((L261*8)-(SUM(B246:F253)-C252))*L245)+((SUM(B253:F253)-C252)*L245),SUM(B253:F253)*L245),IF(SUM(B246:F253)&gt;(L261*8),L261*L245,SUM(B253:F253)*L245)),2)</f>
        <v>0</v>
      </c>
      <c r="M253" s="76">
        <f>ROUND(IF(SUM(B246:F252)&lt;(L262*7),IF((SUM(B246:F253))&gt;(L262*8),(((L262*8)-(SUM(B246:F253)-C253))*M245)+((SUM(B253:F253)-C253)*M245),(SUM(B253:F253)-C253)*M245),IF(SUM(B246:F253)&gt;(L262*8),L262*M245,SUM(B253:F253)*M245)),2)</f>
        <v>0</v>
      </c>
      <c r="N253" s="23">
        <f>ROUND((B253+E253+F253)*N245,2)</f>
        <v>0</v>
      </c>
      <c r="O253" s="23">
        <f>ROUND(SUM(B253+C253+F253)*O245,2)</f>
        <v>0</v>
      </c>
      <c r="P253" s="27">
        <f t="shared" si="28"/>
        <v>0</v>
      </c>
    </row>
    <row r="254" spans="1:16" s="20" customFormat="1" x14ac:dyDescent="0.2">
      <c r="A254" s="100" t="str">
        <f>'päd.Personal - Leitung'!$A$34</f>
        <v>Sep 2022</v>
      </c>
      <c r="B254" s="24">
        <f>ROUND(IF(P228=0,0,IFERROR(((LOOKUP(2,1/(A234:A237=A254),G234:G237))*P228*4.348*50%),B253/P228*P228)),2)</f>
        <v>0</v>
      </c>
      <c r="C254" s="23">
        <f>ROUND(IFERROR(((LOOKUP(2,1/(B239=A254),((SUM(B252:B254)+SUM(F252:F254))/3)*C239))),0)+IFERROR(((LOOKUP(2,1/(E239=A254),(B258+F258)*F239))),0),2)</f>
        <v>0</v>
      </c>
      <c r="D254" s="23">
        <f>ROUND(IF(B254=0,0,D245/L227*P228*50%),2)</f>
        <v>0</v>
      </c>
      <c r="E254" s="23">
        <f>ROUND(IF(B254=0,0,E245/N223*P228*50),2)</f>
        <v>0</v>
      </c>
      <c r="F254" s="24">
        <f>ROUND(IF(P228=0,0,IFERROR(((LOOKUP(2,1/(A234:A237=A254),H234:H237))/N223*P228),F253/P228*P228*50%)),2)</f>
        <v>0</v>
      </c>
      <c r="G254" s="27">
        <f t="shared" si="27"/>
        <v>0</v>
      </c>
      <c r="H254" s="76">
        <f>ROUND(IF(SUM(B246:F253)&lt;(L261*8),IF((SUM(B246:F254))&gt;(L261*9),(((L261*9)-(SUM(B246:F254)-C253))*H245)+((SUM(B254:F254)-C253)*H245),SUM(B254:F254)*H245),IF(SUM(B246:F254)&gt;(L261*9),L261*H245,SUM(B254:F254)*H245)),2)</f>
        <v>0</v>
      </c>
      <c r="I254" s="76">
        <f>ROUND(IF((SUM(B246:F254)*80%)&gt;((L262*9)*90%),((((L262*9)*90%)-((SUM(B246:F254)-C254))*I245)+((SUM(B254:F254)-C254)*I245)*80%),((SUM(B254:F254)-C254)*I245)*80%),2)</f>
        <v>0</v>
      </c>
      <c r="J254" s="76">
        <f>ROUND(IF(SUM(B246:F253)&lt;(L262*8),IF((SUM(B246:F254))&gt;(L262*9),(((L262*9)-(SUM(B246:F254)-C253))*J245)+((SUM(B254:F254)-C253)*J245),SUM(B254:F254)*J245),IF(SUM(B246:F254)&gt;(L262*9),L262*J245,SUM(B254:F254)*J245)),2)</f>
        <v>0</v>
      </c>
      <c r="K254" s="76">
        <f>ROUND(IF(SUM(B246:F253)&lt;(L262*8),IF((SUM(B246:F254))&gt;(L262*9),(((L262*9)-(SUM(B246:F254)-C253))*K245)+((SUM(B254:F254)-C253)*K245),SUM(B254:F254)*K245),IF(SUM(B246:F254)&gt;(L262*9),L262*K245,SUM(B254:F254)*K245)),2)</f>
        <v>0</v>
      </c>
      <c r="L254" s="76">
        <f>ROUND(IF(SUM(B246:F253)&lt;(L261*8),IF((SUM(B246:F254))&gt;(L261*9),(((L261*9)-(SUM(B246:F254)-C253))*L245)+((SUM(B254:F254)-C253)*L245),SUM(B254:F254)*L245),IF(SUM(B246:F254)&gt;(L261*9),L261*L245,SUM(B254:F254)*L245)),2)</f>
        <v>0</v>
      </c>
      <c r="M254" s="76">
        <f>ROUND(IF(SUM(B246:F253)&lt;(L262*8),IF((SUM(B246:F254))&gt;(L262*9),(((L262*9)-(SUM(B246:F254)-C254))*M245)+((SUM(B254:F254)-C254)*M245),(SUM(B254:F254)-C254)*M245),IF(SUM(B246:F254)&gt;(L262*9),L262*M245,SUM(B254:F254)*M245)),2)</f>
        <v>0</v>
      </c>
      <c r="N254" s="23">
        <f>ROUND((B254+E254+F254)*N245,2)</f>
        <v>0</v>
      </c>
      <c r="O254" s="23">
        <f>ROUND(SUM(B254+C254+F254)*O245,2)</f>
        <v>0</v>
      </c>
      <c r="P254" s="27">
        <f t="shared" si="28"/>
        <v>0</v>
      </c>
    </row>
    <row r="255" spans="1:16" s="20" customFormat="1" x14ac:dyDescent="0.2">
      <c r="A255" s="100" t="str">
        <f>'päd.Personal - Leitung'!$A$35</f>
        <v>Okt 2022</v>
      </c>
      <c r="B255" s="24">
        <f>ROUND(IF(P229=0,0,IFERROR(((LOOKUP(2,1/(A234:A237=A255),G234:G237))*P229*4.348*50%),B254/P229*P229)),2)</f>
        <v>0</v>
      </c>
      <c r="C255" s="23">
        <f>ROUND(IFERROR(((LOOKUP(2,1/(B239=A255),((SUM(B252:B254)+SUM(F252:F254))/3)*C239))),0)+IFERROR(((LOOKUP(2,1/(E239=A255),(B258+F258)*F239))),0),2)</f>
        <v>0</v>
      </c>
      <c r="D255" s="23">
        <f>ROUND(IF(B255=0,0,D245/L227*P229*50%),2)</f>
        <v>0</v>
      </c>
      <c r="E255" s="23">
        <f>ROUND(IF(B255=0,0,E245/N223*P229*50%),2)</f>
        <v>0</v>
      </c>
      <c r="F255" s="24">
        <f>ROUND(IF(P229=0,0,IFERROR(((LOOKUP(2,1/(A234:A237=A255),H234:H237))/N223*P229),F254/P229*P229*50%)),2)</f>
        <v>0</v>
      </c>
      <c r="G255" s="27">
        <f t="shared" si="27"/>
        <v>0</v>
      </c>
      <c r="H255" s="76">
        <f>ROUND(IF(SUM(B246:F254)&lt;(L261*9),IF((SUM(B246:F255))&gt;(L261*10),(((L261*10)-(SUM(B246:F255)-C254))*H245)+((SUM(B255:F255)-C254)*H245),SUM(B255:F255)*H245),IF(SUM(B246:F255)&gt;(L261*10),L261*H245,SUM(B255:F255)*H245)),2)</f>
        <v>0</v>
      </c>
      <c r="I255" s="76">
        <f>ROUND(IF((SUM(B246:F255)*80%)&gt;((L262*10)*90%),((((L262*10)*90%)-((SUM(B246:F255)-C255))*I245)+((SUM(B255:F255)-C255)*I245)*80%),((SUM(B255:F255)-C255)*I245)*80%),2)</f>
        <v>0</v>
      </c>
      <c r="J255" s="76">
        <f>ROUND(IF(SUM(B246:F254)&lt;(L262*9),IF((SUM(B246:F255))&gt;(L262*10),(((L262*10)-(SUM(B246:F255)-C254))*J245)+((SUM(B255:F255)-C254)*J245),SUM(B255:F255)*J245),IF(SUM(B246:F255)&gt;(L262*10),L262*J245,SUM(B255:F255)*J245)),2)</f>
        <v>0</v>
      </c>
      <c r="K255" s="76">
        <f>ROUND(IF(SUM(B246:F254)&lt;(L262*9),IF((SUM(B246:F255))&gt;(L262*10),(((L262*10)-(SUM(B246:F255)-C254))*K245)+((SUM(B255:F255)-C254)*K245),SUM(B255:F255)*K245),IF(SUM(B246:F255)&gt;(L262*10),L262*K245,SUM(B255:F255)*K245)),2)</f>
        <v>0</v>
      </c>
      <c r="L255" s="76">
        <f>ROUND(IF(SUM(B246:F254)&lt;(L261*9),IF((SUM(B246:F255))&gt;(L261*10),(((L261*10)-(SUM(B246:F255)-C254))*L245)+((SUM(B255:F255)-C254)*L245),SUM(B255:F255)*L245),IF(SUM(B246:F255)&gt;(L261*10),L261*L245,SUM(B255:F255)*L245)),2)</f>
        <v>0</v>
      </c>
      <c r="M255" s="76">
        <f>ROUND(IF(SUM(B246:F254)&lt;(L262*9),IF((SUM(B246:F255))&gt;(L262*10),(((L262*10)-(SUM(B246:F255)-C255))*M245)+((SUM(B255:F255)-C255)*M245),(SUM(B255:F255)-C255)*M245),IF(SUM(B246:F255)&gt;(L262*10),L262*M245,SUM(B255:F255)*M245)),2)</f>
        <v>0</v>
      </c>
      <c r="N255" s="23">
        <f>ROUND((B255+E255+F255)*N245,2)</f>
        <v>0</v>
      </c>
      <c r="O255" s="23">
        <f>ROUND(SUM(B255+C255+F255)*O245,2)</f>
        <v>0</v>
      </c>
      <c r="P255" s="27">
        <f t="shared" si="28"/>
        <v>0</v>
      </c>
    </row>
    <row r="256" spans="1:16" s="20" customFormat="1" x14ac:dyDescent="0.2">
      <c r="A256" s="100" t="str">
        <f>'päd.Personal - Leitung'!$A$36</f>
        <v>Nov 2022</v>
      </c>
      <c r="B256" s="24">
        <f>ROUND(IF(P230=0,0,IFERROR(((LOOKUP(2,1/(A234:A237=A256),G234:G237))*P230*4.348*50%),B255/P230*P230)),2)</f>
        <v>0</v>
      </c>
      <c r="C256" s="23">
        <f>ROUND(IFERROR(((LOOKUP(2,1/(B239=A256),((SUM(B252:B254)+SUM(F252:F254))/3)*C239))),0)+IFERROR(((LOOKUP(2,1/(E239=A256),(B258+F258)*F239))),0),2)</f>
        <v>0</v>
      </c>
      <c r="D256" s="23">
        <f>ROUND(IF(B256=0,0,D245/L227*P230*50%),2)</f>
        <v>0</v>
      </c>
      <c r="E256" s="23">
        <f>ROUND(IF(B256=0,0,E245/N223*P230*50%),2)</f>
        <v>0</v>
      </c>
      <c r="F256" s="24">
        <f>ROUND(IF(P230=0,0,IFERROR(((LOOKUP(2,1/(A234:A237=A256),H234:H237))/N223*P230),F255/P230*P230*50%)),2)</f>
        <v>0</v>
      </c>
      <c r="G256" s="27">
        <f t="shared" si="27"/>
        <v>0</v>
      </c>
      <c r="H256" s="76">
        <f>ROUND(IF(SUM(B246:F255)&lt;(L261*10),IF((SUM(B246:F256))&gt;(L261*11),(((L261*11)-(SUM(B246:F256)-C255))*H245)+((SUM(B256:F256)-C255)*H245),SUM(B256:F256)*H245),IF(SUM(B246:F256)&gt;(L261*11),L261*H245,SUM(B256:F256)*H245)),2)</f>
        <v>0</v>
      </c>
      <c r="I256" s="76">
        <f>ROUND(IF((SUM(B246:F256)*80%)&gt;((L262*11)*90%),((((L262*11)*90%)-((SUM(B246:F256)-C256))*I245)+((SUM(B256:F256)-C256)*I245)*80%),((SUM(B256:F256)-C256)*I245)*80%),2)</f>
        <v>0</v>
      </c>
      <c r="J256" s="76">
        <f>ROUND(IF(SUM(B246:F255)&lt;(L262*10),IF((SUM(B246:F256))&gt;(L262*11),(((L262*11)-(SUM(B246:F256)-C255))*J245)+((SUM(B256:F256)-C255)*J245),SUM(B256:F256)*J245),IF(SUM(B246:F256)&gt;(L262*11),L262*J245,SUM(B256:F256)*J245)),2)</f>
        <v>0</v>
      </c>
      <c r="K256" s="76">
        <f>ROUND(IF(SUM(B246:F255)&lt;(L262*10),IF((SUM(B246:F256))&gt;(L262*11),(((L262*11)-(SUM(B246:F256)-C255))*K245)+((SUM(B256:F256)-C255)*K245),SUM(B256:F256)*K245),IF(SUM(B246:F256)&gt;(L262*11),L262*K245,SUM(B256:F256)*K245)),2)</f>
        <v>0</v>
      </c>
      <c r="L256" s="76">
        <f>ROUND(IF(SUM(B246:F255)&lt;(L261*10),IF((SUM(B246:F256))&gt;(L261*11),(((L261*11)-(SUM(B246:F256)-C255))*L245)+((SUM(B256:F256)-C255)*L245),SUM(B256:F256)*L245),IF(SUM(B246:F256)&gt;(L261*11),L261*L245,SUM(B256:F256)*L245)),2)</f>
        <v>0</v>
      </c>
      <c r="M256" s="76">
        <f>ROUND(IF(SUM(B246:F255)&lt;(L262*10),IF((SUM(B246:F256))&gt;(L262*11),(((L262*11)-(SUM(B246:F256)-C256))*M245)+((SUM(B256:F256)-C256)*M245),(SUM(B256:F256)-C256)*M245),IF(SUM(B246:F256)&gt;(L262*11),L262*M245,SUM(B256:F256)*M245)),2)</f>
        <v>0</v>
      </c>
      <c r="N256" s="23">
        <f>ROUND((B256+E256+F256)*N245,2)</f>
        <v>0</v>
      </c>
      <c r="O256" s="23">
        <f>ROUND(SUM(B256+C256+F256)*O245,2)</f>
        <v>0</v>
      </c>
      <c r="P256" s="27">
        <f t="shared" si="28"/>
        <v>0</v>
      </c>
    </row>
    <row r="257" spans="1:16" s="20" customFormat="1" x14ac:dyDescent="0.2">
      <c r="A257" s="100" t="str">
        <f>'päd.Personal - Leitung'!$A$37</f>
        <v>Dez 2022</v>
      </c>
      <c r="B257" s="24">
        <f>ROUND(IF(P231=0,0,IFERROR(((LOOKUP(2,1/(A234:A237=A257),G234:G237))*P231*4.348*50%),B256/P231*P231)),2)</f>
        <v>0</v>
      </c>
      <c r="C257" s="23">
        <f>ROUND(IFERROR(((LOOKUP(2,1/(B239=A257),((SUM(B252:B254)+SUM(F252:F254))/3)*C239))),0)+IFERROR(((LOOKUP(2,1/(E239=A257),(B258+F258)*F239))),0),2)</f>
        <v>0</v>
      </c>
      <c r="D257" s="23">
        <f>ROUND(IF(B257=0,0,D245/L227*P231*50%),2)</f>
        <v>0</v>
      </c>
      <c r="E257" s="23">
        <f>ROUND(IF(B257=0,0,E245/N223*P231*50%),2)</f>
        <v>0</v>
      </c>
      <c r="F257" s="24">
        <f>ROUND(IF(P231=0,0,IFERROR(((LOOKUP(2,1/(A234:A237=A257),H234:H237))/N223*P231),F256/P231*P231*50%)),2)</f>
        <v>0</v>
      </c>
      <c r="G257" s="27">
        <f t="shared" si="27"/>
        <v>0</v>
      </c>
      <c r="H257" s="76">
        <f>ROUND(IF(SUM(B246:F256)&lt;(L261*11),IF((SUM(B246:F257))&gt;(L261*12),(((L261*12)-(SUM(B246:F257)-C256))*H245)+((SUM(B257:F257)-C256)*H245),SUM(B257:F257)*H245),IF(SUM(B246:F257)&gt;(L261*12),L261*H245,SUM(B257:F257)*H245)),2)</f>
        <v>0</v>
      </c>
      <c r="I257" s="76">
        <f>ROUND(IF((SUM(B246:F257)*80%)&gt;((L262*12)*90%),((((L262*12)*90%)-((SUM(B246:F257)-C257))*I245)+((SUM(B257:F257)-C257)*I245)*80%),((SUM(B257:F257)-C257)*I245)*80%),2)</f>
        <v>0</v>
      </c>
      <c r="J257" s="76">
        <f>ROUND(IF(SUM(B246:F256)&lt;(L262*11),IF((SUM(B246:F257))&gt;(L262*12),(((L262*12)-(SUM(B246:F257)-C256))*J245)+((SUM(B257:F257)-C256)*J245),SUM(B257:F257)*J245),IF(SUM(B246:F257)&gt;(L262*12),L262*J245,SUM(B257:F257)*J245)),2)</f>
        <v>0</v>
      </c>
      <c r="K257" s="76">
        <f>ROUND(IF(SUM(B246:F256)&lt;(L262*11),IF((SUM(B246:F257))&gt;(L262*12),(((L262*12)-(SUM(B246:F257)-C256))*K245)+((SUM(B257:F257)-C256)*K245),SUM(B257:F257)*K245),IF(SUM(B246:F257)&gt;(L262*12),L262*K245,SUM(B257:F257)*K245)),2)</f>
        <v>0</v>
      </c>
      <c r="L257" s="76">
        <f>ROUND(IF(SUM(B246:F256)&lt;(L261*11),IF((SUM(B246:F257))&gt;(L261*12),(((L261*12)-(SUM(B246:F257)-C256))*L245)+((SUM(B257:F257)-C256)*L245),SUM(B257:F257)*L245),IF(SUM(B246:F257)&gt;(L261*12),L261*L245,SUM(B257:F257)*L245)),2)</f>
        <v>0</v>
      </c>
      <c r="M257" s="76">
        <f>ROUND(IF(SUM(B246:F256)&lt;(L262*11),IF((SUM(B246:F257))&gt;(L262*12),(((L262*12)-(SUM(B246:F257)-C257))*M245)+((SUM(B257:F257)-C257)*M245),(SUM(B257:F257)-C257)*M245),IF(SUM(B246:F257)&gt;(L262*12),L262*M245,SUM(B257:F257)*M245)),2)</f>
        <v>0</v>
      </c>
      <c r="N257" s="23">
        <f>ROUND((B257+E257+F257)*N245,2)</f>
        <v>0</v>
      </c>
      <c r="O257" s="23">
        <f>ROUND(SUM(B257+C257+F257)*O245,2)</f>
        <v>0</v>
      </c>
      <c r="P257" s="27">
        <f>SUM(G257:O257)</f>
        <v>0</v>
      </c>
    </row>
    <row r="258" spans="1:16" s="20" customFormat="1" x14ac:dyDescent="0.2">
      <c r="A258" s="4" t="s">
        <v>2</v>
      </c>
      <c r="B258" s="27">
        <f>SUM(B246:B257)</f>
        <v>0</v>
      </c>
      <c r="C258" s="27">
        <f t="shared" ref="C258:G258" si="29">SUM(C246:C257)</f>
        <v>0</v>
      </c>
      <c r="D258" s="27">
        <f>SUM(D246:D257)</f>
        <v>0</v>
      </c>
      <c r="E258" s="27">
        <f t="shared" si="29"/>
        <v>0</v>
      </c>
      <c r="F258" s="27">
        <f t="shared" si="29"/>
        <v>0</v>
      </c>
      <c r="G258" s="27">
        <f t="shared" si="29"/>
        <v>0</v>
      </c>
      <c r="H258" s="1133">
        <f>SUM(H246:M257)</f>
        <v>0</v>
      </c>
      <c r="I258" s="1134"/>
      <c r="J258" s="1134"/>
      <c r="K258" s="1134"/>
      <c r="L258" s="1134"/>
      <c r="M258" s="1134"/>
      <c r="N258" s="27">
        <f>SUM(N246:N257)</f>
        <v>0</v>
      </c>
      <c r="O258" s="27">
        <f>SUM(O246:O257)</f>
        <v>0</v>
      </c>
      <c r="P258" s="27">
        <f>SUM(P246:P257)</f>
        <v>0</v>
      </c>
    </row>
    <row r="259" spans="1:16" s="13" customFormat="1" ht="11.25" x14ac:dyDescent="0.2">
      <c r="A259" s="3" t="s">
        <v>1</v>
      </c>
      <c r="B259" s="2"/>
      <c r="C259" s="2"/>
      <c r="D259" s="2"/>
      <c r="E259" s="2"/>
      <c r="F259" s="2"/>
      <c r="G259" s="2"/>
      <c r="H259" s="2"/>
      <c r="I259" s="2"/>
      <c r="J259" s="2"/>
      <c r="K259" s="2"/>
      <c r="L259" s="2"/>
      <c r="M259" s="2"/>
      <c r="N259" s="2"/>
      <c r="O259" s="2"/>
      <c r="P259" s="2"/>
    </row>
    <row r="260" spans="1:16" ht="14.25" customHeight="1" x14ac:dyDescent="0.2">
      <c r="A260" s="1136" t="s">
        <v>133</v>
      </c>
      <c r="B260" s="1137"/>
      <c r="C260" s="1137"/>
      <c r="D260" s="1137" t="s">
        <v>134</v>
      </c>
      <c r="E260" s="1137"/>
      <c r="F260" s="94" t="str">
        <f>IF(IF(G258=0,"",$F$40)=0,"",IF(G258=0,"",$F$40))</f>
        <v/>
      </c>
      <c r="G260" s="77" t="s">
        <v>135</v>
      </c>
      <c r="H260" s="96" t="str">
        <f>IF(IF(G258=0,"",$H$40)=0,"",IF(G258=0,"",$H$40))</f>
        <v/>
      </c>
      <c r="I260" s="73"/>
      <c r="J260" s="194" t="s">
        <v>160</v>
      </c>
      <c r="K260" s="194" t="str">
        <f>'päd.Personal - Leitung'!$K$40</f>
        <v>2021</v>
      </c>
      <c r="L260" s="194" t="str">
        <f>'päd.Personal - Leitung'!$L$40</f>
        <v>anteilig 2021</v>
      </c>
      <c r="M260" s="1138" t="s">
        <v>140</v>
      </c>
      <c r="N260" s="1138"/>
      <c r="O260" s="1139"/>
      <c r="P260" s="27">
        <f>ROUND(IF(F260="",IF(E264="",0,(E264*H264/K264)/L227*L228),G258*F260*H260/1000),2)</f>
        <v>0</v>
      </c>
    </row>
    <row r="261" spans="1:16" ht="15" customHeight="1" x14ac:dyDescent="0.2">
      <c r="A261" s="1140" t="s">
        <v>145</v>
      </c>
      <c r="B261" s="1141"/>
      <c r="C261" s="1141"/>
      <c r="D261" s="18"/>
      <c r="E261" s="107" t="s">
        <v>135</v>
      </c>
      <c r="F261" s="95" t="str">
        <f>IF(IF(G258=0,"",$F$41)=0,"",IF(G258=0,"",$F$41))</f>
        <v/>
      </c>
      <c r="G261" s="48"/>
      <c r="H261" s="47"/>
      <c r="I261" s="48"/>
      <c r="J261" s="195" t="s">
        <v>158</v>
      </c>
      <c r="K261" s="198">
        <f>'päd.Personal - Leitung'!$K$41</f>
        <v>4837.5</v>
      </c>
      <c r="L261" s="197">
        <f>IF(L227="",K261,K261/L227*L228)</f>
        <v>4837.5</v>
      </c>
      <c r="M261" s="1138" t="s">
        <v>139</v>
      </c>
      <c r="N261" s="1138"/>
      <c r="O261" s="1139"/>
      <c r="P261" s="27">
        <f>ROUND(IF(F261="",0,G258*F261/1000),2)</f>
        <v>0</v>
      </c>
    </row>
    <row r="262" spans="1:16" ht="15.75" customHeight="1" x14ac:dyDescent="0.2">
      <c r="A262" s="1142" t="s">
        <v>141</v>
      </c>
      <c r="B262" s="1143"/>
      <c r="C262" s="1143"/>
      <c r="D262" s="1144" t="s">
        <v>143</v>
      </c>
      <c r="E262" s="1144"/>
      <c r="F262" s="1145" t="str">
        <f>IF(IF(G258=0,"",$F$42)=0,"",IF(G258=0,"",$F$42))</f>
        <v/>
      </c>
      <c r="G262" s="1145"/>
      <c r="H262" s="72"/>
      <c r="I262" s="18"/>
      <c r="J262" s="195" t="s">
        <v>159</v>
      </c>
      <c r="K262" s="198">
        <f>'päd.Personal - Leitung'!$K$42</f>
        <v>6700</v>
      </c>
      <c r="L262" s="197">
        <f>IF(L227="",K262,K262/L227*L228)</f>
        <v>6700</v>
      </c>
      <c r="M262" s="1138" t="s">
        <v>141</v>
      </c>
      <c r="N262" s="1138"/>
      <c r="O262" s="1139"/>
      <c r="P262" s="23">
        <f>ROUND(IF(F262="",0,IF(G258=0,0,F262/L227*L228)),2)</f>
        <v>0</v>
      </c>
    </row>
    <row r="263" spans="1:16" ht="14.25" customHeight="1" x14ac:dyDescent="0.2">
      <c r="A263" s="18"/>
      <c r="B263" s="18"/>
      <c r="C263" s="18"/>
      <c r="D263" s="18"/>
      <c r="E263" s="18"/>
      <c r="F263" s="18"/>
      <c r="G263" s="18"/>
      <c r="H263" s="18"/>
      <c r="I263" s="18"/>
      <c r="J263" s="18"/>
      <c r="K263" s="74"/>
      <c r="L263" s="82"/>
      <c r="M263" s="1127" t="s">
        <v>146</v>
      </c>
      <c r="N263" s="1127"/>
      <c r="O263" s="1128"/>
      <c r="P263" s="23">
        <f>ROUND(IF(G258=0,0,$P$43),2)</f>
        <v>0</v>
      </c>
    </row>
    <row r="264" spans="1:16" ht="14.25" customHeight="1" x14ac:dyDescent="0.2">
      <c r="A264" s="1129" t="s">
        <v>142</v>
      </c>
      <c r="B264" s="1130"/>
      <c r="C264" s="148" t="s">
        <v>136</v>
      </c>
      <c r="D264" s="184" t="s">
        <v>137</v>
      </c>
      <c r="E264" s="1131" t="str">
        <f>IF(IF(G258=0,"",$E$44)=0,"",IF(G258=0,"",$E$44))</f>
        <v/>
      </c>
      <c r="F264" s="1131"/>
      <c r="G264" s="83" t="s">
        <v>138</v>
      </c>
      <c r="H264" s="97" t="str">
        <f>IF(IF(G258=0,"",$H$44)=0,"",IF(G258=0,"",$H$44))</f>
        <v/>
      </c>
      <c r="I264" s="1132" t="s">
        <v>144</v>
      </c>
      <c r="J264" s="1132"/>
      <c r="K264" s="98" t="str">
        <f>IF(IF(G258=0,"",$K$44)=0,"",IF(G258=0,"",$K$44))</f>
        <v/>
      </c>
      <c r="L264" s="29"/>
      <c r="M264" s="29"/>
      <c r="N264" s="29"/>
      <c r="O264" s="28" t="s">
        <v>0</v>
      </c>
      <c r="P264" s="27">
        <f>P258+SUM(P260:P263)</f>
        <v>0</v>
      </c>
    </row>
    <row r="265" spans="1:16" s="12" customFormat="1" ht="13.5" customHeight="1" x14ac:dyDescent="0.2">
      <c r="A265" s="1178" t="s">
        <v>18</v>
      </c>
      <c r="B265" s="1178"/>
      <c r="C265" s="1178"/>
      <c r="D265" s="1179" t="str">
        <f>IF($D$1="","",$D$1)</f>
        <v/>
      </c>
      <c r="E265" s="1179"/>
      <c r="F265" s="1179"/>
      <c r="G265" s="1179"/>
      <c r="H265" s="1179"/>
      <c r="I265" s="1179"/>
      <c r="J265" s="1179"/>
      <c r="K265" s="1179"/>
      <c r="L265" s="1179"/>
      <c r="M265" s="1179"/>
      <c r="N265" s="1179"/>
    </row>
    <row r="266" spans="1:16" s="12" customFormat="1" ht="15" customHeight="1" x14ac:dyDescent="0.2">
      <c r="A266" s="1178" t="s">
        <v>17</v>
      </c>
      <c r="B266" s="1178"/>
      <c r="C266" s="1178" t="s">
        <v>15</v>
      </c>
      <c r="D266" s="1179" t="str">
        <f>IF($D$2="","",$D$2)</f>
        <v/>
      </c>
      <c r="E266" s="1179"/>
      <c r="F266" s="1179"/>
      <c r="G266" s="1179"/>
      <c r="H266" s="1179"/>
      <c r="I266" s="1179"/>
      <c r="J266" s="1179"/>
      <c r="K266" s="1179"/>
      <c r="L266" s="1179"/>
      <c r="M266" s="1179"/>
      <c r="N266" s="1179"/>
    </row>
    <row r="267" spans="1:16" s="12" customFormat="1" ht="15" customHeight="1" x14ac:dyDescent="0.2">
      <c r="A267" s="1178" t="s">
        <v>16</v>
      </c>
      <c r="B267" s="1178"/>
      <c r="C267" s="1178" t="s">
        <v>15</v>
      </c>
      <c r="D267" s="1179" t="str">
        <f>IF($D$3="","",$D$3)</f>
        <v/>
      </c>
      <c r="E267" s="1179"/>
      <c r="F267" s="1179"/>
      <c r="G267" s="1179"/>
      <c r="H267" s="1179"/>
      <c r="I267" s="1179"/>
      <c r="J267" s="1179"/>
      <c r="K267" s="1178" t="s">
        <v>103</v>
      </c>
      <c r="L267" s="1178"/>
      <c r="M267" s="1178"/>
      <c r="N267" s="41" t="str">
        <f>IF($N$3="","",$N$3)</f>
        <v/>
      </c>
    </row>
    <row r="268" spans="1:16" s="13" customFormat="1" ht="11.25" x14ac:dyDescent="0.2">
      <c r="A268" s="1182"/>
      <c r="B268" s="1182"/>
      <c r="C268" s="1182"/>
      <c r="D268" s="1183"/>
      <c r="E268" s="1183"/>
      <c r="F268" s="1183"/>
      <c r="G268" s="1183"/>
      <c r="H268" s="1183"/>
      <c r="I268" s="1183"/>
      <c r="J268" s="1183"/>
      <c r="K268" s="11"/>
      <c r="L268" s="11"/>
      <c r="M268" s="11"/>
      <c r="N268" s="11"/>
      <c r="O268" s="11"/>
      <c r="P268" s="11"/>
    </row>
    <row r="269" spans="1:16" s="15" customFormat="1" ht="13.5" customHeight="1" x14ac:dyDescent="0.2">
      <c r="A269" s="1177" t="s">
        <v>233</v>
      </c>
      <c r="B269" s="1177"/>
      <c r="C269" s="1177"/>
      <c r="D269" s="1177"/>
      <c r="E269" s="1177"/>
      <c r="F269" s="1177"/>
      <c r="G269" s="1177"/>
      <c r="H269" s="1177"/>
      <c r="I269" s="1177"/>
      <c r="J269" s="1177"/>
      <c r="K269" s="1177"/>
      <c r="L269" s="1177"/>
      <c r="M269" s="1177"/>
      <c r="N269" s="59" t="s">
        <v>154</v>
      </c>
      <c r="O269" s="191">
        <f>$O$5</f>
        <v>2022</v>
      </c>
      <c r="P269" s="59" t="s">
        <v>154</v>
      </c>
    </row>
    <row r="270" spans="1:16" s="10" customFormat="1" ht="13.5" customHeight="1" x14ac:dyDescent="0.25">
      <c r="B270" s="32"/>
      <c r="C270" s="32"/>
      <c r="D270" s="5" t="s">
        <v>235</v>
      </c>
      <c r="E270" s="31"/>
      <c r="F270" s="31"/>
      <c r="G270" s="31"/>
      <c r="H270" s="31"/>
      <c r="I270" s="26"/>
      <c r="J270" s="1174" t="s">
        <v>14</v>
      </c>
      <c r="K270" s="1174"/>
      <c r="L270" s="180"/>
      <c r="N270" s="84">
        <f>IF(L272="","",L272)</f>
        <v>0</v>
      </c>
      <c r="O270" s="58" t="str">
        <f>$O$6</f>
        <v>Jan                Jul</v>
      </c>
      <c r="P270" s="85">
        <f>IF(N275="","",N275)</f>
        <v>0</v>
      </c>
    </row>
    <row r="271" spans="1:16" s="7" customFormat="1" ht="13.5" customHeight="1" x14ac:dyDescent="0.25">
      <c r="A271" s="1180" t="s">
        <v>71</v>
      </c>
      <c r="B271" s="1180"/>
      <c r="C271" s="1180"/>
      <c r="D271" s="1184"/>
      <c r="E271" s="1184"/>
      <c r="F271" s="1184"/>
      <c r="G271" s="1184"/>
      <c r="H271" s="1184"/>
      <c r="I271" s="1184"/>
      <c r="J271" s="1174" t="s">
        <v>104</v>
      </c>
      <c r="K271" s="1174"/>
      <c r="L271" s="145"/>
      <c r="N271" s="85">
        <f>IF(N270="","",N270)</f>
        <v>0</v>
      </c>
      <c r="O271" s="58" t="str">
        <f>$O$7</f>
        <v>Feb              Aug</v>
      </c>
      <c r="P271" s="85">
        <f>IF(P270="","",P270)</f>
        <v>0</v>
      </c>
    </row>
    <row r="272" spans="1:16" ht="13.5" customHeight="1" x14ac:dyDescent="0.2">
      <c r="A272" s="1180" t="s">
        <v>13</v>
      </c>
      <c r="B272" s="1180"/>
      <c r="C272" s="1180"/>
      <c r="D272" s="1181"/>
      <c r="E272" s="1181"/>
      <c r="F272" s="1181"/>
      <c r="G272" s="1181"/>
      <c r="H272" s="1181"/>
      <c r="I272" s="1181"/>
      <c r="J272" s="1174" t="s">
        <v>222</v>
      </c>
      <c r="K272" s="1174"/>
      <c r="L272" s="145">
        <f>IF(L273&gt;L271,0,L271-L273)</f>
        <v>0</v>
      </c>
      <c r="N272" s="85">
        <f>IF(N271="","",N271)</f>
        <v>0</v>
      </c>
      <c r="O272" s="58" t="str">
        <f>$O$8</f>
        <v>Mrz              Sep</v>
      </c>
      <c r="P272" s="85">
        <f>IF(P271="","",P271)</f>
        <v>0</v>
      </c>
    </row>
    <row r="273" spans="1:16" ht="13.5" customHeight="1" x14ac:dyDescent="0.2">
      <c r="A273" s="1180" t="s">
        <v>12</v>
      </c>
      <c r="B273" s="1180"/>
      <c r="C273" s="1180"/>
      <c r="D273" s="1181"/>
      <c r="E273" s="1181"/>
      <c r="F273" s="1181"/>
      <c r="G273" s="1181"/>
      <c r="H273" s="1181"/>
      <c r="I273" s="1181"/>
      <c r="J273" s="1174" t="s">
        <v>223</v>
      </c>
      <c r="K273" s="1174"/>
      <c r="L273" s="145"/>
      <c r="N273" s="85">
        <f>IF(N272="","",N272)</f>
        <v>0</v>
      </c>
      <c r="O273" s="58" t="str">
        <f>$O$9</f>
        <v>Apr               Okt</v>
      </c>
      <c r="P273" s="85">
        <f t="shared" ref="P273:P275" si="30">IF(P272="","",P272)</f>
        <v>0</v>
      </c>
    </row>
    <row r="274" spans="1:16" ht="13.5" customHeight="1" x14ac:dyDescent="0.2">
      <c r="A274" s="1180" t="s">
        <v>19</v>
      </c>
      <c r="B274" s="1180"/>
      <c r="C274" s="1180"/>
      <c r="D274" s="1181"/>
      <c r="E274" s="1181"/>
      <c r="F274" s="1181"/>
      <c r="G274" s="1181"/>
      <c r="H274" s="1181"/>
      <c r="I274" s="1181"/>
      <c r="J274" s="1174" t="s">
        <v>97</v>
      </c>
      <c r="K274" s="1174"/>
      <c r="L274" s="17" t="str">
        <f>IF(IF((COUNTIF(B290:B301,"&gt;0"))=0,0,(COUNTIF(B290:B301,"&gt;0")))&gt;Grundlagen!$C$24,Grundlagen!$C$24,IF((COUNTIF(B290:B301,"&gt;0"))=0,"",(COUNTIF(B290:B301,"&gt;0"))))</f>
        <v/>
      </c>
      <c r="M274" s="92"/>
      <c r="N274" s="85">
        <f>IF(N273="","",N273)</f>
        <v>0</v>
      </c>
      <c r="O274" s="58" t="str">
        <f>'päd.Personal - Leitung'!$O$10</f>
        <v>Mai               Nov</v>
      </c>
      <c r="P274" s="85">
        <f t="shared" si="30"/>
        <v>0</v>
      </c>
    </row>
    <row r="275" spans="1:16" ht="13.5" customHeight="1" x14ac:dyDescent="0.2">
      <c r="B275" s="8"/>
      <c r="C275" s="141" t="s">
        <v>162</v>
      </c>
      <c r="D275" s="1175"/>
      <c r="E275" s="1175"/>
      <c r="F275" s="1176" t="s">
        <v>110</v>
      </c>
      <c r="G275" s="1176"/>
      <c r="H275" s="1186"/>
      <c r="I275" s="1186"/>
      <c r="L275" s="147" t="str">
        <f>IF((SUM(F278:F281))=0,"",IF(P276&gt;L272,L272,IF(L272="","",IF(L274="","",P276))))</f>
        <v/>
      </c>
      <c r="N275" s="85">
        <f>IF(N274="","",N274)</f>
        <v>0</v>
      </c>
      <c r="O275" s="58" t="str">
        <f>'päd.Personal - Leitung'!$O$11</f>
        <v>Jun               Dez</v>
      </c>
      <c r="P275" s="85">
        <f t="shared" si="30"/>
        <v>0</v>
      </c>
    </row>
    <row r="276" spans="1:16" ht="13.5" customHeight="1" x14ac:dyDescent="0.2">
      <c r="F276" s="1176" t="s">
        <v>180</v>
      </c>
      <c r="G276" s="1176"/>
      <c r="H276" s="1186"/>
      <c r="I276" s="1186"/>
      <c r="O276" s="174" t="s">
        <v>251</v>
      </c>
      <c r="P276" s="175">
        <f>IF(L274="",0,((IF(SUMIF(B290,"&gt;0"),N270,0))+(IF(SUMIF(B291,"&gt;0"),N271,0))+(IF(SUMIF(B292,"&gt;0"),N272,0))+(IF(SUMIF(B293,"&gt;0"),N273,0))+(IF(SUMIF(B294,"&gt;0"),N274,0))+(IF(SUMIF(B295,"&gt;0"),N275,0))+(IF(SUMIF(B296,"&gt;0"),P270,0))+(IF(SUMIF(B297,"&gt;0"),P271,0))+(IF(SUMIF(B298,"&gt;0"),P272,0))+(IF(SUMIF(B299,"&gt;0"),P273,0))+(IF(SUMIF(B300,"&gt;0"),P274,0))+(IF(SUMIF(B301,"&gt;0"),P275,0)))/Grundlagen!$C$24)</f>
        <v>0</v>
      </c>
    </row>
    <row r="277" spans="1:16" s="52" customFormat="1" ht="13.5" customHeight="1" x14ac:dyDescent="0.2">
      <c r="A277" s="61" t="s">
        <v>148</v>
      </c>
      <c r="B277" s="1168" t="s">
        <v>149</v>
      </c>
      <c r="C277" s="1168"/>
      <c r="D277" s="62" t="s">
        <v>150</v>
      </c>
      <c r="E277" s="63" t="s">
        <v>151</v>
      </c>
      <c r="F277" s="64" t="str">
        <f>CONCATENATE("Entg. ",N267," h/Wo")</f>
        <v>Entg.  h/Wo</v>
      </c>
      <c r="G277" s="65" t="s">
        <v>152</v>
      </c>
      <c r="H277" s="65" t="s">
        <v>153</v>
      </c>
      <c r="K277" s="1169" t="str">
        <f>CONCATENATE("Zuschläge / Zulagen für ",N267,"h/Wo")</f>
        <v>Zuschläge / Zulagen für h/Wo</v>
      </c>
      <c r="L277" s="1169"/>
      <c r="M277" s="66" t="str">
        <f>IF(A278="","",A278)</f>
        <v>Jan 2022</v>
      </c>
      <c r="N277" s="66" t="str">
        <f>IF(A279="","",A279)</f>
        <v/>
      </c>
      <c r="O277" s="66" t="str">
        <f>IF(A280="","",A280)</f>
        <v/>
      </c>
      <c r="P277" s="66" t="str">
        <f>IF(A281="","",A281)</f>
        <v/>
      </c>
    </row>
    <row r="278" spans="1:16" s="52" customFormat="1" ht="13.5" customHeight="1" x14ac:dyDescent="0.25">
      <c r="A278" s="54" t="str">
        <f>A290</f>
        <v>Jan 2022</v>
      </c>
      <c r="B278" s="1170" t="str">
        <f>IF($D$3="","",$D$3)</f>
        <v/>
      </c>
      <c r="C278" s="1171"/>
      <c r="D278" s="181"/>
      <c r="E278" s="181"/>
      <c r="F278" s="87"/>
      <c r="G278" s="56">
        <f>IF(N267="",0,F278/N267/4.348)</f>
        <v>0</v>
      </c>
      <c r="H278" s="53">
        <f>IF(G278=0,0,M283)</f>
        <v>0</v>
      </c>
      <c r="K278" s="1146"/>
      <c r="L278" s="1146"/>
      <c r="M278" s="86"/>
      <c r="N278" s="86"/>
      <c r="O278" s="86"/>
      <c r="P278" s="86"/>
    </row>
    <row r="279" spans="1:16" s="52" customFormat="1" ht="13.5" customHeight="1" x14ac:dyDescent="0.25">
      <c r="A279" s="55"/>
      <c r="B279" s="1172" t="str">
        <f>IF(A279="","",B278)</f>
        <v/>
      </c>
      <c r="C279" s="1173"/>
      <c r="D279" s="181"/>
      <c r="E279" s="181"/>
      <c r="F279" s="87"/>
      <c r="G279" s="56">
        <f>IF(N267="",0,F279/N267/4.348)</f>
        <v>0</v>
      </c>
      <c r="H279" s="53">
        <f>IF(G279=0,0,N283)</f>
        <v>0</v>
      </c>
      <c r="K279" s="1146"/>
      <c r="L279" s="1146"/>
      <c r="M279" s="86"/>
      <c r="N279" s="86"/>
      <c r="O279" s="86"/>
      <c r="P279" s="86"/>
    </row>
    <row r="280" spans="1:16" s="52" customFormat="1" ht="13.5" customHeight="1" x14ac:dyDescent="0.25">
      <c r="A280" s="55"/>
      <c r="B280" s="1172" t="str">
        <f>IF(A280="","",B279)</f>
        <v/>
      </c>
      <c r="C280" s="1173"/>
      <c r="D280" s="181"/>
      <c r="E280" s="181"/>
      <c r="F280" s="87"/>
      <c r="G280" s="56">
        <f>IF(N267="",0,F280/N267/4.348)</f>
        <v>0</v>
      </c>
      <c r="H280" s="53">
        <f>IF(G280=0,0,O283)</f>
        <v>0</v>
      </c>
      <c r="K280" s="1146"/>
      <c r="L280" s="1146"/>
      <c r="M280" s="86"/>
      <c r="N280" s="86"/>
      <c r="O280" s="86"/>
      <c r="P280" s="86"/>
    </row>
    <row r="281" spans="1:16" s="52" customFormat="1" ht="13.5" customHeight="1" x14ac:dyDescent="0.25">
      <c r="A281" s="55"/>
      <c r="B281" s="1172" t="str">
        <f>IF(A281="","",B280)</f>
        <v/>
      </c>
      <c r="C281" s="1173"/>
      <c r="D281" s="181"/>
      <c r="E281" s="181"/>
      <c r="F281" s="87"/>
      <c r="G281" s="56">
        <f>IF(N267="",0,F281/N267/4.348)</f>
        <v>0</v>
      </c>
      <c r="H281" s="53">
        <f>IF(G281=0,0,P283)</f>
        <v>0</v>
      </c>
      <c r="K281" s="1146"/>
      <c r="L281" s="1146"/>
      <c r="M281" s="86"/>
      <c r="N281" s="86"/>
      <c r="O281" s="86"/>
      <c r="P281" s="86"/>
    </row>
    <row r="282" spans="1:16" s="52" customFormat="1" ht="13.5" customHeight="1" x14ac:dyDescent="0.25">
      <c r="B282" s="1167" t="s">
        <v>157</v>
      </c>
      <c r="C282" s="1167"/>
      <c r="E282" s="1167" t="s">
        <v>156</v>
      </c>
      <c r="F282" s="1167"/>
      <c r="J282" s="69"/>
      <c r="K282" s="1146"/>
      <c r="L282" s="1146"/>
      <c r="M282" s="86"/>
      <c r="N282" s="86"/>
      <c r="O282" s="86"/>
      <c r="P282" s="86"/>
    </row>
    <row r="283" spans="1:16" s="52" customFormat="1" ht="13.5" customHeight="1" x14ac:dyDescent="0.25">
      <c r="A283" s="70" t="s">
        <v>167</v>
      </c>
      <c r="B283" s="67"/>
      <c r="C283" s="99" t="str">
        <f>IF(C239="","",C239)</f>
        <v/>
      </c>
      <c r="D283" s="70" t="s">
        <v>167</v>
      </c>
      <c r="E283" s="67"/>
      <c r="F283" s="99" t="str">
        <f>IF(F239="","",F239)</f>
        <v/>
      </c>
      <c r="J283" s="68"/>
      <c r="M283" s="57">
        <f>SUM(M278:M282)</f>
        <v>0</v>
      </c>
      <c r="N283" s="57">
        <f t="shared" ref="N283:P283" si="31">SUM(N278:N282)</f>
        <v>0</v>
      </c>
      <c r="O283" s="57">
        <f t="shared" si="31"/>
        <v>0</v>
      </c>
      <c r="P283" s="57">
        <f t="shared" si="31"/>
        <v>0</v>
      </c>
    </row>
    <row r="284" spans="1:16" s="52" customFormat="1" ht="13.5" customHeight="1" x14ac:dyDescent="0.2">
      <c r="A284" s="60" t="s">
        <v>155</v>
      </c>
    </row>
    <row r="285" spans="1:16" s="20" customFormat="1" ht="14.25" customHeight="1" x14ac:dyDescent="0.2">
      <c r="A285" s="1147"/>
      <c r="B285" s="1149" t="s">
        <v>9</v>
      </c>
      <c r="C285" s="1150"/>
      <c r="D285" s="1150"/>
      <c r="E285" s="1150"/>
      <c r="F285" s="1150"/>
      <c r="G285" s="1151"/>
      <c r="H285" s="1152" t="s">
        <v>119</v>
      </c>
      <c r="I285" s="1153"/>
      <c r="J285" s="1153"/>
      <c r="K285" s="1153"/>
      <c r="L285" s="1153"/>
      <c r="M285" s="1153"/>
      <c r="N285" s="1195" t="s">
        <v>112</v>
      </c>
      <c r="O285" s="33"/>
      <c r="P285" s="1154" t="s">
        <v>0</v>
      </c>
    </row>
    <row r="286" spans="1:16" s="20" customFormat="1" ht="14.25" customHeight="1" x14ac:dyDescent="0.2">
      <c r="A286" s="1148"/>
      <c r="B286" s="1157" t="s">
        <v>117</v>
      </c>
      <c r="C286" s="144" t="s">
        <v>115</v>
      </c>
      <c r="D286" s="1159" t="s">
        <v>277</v>
      </c>
      <c r="E286" s="1161" t="s">
        <v>147</v>
      </c>
      <c r="F286" s="149" t="s">
        <v>7</v>
      </c>
      <c r="G286" s="1162" t="s">
        <v>6</v>
      </c>
      <c r="H286" s="1161" t="s">
        <v>129</v>
      </c>
      <c r="I286" s="1161" t="s">
        <v>111</v>
      </c>
      <c r="J286" s="1161" t="s">
        <v>5</v>
      </c>
      <c r="K286" s="1161" t="s">
        <v>4</v>
      </c>
      <c r="L286" s="1161" t="s">
        <v>3</v>
      </c>
      <c r="M286" s="1161" t="s">
        <v>98</v>
      </c>
      <c r="N286" s="1196"/>
      <c r="O286" s="1160" t="s">
        <v>114</v>
      </c>
      <c r="P286" s="1155"/>
    </row>
    <row r="287" spans="1:16" s="20" customFormat="1" ht="14.25" customHeight="1" x14ac:dyDescent="0.2">
      <c r="A287" s="1148"/>
      <c r="B287" s="1157"/>
      <c r="C287" s="21" t="str">
        <f>IF(C283="","",C283)</f>
        <v/>
      </c>
      <c r="D287" s="1160"/>
      <c r="E287" s="1161"/>
      <c r="F287" s="1165" t="str">
        <f>IF(H278=0,"","siehe Zuschläge / Zulagen")</f>
        <v/>
      </c>
      <c r="G287" s="1162"/>
      <c r="H287" s="1164" t="s">
        <v>127</v>
      </c>
      <c r="I287" s="1161"/>
      <c r="J287" s="1164"/>
      <c r="K287" s="1164"/>
      <c r="L287" s="1164"/>
      <c r="M287" s="1161"/>
      <c r="N287" s="1196"/>
      <c r="O287" s="1160"/>
      <c r="P287" s="1155"/>
    </row>
    <row r="288" spans="1:16" s="20" customFormat="1" x14ac:dyDescent="0.2">
      <c r="A288" s="1148"/>
      <c r="B288" s="1157"/>
      <c r="C288" s="142" t="s">
        <v>70</v>
      </c>
      <c r="D288" s="1160"/>
      <c r="E288" s="1161"/>
      <c r="F288" s="1165"/>
      <c r="G288" s="1162"/>
      <c r="H288" s="43" t="s">
        <v>128</v>
      </c>
      <c r="I288" s="1161"/>
      <c r="J288" s="43" t="s">
        <v>255</v>
      </c>
      <c r="K288" s="43" t="s">
        <v>256</v>
      </c>
      <c r="L288" s="43" t="s">
        <v>257</v>
      </c>
      <c r="M288" s="1161"/>
      <c r="N288" s="1196"/>
      <c r="O288" s="1160"/>
      <c r="P288" s="1155"/>
    </row>
    <row r="289" spans="1:16" s="20" customFormat="1" x14ac:dyDescent="0.2">
      <c r="A289" s="1148"/>
      <c r="B289" s="1158"/>
      <c r="C289" s="21" t="str">
        <f>IF(F283="","",F283)</f>
        <v/>
      </c>
      <c r="D289" s="51"/>
      <c r="E289" s="51"/>
      <c r="F289" s="1166"/>
      <c r="G289" s="1163"/>
      <c r="H289" s="93"/>
      <c r="I289" s="21"/>
      <c r="J289" s="139">
        <f>$I$25</f>
        <v>0</v>
      </c>
      <c r="K289" s="139">
        <f>$J$25</f>
        <v>0</v>
      </c>
      <c r="L289" s="44">
        <f>$K$25</f>
        <v>0</v>
      </c>
      <c r="M289" s="21"/>
      <c r="N289" s="21"/>
      <c r="O289" s="21">
        <f>O245</f>
        <v>0</v>
      </c>
      <c r="P289" s="1156"/>
    </row>
    <row r="290" spans="1:16" s="20" customFormat="1" x14ac:dyDescent="0.2">
      <c r="A290" s="100" t="str">
        <f>$A$26</f>
        <v>Jan 2022</v>
      </c>
      <c r="B290" s="24">
        <f>ROUND(IF(N270=0,0,(LOOKUP(2,1/(A278:A281=A290),G278:G281))*N270*4.348*50%),2)</f>
        <v>0</v>
      </c>
      <c r="C290" s="23">
        <f>ROUND(IFERROR(((LOOKUP(2,1/(B283=A290),((SUM(B296:B298)+SUM(F296:F298))/3)*C283))),0)+IFERROR(((LOOKUP(2,1/(E283=A290),(B302+F302)*F283))),0),2)</f>
        <v>0</v>
      </c>
      <c r="D290" s="23">
        <f>ROUND(IF(B290=0,0,D289/L271*N270*50%),2)</f>
        <v>0</v>
      </c>
      <c r="E290" s="23">
        <f>ROUND(IF(B290=0,0,E289/N267*N270*50%),2)</f>
        <v>0</v>
      </c>
      <c r="F290" s="24">
        <f>ROUND(IF(N270=0,0,(LOOKUP(2,1/(A278:A281=A290),H278:H281))/N267*N270*50%),2)</f>
        <v>0</v>
      </c>
      <c r="G290" s="27">
        <f>SUM(B290+C290+E290+F290)</f>
        <v>0</v>
      </c>
      <c r="H290" s="76">
        <f>ROUND(IF((SUM(B290:F290))&gt;L305,L305*H289,SUM(B290:F290)*H289),2)</f>
        <v>0</v>
      </c>
      <c r="I290" s="76">
        <f>ROUND(IF((SUM(B290:F290)*80%)&gt;((L306*1)*90%),((((L306*1)*90%)-((SUM(B290:F290)-C290))*I289)+((SUM(B290:F290)-C290)*I289)*80%),((SUM(B290:F290)-C290)*I289)*80%),2)</f>
        <v>0</v>
      </c>
      <c r="J290" s="76">
        <f>ROUND(IF((SUM(B290:F290))&gt;L306,L306*J289,SUM(B290:F290)*J289),2)</f>
        <v>0</v>
      </c>
      <c r="K290" s="76">
        <f>ROUND(IF((SUM(B290:F290))&gt;L306,L306*K289,SUM(B290:F290)*K289),2)</f>
        <v>0</v>
      </c>
      <c r="L290" s="76">
        <f>ROUND(IF((SUM(B290:F290))&gt;L305,L305*L289,SUM(B290:F290)*L289),2)</f>
        <v>0</v>
      </c>
      <c r="M290" s="76">
        <f>ROUND(IF((SUM(B290:F290))&gt;L306,L306*M289,(SUM(B290:F290)-C290)*M289),2)</f>
        <v>0</v>
      </c>
      <c r="N290" s="23">
        <f>ROUND((B290+E290+F290)*N289,2)</f>
        <v>0</v>
      </c>
      <c r="O290" s="23">
        <f>ROUND(SUM(B290+C290+F290)*O289,2)</f>
        <v>0</v>
      </c>
      <c r="P290" s="27">
        <f>SUM(G290:O290)</f>
        <v>0</v>
      </c>
    </row>
    <row r="291" spans="1:16" s="20" customFormat="1" x14ac:dyDescent="0.2">
      <c r="A291" s="100" t="str">
        <f>$A$27</f>
        <v>Feb 2022</v>
      </c>
      <c r="B291" s="24">
        <f>ROUND(IF(N271=0,0,IFERROR(((LOOKUP(2,1/(A278:A281=A291),G278:G281))*N271*4.348*50%),B290/N271*N271)),2)</f>
        <v>0</v>
      </c>
      <c r="C291" s="23">
        <f>ROUND(IFERROR(((LOOKUP(2,1/(B283=A291),((SUM(B296:B298)+SUM(F296:F298))/3)*C283))),0)+IFERROR(((LOOKUP(2,1/(E283=A291),(B302+F302)*F283))),0),2)</f>
        <v>0</v>
      </c>
      <c r="D291" s="23">
        <f>ROUND(IF(B291=0,0,D289/L271*N271*50%),2)</f>
        <v>0</v>
      </c>
      <c r="E291" s="23">
        <f>ROUND(IF(B291=0,0,E289/N267*N271*50%),2)</f>
        <v>0</v>
      </c>
      <c r="F291" s="24">
        <f>ROUND(IF(N271=0,0,IFERROR(((LOOKUP(2,1/(A278:A281=A291),H278:H281))/N267*N271),F290/N271*N271*50%)),2)</f>
        <v>0</v>
      </c>
      <c r="G291" s="27">
        <f t="shared" ref="G291:G301" si="32">SUM(B291+C291+E291+F291)</f>
        <v>0</v>
      </c>
      <c r="H291" s="76">
        <f>ROUND(IF(SUM(B290:F290)&lt;(L305*1),IF((SUM(B290:F291))&gt;(L305*2),(((L305*2)-(SUM(B290:F291)-C290))*H289)+((SUM(B291:F291)-C290)*H289),SUM(B291:F291)*H289),IF(SUM(B290:F291)&gt;(L305*2),L305*H289,SUM(B291:F291)*H289)),2)</f>
        <v>0</v>
      </c>
      <c r="I291" s="76">
        <f>ROUND(IF((SUM(B290:F291)*80%)&gt;((L306*2)*90%),((((L306*2)*90%)-((SUM(B290:F291)-C291))*I289)+((SUM(B291:F291)-C291)*I289)*80%),((SUM(B291:F291)-C291)*I289)*80%),2)</f>
        <v>0</v>
      </c>
      <c r="J291" s="76">
        <f>ROUND(IF(SUM(B290:F290)&lt;(L306*1),IF((SUM(B290:F291))&gt;(L306*2),(((L306*2)-(SUM(B290:F291)-C290))*J289)+((SUM(B291:F291)-C290)*J289),SUM(B291:F291)*J289),IF(SUM(B290:F291)&gt;(L306*2),L306*J289,SUM(B291:F291)*J289)),2)</f>
        <v>0</v>
      </c>
      <c r="K291" s="76">
        <f>ROUND(IF(SUM(B290:F290)&lt;(L306*1),IF((SUM(B290:F291))&gt;(L306*2),(((L306*2)-(SUM(B290:F291)-C290))*K289)+((SUM(B291:F291)-C290)*K289),SUM(B291:F291)*K289),IF(SUM(B290:F291)&gt;(L306*2),L306*K289,SUM(B291:F291)*K289)),2)</f>
        <v>0</v>
      </c>
      <c r="L291" s="76">
        <f>ROUND(IF(SUM(B290:F290)&lt;(L305*1),IF((SUM(B290:F291))&gt;(L305*2),(((L305*2)-(SUM(B290:F291)-C290))*L289)+((SUM(B291:F291)-C290)*L289),SUM(B291:F291)*L289),IF(SUM(B290:F291)&gt;(L305*2),L305*L289,SUM(B291:F291)*L289)),2)</f>
        <v>0</v>
      </c>
      <c r="M291" s="76">
        <f>ROUND(IF(SUM(B290:F290)&lt;(L306*1),IF((SUM(B290:F291))&gt;(L306*2),(((L306*2)-(SUM(B290:F291)-C291))*M289)+((SUM(B291:F291)-C291)*M289),(SUM(B291:F291)-C291)*M289),IF(SUM(B290:F291)&gt;(L306*2),L306*M289,SUM(B291:F291)*M289)),2)</f>
        <v>0</v>
      </c>
      <c r="N291" s="23">
        <f>ROUND((B291+E291+F291)*N289,2)</f>
        <v>0</v>
      </c>
      <c r="O291" s="23">
        <f>ROUND(SUM(B291+C291+F291)*O289,2)</f>
        <v>0</v>
      </c>
      <c r="P291" s="27">
        <f t="shared" ref="P291:P300" si="33">SUM(G291:O291)</f>
        <v>0</v>
      </c>
    </row>
    <row r="292" spans="1:16" s="20" customFormat="1" x14ac:dyDescent="0.2">
      <c r="A292" s="100" t="str">
        <f>$A$28</f>
        <v>Mrz 2022</v>
      </c>
      <c r="B292" s="24">
        <f>ROUND(IF(N272=0,0,IFERROR(((LOOKUP(2,1/(A278:A281=A292),G278:G281))*N272*4.348*50%),B291/N272*N272)),2)</f>
        <v>0</v>
      </c>
      <c r="C292" s="23">
        <f>ROUND(IFERROR(((LOOKUP(2,1/(B283=A292),((SUM(B296:B298)+SUM(F296:F298))/3)*C283))),0)+IFERROR(((LOOKUP(2,1/(E283=A292),(B302+F302)*F283))),0),2)</f>
        <v>0</v>
      </c>
      <c r="D292" s="23">
        <f>ROUND(IF(B292=0,0,D289/L271*N272*50%),2)</f>
        <v>0</v>
      </c>
      <c r="E292" s="23">
        <f>ROUND(IF(B292=0,0,E289/N267*N272*50%),2)</f>
        <v>0</v>
      </c>
      <c r="F292" s="24">
        <f>ROUND(IF(N272=0,0,IFERROR(((LOOKUP(2,1/(A278:A281=A292),H278:H281))/N267*N272),F291/N272*N272*50%)),2)</f>
        <v>0</v>
      </c>
      <c r="G292" s="27">
        <f t="shared" si="32"/>
        <v>0</v>
      </c>
      <c r="H292" s="76">
        <f>ROUND(IF(SUM(B290:F291)&lt;(L305*2),IF((SUM(B290:F292))&gt;(L305*3),(((L305*3)-(SUM(B290:F292)-C291))*H289)+((SUM(B292:F292)-C291)*H289),SUM(B292:F292)*H289),IF(SUM(B290:F292)&gt;(L305*3),L305*H289,SUM(B292:F292)*H289)),2)</f>
        <v>0</v>
      </c>
      <c r="I292" s="76">
        <f>ROUND(IF((SUM(B290:F292)*80%)&gt;((L306*3)*90%),((((L306*3)*90%)-((SUM(B290:F292)-C292))*I289)+((SUM(B292:F292)-C292)*I289)*80%),((SUM(B292:F292)-C292)*I289)*80%),2)</f>
        <v>0</v>
      </c>
      <c r="J292" s="76">
        <f>ROUND(IF(SUM(B290:F291)&lt;(L306*2),IF((SUM(B290:F292))&gt;(L306*3),(((L306*3)-(SUM(B290:F292)-C291))*J289)+((SUM(B292:F292)-C291)*J289),SUM(B292:F292)*J289),IF(SUM(B290:F292)&gt;(L306*3),L306*J289,SUM(B292:F292)*J289)),2)</f>
        <v>0</v>
      </c>
      <c r="K292" s="76">
        <f>ROUND(IF(SUM(B290:F291)&lt;(L306*2),IF((SUM(B290:F292))&gt;(L306*3),(((L306*3)-(SUM(B290:F292)-C291))*K289)+((SUM(B292:F292)-C291)*K289),SUM(B292:F292)*K289),IF(SUM(B290:F292)&gt;(L306*3),L306*K289,SUM(B292:F292)*K289)),2)</f>
        <v>0</v>
      </c>
      <c r="L292" s="76">
        <f>ROUND(IF(SUM(B290:F291)&lt;(L305*2),IF((SUM(B290:F292))&gt;(L305*3),(((L305*3)-(SUM(B290:F292)-C291))*L289)+((SUM(B292:F292)-C291)*L289),SUM(B292:F292)*L289),IF(SUM(B290:F292)&gt;(L305*3),L305*L289,SUM(B292:F292)*L289)),2)</f>
        <v>0</v>
      </c>
      <c r="M292" s="76">
        <f>ROUND(IF(SUM(B290:F291)&lt;(L306*2),IF((SUM(B290:F292))&gt;(L306*3),(((L306*3)-(SUM(B290:F292)-C292))*M289)+((SUM(B292:F292)-C292)*M289),(SUM(B292:F292)-C292)*M289),IF(SUM(B290:F292)&gt;(L306*3),L306*M289,SUM(B292:F292)*M289)),2)</f>
        <v>0</v>
      </c>
      <c r="N292" s="23">
        <f>ROUND((B292+E292+F292)*N289,2)</f>
        <v>0</v>
      </c>
      <c r="O292" s="23">
        <f>ROUND(SUM(B292+C292+F292)*O289,2)</f>
        <v>0</v>
      </c>
      <c r="P292" s="27">
        <f t="shared" si="33"/>
        <v>0</v>
      </c>
    </row>
    <row r="293" spans="1:16" s="20" customFormat="1" ht="14.25" customHeight="1" x14ac:dyDescent="0.2">
      <c r="A293" s="100" t="str">
        <f>$A$29</f>
        <v>Apr 2022</v>
      </c>
      <c r="B293" s="24">
        <f>ROUND(IF(N273=0,0,IFERROR(((LOOKUP(2,1/(A278:A281=A293),G278:G281))*N273*4.348*50%),B292/N273*N273)),2)</f>
        <v>0</v>
      </c>
      <c r="C293" s="23">
        <f>ROUND(IFERROR(((LOOKUP(2,1/(B283=A293),((SUM(B296:B298)+SUM(F296:F298))/3)*C283))),0)+IFERROR(((LOOKUP(2,1/(E283=A293),(B302+F302)*F283))),0),2)</f>
        <v>0</v>
      </c>
      <c r="D293" s="23">
        <f>ROUND(IF(B293=0,0,D289/L271*N273*50%),2)</f>
        <v>0</v>
      </c>
      <c r="E293" s="23">
        <f>ROUND(IF(B293=0,0,E289/N267*N273*50%),2)</f>
        <v>0</v>
      </c>
      <c r="F293" s="24">
        <f>ROUND(IF(N273=0,0,IFERROR(((LOOKUP(2,1/(A278:A281=A293),H278:H281))/N267*N273),F292/N273*N273*50%)),2)</f>
        <v>0</v>
      </c>
      <c r="G293" s="27">
        <f t="shared" si="32"/>
        <v>0</v>
      </c>
      <c r="H293" s="76">
        <f>ROUND(IF(SUM(B290:F292)&lt;(L305*3),IF((SUM(B290:F293))&gt;(L305*4),(((L305*4)-(SUM(B290:F293)-C292))*H289)+((SUM(B293:F293)-C292)*H289),SUM(B293:F293)*H289),IF(SUM(B290:F293)&gt;(L305*4),L305*H289,SUM(B293:F293)*H289)),2)</f>
        <v>0</v>
      </c>
      <c r="I293" s="76">
        <f>ROUND(IF((SUM(B290:F293)*80%)&gt;((L306*4)*90%),((((L306*4)*90%)-((SUM(B290:F293)-C293))*I289)+((SUM(B293:F293)-C293)*I289)*80%),((SUM(B293:F293)-C293)*I289)*80%),2)</f>
        <v>0</v>
      </c>
      <c r="J293" s="76">
        <f>ROUND(IF(SUM(B290:F292)&lt;(L306*3),IF((SUM(B290:F293))&gt;(L306*4),(((L306*4)-(SUM(B290:F293)-C292))*J289)+((SUM(B293:F293)-C292)*J289),SUM(B293:F293)*J289),IF(SUM(B290:F293)&gt;(L306*4),L306*J289,SUM(B293:F293)*J289)),2)</f>
        <v>0</v>
      </c>
      <c r="K293" s="76">
        <f>ROUND(IF(SUM(B290:F292)&lt;(L306*3),IF((SUM(B290:F293))&gt;(L306*4),(((L306*4)-(SUM(B290:F293)-C292))*K289)+((SUM(B293:F293)-C292)*K289),SUM(B293:F293)*K289),IF(SUM(B290:F293)&gt;(L306*4),L306*K289,SUM(B293:F293)*K289)),2)</f>
        <v>0</v>
      </c>
      <c r="L293" s="76">
        <f>ROUND(IF(SUM(B290:F292)&lt;(L305*3),IF((SUM(B290:F293))&gt;(L305*4),(((L305*4)-(SUM(B290:F293)-C292))*L289)+((SUM(B293:F293)-C292)*L289),SUM(B293:F293)*L289),IF(SUM(B290:F293)&gt;(L305*4),L305*L289,SUM(B293:F293)*L289)),2)</f>
        <v>0</v>
      </c>
      <c r="M293" s="76">
        <f>ROUND(IF(SUM(B290:F292)&lt;(L306*3),IF((SUM(B290:F293))&gt;(L306*4),(((L306*4)-(SUM(B290:F293)-C293))*M289)+((SUM(B293:F293)-C293)*M289),(SUM(B293:F293)-C293)*M289),IF(SUM(B290:F293)&gt;(L306*4),L306*M289,SUM(B293:F293)*M289)),2)</f>
        <v>0</v>
      </c>
      <c r="N293" s="23">
        <f>ROUND((B293+E293+F293)*N289,2)</f>
        <v>0</v>
      </c>
      <c r="O293" s="23">
        <f>ROUND(SUM(B293+C293+F293)*O289,2)</f>
        <v>0</v>
      </c>
      <c r="P293" s="27">
        <f t="shared" si="33"/>
        <v>0</v>
      </c>
    </row>
    <row r="294" spans="1:16" s="20" customFormat="1" x14ac:dyDescent="0.2">
      <c r="A294" s="100" t="str">
        <f>$A$30</f>
        <v>Mai 2022</v>
      </c>
      <c r="B294" s="24">
        <f>ROUND(IF(N274=0,0,IFERROR(((LOOKUP(2,1/(A278:A281=A294),G278:G281))*N274*4.348*50%),B293/N274*N274)),2)</f>
        <v>0</v>
      </c>
      <c r="C294" s="23">
        <f>ROUND(IFERROR(((LOOKUP(2,1/(B283=A294),((SUM(B296:B298)+SUM(F296:F298))/3)*C283))),0)+IFERROR(((LOOKUP(2,1/(E283=A294),(B302+F302)*F283))),0),2)</f>
        <v>0</v>
      </c>
      <c r="D294" s="23">
        <f>ROUND(IF(B294=0,0,D289/L271*N274*50%),2)</f>
        <v>0</v>
      </c>
      <c r="E294" s="23">
        <f>ROUND(IF(B294=0,0,E289/N267*N274*50%),2)</f>
        <v>0</v>
      </c>
      <c r="F294" s="24">
        <f>ROUND(IF(N274=0,0,IFERROR(((LOOKUP(2,1/(A278:A281=A294),H278:H281))/N267*N274),F293/N274*N274*50%)),2)</f>
        <v>0</v>
      </c>
      <c r="G294" s="27">
        <f t="shared" si="32"/>
        <v>0</v>
      </c>
      <c r="H294" s="76">
        <f>ROUND(IF(SUM(B290:F293)&lt;(L305*4),IF((SUM(B290:F294))&gt;(L305*5),(((L305*5)-(SUM(B290:F294)-C293))*H289)+((SUM(B294:F294)-C293)*H289),SUM(B294:F294)*H289),IF(SUM(B290:F294)&gt;(L305*5),L305*H289,SUM(B294:F294)*H289)),2)</f>
        <v>0</v>
      </c>
      <c r="I294" s="76">
        <f>ROUND(IF((SUM(B290:F294)*80%)&gt;((L306*5)*90%),((((L306*5)*90%)-((SUM(B290:F294)-C294))*I289)+((SUM(B294:F294)-C294)*I289)*80%),((SUM(B294:F294)-C294)*I289)*80%),2)</f>
        <v>0</v>
      </c>
      <c r="J294" s="76">
        <f>ROUND(IF(SUM(B290:F293)&lt;(L306*4),IF((SUM(B290:F294))&gt;(L306*5),(((L306*5)-(SUM(B290:F294)-C293))*J289)+((SUM(B294:F294)-C293)*J289),SUM(B294:F294)*J289),IF(SUM(B290:F294)&gt;(L306*5),L306*J289,SUM(B294:F294)*J289)),2)</f>
        <v>0</v>
      </c>
      <c r="K294" s="76">
        <f>ROUND(IF(SUM(B290:F293)&lt;(L306*4),IF((SUM(B290:F294))&gt;(L306*5),(((L306*5)-(SUM(B290:F294)-C293))*K289)+((SUM(B294:F294)-C293)*K289),SUM(B294:F294)*K289),IF(SUM(B290:F294)&gt;(L306*5),L306*K289,SUM(B294:F294)*K289)),2)</f>
        <v>0</v>
      </c>
      <c r="L294" s="76">
        <f>ROUND(IF(SUM(B290:F293)&lt;(L305*4),IF((SUM(B290:F294))&gt;(L305*5),(((L305*5)-(SUM(B290:F294)-C293))*L289)+((SUM(B294:F294)-C293)*L289),SUM(B294:F294)*L289),IF(SUM(B290:F294)&gt;(L305*5),L305*L289,SUM(B294:F294)*L289)),2)</f>
        <v>0</v>
      </c>
      <c r="M294" s="76">
        <f>ROUND(IF(SUM(B290:F293)&lt;(L306*4),IF((SUM(B290:F294))&gt;(L306*5),(((L306*5)-(SUM(B290:F294)-C294))*M289)+((SUM(B294:F294)-C294)*M289),(SUM(B294:F294)-C294)*M289),IF(SUM(B290:F294)&gt;(L306*5),L306*M289,SUM(B294:F294)*M289)),2)</f>
        <v>0</v>
      </c>
      <c r="N294" s="23">
        <f>ROUND((B294+E294+F294)*N289,2)</f>
        <v>0</v>
      </c>
      <c r="O294" s="23">
        <f>ROUND(SUM(B294+C294+F294)*O289,2)</f>
        <v>0</v>
      </c>
      <c r="P294" s="27">
        <f t="shared" si="33"/>
        <v>0</v>
      </c>
    </row>
    <row r="295" spans="1:16" s="20" customFormat="1" x14ac:dyDescent="0.2">
      <c r="A295" s="100" t="str">
        <f>$A$31</f>
        <v>Jun 2022</v>
      </c>
      <c r="B295" s="24">
        <f>ROUND(IF(N275=0,0,IFERROR(((LOOKUP(2,1/(A278:A281=A295),G278:G281))*N275*4.348*50%),B294/N275*N275)),2)</f>
        <v>0</v>
      </c>
      <c r="C295" s="23">
        <f>ROUND(IFERROR(((LOOKUP(2,1/(B283=A295),((SUM(B296:B298)+SUM(F296:F298))/3)*C283))),0)+IFERROR(((LOOKUP(2,1/(E283=A295),(B302+F302)*F283))),0),2)</f>
        <v>0</v>
      </c>
      <c r="D295" s="23">
        <f>ROUND(IF(B295=0,0,D289/L271*N275*50%),2)</f>
        <v>0</v>
      </c>
      <c r="E295" s="23">
        <f>ROUND(IF(B295=0,0,E289/N267*N275*50%),2)</f>
        <v>0</v>
      </c>
      <c r="F295" s="24">
        <f>ROUND(IF(N275=0,0,IFERROR(((LOOKUP(2,1/(A278:A281=A295),H278:H281))/N267*N275),F294/N275*N275*50%)),2)</f>
        <v>0</v>
      </c>
      <c r="G295" s="27">
        <f t="shared" si="32"/>
        <v>0</v>
      </c>
      <c r="H295" s="76">
        <f>ROUND(IF(SUM(B290:F294)&lt;(L305*5),IF((SUM(B290:F295))&gt;(L305*6),(((L305*6)-(SUM(B290:F295)-C294))*H289)+((SUM(B295:F295)-C294)*H289),SUM(B295:F295)*H289),IF(SUM(B290:F295)&gt;(L305*6),L305*H289,SUM(B295:F295)*H289)),2)</f>
        <v>0</v>
      </c>
      <c r="I295" s="76">
        <f>ROUND(IF((SUM(B290:F295)*80%)&gt;((L306*6)*90%),((((L306*6)*90%)-((SUM(B290:F295)-C295))*I289)+((SUM(B295:F295)-C295)*I289)*80%),((SUM(B295:F295)-C295)*I289)*80%),2)</f>
        <v>0</v>
      </c>
      <c r="J295" s="76">
        <f>ROUND(IF(SUM(B290:F294)&lt;(L306*5),IF((SUM(B290:F295))&gt;(L306*6),(((L306*6)-(SUM(B290:F295)-C294))*J289)+((SUM(B295:F295)-C294)*J289),SUM(B295:F295)*J289),IF(SUM(B290:F295)&gt;(L306*6),L306*J289,SUM(B295:F295)*J289)),2)</f>
        <v>0</v>
      </c>
      <c r="K295" s="76">
        <f>ROUND(IF(SUM(B290:F294)&lt;(L306*5),IF((SUM(B290:F295))&gt;(L306*6),(((L306*6)-(SUM(B290:F295)-C294))*K289)+((SUM(B295:F295)-C294)*K289),SUM(B295:F295)*K289),IF(SUM(B290:F295)&gt;(L306*6),L306*K289,SUM(B295:F295)*K289)),2)</f>
        <v>0</v>
      </c>
      <c r="L295" s="76">
        <f>ROUND(IF(SUM(B290:F294)&lt;(L305*5),IF((SUM(B290:F295))&gt;(L305*6),(((L305*6)-(SUM(B290:F295)-C294))*L289)+((SUM(B295:F295)-C294)*L289),SUM(B295:F295)*L289),IF(SUM(B290:F295)&gt;(L305*6),L305*L289,SUM(B295:F295)*L289)),2)</f>
        <v>0</v>
      </c>
      <c r="M295" s="76">
        <f>ROUND(IF(SUM(B290:F294)&lt;(L306*5),IF((SUM(B290:F295))&gt;(L306*6),(((L306*6)-(SUM(B290:F295)-C295))*M289)+((SUM(B295:F295)-C295)*M289),(SUM(B295:F295)-C295)*M289),IF(SUM(B290:F295)&gt;(L306*6),L306*M289,SUM(B295:F295)*M289)),2)</f>
        <v>0</v>
      </c>
      <c r="N295" s="23">
        <f>ROUND((B295+E295+F295)*N289,2)</f>
        <v>0</v>
      </c>
      <c r="O295" s="23">
        <f>ROUND(SUM(B295+C295+F295)*O289,2)</f>
        <v>0</v>
      </c>
      <c r="P295" s="27">
        <f t="shared" si="33"/>
        <v>0</v>
      </c>
    </row>
    <row r="296" spans="1:16" s="20" customFormat="1" x14ac:dyDescent="0.2">
      <c r="A296" s="100" t="str">
        <f>$A$32</f>
        <v>Jul 2022</v>
      </c>
      <c r="B296" s="24">
        <f>ROUND(IF(P270=0,0,IFERROR(((LOOKUP(2,1/(A278:A281=A296),G278:G281))*P270*4.348*50%),B295/P270*P270)),2)</f>
        <v>0</v>
      </c>
      <c r="C296" s="23">
        <f>ROUND(IFERROR(((LOOKUP(2,1/(B283=A296),((SUM(B296:B298)+SUM(F296:F298))/3)*C283))),0)+IFERROR(((LOOKUP(2,1/(E283=A296),(B302+F302)*F283))),0),2)</f>
        <v>0</v>
      </c>
      <c r="D296" s="23">
        <f>ROUND(IF(B296=0,0,D289/L271*P270*50%),2)</f>
        <v>0</v>
      </c>
      <c r="E296" s="23">
        <f>ROUND(IF(B296=0,0,E289/N267*P270*50%),2)</f>
        <v>0</v>
      </c>
      <c r="F296" s="24">
        <f>ROUND(IF(P270=0,0,IFERROR(((LOOKUP(2,1/(A278:A281=A296),H278:H281))/N267*P270),F295/P270*P270*50%)),2)</f>
        <v>0</v>
      </c>
      <c r="G296" s="27">
        <f t="shared" si="32"/>
        <v>0</v>
      </c>
      <c r="H296" s="76">
        <f>ROUND(IF(SUM(B290:F295)&lt;(L305*6),IF((SUM(B290:F296))&gt;(L305*7),(((L305*7)-(SUM(B290:F296)-C295))*H289)+((SUM(B296:F296)-C295)*H289),SUM(B296:F296)*H289),IF(SUM(B290:F296)&gt;(L305*7),L305*H289,SUM(B296:F296)*H289)),2)</f>
        <v>0</v>
      </c>
      <c r="I296" s="76">
        <f>ROUND(IF((SUM(B290:F296)*80%)&gt;((L306*7)*90%),((((L306*7)*90%)-((SUM(B290:F296)-C296))*I289)+((SUM(B296:F296)-C296)*I289)*80%),((SUM(B296:F296)-C296)*I289)*80%),2)</f>
        <v>0</v>
      </c>
      <c r="J296" s="76">
        <f>ROUND(IF(SUM(B290:F295)&lt;(L306*6),IF((SUM(B290:F296))&gt;(L306*7),(((L306*7)-(SUM(B290:F296)-C295))*J289)+((SUM(B296:F296)-C295)*J289),SUM(B296:F296)*J289),IF(SUM(B290:F296)&gt;(L306*7),L306*J289,SUM(B296:F296)*J289)),2)</f>
        <v>0</v>
      </c>
      <c r="K296" s="76">
        <f>ROUND(IF(SUM(B290:F295)&lt;(L306*6),IF((SUM(B290:F296))&gt;(L306*7),(((L306*7)-(SUM(B290:F296)-C295))*K289)+((SUM(B296:F296)-C295)*K289),SUM(B296:F296)*K289),IF(SUM(B290:F296)&gt;(L306*7),L306*K289,SUM(B296:F296)*K289)),2)</f>
        <v>0</v>
      </c>
      <c r="L296" s="76">
        <f>ROUND(IF(SUM(B290:F295)&lt;(L305*6),IF((SUM(B290:F296))&gt;(L305*7),(((L305*7)-(SUM(B290:F296)-C295))*L289)+((SUM(B296:F296)-C295)*L289),SUM(B296:F296)*L289),IF(SUM(B290:F296)&gt;(L305*7),L305*L289,SUM(B296:F296)*L289)),2)</f>
        <v>0</v>
      </c>
      <c r="M296" s="76">
        <f>ROUND(IF(SUM(B290:F295)&lt;(L306*6),IF((SUM(B290:F296))&gt;(L306*7),(((L306*7)-(SUM(B290:F296)-C296))*M289)+((SUM(B296:F296)-C296)*M289),(SUM(B296:F296)-C296)*M289),IF(SUM(B290:F296)&gt;(L306*7),L306*M289,SUM(B296:F296)*M289)),2)</f>
        <v>0</v>
      </c>
      <c r="N296" s="23">
        <f>ROUND((B296+E296+F296)*N289,2)</f>
        <v>0</v>
      </c>
      <c r="O296" s="23">
        <f>ROUND(SUM(B296+C296+F296)*O289,2)</f>
        <v>0</v>
      </c>
      <c r="P296" s="27">
        <f t="shared" si="33"/>
        <v>0</v>
      </c>
    </row>
    <row r="297" spans="1:16" s="20" customFormat="1" x14ac:dyDescent="0.2">
      <c r="A297" s="100" t="str">
        <f>$A$33</f>
        <v>Aug 2022</v>
      </c>
      <c r="B297" s="24">
        <f>ROUND(IF(P271=0,0,IFERROR(((LOOKUP(2,1/(A278:A281=A297),G278:G281))*P271*4.348*50%),B296/P271*P271)),2)</f>
        <v>0</v>
      </c>
      <c r="C297" s="23">
        <f>ROUND(IFERROR(((LOOKUP(2,1/(B283=A297),((SUM(B296:B298)+SUM(F296:F298))/3)*C283))),0)+IFERROR(((LOOKUP(2,1/(E283=A297),(B302+F302)*F283))),0),2)</f>
        <v>0</v>
      </c>
      <c r="D297" s="23">
        <f>ROUND(IF(B297=0,0,D289/L271*P271*50%),2)</f>
        <v>0</v>
      </c>
      <c r="E297" s="23">
        <f>ROUND(IF(B297=0,0,E289/N267*P271*50%),2)</f>
        <v>0</v>
      </c>
      <c r="F297" s="24">
        <f>ROUND(IF(P271=0,0,IFERROR(((LOOKUP(2,1/(A278:A281=A297),H278:H281))/N267*P271),F296/P271*P271*50%)),2)</f>
        <v>0</v>
      </c>
      <c r="G297" s="27">
        <f t="shared" si="32"/>
        <v>0</v>
      </c>
      <c r="H297" s="76">
        <f>ROUND(IF(SUM(B290:F296)&lt;(L305*7),IF((SUM(B290:F297))&gt;(L305*8),(((L305*8)-(SUM(B290:F297)-C296))*H289)+((SUM(B297:F297)-C296)*H289),SUM(B297:F297)*H289),IF(SUM(B290:F297)&gt;(L305*8),L305*H289,SUM(B297:F297)*H289)),2)</f>
        <v>0</v>
      </c>
      <c r="I297" s="76">
        <f>ROUND(IF((SUM(B290:F297)*80%)&gt;((L306*8)*90%),((((L306*8)*90%)-((SUM(B290:F297)-C297))*I289)+((SUM(B297:F297)-C297)*I289)*80%),((SUM(B297:F297)-C297)*I289)*80%),2)</f>
        <v>0</v>
      </c>
      <c r="J297" s="76">
        <f>ROUND(IF(SUM(B290:F296)&lt;(L306*7),IF((SUM(B290:F297))&gt;(L306*8),(((L306*8)-(SUM(B290:F297)-C296))*J289)+((SUM(B297:F297)-C296)*J289),SUM(B297:F297)*J289),IF(SUM(B290:F297)&gt;(L306*8),L306*J289,SUM(B297:F297)*J289)),2)</f>
        <v>0</v>
      </c>
      <c r="K297" s="76">
        <f>ROUND(IF(SUM(B290:F296)&lt;(L306*7),IF((SUM(B290:F297))&gt;(L306*8),(((L306*8)-(SUM(B290:F297)-C296))*K289)+((SUM(B297:F297)-C296)*K289),SUM(B297:F297)*K289),IF(SUM(B290:F297)&gt;(L306*8),L306*K289,SUM(B297:F297)*K289)),2)</f>
        <v>0</v>
      </c>
      <c r="L297" s="76">
        <f>ROUND(IF(SUM(B290:F296)&lt;(L305*7),IF((SUM(B290:F297))&gt;(L305*8),(((L305*8)-(SUM(B290:F297)-C296))*L289)+((SUM(B297:F297)-C296)*L289),SUM(B297:F297)*L289),IF(SUM(B290:F297)&gt;(L305*8),L305*L289,SUM(B297:F297)*L289)),2)</f>
        <v>0</v>
      </c>
      <c r="M297" s="76">
        <f>ROUND(IF(SUM(B290:F296)&lt;(L306*7),IF((SUM(B290:F297))&gt;(L306*8),(((L306*8)-(SUM(B290:F297)-C297))*M289)+((SUM(B297:F297)-C297)*M289),(SUM(B297:F297)-C297)*M289),IF(SUM(B290:F297)&gt;(L306*8),L306*M289,SUM(B297:F297)*M289)),2)</f>
        <v>0</v>
      </c>
      <c r="N297" s="23">
        <f>ROUND((B297+E297+F297)*N289,2)</f>
        <v>0</v>
      </c>
      <c r="O297" s="23">
        <f>ROUND(SUM(B297+C297+F297)*O289,2)</f>
        <v>0</v>
      </c>
      <c r="P297" s="27">
        <f t="shared" si="33"/>
        <v>0</v>
      </c>
    </row>
    <row r="298" spans="1:16" s="20" customFormat="1" x14ac:dyDescent="0.2">
      <c r="A298" s="100" t="str">
        <f>$A$34</f>
        <v>Sep 2022</v>
      </c>
      <c r="B298" s="24">
        <f>ROUND(IF(P272=0,0,IFERROR(((LOOKUP(2,1/(A278:A281=A298),G278:G281))*P272*4.348*50%),B297/P272*P272)),2)</f>
        <v>0</v>
      </c>
      <c r="C298" s="23">
        <f>ROUND(IFERROR(((LOOKUP(2,1/(B283=A298),((SUM(B296:B298)+SUM(F296:F298))/3)*C283))),0)+IFERROR(((LOOKUP(2,1/(E283=A298),(B302+F302)*F283))),0),2)</f>
        <v>0</v>
      </c>
      <c r="D298" s="23">
        <f>ROUND(IF(B298=0,0,D289/L271*P272*50%),2)</f>
        <v>0</v>
      </c>
      <c r="E298" s="23">
        <f>ROUND(IF(B298=0,0,E289/N267*P272*50),2)</f>
        <v>0</v>
      </c>
      <c r="F298" s="24">
        <f>ROUND(IF(P272=0,0,IFERROR(((LOOKUP(2,1/(A278:A281=A298),H278:H281))/N267*P272),F297/P272*P272*50%)),2)</f>
        <v>0</v>
      </c>
      <c r="G298" s="27">
        <f t="shared" si="32"/>
        <v>0</v>
      </c>
      <c r="H298" s="76">
        <f>ROUND(IF(SUM(B290:F297)&lt;(L305*8),IF((SUM(B290:F298))&gt;(L305*9),(((L305*9)-(SUM(B290:F298)-C297))*H289)+((SUM(B298:F298)-C297)*H289),SUM(B298:F298)*H289),IF(SUM(B290:F298)&gt;(L305*9),L305*H289,SUM(B298:F298)*H289)),2)</f>
        <v>0</v>
      </c>
      <c r="I298" s="76">
        <f>ROUND(IF((SUM(B290:F298)*80%)&gt;((L306*9)*90%),((((L306*9)*90%)-((SUM(B290:F298)-C298))*I289)+((SUM(B298:F298)-C298)*I289)*80%),((SUM(B298:F298)-C298)*I289)*80%),2)</f>
        <v>0</v>
      </c>
      <c r="J298" s="76">
        <f>ROUND(IF(SUM(B290:F297)&lt;(L306*8),IF((SUM(B290:F298))&gt;(L306*9),(((L306*9)-(SUM(B290:F298)-C297))*J289)+((SUM(B298:F298)-C297)*J289),SUM(B298:F298)*J289),IF(SUM(B290:F298)&gt;(L306*9),L306*J289,SUM(B298:F298)*J289)),2)</f>
        <v>0</v>
      </c>
      <c r="K298" s="76">
        <f>ROUND(IF(SUM(B290:F297)&lt;(L306*8),IF((SUM(B290:F298))&gt;(L306*9),(((L306*9)-(SUM(B290:F298)-C297))*K289)+((SUM(B298:F298)-C297)*K289),SUM(B298:F298)*K289),IF(SUM(B290:F298)&gt;(L306*9),L306*K289,SUM(B298:F298)*K289)),2)</f>
        <v>0</v>
      </c>
      <c r="L298" s="76">
        <f>ROUND(IF(SUM(B290:F297)&lt;(L305*8),IF((SUM(B290:F298))&gt;(L305*9),(((L305*9)-(SUM(B290:F298)-C297))*L289)+((SUM(B298:F298)-C297)*L289),SUM(B298:F298)*L289),IF(SUM(B290:F298)&gt;(L305*9),L305*L289,SUM(B298:F298)*L289)),2)</f>
        <v>0</v>
      </c>
      <c r="M298" s="76">
        <f>ROUND(IF(SUM(B290:F297)&lt;(L306*8),IF((SUM(B290:F298))&gt;(L306*9),(((L306*9)-(SUM(B290:F298)-C298))*M289)+((SUM(B298:F298)-C298)*M289),(SUM(B298:F298)-C298)*M289),IF(SUM(B290:F298)&gt;(L306*9),L306*M289,SUM(B298:F298)*M289)),2)</f>
        <v>0</v>
      </c>
      <c r="N298" s="23">
        <f>ROUND((B298+E298+F298)*N289,2)</f>
        <v>0</v>
      </c>
      <c r="O298" s="23">
        <f>ROUND(SUM(B298+C298+F298)*O289,2)</f>
        <v>0</v>
      </c>
      <c r="P298" s="27">
        <f t="shared" si="33"/>
        <v>0</v>
      </c>
    </row>
    <row r="299" spans="1:16" s="20" customFormat="1" x14ac:dyDescent="0.2">
      <c r="A299" s="100" t="str">
        <f>$A$35</f>
        <v>Okt 2022</v>
      </c>
      <c r="B299" s="24">
        <f>ROUND(IF(P273=0,0,IFERROR(((LOOKUP(2,1/(A278:A281=A299),G278:G281))*P273*4.348*50%),B298/P273*P273)),2)</f>
        <v>0</v>
      </c>
      <c r="C299" s="23">
        <f>ROUND(IFERROR(((LOOKUP(2,1/(B283=A299),((SUM(B296:B298)+SUM(F296:F298))/3)*C283))),0)+IFERROR(((LOOKUP(2,1/(E283=A299),(B302+F302)*F283))),0),2)</f>
        <v>0</v>
      </c>
      <c r="D299" s="23">
        <f>ROUND(IF(B299=0,0,D289/L271*P273*50%),2)</f>
        <v>0</v>
      </c>
      <c r="E299" s="23">
        <f>ROUND(IF(B299=0,0,E289/N267*P273*50%),2)</f>
        <v>0</v>
      </c>
      <c r="F299" s="24">
        <f>ROUND(IF(P273=0,0,IFERROR(((LOOKUP(2,1/(A278:A281=A299),H278:H281))/N267*P273),F298/P273*P273*50%)),2)</f>
        <v>0</v>
      </c>
      <c r="G299" s="27">
        <f t="shared" si="32"/>
        <v>0</v>
      </c>
      <c r="H299" s="76">
        <f>ROUND(IF(SUM(B290:F298)&lt;(L305*9),IF((SUM(B290:F299))&gt;(L305*10),(((L305*10)-(SUM(B290:F299)-C298))*H289)+((SUM(B299:F299)-C298)*H289),SUM(B299:F299)*H289),IF(SUM(B290:F299)&gt;(L305*10),L305*H289,SUM(B299:F299)*H289)),2)</f>
        <v>0</v>
      </c>
      <c r="I299" s="76">
        <f>ROUND(IF((SUM(B290:F299)*80%)&gt;((L306*10)*90%),((((L306*10)*90%)-((SUM(B290:F299)-C299))*I289)+((SUM(B299:F299)-C299)*I289)*80%),((SUM(B299:F299)-C299)*I289)*80%),2)</f>
        <v>0</v>
      </c>
      <c r="J299" s="76">
        <f>ROUND(IF(SUM(B290:F298)&lt;(L306*9),IF((SUM(B290:F299))&gt;(L306*10),(((L306*10)-(SUM(B290:F299)-C298))*J289)+((SUM(B299:F299)-C298)*J289),SUM(B299:F299)*J289),IF(SUM(B290:F299)&gt;(L306*10),L306*J289,SUM(B299:F299)*J289)),2)</f>
        <v>0</v>
      </c>
      <c r="K299" s="76">
        <f>ROUND(IF(SUM(B290:F298)&lt;(L306*9),IF((SUM(B290:F299))&gt;(L306*10),(((L306*10)-(SUM(B290:F299)-C298))*K289)+((SUM(B299:F299)-C298)*K289),SUM(B299:F299)*K289),IF(SUM(B290:F299)&gt;(L306*10),L306*K289,SUM(B299:F299)*K289)),2)</f>
        <v>0</v>
      </c>
      <c r="L299" s="76">
        <f>ROUND(IF(SUM(B290:F298)&lt;(L305*9),IF((SUM(B290:F299))&gt;(L305*10),(((L305*10)-(SUM(B290:F299)-C298))*L289)+((SUM(B299:F299)-C298)*L289),SUM(B299:F299)*L289),IF(SUM(B290:F299)&gt;(L305*10),L305*L289,SUM(B299:F299)*L289)),2)</f>
        <v>0</v>
      </c>
      <c r="M299" s="76">
        <f>ROUND(IF(SUM(B290:F298)&lt;(L306*9),IF((SUM(B290:F299))&gt;(L306*10),(((L306*10)-(SUM(B290:F299)-C299))*M289)+((SUM(B299:F299)-C299)*M289),(SUM(B299:F299)-C299)*M289),IF(SUM(B290:F299)&gt;(L306*10),L306*M289,SUM(B299:F299)*M289)),2)</f>
        <v>0</v>
      </c>
      <c r="N299" s="23">
        <f>ROUND((B299+E299+F299)*N289,2)</f>
        <v>0</v>
      </c>
      <c r="O299" s="23">
        <f>ROUND(SUM(B299+C299+F299)*O289,2)</f>
        <v>0</v>
      </c>
      <c r="P299" s="27">
        <f t="shared" si="33"/>
        <v>0</v>
      </c>
    </row>
    <row r="300" spans="1:16" s="20" customFormat="1" x14ac:dyDescent="0.2">
      <c r="A300" s="100" t="str">
        <f>$A$36</f>
        <v>Nov 2022</v>
      </c>
      <c r="B300" s="24">
        <f>ROUND(IF(P274=0,0,IFERROR(((LOOKUP(2,1/(A278:A281=A300),G278:G281))*P274*4.348*50%),B299/P274*P274)),2)</f>
        <v>0</v>
      </c>
      <c r="C300" s="23">
        <f>ROUND(IFERROR(((LOOKUP(2,1/(B283=A300),((SUM(B296:B298)+SUM(F296:F298))/3)*C283))),0)+IFERROR(((LOOKUP(2,1/(E283=A300),(B302+F302)*F283))),0),2)</f>
        <v>0</v>
      </c>
      <c r="D300" s="23">
        <f>ROUND(IF(B300=0,0,D289/L271*P274*50%),2)</f>
        <v>0</v>
      </c>
      <c r="E300" s="23">
        <f>ROUND(IF(B300=0,0,E289/N267*P274*50%),2)</f>
        <v>0</v>
      </c>
      <c r="F300" s="24">
        <f>ROUND(IF(P274=0,0,IFERROR(((LOOKUP(2,1/(A278:A281=A300),H278:H281))/N267*P274),F299/P274*P274*50%)),2)</f>
        <v>0</v>
      </c>
      <c r="G300" s="27">
        <f t="shared" si="32"/>
        <v>0</v>
      </c>
      <c r="H300" s="76">
        <f>ROUND(IF(SUM(B290:F299)&lt;(L305*10),IF((SUM(B290:F300))&gt;(L305*11),(((L305*11)-(SUM(B290:F300)-C299))*H289)+((SUM(B300:F300)-C299)*H289),SUM(B300:F300)*H289),IF(SUM(B290:F300)&gt;(L305*11),L305*H289,SUM(B300:F300)*H289)),2)</f>
        <v>0</v>
      </c>
      <c r="I300" s="76">
        <f>ROUND(IF((SUM(B290:F300)*80%)&gt;((L306*11)*90%),((((L306*11)*90%)-((SUM(B290:F300)-C300))*I289)+((SUM(B300:F300)-C300)*I289)*80%),((SUM(B300:F300)-C300)*I289)*80%),2)</f>
        <v>0</v>
      </c>
      <c r="J300" s="76">
        <f>ROUND(IF(SUM(B290:F299)&lt;(L306*10),IF((SUM(B290:F300))&gt;(L306*11),(((L306*11)-(SUM(B290:F300)-C299))*J289)+((SUM(B300:F300)-C299)*J289),SUM(B300:F300)*J289),IF(SUM(B290:F300)&gt;(L306*11),L306*J289,SUM(B300:F300)*J289)),2)</f>
        <v>0</v>
      </c>
      <c r="K300" s="76">
        <f>ROUND(IF(SUM(B290:F299)&lt;(L306*10),IF((SUM(B290:F300))&gt;(L306*11),(((L306*11)-(SUM(B290:F300)-C299))*K289)+((SUM(B300:F300)-C299)*K289),SUM(B300:F300)*K289),IF(SUM(B290:F300)&gt;(L306*11),L306*K289,SUM(B300:F300)*K289)),2)</f>
        <v>0</v>
      </c>
      <c r="L300" s="76">
        <f>ROUND(IF(SUM(B290:F299)&lt;(L305*10),IF((SUM(B290:F300))&gt;(L305*11),(((L305*11)-(SUM(B290:F300)-C299))*L289)+((SUM(B300:F300)-C299)*L289),SUM(B300:F300)*L289),IF(SUM(B290:F300)&gt;(L305*11),L305*L289,SUM(B300:F300)*L289)),2)</f>
        <v>0</v>
      </c>
      <c r="M300" s="76">
        <f>ROUND(IF(SUM(B290:F299)&lt;(L306*10),IF((SUM(B290:F300))&gt;(L306*11),(((L306*11)-(SUM(B290:F300)-C300))*M289)+((SUM(B300:F300)-C300)*M289),(SUM(B300:F300)-C300)*M289),IF(SUM(B290:F300)&gt;(L306*11),L306*M289,SUM(B300:F300)*M289)),2)</f>
        <v>0</v>
      </c>
      <c r="N300" s="23">
        <f>ROUND((B300+E300+F300)*N289,2)</f>
        <v>0</v>
      </c>
      <c r="O300" s="23">
        <f>ROUND(SUM(B300+C300+F300)*O289,2)</f>
        <v>0</v>
      </c>
      <c r="P300" s="27">
        <f t="shared" si="33"/>
        <v>0</v>
      </c>
    </row>
    <row r="301" spans="1:16" s="20" customFormat="1" x14ac:dyDescent="0.2">
      <c r="A301" s="100" t="str">
        <f>$A$37</f>
        <v>Dez 2022</v>
      </c>
      <c r="B301" s="24">
        <f>ROUND(IF(P275=0,0,IFERROR(((LOOKUP(2,1/(A278:A281=A301),G278:G281))*P275*4.348*50%),B300/P275*P275)),2)</f>
        <v>0</v>
      </c>
      <c r="C301" s="23">
        <f>ROUND(IFERROR(((LOOKUP(2,1/(B283=A301),((SUM(B296:B298)+SUM(F296:F298))/3)*C283))),0)+IFERROR(((LOOKUP(2,1/(E283=A301),(B302+F302)*F283))),0),2)</f>
        <v>0</v>
      </c>
      <c r="D301" s="23">
        <f>ROUND(IF(B301=0,0,D289/L271*P275*50%),2)</f>
        <v>0</v>
      </c>
      <c r="E301" s="23">
        <f>ROUND(IF(B301=0,0,E289/N267*P275*50%),2)</f>
        <v>0</v>
      </c>
      <c r="F301" s="24">
        <f>ROUND(IF(P275=0,0,IFERROR(((LOOKUP(2,1/(A278:A281=A301),H278:H281))/N267*P275),F300/P275*P275*50%)),2)</f>
        <v>0</v>
      </c>
      <c r="G301" s="27">
        <f t="shared" si="32"/>
        <v>0</v>
      </c>
      <c r="H301" s="76">
        <f>ROUND(IF(SUM(B290:F300)&lt;(L305*11),IF((SUM(B290:F301))&gt;(L305*12),(((L305*12)-(SUM(B290:F301)-C300))*H289)+((SUM(B301:F301)-C300)*H289),SUM(B301:F301)*H289),IF(SUM(B290:F301)&gt;(L305*12),L305*H289,SUM(B301:F301)*H289)),2)</f>
        <v>0</v>
      </c>
      <c r="I301" s="76">
        <f>ROUND(IF((SUM(B290:F301)*80%)&gt;((L306*12)*90%),((((L306*12)*90%)-((SUM(B290:F301)-C301))*I289)+((SUM(B301:F301)-C301)*I289)*80%),((SUM(B301:F301)-C301)*I289)*80%),2)</f>
        <v>0</v>
      </c>
      <c r="J301" s="76">
        <f>ROUND(IF(SUM(B290:F300)&lt;(L306*11),IF((SUM(B290:F301))&gt;(L306*12),(((L306*12)-(SUM(B290:F301)-C300))*J289)+((SUM(B301:F301)-C300)*J289),SUM(B301:F301)*J289),IF(SUM(B290:F301)&gt;(L306*12),L306*J289,SUM(B301:F301)*J289)),2)</f>
        <v>0</v>
      </c>
      <c r="K301" s="76">
        <f>ROUND(IF(SUM(B290:F300)&lt;(L306*11),IF((SUM(B290:F301))&gt;(L306*12),(((L306*12)-(SUM(B290:F301)-C300))*K289)+((SUM(B301:F301)-C300)*K289),SUM(B301:F301)*K289),IF(SUM(B290:F301)&gt;(L306*12),L306*K289,SUM(B301:F301)*K289)),2)</f>
        <v>0</v>
      </c>
      <c r="L301" s="76">
        <f>ROUND(IF(SUM(B290:F300)&lt;(L305*11),IF((SUM(B290:F301))&gt;(L305*12),(((L305*12)-(SUM(B290:F301)-C300))*L289)+((SUM(B301:F301)-C300)*L289),SUM(B301:F301)*L289),IF(SUM(B290:F301)&gt;(L305*12),L305*L289,SUM(B301:F301)*L289)),2)</f>
        <v>0</v>
      </c>
      <c r="M301" s="76">
        <f>ROUND(IF(SUM(B290:F300)&lt;(L306*11),IF((SUM(B290:F301))&gt;(L306*12),(((L306*12)-(SUM(B290:F301)-C301))*M289)+((SUM(B301:F301)-C301)*M289),(SUM(B301:F301)-C301)*M289),IF(SUM(B290:F301)&gt;(L306*12),L306*M289,SUM(B301:F301)*M289)),2)</f>
        <v>0</v>
      </c>
      <c r="N301" s="23">
        <f>ROUND((B301+E301+F301)*N289,2)</f>
        <v>0</v>
      </c>
      <c r="O301" s="23">
        <f>ROUND(SUM(B301+C301+F301)*O289,2)</f>
        <v>0</v>
      </c>
      <c r="P301" s="27">
        <f>SUM(G301:O301)</f>
        <v>0</v>
      </c>
    </row>
    <row r="302" spans="1:16" s="20" customFormat="1" x14ac:dyDescent="0.2">
      <c r="A302" s="4" t="s">
        <v>2</v>
      </c>
      <c r="B302" s="27">
        <f>SUM(B290:B301)</f>
        <v>0</v>
      </c>
      <c r="C302" s="27">
        <f t="shared" ref="C302" si="34">SUM(C290:C301)</f>
        <v>0</v>
      </c>
      <c r="D302" s="27">
        <f>SUM(D290:D301)</f>
        <v>0</v>
      </c>
      <c r="E302" s="27">
        <f t="shared" ref="E302:G302" si="35">SUM(E290:E301)</f>
        <v>0</v>
      </c>
      <c r="F302" s="27">
        <f t="shared" si="35"/>
        <v>0</v>
      </c>
      <c r="G302" s="27">
        <f t="shared" si="35"/>
        <v>0</v>
      </c>
      <c r="H302" s="1133">
        <f>SUM(H290:M301)</f>
        <v>0</v>
      </c>
      <c r="I302" s="1134"/>
      <c r="J302" s="1134"/>
      <c r="K302" s="1134"/>
      <c r="L302" s="1134"/>
      <c r="M302" s="1134"/>
      <c r="N302" s="27">
        <f>SUM(N290:N301)</f>
        <v>0</v>
      </c>
      <c r="O302" s="27">
        <f>SUM(O290:O301)</f>
        <v>0</v>
      </c>
      <c r="P302" s="27">
        <f>SUM(P290:P301)</f>
        <v>0</v>
      </c>
    </row>
    <row r="303" spans="1:16" s="13" customFormat="1" ht="11.25" x14ac:dyDescent="0.2">
      <c r="A303" s="3" t="s">
        <v>1</v>
      </c>
      <c r="B303" s="2"/>
      <c r="C303" s="2"/>
      <c r="D303" s="2"/>
      <c r="E303" s="2"/>
      <c r="F303" s="2"/>
      <c r="G303" s="2"/>
      <c r="H303" s="2"/>
      <c r="I303" s="2"/>
      <c r="J303" s="2"/>
      <c r="K303" s="2"/>
      <c r="L303" s="2"/>
      <c r="M303" s="2"/>
      <c r="N303" s="2"/>
      <c r="O303" s="2"/>
      <c r="P303" s="2"/>
    </row>
    <row r="304" spans="1:16" ht="14.25" customHeight="1" x14ac:dyDescent="0.2">
      <c r="A304" s="1136" t="s">
        <v>133</v>
      </c>
      <c r="B304" s="1137"/>
      <c r="C304" s="1137"/>
      <c r="D304" s="1137" t="s">
        <v>134</v>
      </c>
      <c r="E304" s="1137"/>
      <c r="F304" s="94" t="str">
        <f>IF(IF(G302=0,"",$F$40)=0,"",IF(G302=0,"",$F$40))</f>
        <v/>
      </c>
      <c r="G304" s="77" t="s">
        <v>135</v>
      </c>
      <c r="H304" s="96" t="str">
        <f>IF(IF(G302=0,"",$H$40)=0,"",IF(G302=0,"",$H$40))</f>
        <v/>
      </c>
      <c r="I304" s="73"/>
      <c r="J304" s="194" t="s">
        <v>160</v>
      </c>
      <c r="K304" s="194" t="str">
        <f>$K$40</f>
        <v>2021</v>
      </c>
      <c r="L304" s="194" t="str">
        <f>$L$40</f>
        <v>anteilig 2021</v>
      </c>
      <c r="M304" s="1138" t="s">
        <v>140</v>
      </c>
      <c r="N304" s="1138"/>
      <c r="O304" s="1139"/>
      <c r="P304" s="27">
        <f>ROUND(IF(F304="",IF(E308="",0,(E308*H308/K308)/L271*L272),G302*F304*H304/1000),2)</f>
        <v>0</v>
      </c>
    </row>
    <row r="305" spans="1:16" ht="15" customHeight="1" x14ac:dyDescent="0.2">
      <c r="A305" s="1140" t="s">
        <v>145</v>
      </c>
      <c r="B305" s="1141"/>
      <c r="C305" s="1141"/>
      <c r="D305" s="18"/>
      <c r="E305" s="107" t="s">
        <v>135</v>
      </c>
      <c r="F305" s="95" t="str">
        <f>IF(IF(G302=0,"",$F$41)=0,"",IF(G302=0,"",$F$41))</f>
        <v/>
      </c>
      <c r="G305" s="48"/>
      <c r="H305" s="47"/>
      <c r="I305" s="48"/>
      <c r="J305" s="195" t="s">
        <v>158</v>
      </c>
      <c r="K305" s="198">
        <f>$K$41</f>
        <v>4837.5</v>
      </c>
      <c r="L305" s="197">
        <f>IF(L271="",K305,K305/L271*L272)</f>
        <v>4837.5</v>
      </c>
      <c r="M305" s="1138" t="s">
        <v>139</v>
      </c>
      <c r="N305" s="1138"/>
      <c r="O305" s="1139"/>
      <c r="P305" s="27">
        <f>ROUND(IF(F305="",0,G302*F305/1000),2)</f>
        <v>0</v>
      </c>
    </row>
    <row r="306" spans="1:16" ht="15.75" customHeight="1" x14ac:dyDescent="0.2">
      <c r="A306" s="1142" t="s">
        <v>141</v>
      </c>
      <c r="B306" s="1143"/>
      <c r="C306" s="1143"/>
      <c r="D306" s="1144" t="s">
        <v>143</v>
      </c>
      <c r="E306" s="1144"/>
      <c r="F306" s="1145" t="str">
        <f>IF(IF(G302=0,"",$F$42)=0,"",IF(G302=0,"",$F$42))</f>
        <v/>
      </c>
      <c r="G306" s="1145"/>
      <c r="H306" s="72"/>
      <c r="I306" s="18"/>
      <c r="J306" s="195" t="s">
        <v>159</v>
      </c>
      <c r="K306" s="198">
        <f>$K$42</f>
        <v>6700</v>
      </c>
      <c r="L306" s="197">
        <f>IF(L271="",K306,K306/L271*L272)</f>
        <v>6700</v>
      </c>
      <c r="M306" s="1138" t="s">
        <v>141</v>
      </c>
      <c r="N306" s="1138"/>
      <c r="O306" s="1139"/>
      <c r="P306" s="23">
        <f>ROUND(IF(F306="",0,IF(G302=0,0,F306/L271*L272)),2)</f>
        <v>0</v>
      </c>
    </row>
    <row r="307" spans="1:16" ht="14.25" customHeight="1" x14ac:dyDescent="0.2">
      <c r="A307" s="18"/>
      <c r="B307" s="18"/>
      <c r="C307" s="18"/>
      <c r="D307" s="18"/>
      <c r="E307" s="18"/>
      <c r="F307" s="18"/>
      <c r="G307" s="18"/>
      <c r="H307" s="18"/>
      <c r="I307" s="18"/>
      <c r="J307" s="18"/>
      <c r="K307" s="74"/>
      <c r="L307" s="82"/>
      <c r="M307" s="1127" t="s">
        <v>146</v>
      </c>
      <c r="N307" s="1127"/>
      <c r="O307" s="1128"/>
      <c r="P307" s="23">
        <f>ROUND(IF(G302=0,0,$P$43),2)</f>
        <v>0</v>
      </c>
    </row>
    <row r="308" spans="1:16" ht="14.25" customHeight="1" x14ac:dyDescent="0.2">
      <c r="A308" s="1129" t="s">
        <v>142</v>
      </c>
      <c r="B308" s="1130"/>
      <c r="C308" s="148" t="s">
        <v>136</v>
      </c>
      <c r="D308" s="184" t="s">
        <v>137</v>
      </c>
      <c r="E308" s="1131" t="str">
        <f>IF(IF(G302=0,"",$E$44)=0,"",IF(G302=0,"",$E$44))</f>
        <v/>
      </c>
      <c r="F308" s="1131"/>
      <c r="G308" s="83" t="s">
        <v>138</v>
      </c>
      <c r="H308" s="97" t="str">
        <f>IF(IF(G302=0,"",$H$44)=0,"",IF(G302=0,"",$H$44))</f>
        <v/>
      </c>
      <c r="I308" s="1132" t="s">
        <v>144</v>
      </c>
      <c r="J308" s="1132"/>
      <c r="K308" s="98" t="str">
        <f>IF(IF(G302=0,"",$K$44)=0,"",IF(G302=0,"",$K$44))</f>
        <v/>
      </c>
      <c r="L308" s="29"/>
      <c r="M308" s="29"/>
      <c r="N308" s="29"/>
      <c r="O308" s="28" t="s">
        <v>0</v>
      </c>
      <c r="P308" s="27">
        <f>P302+SUM(P304:P307)</f>
        <v>0</v>
      </c>
    </row>
    <row r="309" spans="1:16" s="12" customFormat="1" ht="13.5" customHeight="1" x14ac:dyDescent="0.2">
      <c r="A309" s="1178" t="s">
        <v>18</v>
      </c>
      <c r="B309" s="1178"/>
      <c r="C309" s="1178"/>
      <c r="D309" s="1179" t="str">
        <f>IF($D$1="","",$D$1)</f>
        <v/>
      </c>
      <c r="E309" s="1179"/>
      <c r="F309" s="1179"/>
      <c r="G309" s="1179"/>
      <c r="H309" s="1179"/>
      <c r="I309" s="1179"/>
      <c r="J309" s="1179"/>
      <c r="K309" s="1179"/>
      <c r="L309" s="1179"/>
      <c r="M309" s="1179"/>
      <c r="N309" s="1179"/>
    </row>
    <row r="310" spans="1:16" s="12" customFormat="1" ht="15" customHeight="1" x14ac:dyDescent="0.2">
      <c r="A310" s="1178" t="s">
        <v>17</v>
      </c>
      <c r="B310" s="1178"/>
      <c r="C310" s="1178" t="s">
        <v>15</v>
      </c>
      <c r="D310" s="1179" t="str">
        <f>IF($D$2="","",$D$2)</f>
        <v/>
      </c>
      <c r="E310" s="1179"/>
      <c r="F310" s="1179"/>
      <c r="G310" s="1179"/>
      <c r="H310" s="1179"/>
      <c r="I310" s="1179"/>
      <c r="J310" s="1179"/>
      <c r="K310" s="1179"/>
      <c r="L310" s="1179"/>
      <c r="M310" s="1179"/>
      <c r="N310" s="1179"/>
    </row>
    <row r="311" spans="1:16" s="12" customFormat="1" ht="15" customHeight="1" x14ac:dyDescent="0.2">
      <c r="A311" s="1178" t="s">
        <v>16</v>
      </c>
      <c r="B311" s="1178"/>
      <c r="C311" s="1178" t="s">
        <v>15</v>
      </c>
      <c r="D311" s="1179" t="str">
        <f>IF($D$3="","",$D$3)</f>
        <v/>
      </c>
      <c r="E311" s="1179"/>
      <c r="F311" s="1179"/>
      <c r="G311" s="1179"/>
      <c r="H311" s="1179"/>
      <c r="I311" s="1179"/>
      <c r="J311" s="1179"/>
      <c r="K311" s="1178" t="s">
        <v>103</v>
      </c>
      <c r="L311" s="1178"/>
      <c r="M311" s="1178"/>
      <c r="N311" s="41" t="str">
        <f>IF($N$3="","",$N$3)</f>
        <v/>
      </c>
    </row>
    <row r="312" spans="1:16" s="13" customFormat="1" ht="11.25" x14ac:dyDescent="0.2">
      <c r="A312" s="1182"/>
      <c r="B312" s="1182"/>
      <c r="C312" s="1182"/>
      <c r="D312" s="1183"/>
      <c r="E312" s="1183"/>
      <c r="F312" s="1183"/>
      <c r="G312" s="1183"/>
      <c r="H312" s="1183"/>
      <c r="I312" s="1183"/>
      <c r="J312" s="1183"/>
      <c r="K312" s="11"/>
      <c r="L312" s="11"/>
      <c r="M312" s="11"/>
      <c r="N312" s="11"/>
      <c r="O312" s="11"/>
      <c r="P312" s="11"/>
    </row>
    <row r="313" spans="1:16" s="20" customFormat="1" x14ac:dyDescent="0.2">
      <c r="A313" s="1177" t="s">
        <v>237</v>
      </c>
      <c r="B313" s="1177"/>
      <c r="C313" s="1177"/>
      <c r="D313" s="1177"/>
      <c r="E313" s="1177"/>
      <c r="F313" s="1177"/>
      <c r="G313" s="1177"/>
      <c r="H313" s="1177"/>
      <c r="I313" s="1177"/>
      <c r="J313" s="1177"/>
      <c r="K313" s="1177"/>
      <c r="L313" s="1177"/>
      <c r="M313" s="1177"/>
      <c r="N313" s="59" t="s">
        <v>154</v>
      </c>
      <c r="O313" s="191">
        <f>$O$5</f>
        <v>2022</v>
      </c>
      <c r="P313" s="59" t="s">
        <v>154</v>
      </c>
    </row>
    <row r="314" spans="1:16" s="10" customFormat="1" ht="13.5" customHeight="1" x14ac:dyDescent="0.25">
      <c r="B314" s="32"/>
      <c r="C314" s="32"/>
      <c r="D314" s="5" t="s">
        <v>236</v>
      </c>
      <c r="E314" s="31"/>
      <c r="F314" s="31"/>
      <c r="G314" s="31"/>
      <c r="H314" s="31"/>
      <c r="I314" s="26"/>
      <c r="J314" s="1174" t="s">
        <v>14</v>
      </c>
      <c r="K314" s="1174"/>
      <c r="L314" s="180"/>
      <c r="N314" s="84">
        <f>IF(L316="","",L316)</f>
        <v>0</v>
      </c>
      <c r="O314" s="58" t="str">
        <f>'päd.Personal - Leitung'!$O$6</f>
        <v>Jan                Jul</v>
      </c>
      <c r="P314" s="85">
        <f>IF(N319="","",N319)</f>
        <v>0</v>
      </c>
    </row>
    <row r="315" spans="1:16" s="7" customFormat="1" ht="13.5" customHeight="1" x14ac:dyDescent="0.25">
      <c r="A315" s="1180" t="s">
        <v>71</v>
      </c>
      <c r="B315" s="1180"/>
      <c r="C315" s="1180"/>
      <c r="D315" s="1184"/>
      <c r="E315" s="1184"/>
      <c r="F315" s="1184"/>
      <c r="G315" s="1184"/>
      <c r="H315" s="1184"/>
      <c r="I315" s="1184"/>
      <c r="J315" s="1174" t="s">
        <v>104</v>
      </c>
      <c r="K315" s="1174"/>
      <c r="L315" s="145"/>
      <c r="N315" s="85">
        <f>IF(N314="","",N314)</f>
        <v>0</v>
      </c>
      <c r="O315" s="58" t="str">
        <f>'päd.Personal - Leitung'!$O$7</f>
        <v>Feb              Aug</v>
      </c>
      <c r="P315" s="85">
        <f>IF(P314="","",P314)</f>
        <v>0</v>
      </c>
    </row>
    <row r="316" spans="1:16" ht="13.5" customHeight="1" x14ac:dyDescent="0.2">
      <c r="A316" s="1180" t="s">
        <v>13</v>
      </c>
      <c r="B316" s="1180"/>
      <c r="C316" s="1180"/>
      <c r="D316" s="1181"/>
      <c r="E316" s="1181"/>
      <c r="F316" s="1181"/>
      <c r="G316" s="1181"/>
      <c r="H316" s="1181"/>
      <c r="I316" s="1181"/>
      <c r="J316" s="1174" t="s">
        <v>222</v>
      </c>
      <c r="K316" s="1174"/>
      <c r="L316" s="145">
        <f>IF(L317&gt;L315,0,L315-L317)</f>
        <v>0</v>
      </c>
      <c r="N316" s="85">
        <f>IF(N315="","",N315)</f>
        <v>0</v>
      </c>
      <c r="O316" s="58" t="str">
        <f>'päd.Personal - Leitung'!$O$8</f>
        <v>Mrz              Sep</v>
      </c>
      <c r="P316" s="85">
        <f>IF(P315="","",P315)</f>
        <v>0</v>
      </c>
    </row>
    <row r="317" spans="1:16" ht="13.5" customHeight="1" x14ac:dyDescent="0.2">
      <c r="A317" s="1180" t="s">
        <v>12</v>
      </c>
      <c r="B317" s="1180"/>
      <c r="C317" s="1180"/>
      <c r="D317" s="1181"/>
      <c r="E317" s="1181"/>
      <c r="F317" s="1181"/>
      <c r="G317" s="1181"/>
      <c r="H317" s="1181"/>
      <c r="I317" s="1181"/>
      <c r="J317" s="1174" t="s">
        <v>223</v>
      </c>
      <c r="K317" s="1174"/>
      <c r="L317" s="145"/>
      <c r="N317" s="85">
        <f>IF(N316="","",N316)</f>
        <v>0</v>
      </c>
      <c r="O317" s="58" t="str">
        <f>'päd.Personal - Leitung'!$O$9</f>
        <v>Apr               Okt</v>
      </c>
      <c r="P317" s="85">
        <f t="shared" ref="P317:P319" si="36">IF(P316="","",P316)</f>
        <v>0</v>
      </c>
    </row>
    <row r="318" spans="1:16" ht="13.5" customHeight="1" x14ac:dyDescent="0.2">
      <c r="A318" s="1180" t="s">
        <v>19</v>
      </c>
      <c r="B318" s="1180"/>
      <c r="C318" s="1180"/>
      <c r="D318" s="1181"/>
      <c r="E318" s="1181"/>
      <c r="F318" s="1181"/>
      <c r="G318" s="1181"/>
      <c r="H318" s="1181"/>
      <c r="I318" s="1181"/>
      <c r="J318" s="1174" t="s">
        <v>97</v>
      </c>
      <c r="K318" s="1174"/>
      <c r="L318" s="17" t="str">
        <f>IF(IF((COUNTIF(B334:B345,"&gt;0"))=0,0,(COUNTIF(B334:B345,"&gt;0")))&gt;Grundlagen!$C$24,Grundlagen!$C$24,IF((COUNTIF(B334:B345,"&gt;0"))=0,"",(COUNTIF(B334:B345,"&gt;0"))))</f>
        <v/>
      </c>
      <c r="M318" s="92"/>
      <c r="N318" s="85">
        <f>IF(N317="","",N317)</f>
        <v>0</v>
      </c>
      <c r="O318" s="58" t="str">
        <f>'päd.Personal - Leitung'!$O$10</f>
        <v>Mai               Nov</v>
      </c>
      <c r="P318" s="85">
        <f t="shared" si="36"/>
        <v>0</v>
      </c>
    </row>
    <row r="319" spans="1:16" ht="13.5" customHeight="1" x14ac:dyDescent="0.2">
      <c r="B319" s="8"/>
      <c r="C319" s="141" t="s">
        <v>162</v>
      </c>
      <c r="D319" s="1175"/>
      <c r="E319" s="1175"/>
      <c r="F319" s="1176" t="s">
        <v>113</v>
      </c>
      <c r="G319" s="1176"/>
      <c r="H319" s="1186"/>
      <c r="I319" s="1186"/>
      <c r="L319" s="147" t="str">
        <f>IF((SUM(F322:F325))=0,"",IF(P320&gt;L316,L316,IF(L316="","",IF(L318="","",P320))))</f>
        <v/>
      </c>
      <c r="N319" s="85">
        <f>IF(N318="","",N318)</f>
        <v>0</v>
      </c>
      <c r="O319" s="58" t="str">
        <f>'päd.Personal - Leitung'!$O$11</f>
        <v>Jun               Dez</v>
      </c>
      <c r="P319" s="85">
        <f t="shared" si="36"/>
        <v>0</v>
      </c>
    </row>
    <row r="320" spans="1:16" ht="13.5" customHeight="1" x14ac:dyDescent="0.2">
      <c r="F320" s="1176" t="s">
        <v>241</v>
      </c>
      <c r="G320" s="1176"/>
      <c r="H320" s="1186"/>
      <c r="I320" s="1186"/>
      <c r="O320" s="174" t="s">
        <v>251</v>
      </c>
      <c r="P320" s="175">
        <f>IF(L318="",0,((IF(SUMIF(B334,"&gt;0"),N314,0))+(IF(SUMIF(B335,"&gt;0"),N315,0))+(IF(SUMIF(B336,"&gt;0"),N316,0))+(IF(SUMIF(B337,"&gt;0"),N317,0))+(IF(SUMIF(B338,"&gt;0"),N318,0))+(IF(SUMIF(B339,"&gt;0"),N319,0))+(IF(SUMIF(B340,"&gt;0"),P314,0))+(IF(SUMIF(B341,"&gt;0"),P315,0))+(IF(SUMIF(B342,"&gt;0"),P316,0))+(IF(SUMIF(B343,"&gt;0"),P317,0))+(IF(SUMIF(B344,"&gt;0"),P318,0))+(IF(SUMIF(B345,"&gt;0"),P319,0)))/Grundlagen!$C$24)</f>
        <v>0</v>
      </c>
    </row>
    <row r="321" spans="1:16" s="52" customFormat="1" ht="13.5" customHeight="1" x14ac:dyDescent="0.2">
      <c r="A321" s="61" t="s">
        <v>148</v>
      </c>
      <c r="B321" s="1168" t="s">
        <v>149</v>
      </c>
      <c r="C321" s="1168"/>
      <c r="D321" s="62" t="s">
        <v>150</v>
      </c>
      <c r="E321" s="63" t="s">
        <v>151</v>
      </c>
      <c r="F321" s="64" t="str">
        <f>CONCATENATE("Entg. ",N311," h/Wo")</f>
        <v>Entg.  h/Wo</v>
      </c>
      <c r="G321" s="65" t="s">
        <v>152</v>
      </c>
      <c r="H321" s="65" t="s">
        <v>153</v>
      </c>
      <c r="K321" s="1169" t="str">
        <f>CONCATENATE("Zuschläge / Zulagen für ",N311,"h/Wo")</f>
        <v>Zuschläge / Zulagen für h/Wo</v>
      </c>
      <c r="L321" s="1169"/>
      <c r="M321" s="66" t="str">
        <f>IF(A322="","",A322)</f>
        <v>Jan 2022</v>
      </c>
      <c r="N321" s="66" t="str">
        <f>IF(A323="","",A323)</f>
        <v/>
      </c>
      <c r="O321" s="66" t="str">
        <f>IF(A324="","",A324)</f>
        <v/>
      </c>
      <c r="P321" s="66" t="str">
        <f>IF(A325="","",A325)</f>
        <v/>
      </c>
    </row>
    <row r="322" spans="1:16" s="52" customFormat="1" ht="13.5" customHeight="1" x14ac:dyDescent="0.25">
      <c r="A322" s="54" t="str">
        <f>A334</f>
        <v>Jan 2022</v>
      </c>
      <c r="B322" s="1170" t="str">
        <f>IF($D$3="","",$D$3)</f>
        <v/>
      </c>
      <c r="C322" s="1171"/>
      <c r="D322" s="181"/>
      <c r="E322" s="181"/>
      <c r="F322" s="87"/>
      <c r="G322" s="56">
        <f>IF(N311="",0,F322/N311/4.348)</f>
        <v>0</v>
      </c>
      <c r="H322" s="53">
        <f>IF(G322=0,0,M327)</f>
        <v>0</v>
      </c>
      <c r="K322" s="1146"/>
      <c r="L322" s="1146"/>
      <c r="M322" s="86"/>
      <c r="N322" s="86"/>
      <c r="O322" s="86"/>
      <c r="P322" s="86"/>
    </row>
    <row r="323" spans="1:16" s="52" customFormat="1" ht="13.5" customHeight="1" x14ac:dyDescent="0.25">
      <c r="A323" s="55"/>
      <c r="B323" s="1172" t="str">
        <f>IF(A323="","",B322)</f>
        <v/>
      </c>
      <c r="C323" s="1173"/>
      <c r="D323" s="181"/>
      <c r="E323" s="181"/>
      <c r="F323" s="87"/>
      <c r="G323" s="56">
        <f>IF(N311="",0,F323/N311/4.348)</f>
        <v>0</v>
      </c>
      <c r="H323" s="53">
        <f>IF(G323=0,0,N327)</f>
        <v>0</v>
      </c>
      <c r="K323" s="1146"/>
      <c r="L323" s="1146"/>
      <c r="M323" s="86"/>
      <c r="N323" s="86"/>
      <c r="O323" s="86"/>
      <c r="P323" s="86"/>
    </row>
    <row r="324" spans="1:16" s="52" customFormat="1" ht="13.5" customHeight="1" x14ac:dyDescent="0.25">
      <c r="A324" s="55"/>
      <c r="B324" s="1172" t="str">
        <f>IF(A324="","",B323)</f>
        <v/>
      </c>
      <c r="C324" s="1173"/>
      <c r="D324" s="181"/>
      <c r="E324" s="181"/>
      <c r="F324" s="87"/>
      <c r="G324" s="56">
        <f>IF(N311="",0,F324/N311/4.348)</f>
        <v>0</v>
      </c>
      <c r="H324" s="53">
        <f>IF(G324=0,0,O327)</f>
        <v>0</v>
      </c>
      <c r="K324" s="1146"/>
      <c r="L324" s="1146"/>
      <c r="M324" s="86"/>
      <c r="N324" s="86"/>
      <c r="O324" s="86"/>
      <c r="P324" s="86"/>
    </row>
    <row r="325" spans="1:16" s="52" customFormat="1" ht="13.5" customHeight="1" x14ac:dyDescent="0.25">
      <c r="A325" s="55"/>
      <c r="B325" s="1172" t="str">
        <f>IF(A325="","",B324)</f>
        <v/>
      </c>
      <c r="C325" s="1173"/>
      <c r="D325" s="181"/>
      <c r="E325" s="181"/>
      <c r="F325" s="87"/>
      <c r="G325" s="56">
        <f>IF(N311="",0,F325/N311/4.348)</f>
        <v>0</v>
      </c>
      <c r="H325" s="53">
        <f>IF(G325=0,0,P327)</f>
        <v>0</v>
      </c>
      <c r="K325" s="1146"/>
      <c r="L325" s="1146"/>
      <c r="M325" s="86"/>
      <c r="N325" s="86"/>
      <c r="O325" s="86"/>
      <c r="P325" s="86"/>
    </row>
    <row r="326" spans="1:16" s="52" customFormat="1" ht="13.5" customHeight="1" x14ac:dyDescent="0.25">
      <c r="B326" s="1167" t="s">
        <v>157</v>
      </c>
      <c r="C326" s="1167"/>
      <c r="E326" s="1167" t="s">
        <v>156</v>
      </c>
      <c r="F326" s="1167"/>
      <c r="J326" s="69"/>
      <c r="K326" s="1146"/>
      <c r="L326" s="1146"/>
      <c r="M326" s="86"/>
      <c r="N326" s="86"/>
      <c r="O326" s="86"/>
      <c r="P326" s="86"/>
    </row>
    <row r="327" spans="1:16" s="52" customFormat="1" ht="13.5" customHeight="1" x14ac:dyDescent="0.25">
      <c r="A327" s="70" t="s">
        <v>167</v>
      </c>
      <c r="B327" s="67"/>
      <c r="C327" s="99" t="str">
        <f>IF(C283="","",C283)</f>
        <v/>
      </c>
      <c r="D327" s="70" t="s">
        <v>167</v>
      </c>
      <c r="E327" s="67"/>
      <c r="F327" s="99" t="str">
        <f>IF(F283="","",F283)</f>
        <v/>
      </c>
      <c r="J327" s="68"/>
      <c r="M327" s="57">
        <f>SUM(M322:M326)</f>
        <v>0</v>
      </c>
      <c r="N327" s="57">
        <f t="shared" ref="N327:P327" si="37">SUM(N322:N326)</f>
        <v>0</v>
      </c>
      <c r="O327" s="57">
        <f t="shared" si="37"/>
        <v>0</v>
      </c>
      <c r="P327" s="57">
        <f t="shared" si="37"/>
        <v>0</v>
      </c>
    </row>
    <row r="328" spans="1:16" s="52" customFormat="1" ht="13.5" customHeight="1" x14ac:dyDescent="0.2">
      <c r="A328" s="60" t="s">
        <v>155</v>
      </c>
    </row>
    <row r="329" spans="1:16" s="20" customFormat="1" ht="14.25" customHeight="1" x14ac:dyDescent="0.2">
      <c r="A329" s="1147"/>
      <c r="B329" s="1149" t="s">
        <v>9</v>
      </c>
      <c r="C329" s="1150"/>
      <c r="D329" s="1150"/>
      <c r="E329" s="1150"/>
      <c r="F329" s="1150"/>
      <c r="G329" s="1151"/>
      <c r="H329" s="1152" t="s">
        <v>119</v>
      </c>
      <c r="I329" s="1153"/>
      <c r="J329" s="1153"/>
      <c r="K329" s="1153"/>
      <c r="L329" s="1153"/>
      <c r="M329" s="1153"/>
      <c r="N329" s="1195" t="s">
        <v>112</v>
      </c>
      <c r="O329" s="33"/>
      <c r="P329" s="1154" t="s">
        <v>0</v>
      </c>
    </row>
    <row r="330" spans="1:16" s="20" customFormat="1" ht="14.25" customHeight="1" x14ac:dyDescent="0.2">
      <c r="A330" s="1148"/>
      <c r="B330" s="1157" t="s">
        <v>117</v>
      </c>
      <c r="C330" s="144" t="s">
        <v>115</v>
      </c>
      <c r="D330" s="1159" t="s">
        <v>277</v>
      </c>
      <c r="E330" s="1161" t="s">
        <v>147</v>
      </c>
      <c r="F330" s="149" t="s">
        <v>7</v>
      </c>
      <c r="G330" s="1162" t="s">
        <v>6</v>
      </c>
      <c r="H330" s="1161" t="s">
        <v>129</v>
      </c>
      <c r="I330" s="1161" t="s">
        <v>111</v>
      </c>
      <c r="J330" s="1161" t="s">
        <v>5</v>
      </c>
      <c r="K330" s="1161" t="s">
        <v>4</v>
      </c>
      <c r="L330" s="1161" t="s">
        <v>3</v>
      </c>
      <c r="M330" s="1161" t="s">
        <v>98</v>
      </c>
      <c r="N330" s="1196"/>
      <c r="O330" s="1160" t="s">
        <v>114</v>
      </c>
      <c r="P330" s="1155"/>
    </row>
    <row r="331" spans="1:16" s="20" customFormat="1" ht="14.25" customHeight="1" x14ac:dyDescent="0.2">
      <c r="A331" s="1148"/>
      <c r="B331" s="1157"/>
      <c r="C331" s="21" t="str">
        <f>IF(C327="","",C327)</f>
        <v/>
      </c>
      <c r="D331" s="1160"/>
      <c r="E331" s="1161"/>
      <c r="F331" s="1165" t="str">
        <f>IF(H322=0,"","siehe Zuschläge / Zulagen")</f>
        <v/>
      </c>
      <c r="G331" s="1162"/>
      <c r="H331" s="1164" t="s">
        <v>127</v>
      </c>
      <c r="I331" s="1161"/>
      <c r="J331" s="1164"/>
      <c r="K331" s="1164"/>
      <c r="L331" s="1164"/>
      <c r="M331" s="1161"/>
      <c r="N331" s="1196"/>
      <c r="O331" s="1160"/>
      <c r="P331" s="1155"/>
    </row>
    <row r="332" spans="1:16" s="20" customFormat="1" x14ac:dyDescent="0.2">
      <c r="A332" s="1148"/>
      <c r="B332" s="1157"/>
      <c r="C332" s="142" t="s">
        <v>70</v>
      </c>
      <c r="D332" s="1160"/>
      <c r="E332" s="1161"/>
      <c r="F332" s="1165"/>
      <c r="G332" s="1162"/>
      <c r="H332" s="43" t="s">
        <v>128</v>
      </c>
      <c r="I332" s="1161"/>
      <c r="J332" s="43" t="s">
        <v>255</v>
      </c>
      <c r="K332" s="43" t="s">
        <v>256</v>
      </c>
      <c r="L332" s="43" t="s">
        <v>257</v>
      </c>
      <c r="M332" s="1161"/>
      <c r="N332" s="1196"/>
      <c r="O332" s="1160"/>
      <c r="P332" s="1155"/>
    </row>
    <row r="333" spans="1:16" s="20" customFormat="1" x14ac:dyDescent="0.2">
      <c r="A333" s="1148"/>
      <c r="B333" s="1158"/>
      <c r="C333" s="21" t="str">
        <f>IF(F327="","",F327)</f>
        <v/>
      </c>
      <c r="D333" s="51"/>
      <c r="E333" s="51"/>
      <c r="F333" s="1166"/>
      <c r="G333" s="1163"/>
      <c r="H333" s="93"/>
      <c r="I333" s="21"/>
      <c r="J333" s="139">
        <f>'päd.Personal - Leitung'!$I$69</f>
        <v>0</v>
      </c>
      <c r="K333" s="139">
        <f>'päd.Personal - Leitung'!$J$69</f>
        <v>0</v>
      </c>
      <c r="L333" s="44">
        <f>'päd.Personal - Leitung'!$K$69</f>
        <v>0</v>
      </c>
      <c r="M333" s="21"/>
      <c r="N333" s="21"/>
      <c r="O333" s="21">
        <f>O289</f>
        <v>0</v>
      </c>
      <c r="P333" s="1156"/>
    </row>
    <row r="334" spans="1:16" s="20" customFormat="1" x14ac:dyDescent="0.2">
      <c r="A334" s="100" t="str">
        <f>'päd.Personal - Leitung'!$A$26</f>
        <v>Jan 2022</v>
      </c>
      <c r="B334" s="24">
        <f>ROUND(IF(N314=0,0,(LOOKUP(2,1/(A322:A325=A334),G322:G325))*N314*4.348*50%),2)</f>
        <v>0</v>
      </c>
      <c r="C334" s="23">
        <f>ROUND(IFERROR(((LOOKUP(2,1/(B327=A334),((SUM(B340:B342)+SUM(F340:F342))/3)*C327))),0)+IFERROR(((LOOKUP(2,1/(E327=A334),(B346+F346)*F327))),0),2)</f>
        <v>0</v>
      </c>
      <c r="D334" s="23">
        <f>ROUND(IF(B334=0,0,D333/L315*N314*50%),2)</f>
        <v>0</v>
      </c>
      <c r="E334" s="23">
        <f>ROUND(IF(B334=0,0,E333/N311*N314*50%),2)</f>
        <v>0</v>
      </c>
      <c r="F334" s="24">
        <f>ROUND(IF(N314=0,0,(LOOKUP(2,1/(A322:A325=A334),H322:H325))/N311*N314*50%),2)</f>
        <v>0</v>
      </c>
      <c r="G334" s="27">
        <f>SUM(B334+C334+E334+F334)</f>
        <v>0</v>
      </c>
      <c r="H334" s="76">
        <f>ROUND(IF((SUM(B334:F334))&gt;L349,L349*H333,SUM(B334:F334)*H333),2)</f>
        <v>0</v>
      </c>
      <c r="I334" s="76">
        <f>ROUND(IF((SUM(B334:F334)*80%)&gt;((L350*1)*90%),((((L350*1)*90%)-((SUM(B334:F334)-C334))*I333)+((SUM(B334:F334)-C334)*I333)*80%),((SUM(B334:F334)-C334)*I333)*80%),2)</f>
        <v>0</v>
      </c>
      <c r="J334" s="76">
        <f>ROUND(IF((SUM(B334:F334))&gt;L350,L350*J333,SUM(B334:F334)*J333),2)</f>
        <v>0</v>
      </c>
      <c r="K334" s="76">
        <f>ROUND(IF((SUM(B334:F334))&gt;L350,L350*K333,SUM(B334:F334)*K333),2)</f>
        <v>0</v>
      </c>
      <c r="L334" s="76">
        <f>ROUND(IF((SUM(B334:F334))&gt;L349,L349*L333,SUM(B334:F334)*L333),2)</f>
        <v>0</v>
      </c>
      <c r="M334" s="76">
        <f>ROUND(IF((SUM(B334:F334))&gt;L350,L350*M333,(SUM(B334:F334)-C334)*M333),2)</f>
        <v>0</v>
      </c>
      <c r="N334" s="23">
        <f>ROUND((B334+E334+F334)*N333,2)</f>
        <v>0</v>
      </c>
      <c r="O334" s="23">
        <f>ROUND(SUM(B334+C334+F334)*O333,2)</f>
        <v>0</v>
      </c>
      <c r="P334" s="27">
        <f>SUM(G334:O334)</f>
        <v>0</v>
      </c>
    </row>
    <row r="335" spans="1:16" s="20" customFormat="1" x14ac:dyDescent="0.2">
      <c r="A335" s="100" t="str">
        <f>'päd.Personal - Leitung'!$A$27</f>
        <v>Feb 2022</v>
      </c>
      <c r="B335" s="24">
        <f>ROUND(IF(N315=0,0,IFERROR(((LOOKUP(2,1/(A322:A325=A335),G322:G325))*N315*4.348*50%),B334/N315*N315)),2)</f>
        <v>0</v>
      </c>
      <c r="C335" s="23">
        <f>ROUND(IFERROR(((LOOKUP(2,1/(B327=A335),((SUM(B340:B342)+SUM(F340:F342))/3)*C327))),0)+IFERROR(((LOOKUP(2,1/(E327=A335),(B346+F346)*F327))),0),2)</f>
        <v>0</v>
      </c>
      <c r="D335" s="23">
        <f>ROUND(IF(B335=0,0,D333/L315*N315*50%),2)</f>
        <v>0</v>
      </c>
      <c r="E335" s="23">
        <f>ROUND(IF(B335=0,0,E333/N311*N315*50%),2)</f>
        <v>0</v>
      </c>
      <c r="F335" s="24">
        <f>ROUND(IF(N315=0,0,IFERROR(((LOOKUP(2,1/(A322:A325=A335),H322:H325))/N311*N315),F334/N315*N315*50%)),2)</f>
        <v>0</v>
      </c>
      <c r="G335" s="27">
        <f t="shared" ref="G335:G345" si="38">SUM(B335+C335+E335+F335)</f>
        <v>0</v>
      </c>
      <c r="H335" s="76">
        <f>ROUND(IF(SUM(B334:F334)&lt;(L349*1),IF((SUM(B334:F335))&gt;(L349*2),(((L349*2)-(SUM(B334:F335)-C334))*H333)+((SUM(B335:F335)-C334)*H333),SUM(B335:F335)*H333),IF(SUM(B334:F335)&gt;(L349*2),L349*H333,SUM(B335:F335)*H333)),2)</f>
        <v>0</v>
      </c>
      <c r="I335" s="76">
        <f>ROUND(IF((SUM(B334:F335)*80%)&gt;((L350*2)*90%),((((L350*2)*90%)-((SUM(B334:F335)-C335))*I333)+((SUM(B335:F335)-C335)*I333)*80%),((SUM(B335:F335)-C335)*I333)*80%),2)</f>
        <v>0</v>
      </c>
      <c r="J335" s="76">
        <f>ROUND(IF(SUM(B334:F334)&lt;(L350*1),IF((SUM(B334:F335))&gt;(L350*2),(((L350*2)-(SUM(B334:F335)-C334))*J333)+((SUM(B335:F335)-C334)*J333),SUM(B335:F335)*J333),IF(SUM(B334:F335)&gt;(L350*2),L350*J333,SUM(B335:F335)*J333)),2)</f>
        <v>0</v>
      </c>
      <c r="K335" s="76">
        <f>ROUND(IF(SUM(B334:F334)&lt;(L350*1),IF((SUM(B334:F335))&gt;(L350*2),(((L350*2)-(SUM(B334:F335)-C334))*K333)+((SUM(B335:F335)-C334)*K333),SUM(B335:F335)*K333),IF(SUM(B334:F335)&gt;(L350*2),L350*K333,SUM(B335:F335)*K333)),2)</f>
        <v>0</v>
      </c>
      <c r="L335" s="76">
        <f>ROUND(IF(SUM(B334:F334)&lt;(L349*1),IF((SUM(B334:F335))&gt;(L349*2),(((L349*2)-(SUM(B334:F335)-C334))*L333)+((SUM(B335:F335)-C334)*L333),SUM(B335:F335)*L333),IF(SUM(B334:F335)&gt;(L349*2),L349*L333,SUM(B335:F335)*L333)),2)</f>
        <v>0</v>
      </c>
      <c r="M335" s="76">
        <f>ROUND(IF(SUM(B334:F334)&lt;(L350*1),IF((SUM(B334:F335))&gt;(L350*2),(((L350*2)-(SUM(B334:F335)-C335))*M333)+((SUM(B335:F335)-C335)*M333),(SUM(B335:F335)-C335)*M333),IF(SUM(B334:F335)&gt;(L350*2),L350*M333,SUM(B335:F335)*M333)),2)</f>
        <v>0</v>
      </c>
      <c r="N335" s="23">
        <f>ROUND((B335+E335+F335)*N333,2)</f>
        <v>0</v>
      </c>
      <c r="O335" s="23">
        <f>ROUND(SUM(B335+C335+F335)*O333,2)</f>
        <v>0</v>
      </c>
      <c r="P335" s="27">
        <f t="shared" ref="P335:P344" si="39">SUM(G335:O335)</f>
        <v>0</v>
      </c>
    </row>
    <row r="336" spans="1:16" s="20" customFormat="1" x14ac:dyDescent="0.2">
      <c r="A336" s="100" t="str">
        <f>'päd.Personal - Leitung'!$A$28</f>
        <v>Mrz 2022</v>
      </c>
      <c r="B336" s="24">
        <f>ROUND(IF(N316=0,0,IFERROR(((LOOKUP(2,1/(A322:A325=A336),G322:G325))*N316*4.348*50%),B335/N316*N316)),2)</f>
        <v>0</v>
      </c>
      <c r="C336" s="23">
        <f>ROUND(IFERROR(((LOOKUP(2,1/(B327=A336),((SUM(B340:B342)+SUM(F340:F342))/3)*C327))),0)+IFERROR(((LOOKUP(2,1/(E327=A336),(B346+F346)*F327))),0),2)</f>
        <v>0</v>
      </c>
      <c r="D336" s="23">
        <f>ROUND(IF(B336=0,0,D333/L315*N316*50%),2)</f>
        <v>0</v>
      </c>
      <c r="E336" s="23">
        <f>ROUND(IF(B336=0,0,E333/N311*N316*50%),2)</f>
        <v>0</v>
      </c>
      <c r="F336" s="24">
        <f>ROUND(IF(N316=0,0,IFERROR(((LOOKUP(2,1/(A322:A325=A336),H322:H325))/N311*N316),F335/N316*N316*50%)),2)</f>
        <v>0</v>
      </c>
      <c r="G336" s="27">
        <f t="shared" si="38"/>
        <v>0</v>
      </c>
      <c r="H336" s="76">
        <f>ROUND(IF(SUM(B334:F335)&lt;(L349*2),IF((SUM(B334:F336))&gt;(L349*3),(((L349*3)-(SUM(B334:F336)-C335))*H333)+((SUM(B336:F336)-C335)*H333),SUM(B336:F336)*H333),IF(SUM(B334:F336)&gt;(L349*3),L349*H333,SUM(B336:F336)*H333)),2)</f>
        <v>0</v>
      </c>
      <c r="I336" s="76">
        <f>ROUND(IF((SUM(B334:F336)*80%)&gt;((L350*3)*90%),((((L350*3)*90%)-((SUM(B334:F336)-C336))*I333)+((SUM(B336:F336)-C336)*I333)*80%),((SUM(B336:F336)-C336)*I333)*80%),2)</f>
        <v>0</v>
      </c>
      <c r="J336" s="76">
        <f>ROUND(IF(SUM(B334:F335)&lt;(L350*2),IF((SUM(B334:F336))&gt;(L350*3),(((L350*3)-(SUM(B334:F336)-C335))*J333)+((SUM(B336:F336)-C335)*J333),SUM(B336:F336)*J333),IF(SUM(B334:F336)&gt;(L350*3),L350*J333,SUM(B336:F336)*J333)),2)</f>
        <v>0</v>
      </c>
      <c r="K336" s="76">
        <f>ROUND(IF(SUM(B334:F335)&lt;(L350*2),IF((SUM(B334:F336))&gt;(L350*3),(((L350*3)-(SUM(B334:F336)-C335))*K333)+((SUM(B336:F336)-C335)*K333),SUM(B336:F336)*K333),IF(SUM(B334:F336)&gt;(L350*3),L350*K333,SUM(B336:F336)*K333)),2)</f>
        <v>0</v>
      </c>
      <c r="L336" s="76">
        <f>ROUND(IF(SUM(B334:F335)&lt;(L349*2),IF((SUM(B334:F336))&gt;(L349*3),(((L349*3)-(SUM(B334:F336)-C335))*L333)+((SUM(B336:F336)-C335)*L333),SUM(B336:F336)*L333),IF(SUM(B334:F336)&gt;(L349*3),L349*L333,SUM(B336:F336)*L333)),2)</f>
        <v>0</v>
      </c>
      <c r="M336" s="76">
        <f>ROUND(IF(SUM(B334:F335)&lt;(L350*2),IF((SUM(B334:F336))&gt;(L350*3),(((L350*3)-(SUM(B334:F336)-C336))*M333)+((SUM(B336:F336)-C336)*M333),(SUM(B336:F336)-C336)*M333),IF(SUM(B334:F336)&gt;(L350*3),L350*M333,SUM(B336:F336)*M333)),2)</f>
        <v>0</v>
      </c>
      <c r="N336" s="23">
        <f>ROUND((B336+E336+F336)*N333,2)</f>
        <v>0</v>
      </c>
      <c r="O336" s="23">
        <f>ROUND(SUM(B336+C336+F336)*O333,2)</f>
        <v>0</v>
      </c>
      <c r="P336" s="27">
        <f t="shared" si="39"/>
        <v>0</v>
      </c>
    </row>
    <row r="337" spans="1:16" s="20" customFormat="1" x14ac:dyDescent="0.2">
      <c r="A337" s="100" t="str">
        <f>'päd.Personal - Leitung'!$A$29</f>
        <v>Apr 2022</v>
      </c>
      <c r="B337" s="24">
        <f>ROUND(IF(N317=0,0,IFERROR(((LOOKUP(2,1/(A322:A325=A337),G322:G325))*N317*4.348*50%),B336/N317*N317)),2)</f>
        <v>0</v>
      </c>
      <c r="C337" s="23">
        <f>ROUND(IFERROR(((LOOKUP(2,1/(B327=A337),((SUM(B340:B342)+SUM(F340:F342))/3)*C327))),0)+IFERROR(((LOOKUP(2,1/(E327=A337),(B346+F346)*F327))),0),2)</f>
        <v>0</v>
      </c>
      <c r="D337" s="23">
        <f>ROUND(IF(B337=0,0,D333/L315*N317*50%),2)</f>
        <v>0</v>
      </c>
      <c r="E337" s="23">
        <f>ROUND(IF(B337=0,0,E333/N311*N317*50%),2)</f>
        <v>0</v>
      </c>
      <c r="F337" s="24">
        <f>ROUND(IF(N317=0,0,IFERROR(((LOOKUP(2,1/(A322:A325=A337),H322:H325))/N311*N317),F336/N317*N317*50%)),2)</f>
        <v>0</v>
      </c>
      <c r="G337" s="27">
        <f t="shared" si="38"/>
        <v>0</v>
      </c>
      <c r="H337" s="76">
        <f>ROUND(IF(SUM(B334:F336)&lt;(L349*3),IF((SUM(B334:F337))&gt;(L349*4),(((L349*4)-(SUM(B334:F337)-C336))*H333)+((SUM(B337:F337)-C336)*H333),SUM(B337:F337)*H333),IF(SUM(B334:F337)&gt;(L349*4),L349*H333,SUM(B337:F337)*H333)),2)</f>
        <v>0</v>
      </c>
      <c r="I337" s="76">
        <f>ROUND(IF((SUM(B334:F337)*80%)&gt;((L350*4)*90%),((((L350*4)*90%)-((SUM(B334:F337)-C337))*I333)+((SUM(B337:F337)-C337)*I333)*80%),((SUM(B337:F337)-C337)*I333)*80%),2)</f>
        <v>0</v>
      </c>
      <c r="J337" s="76">
        <f>ROUND(IF(SUM(B334:F336)&lt;(L350*3),IF((SUM(B334:F337))&gt;(L350*4),(((L350*4)-(SUM(B334:F337)-C336))*J333)+((SUM(B337:F337)-C336)*J333),SUM(B337:F337)*J333),IF(SUM(B334:F337)&gt;(L350*4),L350*J333,SUM(B337:F337)*J333)),2)</f>
        <v>0</v>
      </c>
      <c r="K337" s="76">
        <f>ROUND(IF(SUM(B334:F336)&lt;(L350*3),IF((SUM(B334:F337))&gt;(L350*4),(((L350*4)-(SUM(B334:F337)-C336))*K333)+((SUM(B337:F337)-C336)*K333),SUM(B337:F337)*K333),IF(SUM(B334:F337)&gt;(L350*4),L350*K333,SUM(B337:F337)*K333)),2)</f>
        <v>0</v>
      </c>
      <c r="L337" s="76">
        <f>ROUND(IF(SUM(B334:F336)&lt;(L349*3),IF((SUM(B334:F337))&gt;(L349*4),(((L349*4)-(SUM(B334:F337)-C336))*L333)+((SUM(B337:F337)-C336)*L333),SUM(B337:F337)*L333),IF(SUM(B334:F337)&gt;(L349*4),L349*L333,SUM(B337:F337)*L333)),2)</f>
        <v>0</v>
      </c>
      <c r="M337" s="76">
        <f>ROUND(IF(SUM(B334:F336)&lt;(L350*3),IF((SUM(B334:F337))&gt;(L350*4),(((L350*4)-(SUM(B334:F337)-C337))*M333)+((SUM(B337:F337)-C337)*M333),(SUM(B337:F337)-C337)*M333),IF(SUM(B334:F337)&gt;(L350*4),L350*M333,SUM(B337:F337)*M333)),2)</f>
        <v>0</v>
      </c>
      <c r="N337" s="23">
        <f>ROUND((B337+E337+F337)*N333,2)</f>
        <v>0</v>
      </c>
      <c r="O337" s="23">
        <f>ROUND(SUM(B337+C337+F337)*O333,2)</f>
        <v>0</v>
      </c>
      <c r="P337" s="27">
        <f t="shared" si="39"/>
        <v>0</v>
      </c>
    </row>
    <row r="338" spans="1:16" s="20" customFormat="1" x14ac:dyDescent="0.2">
      <c r="A338" s="100" t="str">
        <f>'päd.Personal - Leitung'!$A$30</f>
        <v>Mai 2022</v>
      </c>
      <c r="B338" s="24">
        <f>ROUND(IF(N318=0,0,IFERROR(((LOOKUP(2,1/(A322:A325=A338),G322:G325))*N318*4.348*50%),B337/N318*N318)),2)</f>
        <v>0</v>
      </c>
      <c r="C338" s="23">
        <f>ROUND(IFERROR(((LOOKUP(2,1/(B327=A338),((SUM(B340:B342)+SUM(F340:F342))/3)*C327))),0)+IFERROR(((LOOKUP(2,1/(E327=A338),(B346+F346)*F327))),0),2)</f>
        <v>0</v>
      </c>
      <c r="D338" s="23">
        <f>ROUND(IF(B338=0,0,D333/L315*N318*50%),2)</f>
        <v>0</v>
      </c>
      <c r="E338" s="23">
        <f>ROUND(IF(B338=0,0,E333/N311*N318*50%),2)</f>
        <v>0</v>
      </c>
      <c r="F338" s="24">
        <f>ROUND(IF(N318=0,0,IFERROR(((LOOKUP(2,1/(A322:A325=A338),H322:H325))/N311*N318),F337/N318*N318*50%)),2)</f>
        <v>0</v>
      </c>
      <c r="G338" s="27">
        <f t="shared" si="38"/>
        <v>0</v>
      </c>
      <c r="H338" s="76">
        <f>ROUND(IF(SUM(B334:F337)&lt;(L349*4),IF((SUM(B334:F338))&gt;(L349*5),(((L349*5)-(SUM(B334:F338)-C337))*H333)+((SUM(B338:F338)-C337)*H333),SUM(B338:F338)*H333),IF(SUM(B334:F338)&gt;(L349*5),L349*H333,SUM(B338:F338)*H333)),2)</f>
        <v>0</v>
      </c>
      <c r="I338" s="76">
        <f>ROUND(IF((SUM(B334:F338)*80%)&gt;((L350*5)*90%),((((L350*5)*90%)-((SUM(B334:F338)-C338))*I333)+((SUM(B338:F338)-C338)*I333)*80%),((SUM(B338:F338)-C338)*I333)*80%),2)</f>
        <v>0</v>
      </c>
      <c r="J338" s="76">
        <f>ROUND(IF(SUM(B334:F337)&lt;(L350*4),IF((SUM(B334:F338))&gt;(L350*5),(((L350*5)-(SUM(B334:F338)-C337))*J333)+((SUM(B338:F338)-C337)*J333),SUM(B338:F338)*J333),IF(SUM(B334:F338)&gt;(L350*5),L350*J333,SUM(B338:F338)*J333)),2)</f>
        <v>0</v>
      </c>
      <c r="K338" s="76">
        <f>ROUND(IF(SUM(B334:F337)&lt;(L350*4),IF((SUM(B334:F338))&gt;(L350*5),(((L350*5)-(SUM(B334:F338)-C337))*K333)+((SUM(B338:F338)-C337)*K333),SUM(B338:F338)*K333),IF(SUM(B334:F338)&gt;(L350*5),L350*K333,SUM(B338:F338)*K333)),2)</f>
        <v>0</v>
      </c>
      <c r="L338" s="76">
        <f>ROUND(IF(SUM(B334:F337)&lt;(L349*4),IF((SUM(B334:F338))&gt;(L349*5),(((L349*5)-(SUM(B334:F338)-C337))*L333)+((SUM(B338:F338)-C337)*L333),SUM(B338:F338)*L333),IF(SUM(B334:F338)&gt;(L349*5),L349*L333,SUM(B338:F338)*L333)),2)</f>
        <v>0</v>
      </c>
      <c r="M338" s="76">
        <f>ROUND(IF(SUM(B334:F337)&lt;(L350*4),IF((SUM(B334:F338))&gt;(L350*5),(((L350*5)-(SUM(B334:F338)-C338))*M333)+((SUM(B338:F338)-C338)*M333),(SUM(B338:F338)-C338)*M333),IF(SUM(B334:F338)&gt;(L350*5),L350*M333,SUM(B338:F338)*M333)),2)</f>
        <v>0</v>
      </c>
      <c r="N338" s="23">
        <f>ROUND((B338+E338+F338)*N333,2)</f>
        <v>0</v>
      </c>
      <c r="O338" s="23">
        <f>ROUND(SUM(B338+C338+F338)*O333,2)</f>
        <v>0</v>
      </c>
      <c r="P338" s="27">
        <f t="shared" si="39"/>
        <v>0</v>
      </c>
    </row>
    <row r="339" spans="1:16" s="20" customFormat="1" x14ac:dyDescent="0.2">
      <c r="A339" s="100" t="str">
        <f>'päd.Personal - Leitung'!$A$31</f>
        <v>Jun 2022</v>
      </c>
      <c r="B339" s="24">
        <f>ROUND(IF(N319=0,0,IFERROR(((LOOKUP(2,1/(A322:A325=A339),G322:G325))*N319*4.348*50%),B338/N319*N319)),2)</f>
        <v>0</v>
      </c>
      <c r="C339" s="23">
        <f>ROUND(IFERROR(((LOOKUP(2,1/(B327=A339),((SUM(B340:B342)+SUM(F340:F342))/3)*C327))),0)+IFERROR(((LOOKUP(2,1/(E327=A339),(B346+F346)*F327))),0),2)</f>
        <v>0</v>
      </c>
      <c r="D339" s="23">
        <f>ROUND(IF(B339=0,0,D333/L315*N319*50%),2)</f>
        <v>0</v>
      </c>
      <c r="E339" s="23">
        <f>ROUND(IF(B339=0,0,E333/N311*N319*50%),2)</f>
        <v>0</v>
      </c>
      <c r="F339" s="24">
        <f>ROUND(IF(N319=0,0,IFERROR(((LOOKUP(2,1/(A322:A325=A339),H322:H325))/N311*N319),F338/N319*N319*50%)),2)</f>
        <v>0</v>
      </c>
      <c r="G339" s="27">
        <f t="shared" si="38"/>
        <v>0</v>
      </c>
      <c r="H339" s="76">
        <f>ROUND(IF(SUM(B334:F338)&lt;(L349*5),IF((SUM(B334:F339))&gt;(L349*6),(((L349*6)-(SUM(B334:F339)-C338))*H333)+((SUM(B339:F339)-C338)*H333),SUM(B339:F339)*H333),IF(SUM(B334:F339)&gt;(L349*6),L349*H333,SUM(B339:F339)*H333)),2)</f>
        <v>0</v>
      </c>
      <c r="I339" s="76">
        <f>ROUND(IF((SUM(B334:F339)*80%)&gt;((L350*6)*90%),((((L350*6)*90%)-((SUM(B334:F339)-C339))*I333)+((SUM(B339:F339)-C339)*I333)*80%),((SUM(B339:F339)-C339)*I333)*80%),2)</f>
        <v>0</v>
      </c>
      <c r="J339" s="76">
        <f>ROUND(IF(SUM(B334:F338)&lt;(L350*5),IF((SUM(B334:F339))&gt;(L350*6),(((L350*6)-(SUM(B334:F339)-C338))*J333)+((SUM(B339:F339)-C338)*J333),SUM(B339:F339)*J333),IF(SUM(B334:F339)&gt;(L350*6),L350*J333,SUM(B339:F339)*J333)),2)</f>
        <v>0</v>
      </c>
      <c r="K339" s="76">
        <f>ROUND(IF(SUM(B334:F338)&lt;(L350*5),IF((SUM(B334:F339))&gt;(L350*6),(((L350*6)-(SUM(B334:F339)-C338))*K333)+((SUM(B339:F339)-C338)*K333),SUM(B339:F339)*K333),IF(SUM(B334:F339)&gt;(L350*6),L350*K333,SUM(B339:F339)*K333)),2)</f>
        <v>0</v>
      </c>
      <c r="L339" s="76">
        <f>ROUND(IF(SUM(B334:F338)&lt;(L349*5),IF((SUM(B334:F339))&gt;(L349*6),(((L349*6)-(SUM(B334:F339)-C338))*L333)+((SUM(B339:F339)-C338)*L333),SUM(B339:F339)*L333),IF(SUM(B334:F339)&gt;(L349*6),L349*L333,SUM(B339:F339)*L333)),2)</f>
        <v>0</v>
      </c>
      <c r="M339" s="76">
        <f>ROUND(IF(SUM(B334:F338)&lt;(L350*5),IF((SUM(B334:F339))&gt;(L350*6),(((L350*6)-(SUM(B334:F339)-C339))*M333)+((SUM(B339:F339)-C339)*M333),(SUM(B339:F339)-C339)*M333),IF(SUM(B334:F339)&gt;(L350*6),L350*M333,SUM(B339:F339)*M333)),2)</f>
        <v>0</v>
      </c>
      <c r="N339" s="23">
        <f>ROUND((B339+E339+F339)*N333,2)</f>
        <v>0</v>
      </c>
      <c r="O339" s="23">
        <f>ROUND(SUM(B339+C339+F339)*O333,2)</f>
        <v>0</v>
      </c>
      <c r="P339" s="27">
        <f t="shared" si="39"/>
        <v>0</v>
      </c>
    </row>
    <row r="340" spans="1:16" s="20" customFormat="1" x14ac:dyDescent="0.2">
      <c r="A340" s="100" t="str">
        <f>'päd.Personal - Leitung'!$A$32</f>
        <v>Jul 2022</v>
      </c>
      <c r="B340" s="24">
        <f>ROUND(IF(P314=0,0,IFERROR(((LOOKUP(2,1/(A322:A325=A340),G322:G325))*P314*4.348*50%),B339/P314*P314)),2)</f>
        <v>0</v>
      </c>
      <c r="C340" s="23">
        <f>ROUND(IFERROR(((LOOKUP(2,1/(B327=A340),((SUM(B340:B342)+SUM(F340:F342))/3)*C327))),0)+IFERROR(((LOOKUP(2,1/(E327=A340),(B346+F346)*F327))),0),2)</f>
        <v>0</v>
      </c>
      <c r="D340" s="23">
        <f>ROUND(IF(B340=0,0,D333/L315*P314*50%),2)</f>
        <v>0</v>
      </c>
      <c r="E340" s="23">
        <f>ROUND(IF(B340=0,0,E333/N311*P314*50%),2)</f>
        <v>0</v>
      </c>
      <c r="F340" s="24">
        <f>ROUND(IF(P314=0,0,IFERROR(((LOOKUP(2,1/(A322:A325=A340),H322:H325))/N311*P314),F339/P314*P314*50%)),2)</f>
        <v>0</v>
      </c>
      <c r="G340" s="27">
        <f t="shared" si="38"/>
        <v>0</v>
      </c>
      <c r="H340" s="76">
        <f>ROUND(IF(SUM(B334:F339)&lt;(L349*6),IF((SUM(B334:F340))&gt;(L349*7),(((L349*7)-(SUM(B334:F340)-C339))*H333)+((SUM(B340:F340)-C339)*H333),SUM(B340:F340)*H333),IF(SUM(B334:F340)&gt;(L349*7),L349*H333,SUM(B340:F340)*H333)),2)</f>
        <v>0</v>
      </c>
      <c r="I340" s="76">
        <f>ROUND(IF((SUM(B334:F340)*80%)&gt;((L350*7)*90%),((((L350*7)*90%)-((SUM(B334:F340)-C340))*I333)+((SUM(B340:F340)-C340)*I333)*80%),((SUM(B340:F340)-C340)*I333)*80%),2)</f>
        <v>0</v>
      </c>
      <c r="J340" s="76">
        <f>ROUND(IF(SUM(B334:F339)&lt;(L350*6),IF((SUM(B334:F340))&gt;(L350*7),(((L350*7)-(SUM(B334:F340)-C339))*J333)+((SUM(B340:F340)-C339)*J333),SUM(B340:F340)*J333),IF(SUM(B334:F340)&gt;(L350*7),L350*J333,SUM(B340:F340)*J333)),2)</f>
        <v>0</v>
      </c>
      <c r="K340" s="76">
        <f>ROUND(IF(SUM(B334:F339)&lt;(L350*6),IF((SUM(B334:F340))&gt;(L350*7),(((L350*7)-(SUM(B334:F340)-C339))*K333)+((SUM(B340:F340)-C339)*K333),SUM(B340:F340)*K333),IF(SUM(B334:F340)&gt;(L350*7),L350*K333,SUM(B340:F340)*K333)),2)</f>
        <v>0</v>
      </c>
      <c r="L340" s="76">
        <f>ROUND(IF(SUM(B334:F339)&lt;(L349*6),IF((SUM(B334:F340))&gt;(L349*7),(((L349*7)-(SUM(B334:F340)-C339))*L333)+((SUM(B340:F340)-C339)*L333),SUM(B340:F340)*L333),IF(SUM(B334:F340)&gt;(L349*7),L349*L333,SUM(B340:F340)*L333)),2)</f>
        <v>0</v>
      </c>
      <c r="M340" s="76">
        <f>ROUND(IF(SUM(B334:F339)&lt;(L350*6),IF((SUM(B334:F340))&gt;(L350*7),(((L350*7)-(SUM(B334:F340)-C340))*M333)+((SUM(B340:F340)-C340)*M333),(SUM(B340:F340)-C340)*M333),IF(SUM(B334:F340)&gt;(L350*7),L350*M333,SUM(B340:F340)*M333)),2)</f>
        <v>0</v>
      </c>
      <c r="N340" s="23">
        <f>ROUND((B340+E340+F340)*N333,2)</f>
        <v>0</v>
      </c>
      <c r="O340" s="23">
        <f>ROUND(SUM(B340+C340+F340)*O333,2)</f>
        <v>0</v>
      </c>
      <c r="P340" s="27">
        <f t="shared" si="39"/>
        <v>0</v>
      </c>
    </row>
    <row r="341" spans="1:16" s="20" customFormat="1" x14ac:dyDescent="0.2">
      <c r="A341" s="100" t="str">
        <f>'päd.Personal - Leitung'!$A$33</f>
        <v>Aug 2022</v>
      </c>
      <c r="B341" s="24">
        <f>ROUND(IF(P315=0,0,IFERROR(((LOOKUP(2,1/(A322:A325=A341),G322:G325))*P315*4.348*50%),B340/P315*P315)),2)</f>
        <v>0</v>
      </c>
      <c r="C341" s="23">
        <f>ROUND(IFERROR(((LOOKUP(2,1/(B327=A341),((SUM(B340:B342)+SUM(F340:F342))/3)*C327))),0)+IFERROR(((LOOKUP(2,1/(E327=A341),(B346+F346)*F327))),0),2)</f>
        <v>0</v>
      </c>
      <c r="D341" s="23">
        <f>ROUND(IF(B341=0,0,D333/L315*P315*50%),2)</f>
        <v>0</v>
      </c>
      <c r="E341" s="23">
        <f>ROUND(IF(B341=0,0,E333/N311*P315*50%),2)</f>
        <v>0</v>
      </c>
      <c r="F341" s="24">
        <f>ROUND(IF(P315=0,0,IFERROR(((LOOKUP(2,1/(A322:A325=A341),H322:H325))/N311*P315),F340/P315*P315*50%)),2)</f>
        <v>0</v>
      </c>
      <c r="G341" s="27">
        <f t="shared" si="38"/>
        <v>0</v>
      </c>
      <c r="H341" s="76">
        <f>ROUND(IF(SUM(B334:F340)&lt;(L349*7),IF((SUM(B334:F341))&gt;(L349*8),(((L349*8)-(SUM(B334:F341)-C340))*H333)+((SUM(B341:F341)-C340)*H333),SUM(B341:F341)*H333),IF(SUM(B334:F341)&gt;(L349*8),L349*H333,SUM(B341:F341)*H333)),2)</f>
        <v>0</v>
      </c>
      <c r="I341" s="76">
        <f>ROUND(IF((SUM(B334:F341)*80%)&gt;((L350*8)*90%),((((L350*8)*90%)-((SUM(B334:F341)-C341))*I333)+((SUM(B341:F341)-C341)*I333)*80%),((SUM(B341:F341)-C341)*I333)*80%),2)</f>
        <v>0</v>
      </c>
      <c r="J341" s="76">
        <f>ROUND(IF(SUM(B334:F340)&lt;(L350*7),IF((SUM(B334:F341))&gt;(L350*8),(((L350*8)-(SUM(B334:F341)-C340))*J333)+((SUM(B341:F341)-C340)*J333),SUM(B341:F341)*J333),IF(SUM(B334:F341)&gt;(L350*8),L350*J333,SUM(B341:F341)*J333)),2)</f>
        <v>0</v>
      </c>
      <c r="K341" s="76">
        <f>ROUND(IF(SUM(B334:F340)&lt;(L350*7),IF((SUM(B334:F341))&gt;(L350*8),(((L350*8)-(SUM(B334:F341)-C340))*K333)+((SUM(B341:F341)-C340)*K333),SUM(B341:F341)*K333),IF(SUM(B334:F341)&gt;(L350*8),L350*K333,SUM(B341:F341)*K333)),2)</f>
        <v>0</v>
      </c>
      <c r="L341" s="76">
        <f>ROUND(IF(SUM(B334:F340)&lt;(L349*7),IF((SUM(B334:F341))&gt;(L349*8),(((L349*8)-(SUM(B334:F341)-C340))*L333)+((SUM(B341:F341)-C340)*L333),SUM(B341:F341)*L333),IF(SUM(B334:F341)&gt;(L349*8),L349*L333,SUM(B341:F341)*L333)),2)</f>
        <v>0</v>
      </c>
      <c r="M341" s="76">
        <f>ROUND(IF(SUM(B334:F340)&lt;(L350*7),IF((SUM(B334:F341))&gt;(L350*8),(((L350*8)-(SUM(B334:F341)-C341))*M333)+((SUM(B341:F341)-C341)*M333),(SUM(B341:F341)-C341)*M333),IF(SUM(B334:F341)&gt;(L350*8),L350*M333,SUM(B341:F341)*M333)),2)</f>
        <v>0</v>
      </c>
      <c r="N341" s="23">
        <f>ROUND((B341+E341+F341)*N333,2)</f>
        <v>0</v>
      </c>
      <c r="O341" s="23">
        <f>ROUND(SUM(B341+C341+F341)*O333,2)</f>
        <v>0</v>
      </c>
      <c r="P341" s="27">
        <f t="shared" si="39"/>
        <v>0</v>
      </c>
    </row>
    <row r="342" spans="1:16" s="20" customFormat="1" x14ac:dyDescent="0.2">
      <c r="A342" s="100" t="str">
        <f>'päd.Personal - Leitung'!$A$34</f>
        <v>Sep 2022</v>
      </c>
      <c r="B342" s="24">
        <f>ROUND(IF(P316=0,0,IFERROR(((LOOKUP(2,1/(A322:A325=A342),G322:G325))*P316*4.348*50%),B341/P316*P316)),2)</f>
        <v>0</v>
      </c>
      <c r="C342" s="23">
        <f>ROUND(IFERROR(((LOOKUP(2,1/(B327=A342),((SUM(B340:B342)+SUM(F340:F342))/3)*C327))),0)+IFERROR(((LOOKUP(2,1/(E327=A342),(B346+F346)*F327))),0),2)</f>
        <v>0</v>
      </c>
      <c r="D342" s="23">
        <f>ROUND(IF(B342=0,0,D333/L315*P316*50%),2)</f>
        <v>0</v>
      </c>
      <c r="E342" s="23">
        <f>ROUND(IF(B342=0,0,E333/N311*P316*50),2)</f>
        <v>0</v>
      </c>
      <c r="F342" s="24">
        <f>ROUND(IF(P316=0,0,IFERROR(((LOOKUP(2,1/(A322:A325=A342),H322:H325))/N311*P316),F341/P316*P316*50%)),2)</f>
        <v>0</v>
      </c>
      <c r="G342" s="27">
        <f t="shared" si="38"/>
        <v>0</v>
      </c>
      <c r="H342" s="76">
        <f>ROUND(IF(SUM(B334:F341)&lt;(L349*8),IF((SUM(B334:F342))&gt;(L349*9),(((L349*9)-(SUM(B334:F342)-C341))*H333)+((SUM(B342:F342)-C341)*H333),SUM(B342:F342)*H333),IF(SUM(B334:F342)&gt;(L349*9),L349*H333,SUM(B342:F342)*H333)),2)</f>
        <v>0</v>
      </c>
      <c r="I342" s="76">
        <f>ROUND(IF((SUM(B334:F342)*80%)&gt;((L350*9)*90%),((((L350*9)*90%)-((SUM(B334:F342)-C342))*I333)+((SUM(B342:F342)-C342)*I333)*80%),((SUM(B342:F342)-C342)*I333)*80%),2)</f>
        <v>0</v>
      </c>
      <c r="J342" s="76">
        <f>ROUND(IF(SUM(B334:F341)&lt;(L350*8),IF((SUM(B334:F342))&gt;(L350*9),(((L350*9)-(SUM(B334:F342)-C341))*J333)+((SUM(B342:F342)-C341)*J333),SUM(B342:F342)*J333),IF(SUM(B334:F342)&gt;(L350*9),L350*J333,SUM(B342:F342)*J333)),2)</f>
        <v>0</v>
      </c>
      <c r="K342" s="76">
        <f>ROUND(IF(SUM(B334:F341)&lt;(L350*8),IF((SUM(B334:F342))&gt;(L350*9),(((L350*9)-(SUM(B334:F342)-C341))*K333)+((SUM(B342:F342)-C341)*K333),SUM(B342:F342)*K333),IF(SUM(B334:F342)&gt;(L350*9),L350*K333,SUM(B342:F342)*K333)),2)</f>
        <v>0</v>
      </c>
      <c r="L342" s="76">
        <f>ROUND(IF(SUM(B334:F341)&lt;(L349*8),IF((SUM(B334:F342))&gt;(L349*9),(((L349*9)-(SUM(B334:F342)-C341))*L333)+((SUM(B342:F342)-C341)*L333),SUM(B342:F342)*L333),IF(SUM(B334:F342)&gt;(L349*9),L349*L333,SUM(B342:F342)*L333)),2)</f>
        <v>0</v>
      </c>
      <c r="M342" s="76">
        <f>ROUND(IF(SUM(B334:F341)&lt;(L350*8),IF((SUM(B334:F342))&gt;(L350*9),(((L350*9)-(SUM(B334:F342)-C342))*M333)+((SUM(B342:F342)-C342)*M333),(SUM(B342:F342)-C342)*M333),IF(SUM(B334:F342)&gt;(L350*9),L350*M333,SUM(B342:F342)*M333)),2)</f>
        <v>0</v>
      </c>
      <c r="N342" s="23">
        <f>ROUND((B342+E342+F342)*N333,2)</f>
        <v>0</v>
      </c>
      <c r="O342" s="23">
        <f>ROUND(SUM(B342+C342+F342)*O333,2)</f>
        <v>0</v>
      </c>
      <c r="P342" s="27">
        <f t="shared" si="39"/>
        <v>0</v>
      </c>
    </row>
    <row r="343" spans="1:16" s="20" customFormat="1" x14ac:dyDescent="0.2">
      <c r="A343" s="100" t="str">
        <f>'päd.Personal - Leitung'!$A$35</f>
        <v>Okt 2022</v>
      </c>
      <c r="B343" s="24">
        <f>ROUND(IF(P317=0,0,IFERROR(((LOOKUP(2,1/(A322:A325=A343),G322:G325))*P317*4.348*50%),B342/P317*P317)),2)</f>
        <v>0</v>
      </c>
      <c r="C343" s="23">
        <f>ROUND(IFERROR(((LOOKUP(2,1/(B327=A343),((SUM(B340:B342)+SUM(F340:F342))/3)*C327))),0)+IFERROR(((LOOKUP(2,1/(E327=A343),(B346+F346)*F327))),0),2)</f>
        <v>0</v>
      </c>
      <c r="D343" s="23">
        <f>ROUND(IF(B343=0,0,D333/L315*P317*50%),2)</f>
        <v>0</v>
      </c>
      <c r="E343" s="23">
        <f>ROUND(IF(B343=0,0,E333/N311*P317*50%),2)</f>
        <v>0</v>
      </c>
      <c r="F343" s="24">
        <f>ROUND(IF(P317=0,0,IFERROR(((LOOKUP(2,1/(A322:A325=A343),H322:H325))/N311*P317),F342/P317*P317*50%)),2)</f>
        <v>0</v>
      </c>
      <c r="G343" s="27">
        <f t="shared" si="38"/>
        <v>0</v>
      </c>
      <c r="H343" s="76">
        <f>ROUND(IF(SUM(B334:F342)&lt;(L349*9),IF((SUM(B334:F343))&gt;(L349*10),(((L349*10)-(SUM(B334:F343)-C342))*H333)+((SUM(B343:F343)-C342)*H333),SUM(B343:F343)*H333),IF(SUM(B334:F343)&gt;(L349*10),L349*H333,SUM(B343:F343)*H333)),2)</f>
        <v>0</v>
      </c>
      <c r="I343" s="76">
        <f>ROUND(IF((SUM(B334:F343)*80%)&gt;((L350*10)*90%),((((L350*10)*90%)-((SUM(B334:F343)-C343))*I333)+((SUM(B343:F343)-C343)*I333)*80%),((SUM(B343:F343)-C343)*I333)*80%),2)</f>
        <v>0</v>
      </c>
      <c r="J343" s="76">
        <f>ROUND(IF(SUM(B334:F342)&lt;(L350*9),IF((SUM(B334:F343))&gt;(L350*10),(((L350*10)-(SUM(B334:F343)-C342))*J333)+((SUM(B343:F343)-C342)*J333),SUM(B343:F343)*J333),IF(SUM(B334:F343)&gt;(L350*10),L350*J333,SUM(B343:F343)*J333)),2)</f>
        <v>0</v>
      </c>
      <c r="K343" s="76">
        <f>ROUND(IF(SUM(B334:F342)&lt;(L350*9),IF((SUM(B334:F343))&gt;(L350*10),(((L350*10)-(SUM(B334:F343)-C342))*K333)+((SUM(B343:F343)-C342)*K333),SUM(B343:F343)*K333),IF(SUM(B334:F343)&gt;(L350*10),L350*K333,SUM(B343:F343)*K333)),2)</f>
        <v>0</v>
      </c>
      <c r="L343" s="76">
        <f>ROUND(IF(SUM(B334:F342)&lt;(L349*9),IF((SUM(B334:F343))&gt;(L349*10),(((L349*10)-(SUM(B334:F343)-C342))*L333)+((SUM(B343:F343)-C342)*L333),SUM(B343:F343)*L333),IF(SUM(B334:F343)&gt;(L349*10),L349*L333,SUM(B343:F343)*L333)),2)</f>
        <v>0</v>
      </c>
      <c r="M343" s="76">
        <f>ROUND(IF(SUM(B334:F342)&lt;(L350*9),IF((SUM(B334:F343))&gt;(L350*10),(((L350*10)-(SUM(B334:F343)-C343))*M333)+((SUM(B343:F343)-C343)*M333),(SUM(B343:F343)-C343)*M333),IF(SUM(B334:F343)&gt;(L350*10),L350*M333,SUM(B343:F343)*M333)),2)</f>
        <v>0</v>
      </c>
      <c r="N343" s="23">
        <f>ROUND((B343+E343+F343)*N333,2)</f>
        <v>0</v>
      </c>
      <c r="O343" s="23">
        <f>ROUND(SUM(B343+C343+F343)*O333,2)</f>
        <v>0</v>
      </c>
      <c r="P343" s="27">
        <f t="shared" si="39"/>
        <v>0</v>
      </c>
    </row>
    <row r="344" spans="1:16" s="20" customFormat="1" x14ac:dyDescent="0.2">
      <c r="A344" s="100" t="str">
        <f>'päd.Personal - Leitung'!$A$36</f>
        <v>Nov 2022</v>
      </c>
      <c r="B344" s="24">
        <f>ROUND(IF(P318=0,0,IFERROR(((LOOKUP(2,1/(A322:A325=A344),G322:G325))*P318*4.348*50%),B343/P318*P318)),2)</f>
        <v>0</v>
      </c>
      <c r="C344" s="23">
        <f>ROUND(IFERROR(((LOOKUP(2,1/(B327=A344),((SUM(B340:B342)+SUM(F340:F342))/3)*C327))),0)+IFERROR(((LOOKUP(2,1/(E327=A344),(B346+F346)*F327))),0),2)</f>
        <v>0</v>
      </c>
      <c r="D344" s="23">
        <f>ROUND(IF(B344=0,0,D333/L315*P318*50%),2)</f>
        <v>0</v>
      </c>
      <c r="E344" s="23">
        <f>ROUND(IF(B344=0,0,E333/N311*P318*50%),2)</f>
        <v>0</v>
      </c>
      <c r="F344" s="24">
        <f>ROUND(IF(P318=0,0,IFERROR(((LOOKUP(2,1/(A322:A325=A344),H322:H325))/N311*P318),F343/P318*P318*50%)),2)</f>
        <v>0</v>
      </c>
      <c r="G344" s="27">
        <f t="shared" si="38"/>
        <v>0</v>
      </c>
      <c r="H344" s="76">
        <f>ROUND(IF(SUM(B334:F343)&lt;(L349*10),IF((SUM(B334:F344))&gt;(L349*11),(((L349*11)-(SUM(B334:F344)-C343))*H333)+((SUM(B344:F344)-C343)*H333),SUM(B344:F344)*H333),IF(SUM(B334:F344)&gt;(L349*11),L349*H333,SUM(B344:F344)*H333)),2)</f>
        <v>0</v>
      </c>
      <c r="I344" s="76">
        <f>ROUND(IF((SUM(B334:F344)*80%)&gt;((L350*11)*90%),((((L350*11)*90%)-((SUM(B334:F344)-C344))*I333)+((SUM(B344:F344)-C344)*I333)*80%),((SUM(B344:F344)-C344)*I333)*80%),2)</f>
        <v>0</v>
      </c>
      <c r="J344" s="76">
        <f>ROUND(IF(SUM(B334:F343)&lt;(L350*10),IF((SUM(B334:F344))&gt;(L350*11),(((L350*11)-(SUM(B334:F344)-C343))*J333)+((SUM(B344:F344)-C343)*J333),SUM(B344:F344)*J333),IF(SUM(B334:F344)&gt;(L350*11),L350*J333,SUM(B344:F344)*J333)),2)</f>
        <v>0</v>
      </c>
      <c r="K344" s="76">
        <f>ROUND(IF(SUM(B334:F343)&lt;(L350*10),IF((SUM(B334:F344))&gt;(L350*11),(((L350*11)-(SUM(B334:F344)-C343))*K333)+((SUM(B344:F344)-C343)*K333),SUM(B344:F344)*K333),IF(SUM(B334:F344)&gt;(L350*11),L350*K333,SUM(B344:F344)*K333)),2)</f>
        <v>0</v>
      </c>
      <c r="L344" s="76">
        <f>ROUND(IF(SUM(B334:F343)&lt;(L349*10),IF((SUM(B334:F344))&gt;(L349*11),(((L349*11)-(SUM(B334:F344)-C343))*L333)+((SUM(B344:F344)-C343)*L333),SUM(B344:F344)*L333),IF(SUM(B334:F344)&gt;(L349*11),L349*L333,SUM(B344:F344)*L333)),2)</f>
        <v>0</v>
      </c>
      <c r="M344" s="76">
        <f>ROUND(IF(SUM(B334:F343)&lt;(L350*10),IF((SUM(B334:F344))&gt;(L350*11),(((L350*11)-(SUM(B334:F344)-C344))*M333)+((SUM(B344:F344)-C344)*M333),(SUM(B344:F344)-C344)*M333),IF(SUM(B334:F344)&gt;(L350*11),L350*M333,SUM(B344:F344)*M333)),2)</f>
        <v>0</v>
      </c>
      <c r="N344" s="23">
        <f>ROUND((B344+E344+F344)*N333,2)</f>
        <v>0</v>
      </c>
      <c r="O344" s="23">
        <f>ROUND(SUM(B344+C344+F344)*O333,2)</f>
        <v>0</v>
      </c>
      <c r="P344" s="27">
        <f t="shared" si="39"/>
        <v>0</v>
      </c>
    </row>
    <row r="345" spans="1:16" s="20" customFormat="1" x14ac:dyDescent="0.2">
      <c r="A345" s="100" t="str">
        <f>'päd.Personal - Leitung'!$A$37</f>
        <v>Dez 2022</v>
      </c>
      <c r="B345" s="24">
        <f>ROUND(IF(P319=0,0,IFERROR(((LOOKUP(2,1/(A322:A325=A345),G322:G325))*P319*4.348*50%),B344/P319*P319)),2)</f>
        <v>0</v>
      </c>
      <c r="C345" s="23">
        <f>ROUND(IFERROR(((LOOKUP(2,1/(B327=A345),((SUM(B340:B342)+SUM(F340:F342))/3)*C327))),0)+IFERROR(((LOOKUP(2,1/(E327=A345),(B346+F346)*F327))),0),2)</f>
        <v>0</v>
      </c>
      <c r="D345" s="23">
        <f>ROUND(IF(B345=0,0,D333/L315*P319*50%),2)</f>
        <v>0</v>
      </c>
      <c r="E345" s="23">
        <f>ROUND(IF(B345=0,0,E333/N311*P319*50%),2)</f>
        <v>0</v>
      </c>
      <c r="F345" s="24">
        <f>ROUND(IF(P319=0,0,IFERROR(((LOOKUP(2,1/(A322:A325=A345),H322:H325))/N311*P319),F344/P319*P319*50%)),2)</f>
        <v>0</v>
      </c>
      <c r="G345" s="27">
        <f t="shared" si="38"/>
        <v>0</v>
      </c>
      <c r="H345" s="76">
        <f>ROUND(IF(SUM(B334:F344)&lt;(L349*11),IF((SUM(B334:F345))&gt;(L349*12),(((L349*12)-(SUM(B334:F345)-C344))*H333)+((SUM(B345:F345)-C344)*H333),SUM(B345:F345)*H333),IF(SUM(B334:F345)&gt;(L349*12),L349*H333,SUM(B345:F345)*H333)),2)</f>
        <v>0</v>
      </c>
      <c r="I345" s="76">
        <f>ROUND(IF((SUM(B334:F345)*80%)&gt;((L350*12)*90%),((((L350*12)*90%)-((SUM(B334:F345)-C345))*I333)+((SUM(B345:F345)-C345)*I333)*80%),((SUM(B345:F345)-C345)*I333)*80%),2)</f>
        <v>0</v>
      </c>
      <c r="J345" s="76">
        <f>ROUND(IF(SUM(B334:F344)&lt;(L350*11),IF((SUM(B334:F345))&gt;(L350*12),(((L350*12)-(SUM(B334:F345)-C344))*J333)+((SUM(B345:F345)-C344)*J333),SUM(B345:F345)*J333),IF(SUM(B334:F345)&gt;(L350*12),L350*J333,SUM(B345:F345)*J333)),2)</f>
        <v>0</v>
      </c>
      <c r="K345" s="76">
        <f>ROUND(IF(SUM(B334:F344)&lt;(L350*11),IF((SUM(B334:F345))&gt;(L350*12),(((L350*12)-(SUM(B334:F345)-C344))*K333)+((SUM(B345:F345)-C344)*K333),SUM(B345:F345)*K333),IF(SUM(B334:F345)&gt;(L350*12),L350*K333,SUM(B345:F345)*K333)),2)</f>
        <v>0</v>
      </c>
      <c r="L345" s="76">
        <f>ROUND(IF(SUM(B334:F344)&lt;(L349*11),IF((SUM(B334:F345))&gt;(L349*12),(((L349*12)-(SUM(B334:F345)-C344))*L333)+((SUM(B345:F345)-C344)*L333),SUM(B345:F345)*L333),IF(SUM(B334:F345)&gt;(L349*12),L349*L333,SUM(B345:F345)*L333)),2)</f>
        <v>0</v>
      </c>
      <c r="M345" s="76">
        <f>ROUND(IF(SUM(B334:F344)&lt;(L350*11),IF((SUM(B334:F345))&gt;(L350*12),(((L350*12)-(SUM(B334:F345)-C345))*M333)+((SUM(B345:F345)-C345)*M333),(SUM(B345:F345)-C345)*M333),IF(SUM(B334:F345)&gt;(L350*12),L350*M333,SUM(B345:F345)*M333)),2)</f>
        <v>0</v>
      </c>
      <c r="N345" s="23">
        <f>ROUND((B345+E345+F345)*N333,2)</f>
        <v>0</v>
      </c>
      <c r="O345" s="23">
        <f>ROUND(SUM(B345+C345+F345)*O333,2)</f>
        <v>0</v>
      </c>
      <c r="P345" s="27">
        <f>SUM(G345:O345)</f>
        <v>0</v>
      </c>
    </row>
    <row r="346" spans="1:16" s="20" customFormat="1" x14ac:dyDescent="0.2">
      <c r="A346" s="4" t="s">
        <v>2</v>
      </c>
      <c r="B346" s="27">
        <f>SUM(B334:B345)</f>
        <v>0</v>
      </c>
      <c r="C346" s="27">
        <f t="shared" ref="C346" si="40">SUM(C334:C345)</f>
        <v>0</v>
      </c>
      <c r="D346" s="27">
        <f>SUM(D334:D345)</f>
        <v>0</v>
      </c>
      <c r="E346" s="27">
        <f t="shared" ref="E346:G346" si="41">SUM(E334:E345)</f>
        <v>0</v>
      </c>
      <c r="F346" s="27">
        <f t="shared" si="41"/>
        <v>0</v>
      </c>
      <c r="G346" s="27">
        <f t="shared" si="41"/>
        <v>0</v>
      </c>
      <c r="H346" s="1133">
        <f>SUM(H334:M345)</f>
        <v>0</v>
      </c>
      <c r="I346" s="1134"/>
      <c r="J346" s="1134"/>
      <c r="K346" s="1134"/>
      <c r="L346" s="1134"/>
      <c r="M346" s="1134"/>
      <c r="N346" s="27">
        <f>SUM(N334:N345)</f>
        <v>0</v>
      </c>
      <c r="O346" s="27">
        <f>SUM(O334:O345)</f>
        <v>0</v>
      </c>
      <c r="P346" s="27">
        <f>SUM(P334:P345)</f>
        <v>0</v>
      </c>
    </row>
    <row r="347" spans="1:16" s="13" customFormat="1" ht="11.25" x14ac:dyDescent="0.2">
      <c r="A347" s="3" t="s">
        <v>1</v>
      </c>
      <c r="B347" s="2"/>
      <c r="C347" s="2"/>
      <c r="D347" s="2"/>
      <c r="E347" s="2"/>
      <c r="F347" s="2"/>
      <c r="G347" s="2"/>
      <c r="H347" s="2"/>
      <c r="I347" s="2"/>
      <c r="J347" s="2"/>
      <c r="K347" s="2"/>
      <c r="L347" s="2"/>
      <c r="M347" s="2"/>
      <c r="N347" s="2"/>
      <c r="O347" s="2"/>
      <c r="P347" s="2"/>
    </row>
    <row r="348" spans="1:16" ht="14.25" customHeight="1" x14ac:dyDescent="0.2">
      <c r="A348" s="1136" t="s">
        <v>133</v>
      </c>
      <c r="B348" s="1137"/>
      <c r="C348" s="1137"/>
      <c r="D348" s="1137" t="s">
        <v>134</v>
      </c>
      <c r="E348" s="1137"/>
      <c r="F348" s="94" t="str">
        <f>IF(IF(G346=0,"",$F$40)=0,"",IF(G346=0,"",$F$40))</f>
        <v/>
      </c>
      <c r="G348" s="77" t="s">
        <v>135</v>
      </c>
      <c r="H348" s="96" t="str">
        <f>IF(IF(G346=0,"",$H$40)=0,"",IF(G346=0,"",$H$40))</f>
        <v/>
      </c>
      <c r="I348" s="73"/>
      <c r="J348" s="194" t="s">
        <v>160</v>
      </c>
      <c r="K348" s="194" t="str">
        <f>'päd.Personal - Leitung'!$K$40</f>
        <v>2021</v>
      </c>
      <c r="L348" s="194" t="str">
        <f>'päd.Personal - Leitung'!$L$40</f>
        <v>anteilig 2021</v>
      </c>
      <c r="M348" s="1138" t="s">
        <v>140</v>
      </c>
      <c r="N348" s="1138"/>
      <c r="O348" s="1139"/>
      <c r="P348" s="27">
        <f>ROUND(IF(F348="",IF(E352="",0,(E352*H352/K352)/L315*L316),G346*F348*H348/1000),2)</f>
        <v>0</v>
      </c>
    </row>
    <row r="349" spans="1:16" ht="15" customHeight="1" x14ac:dyDescent="0.2">
      <c r="A349" s="1140" t="s">
        <v>145</v>
      </c>
      <c r="B349" s="1141"/>
      <c r="C349" s="1141"/>
      <c r="D349" s="18"/>
      <c r="E349" s="107" t="s">
        <v>135</v>
      </c>
      <c r="F349" s="95" t="str">
        <f>IF(IF(G346=0,"",$F$41)=0,"",IF(G346=0,"",$F$41))</f>
        <v/>
      </c>
      <c r="G349" s="48"/>
      <c r="H349" s="47"/>
      <c r="I349" s="48"/>
      <c r="J349" s="195" t="s">
        <v>158</v>
      </c>
      <c r="K349" s="198">
        <f>'päd.Personal - Leitung'!$K$41</f>
        <v>4837.5</v>
      </c>
      <c r="L349" s="197">
        <f>IF(L315="",K349,K349/L315*L316)</f>
        <v>4837.5</v>
      </c>
      <c r="M349" s="1138" t="s">
        <v>139</v>
      </c>
      <c r="N349" s="1138"/>
      <c r="O349" s="1139"/>
      <c r="P349" s="27">
        <f>ROUND(IF(F349="",0,G346*F349/1000),2)</f>
        <v>0</v>
      </c>
    </row>
    <row r="350" spans="1:16" ht="15.75" customHeight="1" x14ac:dyDescent="0.2">
      <c r="A350" s="1142" t="s">
        <v>141</v>
      </c>
      <c r="B350" s="1143"/>
      <c r="C350" s="1143"/>
      <c r="D350" s="1144" t="s">
        <v>143</v>
      </c>
      <c r="E350" s="1144"/>
      <c r="F350" s="1145" t="str">
        <f>IF(IF(G346=0,"",$F$42)=0,"",IF(G346=0,"",$F$42))</f>
        <v/>
      </c>
      <c r="G350" s="1145"/>
      <c r="H350" s="72"/>
      <c r="I350" s="18"/>
      <c r="J350" s="195" t="s">
        <v>159</v>
      </c>
      <c r="K350" s="198">
        <f>'päd.Personal - Leitung'!$K$42</f>
        <v>6700</v>
      </c>
      <c r="L350" s="197">
        <f>IF(L315="",K350,K350/L315*L316)</f>
        <v>6700</v>
      </c>
      <c r="M350" s="1138" t="s">
        <v>141</v>
      </c>
      <c r="N350" s="1138"/>
      <c r="O350" s="1139"/>
      <c r="P350" s="23">
        <f>ROUND(IF(F350="",0,IF(G346=0,0,F350/L315*L316)),2)</f>
        <v>0</v>
      </c>
    </row>
    <row r="351" spans="1:16" ht="14.25" customHeight="1" x14ac:dyDescent="0.2">
      <c r="A351" s="18"/>
      <c r="B351" s="18"/>
      <c r="C351" s="18"/>
      <c r="D351" s="18"/>
      <c r="E351" s="18"/>
      <c r="F351" s="18"/>
      <c r="G351" s="18"/>
      <c r="H351" s="18"/>
      <c r="I351" s="18"/>
      <c r="J351" s="18"/>
      <c r="K351" s="74"/>
      <c r="L351" s="82"/>
      <c r="M351" s="1127" t="s">
        <v>146</v>
      </c>
      <c r="N351" s="1127"/>
      <c r="O351" s="1128"/>
      <c r="P351" s="23">
        <f>ROUND(IF(G346=0,0,$P$43),2)</f>
        <v>0</v>
      </c>
    </row>
    <row r="352" spans="1:16" ht="14.25" customHeight="1" x14ac:dyDescent="0.2">
      <c r="A352" s="1129" t="s">
        <v>142</v>
      </c>
      <c r="B352" s="1130"/>
      <c r="C352" s="148" t="s">
        <v>136</v>
      </c>
      <c r="D352" s="184" t="s">
        <v>137</v>
      </c>
      <c r="E352" s="1131" t="str">
        <f>IF(IF(G346=0,"",$E$44)=0,"",IF(G346=0,"",$E$44))</f>
        <v/>
      </c>
      <c r="F352" s="1131"/>
      <c r="G352" s="83" t="s">
        <v>138</v>
      </c>
      <c r="H352" s="97" t="str">
        <f>IF(IF(G346=0,"",$H$44)=0,"",IF(G346=0,"",$H$44))</f>
        <v/>
      </c>
      <c r="I352" s="1132" t="s">
        <v>144</v>
      </c>
      <c r="J352" s="1132"/>
      <c r="K352" s="98" t="str">
        <f>IF(IF(G346=0,"",$K$44)=0,"",IF(G346=0,"",$K$44))</f>
        <v/>
      </c>
      <c r="L352" s="29"/>
      <c r="M352" s="29"/>
      <c r="N352" s="29"/>
      <c r="O352" s="28" t="s">
        <v>0</v>
      </c>
      <c r="P352" s="27">
        <f>P346+SUM(P348:P351)</f>
        <v>0</v>
      </c>
    </row>
    <row r="353" spans="1:16" s="12" customFormat="1" ht="13.5" customHeight="1" x14ac:dyDescent="0.2">
      <c r="A353" s="1178" t="s">
        <v>18</v>
      </c>
      <c r="B353" s="1178"/>
      <c r="C353" s="1178"/>
      <c r="D353" s="1179" t="str">
        <f>IF($D$1="","",$D$1)</f>
        <v/>
      </c>
      <c r="E353" s="1179"/>
      <c r="F353" s="1179"/>
      <c r="G353" s="1179"/>
      <c r="H353" s="1179"/>
      <c r="I353" s="1179"/>
      <c r="J353" s="1179"/>
      <c r="K353" s="1179"/>
      <c r="L353" s="1179"/>
      <c r="M353" s="1179"/>
      <c r="N353" s="1179"/>
    </row>
    <row r="354" spans="1:16" s="12" customFormat="1" ht="15" customHeight="1" x14ac:dyDescent="0.2">
      <c r="A354" s="1178" t="s">
        <v>17</v>
      </c>
      <c r="B354" s="1178"/>
      <c r="C354" s="1178" t="s">
        <v>15</v>
      </c>
      <c r="D354" s="1179" t="str">
        <f>IF($D$2="","",$D$2)</f>
        <v/>
      </c>
      <c r="E354" s="1179"/>
      <c r="F354" s="1179"/>
      <c r="G354" s="1179"/>
      <c r="H354" s="1179"/>
      <c r="I354" s="1179"/>
      <c r="J354" s="1179"/>
      <c r="K354" s="1179"/>
      <c r="L354" s="1179"/>
      <c r="M354" s="1179"/>
      <c r="N354" s="1179"/>
    </row>
    <row r="355" spans="1:16" s="12" customFormat="1" ht="15" customHeight="1" x14ac:dyDescent="0.2">
      <c r="A355" s="1178" t="s">
        <v>16</v>
      </c>
      <c r="B355" s="1178"/>
      <c r="C355" s="1178" t="s">
        <v>15</v>
      </c>
      <c r="D355" s="1179" t="str">
        <f>IF($D$3="","",$D$3)</f>
        <v/>
      </c>
      <c r="E355" s="1179"/>
      <c r="F355" s="1179"/>
      <c r="G355" s="1179"/>
      <c r="H355" s="1179"/>
      <c r="I355" s="1179"/>
      <c r="J355" s="1179"/>
      <c r="K355" s="1178" t="s">
        <v>103</v>
      </c>
      <c r="L355" s="1178"/>
      <c r="M355" s="1178"/>
      <c r="N355" s="41" t="str">
        <f>IF($N$3="","",$N$3)</f>
        <v/>
      </c>
    </row>
    <row r="356" spans="1:16" s="13" customFormat="1" ht="11.25" x14ac:dyDescent="0.2">
      <c r="A356" s="1182"/>
      <c r="B356" s="1182"/>
      <c r="C356" s="1182"/>
      <c r="D356" s="1183"/>
      <c r="E356" s="1183"/>
      <c r="F356" s="1183"/>
      <c r="G356" s="1183"/>
      <c r="H356" s="1183"/>
      <c r="I356" s="1183"/>
      <c r="J356" s="1183"/>
      <c r="K356" s="11"/>
      <c r="L356" s="11"/>
      <c r="M356" s="11"/>
      <c r="N356" s="11"/>
      <c r="O356" s="11"/>
      <c r="P356" s="11"/>
    </row>
    <row r="357" spans="1:16" s="15" customFormat="1" ht="13.5" customHeight="1" x14ac:dyDescent="0.2">
      <c r="A357" s="1177" t="s">
        <v>237</v>
      </c>
      <c r="B357" s="1177"/>
      <c r="C357" s="1177"/>
      <c r="D357" s="1177"/>
      <c r="E357" s="1177"/>
      <c r="F357" s="1177"/>
      <c r="G357" s="1177"/>
      <c r="H357" s="1177"/>
      <c r="I357" s="1177"/>
      <c r="J357" s="1177"/>
      <c r="K357" s="1177"/>
      <c r="L357" s="1177"/>
      <c r="M357" s="1177"/>
      <c r="N357" s="59" t="s">
        <v>154</v>
      </c>
      <c r="O357" s="191">
        <f>$O$5</f>
        <v>2022</v>
      </c>
      <c r="P357" s="59" t="s">
        <v>154</v>
      </c>
    </row>
    <row r="358" spans="1:16" s="10" customFormat="1" ht="13.5" customHeight="1" x14ac:dyDescent="0.25">
      <c r="B358" s="32"/>
      <c r="C358" s="32"/>
      <c r="D358" s="5" t="s">
        <v>238</v>
      </c>
      <c r="E358" s="31"/>
      <c r="F358" s="31"/>
      <c r="G358" s="31"/>
      <c r="H358" s="31"/>
      <c r="I358" s="26"/>
      <c r="J358" s="1174" t="s">
        <v>14</v>
      </c>
      <c r="K358" s="1174"/>
      <c r="L358" s="180"/>
      <c r="N358" s="84">
        <f>IF(L360="","",L360)</f>
        <v>0</v>
      </c>
      <c r="O358" s="58" t="str">
        <f>$O$6</f>
        <v>Jan                Jul</v>
      </c>
      <c r="P358" s="85">
        <f>IF(N363="","",N363)</f>
        <v>0</v>
      </c>
    </row>
    <row r="359" spans="1:16" s="7" customFormat="1" ht="13.5" customHeight="1" x14ac:dyDescent="0.25">
      <c r="A359" s="1180" t="s">
        <v>71</v>
      </c>
      <c r="B359" s="1180"/>
      <c r="C359" s="1180"/>
      <c r="D359" s="1184"/>
      <c r="E359" s="1184"/>
      <c r="F359" s="1184"/>
      <c r="G359" s="1184"/>
      <c r="H359" s="1184"/>
      <c r="I359" s="1184"/>
      <c r="J359" s="1174" t="s">
        <v>104</v>
      </c>
      <c r="K359" s="1174"/>
      <c r="L359" s="145"/>
      <c r="N359" s="85">
        <f>IF(N358="","",N358)</f>
        <v>0</v>
      </c>
      <c r="O359" s="58" t="str">
        <f>$O$7</f>
        <v>Feb              Aug</v>
      </c>
      <c r="P359" s="85">
        <f>IF(P358="","",P358)</f>
        <v>0</v>
      </c>
    </row>
    <row r="360" spans="1:16" ht="13.5" customHeight="1" x14ac:dyDescent="0.2">
      <c r="A360" s="1180" t="s">
        <v>13</v>
      </c>
      <c r="B360" s="1180"/>
      <c r="C360" s="1180"/>
      <c r="D360" s="1181"/>
      <c r="E360" s="1181"/>
      <c r="F360" s="1181"/>
      <c r="G360" s="1181"/>
      <c r="H360" s="1181"/>
      <c r="I360" s="1181"/>
      <c r="J360" s="1174" t="s">
        <v>222</v>
      </c>
      <c r="K360" s="1174"/>
      <c r="L360" s="145">
        <f>IF(L361&gt;L359,0,L359-L361)</f>
        <v>0</v>
      </c>
      <c r="N360" s="85">
        <f>IF(N359="","",N359)</f>
        <v>0</v>
      </c>
      <c r="O360" s="58" t="str">
        <f>$O$8</f>
        <v>Mrz              Sep</v>
      </c>
      <c r="P360" s="85">
        <f>IF(P359="","",P359)</f>
        <v>0</v>
      </c>
    </row>
    <row r="361" spans="1:16" ht="13.5" customHeight="1" x14ac:dyDescent="0.2">
      <c r="A361" s="1180" t="s">
        <v>12</v>
      </c>
      <c r="B361" s="1180"/>
      <c r="C361" s="1180"/>
      <c r="D361" s="1181"/>
      <c r="E361" s="1181"/>
      <c r="F361" s="1181"/>
      <c r="G361" s="1181"/>
      <c r="H361" s="1181"/>
      <c r="I361" s="1181"/>
      <c r="J361" s="1174" t="s">
        <v>223</v>
      </c>
      <c r="K361" s="1174"/>
      <c r="L361" s="145"/>
      <c r="N361" s="85">
        <f>IF(N360="","",N360)</f>
        <v>0</v>
      </c>
      <c r="O361" s="58" t="str">
        <f>$O$9</f>
        <v>Apr               Okt</v>
      </c>
      <c r="P361" s="85">
        <f t="shared" ref="P361:P363" si="42">IF(P360="","",P360)</f>
        <v>0</v>
      </c>
    </row>
    <row r="362" spans="1:16" ht="13.5" customHeight="1" x14ac:dyDescent="0.2">
      <c r="A362" s="1180" t="s">
        <v>19</v>
      </c>
      <c r="B362" s="1180"/>
      <c r="C362" s="1180"/>
      <c r="D362" s="1181"/>
      <c r="E362" s="1181"/>
      <c r="F362" s="1181"/>
      <c r="G362" s="1181"/>
      <c r="H362" s="1181"/>
      <c r="I362" s="1181"/>
      <c r="J362" s="1174" t="s">
        <v>97</v>
      </c>
      <c r="K362" s="1174"/>
      <c r="L362" s="17" t="str">
        <f>IF(IF((COUNTIF(B378:B389,"&gt;0"))=0,0,(COUNTIF(B378:B389,"&gt;0")))&gt;Grundlagen!$C$24,Grundlagen!$C$24,IF((COUNTIF(B378:B389,"&gt;0"))=0,"",(COUNTIF(B378:B389,"&gt;0"))))</f>
        <v/>
      </c>
      <c r="M362" s="92"/>
      <c r="N362" s="85">
        <f>IF(N361="","",N361)</f>
        <v>0</v>
      </c>
      <c r="O362" s="58" t="str">
        <f>$O$10</f>
        <v>Mai               Nov</v>
      </c>
      <c r="P362" s="85">
        <f t="shared" si="42"/>
        <v>0</v>
      </c>
    </row>
    <row r="363" spans="1:16" ht="13.5" customHeight="1" x14ac:dyDescent="0.2">
      <c r="B363" s="8"/>
      <c r="C363" s="141" t="s">
        <v>162</v>
      </c>
      <c r="D363" s="1175"/>
      <c r="E363" s="1175"/>
      <c r="F363" s="1176" t="s">
        <v>113</v>
      </c>
      <c r="G363" s="1176"/>
      <c r="H363" s="1186"/>
      <c r="I363" s="1186"/>
      <c r="L363" s="147" t="str">
        <f>IF((SUM(F366:F369))=0,"",IF(P364&gt;L360,L360,IF(L360="","",IF(L362="","",P364))))</f>
        <v/>
      </c>
      <c r="N363" s="85">
        <f>IF(N362="","",N362)</f>
        <v>0</v>
      </c>
      <c r="O363" s="58" t="str">
        <f>$O$11</f>
        <v>Jun               Dez</v>
      </c>
      <c r="P363" s="85">
        <f t="shared" si="42"/>
        <v>0</v>
      </c>
    </row>
    <row r="364" spans="1:16" ht="13.5" customHeight="1" x14ac:dyDescent="0.2">
      <c r="F364" s="1176" t="s">
        <v>241</v>
      </c>
      <c r="G364" s="1176"/>
      <c r="H364" s="1186"/>
      <c r="I364" s="1186"/>
      <c r="O364" s="174" t="s">
        <v>251</v>
      </c>
      <c r="P364" s="175">
        <f>IF(L362="",0,((IF(SUMIF(B378,"&gt;0"),N358,0))+(IF(SUMIF(B379,"&gt;0"),N359,0))+(IF(SUMIF(B380,"&gt;0"),N360,0))+(IF(SUMIF(B381,"&gt;0"),N361,0))+(IF(SUMIF(B382,"&gt;0"),N362,0))+(IF(SUMIF(B383,"&gt;0"),N363,0))+(IF(SUMIF(B384,"&gt;0"),P358,0))+(IF(SUMIF(B385,"&gt;0"),P359,0))+(IF(SUMIF(B386,"&gt;0"),P360,0))+(IF(SUMIF(B387,"&gt;0"),P361,0))+(IF(SUMIF(B388,"&gt;0"),P362,0))+(IF(SUMIF(B389,"&gt;0"),P363,0)))/Grundlagen!$C$24)</f>
        <v>0</v>
      </c>
    </row>
    <row r="365" spans="1:16" s="52" customFormat="1" ht="13.5" customHeight="1" x14ac:dyDescent="0.2">
      <c r="A365" s="61" t="s">
        <v>148</v>
      </c>
      <c r="B365" s="1168" t="s">
        <v>149</v>
      </c>
      <c r="C365" s="1168"/>
      <c r="D365" s="62" t="s">
        <v>150</v>
      </c>
      <c r="E365" s="63" t="s">
        <v>151</v>
      </c>
      <c r="F365" s="64" t="str">
        <f>CONCATENATE("Entg. ",N355," h/Wo")</f>
        <v>Entg.  h/Wo</v>
      </c>
      <c r="G365" s="65" t="s">
        <v>152</v>
      </c>
      <c r="H365" s="65" t="s">
        <v>153</v>
      </c>
      <c r="K365" s="1169" t="str">
        <f>CONCATENATE("Zuschläge / Zulagen für ",N355,"h/Wo")</f>
        <v>Zuschläge / Zulagen für h/Wo</v>
      </c>
      <c r="L365" s="1169"/>
      <c r="M365" s="66" t="str">
        <f>IF(A366="","",A366)</f>
        <v>Jan 2022</v>
      </c>
      <c r="N365" s="66" t="str">
        <f>IF(A367="","",A367)</f>
        <v/>
      </c>
      <c r="O365" s="66" t="str">
        <f>IF(A368="","",A368)</f>
        <v/>
      </c>
      <c r="P365" s="66" t="str">
        <f>IF(A369="","",A369)</f>
        <v/>
      </c>
    </row>
    <row r="366" spans="1:16" s="52" customFormat="1" ht="13.5" customHeight="1" x14ac:dyDescent="0.25">
      <c r="A366" s="54" t="str">
        <f>A378</f>
        <v>Jan 2022</v>
      </c>
      <c r="B366" s="1170" t="str">
        <f>IF($D$3="","",$D$3)</f>
        <v/>
      </c>
      <c r="C366" s="1171"/>
      <c r="D366" s="181"/>
      <c r="E366" s="181"/>
      <c r="F366" s="87"/>
      <c r="G366" s="56">
        <f>IF(N355="",0,F366/N355/4.348)</f>
        <v>0</v>
      </c>
      <c r="H366" s="53">
        <f>IF(G366=0,0,M371)</f>
        <v>0</v>
      </c>
      <c r="K366" s="1146"/>
      <c r="L366" s="1146"/>
      <c r="M366" s="86"/>
      <c r="N366" s="86"/>
      <c r="O366" s="86"/>
      <c r="P366" s="86"/>
    </row>
    <row r="367" spans="1:16" s="52" customFormat="1" ht="13.5" customHeight="1" x14ac:dyDescent="0.25">
      <c r="A367" s="55"/>
      <c r="B367" s="1172" t="str">
        <f>IF(A367="","",B366)</f>
        <v/>
      </c>
      <c r="C367" s="1173"/>
      <c r="D367" s="181"/>
      <c r="E367" s="181"/>
      <c r="F367" s="87"/>
      <c r="G367" s="56">
        <f>IF(N355="",0,F367/N355/4.348)</f>
        <v>0</v>
      </c>
      <c r="H367" s="53">
        <f>IF(G367=0,0,N371)</f>
        <v>0</v>
      </c>
      <c r="K367" s="1146"/>
      <c r="L367" s="1146"/>
      <c r="M367" s="86"/>
      <c r="N367" s="86"/>
      <c r="O367" s="86"/>
      <c r="P367" s="86"/>
    </row>
    <row r="368" spans="1:16" s="52" customFormat="1" ht="13.5" customHeight="1" x14ac:dyDescent="0.25">
      <c r="A368" s="55"/>
      <c r="B368" s="1172" t="str">
        <f>IF(A368="","",B367)</f>
        <v/>
      </c>
      <c r="C368" s="1173"/>
      <c r="D368" s="181"/>
      <c r="E368" s="181"/>
      <c r="F368" s="87"/>
      <c r="G368" s="56">
        <f>IF(N355="",0,F368/N355/4.348)</f>
        <v>0</v>
      </c>
      <c r="H368" s="53">
        <f>IF(G368=0,0,O371)</f>
        <v>0</v>
      </c>
      <c r="K368" s="1146"/>
      <c r="L368" s="1146"/>
      <c r="M368" s="86"/>
      <c r="N368" s="86"/>
      <c r="O368" s="86"/>
      <c r="P368" s="86"/>
    </row>
    <row r="369" spans="1:16" s="52" customFormat="1" ht="13.5" customHeight="1" x14ac:dyDescent="0.25">
      <c r="A369" s="55"/>
      <c r="B369" s="1172" t="str">
        <f>IF(A369="","",B368)</f>
        <v/>
      </c>
      <c r="C369" s="1173"/>
      <c r="D369" s="181"/>
      <c r="E369" s="181"/>
      <c r="F369" s="87"/>
      <c r="G369" s="56">
        <f>IF(N355="",0,F369/N355/4.348)</f>
        <v>0</v>
      </c>
      <c r="H369" s="53">
        <f>IF(G369=0,0,P371)</f>
        <v>0</v>
      </c>
      <c r="K369" s="1146"/>
      <c r="L369" s="1146"/>
      <c r="M369" s="86"/>
      <c r="N369" s="86"/>
      <c r="O369" s="86"/>
      <c r="P369" s="86"/>
    </row>
    <row r="370" spans="1:16" s="52" customFormat="1" ht="13.5" customHeight="1" x14ac:dyDescent="0.25">
      <c r="B370" s="1167" t="s">
        <v>157</v>
      </c>
      <c r="C370" s="1167"/>
      <c r="E370" s="1167" t="s">
        <v>156</v>
      </c>
      <c r="F370" s="1167"/>
      <c r="J370" s="69"/>
      <c r="K370" s="1146"/>
      <c r="L370" s="1146"/>
      <c r="M370" s="86"/>
      <c r="N370" s="86"/>
      <c r="O370" s="86"/>
      <c r="P370" s="86"/>
    </row>
    <row r="371" spans="1:16" s="52" customFormat="1" ht="13.5" customHeight="1" x14ac:dyDescent="0.25">
      <c r="A371" s="70" t="s">
        <v>167</v>
      </c>
      <c r="B371" s="67"/>
      <c r="C371" s="99" t="str">
        <f>IF(C327="","",C327)</f>
        <v/>
      </c>
      <c r="D371" s="70" t="s">
        <v>167</v>
      </c>
      <c r="E371" s="67"/>
      <c r="F371" s="99" t="str">
        <f>IF(F327="","",F327)</f>
        <v/>
      </c>
      <c r="J371" s="68"/>
      <c r="M371" s="57">
        <f>SUM(M366:M370)</f>
        <v>0</v>
      </c>
      <c r="N371" s="57">
        <f t="shared" ref="N371:P371" si="43">SUM(N366:N370)</f>
        <v>0</v>
      </c>
      <c r="O371" s="57">
        <f t="shared" si="43"/>
        <v>0</v>
      </c>
      <c r="P371" s="57">
        <f t="shared" si="43"/>
        <v>0</v>
      </c>
    </row>
    <row r="372" spans="1:16" s="52" customFormat="1" ht="13.5" customHeight="1" x14ac:dyDescent="0.2">
      <c r="A372" s="60" t="s">
        <v>155</v>
      </c>
    </row>
    <row r="373" spans="1:16" s="20" customFormat="1" ht="14.25" customHeight="1" x14ac:dyDescent="0.2">
      <c r="A373" s="1147"/>
      <c r="B373" s="1149" t="s">
        <v>9</v>
      </c>
      <c r="C373" s="1150"/>
      <c r="D373" s="1150"/>
      <c r="E373" s="1150"/>
      <c r="F373" s="1150"/>
      <c r="G373" s="1151"/>
      <c r="H373" s="1152" t="s">
        <v>119</v>
      </c>
      <c r="I373" s="1153"/>
      <c r="J373" s="1153"/>
      <c r="K373" s="1153"/>
      <c r="L373" s="1153"/>
      <c r="M373" s="1153"/>
      <c r="N373" s="1195" t="s">
        <v>112</v>
      </c>
      <c r="O373" s="33"/>
      <c r="P373" s="1154" t="s">
        <v>0</v>
      </c>
    </row>
    <row r="374" spans="1:16" s="20" customFormat="1" ht="14.25" customHeight="1" x14ac:dyDescent="0.2">
      <c r="A374" s="1148"/>
      <c r="B374" s="1157" t="s">
        <v>117</v>
      </c>
      <c r="C374" s="144" t="s">
        <v>115</v>
      </c>
      <c r="D374" s="1159" t="s">
        <v>277</v>
      </c>
      <c r="E374" s="1161" t="s">
        <v>147</v>
      </c>
      <c r="F374" s="149" t="s">
        <v>7</v>
      </c>
      <c r="G374" s="1162" t="s">
        <v>6</v>
      </c>
      <c r="H374" s="1161" t="s">
        <v>129</v>
      </c>
      <c r="I374" s="1161" t="s">
        <v>111</v>
      </c>
      <c r="J374" s="1161" t="s">
        <v>5</v>
      </c>
      <c r="K374" s="1161" t="s">
        <v>4</v>
      </c>
      <c r="L374" s="1161" t="s">
        <v>3</v>
      </c>
      <c r="M374" s="1161" t="s">
        <v>98</v>
      </c>
      <c r="N374" s="1196"/>
      <c r="O374" s="1160" t="s">
        <v>114</v>
      </c>
      <c r="P374" s="1155"/>
    </row>
    <row r="375" spans="1:16" s="20" customFormat="1" ht="14.25" customHeight="1" x14ac:dyDescent="0.2">
      <c r="A375" s="1148"/>
      <c r="B375" s="1157"/>
      <c r="C375" s="21" t="str">
        <f>IF(C371="","",C371)</f>
        <v/>
      </c>
      <c r="D375" s="1160"/>
      <c r="E375" s="1161"/>
      <c r="F375" s="1165" t="str">
        <f>IF(H366=0,"","siehe Zuschläge / Zulagen")</f>
        <v/>
      </c>
      <c r="G375" s="1162"/>
      <c r="H375" s="1164" t="s">
        <v>127</v>
      </c>
      <c r="I375" s="1161"/>
      <c r="J375" s="1164"/>
      <c r="K375" s="1164"/>
      <c r="L375" s="1164"/>
      <c r="M375" s="1161"/>
      <c r="N375" s="1196"/>
      <c r="O375" s="1160"/>
      <c r="P375" s="1155"/>
    </row>
    <row r="376" spans="1:16" s="20" customFormat="1" x14ac:dyDescent="0.2">
      <c r="A376" s="1148"/>
      <c r="B376" s="1157"/>
      <c r="C376" s="142" t="s">
        <v>70</v>
      </c>
      <c r="D376" s="1160"/>
      <c r="E376" s="1161"/>
      <c r="F376" s="1165"/>
      <c r="G376" s="1162"/>
      <c r="H376" s="43" t="s">
        <v>128</v>
      </c>
      <c r="I376" s="1161"/>
      <c r="J376" s="43" t="s">
        <v>255</v>
      </c>
      <c r="K376" s="43" t="s">
        <v>256</v>
      </c>
      <c r="L376" s="43" t="s">
        <v>257</v>
      </c>
      <c r="M376" s="1161"/>
      <c r="N376" s="1196"/>
      <c r="O376" s="1160"/>
      <c r="P376" s="1155"/>
    </row>
    <row r="377" spans="1:16" s="20" customFormat="1" x14ac:dyDescent="0.2">
      <c r="A377" s="1148"/>
      <c r="B377" s="1158"/>
      <c r="C377" s="21" t="str">
        <f>IF(F371="","",F371)</f>
        <v/>
      </c>
      <c r="D377" s="51"/>
      <c r="E377" s="51"/>
      <c r="F377" s="1166"/>
      <c r="G377" s="1163"/>
      <c r="H377" s="93"/>
      <c r="I377" s="21"/>
      <c r="J377" s="139">
        <f>$I$25</f>
        <v>0</v>
      </c>
      <c r="K377" s="139">
        <f>$J$25</f>
        <v>0</v>
      </c>
      <c r="L377" s="44">
        <f>$K$25</f>
        <v>0</v>
      </c>
      <c r="M377" s="21"/>
      <c r="N377" s="21"/>
      <c r="O377" s="21">
        <f>O333</f>
        <v>0</v>
      </c>
      <c r="P377" s="1156"/>
    </row>
    <row r="378" spans="1:16" s="20" customFormat="1" x14ac:dyDescent="0.2">
      <c r="A378" s="100" t="str">
        <f>$A$26</f>
        <v>Jan 2022</v>
      </c>
      <c r="B378" s="24">
        <f>ROUND(IF(N358=0,0,(LOOKUP(2,1/(A366:A369=A378),G366:G369))*N358*4.348*50%),2)</f>
        <v>0</v>
      </c>
      <c r="C378" s="23">
        <f>ROUND(IFERROR(((LOOKUP(2,1/(B371=A378),((SUM(B384:B386)+SUM(F384:F386))/3)*C371))),0)+IFERROR(((LOOKUP(2,1/(E371=A378),(B390+F390)*F371))),0),2)</f>
        <v>0</v>
      </c>
      <c r="D378" s="23">
        <f>ROUND(IF(B378=0,0,D377/L359*N358*50%),2)</f>
        <v>0</v>
      </c>
      <c r="E378" s="23">
        <f>ROUND(IF(B378=0,0,E377/N355*N358*50%),2)</f>
        <v>0</v>
      </c>
      <c r="F378" s="24">
        <f>ROUND(IF(N358=0,0,(LOOKUP(2,1/(A366:A369=A378),H366:H369))/N355*N358*50%),2)</f>
        <v>0</v>
      </c>
      <c r="G378" s="27">
        <f>SUM(B378+C378+E378+F378)</f>
        <v>0</v>
      </c>
      <c r="H378" s="76">
        <f>ROUND(IF((SUM(B378:F378))&gt;L393,L393*H377,SUM(B378:F378)*H377),2)</f>
        <v>0</v>
      </c>
      <c r="I378" s="76">
        <f>ROUND(IF((SUM(B378:F378)*80%)&gt;((L394*1)*90%),((((L394*1)*90%)-((SUM(B378:F378)-C378))*I377)+((SUM(B378:F378)-C378)*I377)*80%),((SUM(B378:F378)-C378)*I377)*80%),2)</f>
        <v>0</v>
      </c>
      <c r="J378" s="76">
        <f>ROUND(IF((SUM(B378:F378))&gt;L394,L394*J377,SUM(B378:F378)*J377),2)</f>
        <v>0</v>
      </c>
      <c r="K378" s="76">
        <f>ROUND(IF((SUM(B378:F378))&gt;L394,L394*K377,SUM(B378:F378)*K377),2)</f>
        <v>0</v>
      </c>
      <c r="L378" s="76">
        <f>ROUND(IF((SUM(B378:F378))&gt;L393,L393*L377,SUM(B378:F378)*L377),2)</f>
        <v>0</v>
      </c>
      <c r="M378" s="76">
        <f>ROUND(IF((SUM(B378:F378))&gt;L394,L394*M377,(SUM(B378:F378)-C378)*M377),2)</f>
        <v>0</v>
      </c>
      <c r="N378" s="23">
        <f>ROUND((B378+E378+F378)*N377,2)</f>
        <v>0</v>
      </c>
      <c r="O378" s="23">
        <f>ROUND(SUM(B378+C378+F378)*O377,2)</f>
        <v>0</v>
      </c>
      <c r="P378" s="27">
        <f>SUM(G378:O378)</f>
        <v>0</v>
      </c>
    </row>
    <row r="379" spans="1:16" s="20" customFormat="1" x14ac:dyDescent="0.2">
      <c r="A379" s="100" t="str">
        <f>$A$27</f>
        <v>Feb 2022</v>
      </c>
      <c r="B379" s="24">
        <f>ROUND(IF(N359=0,0,IFERROR(((LOOKUP(2,1/(A366:A369=A379),G366:G369))*N359*4.348*50%),B378/N359*N359)),2)</f>
        <v>0</v>
      </c>
      <c r="C379" s="23">
        <f>ROUND(IFERROR(((LOOKUP(2,1/(B371=A379),((SUM(B384:B386)+SUM(F384:F386))/3)*C371))),0)+IFERROR(((LOOKUP(2,1/(E371=A379),(B390+F390)*F371))),0),2)</f>
        <v>0</v>
      </c>
      <c r="D379" s="23">
        <f>ROUND(IF(B379=0,0,D377/L359*N359*50%),2)</f>
        <v>0</v>
      </c>
      <c r="E379" s="23">
        <f>ROUND(IF(B379=0,0,E377/N355*N359*50%),2)</f>
        <v>0</v>
      </c>
      <c r="F379" s="24">
        <f>ROUND(IF(N359=0,0,IFERROR(((LOOKUP(2,1/(A366:A369=A379),H366:H369))/N355*N359),F378/N359*N359*50%)),2)</f>
        <v>0</v>
      </c>
      <c r="G379" s="27">
        <f t="shared" ref="G379:G389" si="44">SUM(B379+C379+E379+F379)</f>
        <v>0</v>
      </c>
      <c r="H379" s="76">
        <f>ROUND(IF(SUM(B378:F378)&lt;(L393*1),IF((SUM(B378:F379))&gt;(L393*2),(((L393*2)-(SUM(B378:F379)-C378))*H377)+((SUM(B379:F379)-C378)*H377),SUM(B379:F379)*H377),IF(SUM(B378:F379)&gt;(L393*2),L393*H377,SUM(B379:F379)*H377)),2)</f>
        <v>0</v>
      </c>
      <c r="I379" s="76">
        <f>ROUND(IF((SUM(B378:F379)*80%)&gt;((L394*2)*90%),((((L394*2)*90%)-((SUM(B378:F379)-C379))*I377)+((SUM(B379:F379)-C379)*I377)*80%),((SUM(B379:F379)-C379)*I377)*80%),2)</f>
        <v>0</v>
      </c>
      <c r="J379" s="76">
        <f>ROUND(IF(SUM(B378:F378)&lt;(L394*1),IF((SUM(B378:F379))&gt;(L394*2),(((L394*2)-(SUM(B378:F379)-C378))*J377)+((SUM(B379:F379)-C378)*J377),SUM(B379:F379)*J377),IF(SUM(B378:F379)&gt;(L394*2),L394*J377,SUM(B379:F379)*J377)),2)</f>
        <v>0</v>
      </c>
      <c r="K379" s="76">
        <f>ROUND(IF(SUM(B378:F378)&lt;(L394*1),IF((SUM(B378:F379))&gt;(L394*2),(((L394*2)-(SUM(B378:F379)-C378))*K377)+((SUM(B379:F379)-C378)*K377),SUM(B379:F379)*K377),IF(SUM(B378:F379)&gt;(L394*2),L394*K377,SUM(B379:F379)*K377)),2)</f>
        <v>0</v>
      </c>
      <c r="L379" s="76">
        <f>ROUND(IF(SUM(B378:F378)&lt;(L393*1),IF((SUM(B378:F379))&gt;(L393*2),(((L393*2)-(SUM(B378:F379)-C378))*L377)+((SUM(B379:F379)-C378)*L377),SUM(B379:F379)*L377),IF(SUM(B378:F379)&gt;(L393*2),L393*L377,SUM(B379:F379)*L377)),2)</f>
        <v>0</v>
      </c>
      <c r="M379" s="76">
        <f>ROUND(IF(SUM(B378:F378)&lt;(L394*1),IF((SUM(B378:F379))&gt;(L394*2),(((L394*2)-(SUM(B378:F379)-C379))*M377)+((SUM(B379:F379)-C379)*M377),(SUM(B379:F379)-C379)*M377),IF(SUM(B378:F379)&gt;(L394*2),L394*M377,SUM(B379:F379)*M377)),2)</f>
        <v>0</v>
      </c>
      <c r="N379" s="23">
        <f>ROUND((B379+E379+F379)*N377,2)</f>
        <v>0</v>
      </c>
      <c r="O379" s="23">
        <f>ROUND(SUM(B379+C379+F379)*O377,2)</f>
        <v>0</v>
      </c>
      <c r="P379" s="27">
        <f t="shared" ref="P379:P388" si="45">SUM(G379:O379)</f>
        <v>0</v>
      </c>
    </row>
    <row r="380" spans="1:16" s="20" customFormat="1" x14ac:dyDescent="0.2">
      <c r="A380" s="100" t="str">
        <f>$A$28</f>
        <v>Mrz 2022</v>
      </c>
      <c r="B380" s="24">
        <f>ROUND(IF(N360=0,0,IFERROR(((LOOKUP(2,1/(A366:A369=A380),G366:G369))*N360*4.348*50%),B379/N360*N360)),2)</f>
        <v>0</v>
      </c>
      <c r="C380" s="23">
        <f>ROUND(IFERROR(((LOOKUP(2,1/(B371=A380),((SUM(B384:B386)+SUM(F384:F386))/3)*C371))),0)+IFERROR(((LOOKUP(2,1/(E371=A380),(B390+F390)*F371))),0),2)</f>
        <v>0</v>
      </c>
      <c r="D380" s="23">
        <f>ROUND(IF(B380=0,0,D377/L359*N360*50%),2)</f>
        <v>0</v>
      </c>
      <c r="E380" s="23">
        <f>ROUND(IF(B380=0,0,E377/N355*N360*50%),2)</f>
        <v>0</v>
      </c>
      <c r="F380" s="24">
        <f>ROUND(IF(N360=0,0,IFERROR(((LOOKUP(2,1/(A366:A369=A380),H366:H369))/N355*N360),F379/N360*N360*50%)),2)</f>
        <v>0</v>
      </c>
      <c r="G380" s="27">
        <f t="shared" si="44"/>
        <v>0</v>
      </c>
      <c r="H380" s="76">
        <f>ROUND(IF(SUM(B378:F379)&lt;(L393*2),IF((SUM(B378:F380))&gt;(L393*3),(((L393*3)-(SUM(B378:F380)-C379))*H377)+((SUM(B380:F380)-C379)*H377),SUM(B380:F380)*H377),IF(SUM(B378:F380)&gt;(L393*3),L393*H377,SUM(B380:F380)*H377)),2)</f>
        <v>0</v>
      </c>
      <c r="I380" s="76">
        <f>ROUND(IF((SUM(B378:F380)*80%)&gt;((L394*3)*90%),((((L394*3)*90%)-((SUM(B378:F380)-C380))*I377)+((SUM(B380:F380)-C380)*I377)*80%),((SUM(B380:F380)-C380)*I377)*80%),2)</f>
        <v>0</v>
      </c>
      <c r="J380" s="76">
        <f>ROUND(IF(SUM(B378:F379)&lt;(L394*2),IF((SUM(B378:F380))&gt;(L394*3),(((L394*3)-(SUM(B378:F380)-C379))*J377)+((SUM(B380:F380)-C379)*J377),SUM(B380:F380)*J377),IF(SUM(B378:F380)&gt;(L394*3),L394*J377,SUM(B380:F380)*J377)),2)</f>
        <v>0</v>
      </c>
      <c r="K380" s="76">
        <f>ROUND(IF(SUM(B378:F379)&lt;(L394*2),IF((SUM(B378:F380))&gt;(L394*3),(((L394*3)-(SUM(B378:F380)-C379))*K377)+((SUM(B380:F380)-C379)*K377),SUM(B380:F380)*K377),IF(SUM(B378:F380)&gt;(L394*3),L394*K377,SUM(B380:F380)*K377)),2)</f>
        <v>0</v>
      </c>
      <c r="L380" s="76">
        <f>ROUND(IF(SUM(B378:F379)&lt;(L393*2),IF((SUM(B378:F380))&gt;(L393*3),(((L393*3)-(SUM(B378:F380)-C379))*L377)+((SUM(B380:F380)-C379)*L377),SUM(B380:F380)*L377),IF(SUM(B378:F380)&gt;(L393*3),L393*L377,SUM(B380:F380)*L377)),2)</f>
        <v>0</v>
      </c>
      <c r="M380" s="76">
        <f>ROUND(IF(SUM(B378:F379)&lt;(L394*2),IF((SUM(B378:F380))&gt;(L394*3),(((L394*3)-(SUM(B378:F380)-C380))*M377)+((SUM(B380:F380)-C380)*M377),(SUM(B380:F380)-C380)*M377),IF(SUM(B378:F380)&gt;(L394*3),L394*M377,SUM(B380:F380)*M377)),2)</f>
        <v>0</v>
      </c>
      <c r="N380" s="23">
        <f>ROUND((B380+E380+F380)*N377,2)</f>
        <v>0</v>
      </c>
      <c r="O380" s="23">
        <f>ROUND(SUM(B380+C380+F380)*O377,2)</f>
        <v>0</v>
      </c>
      <c r="P380" s="27">
        <f t="shared" si="45"/>
        <v>0</v>
      </c>
    </row>
    <row r="381" spans="1:16" s="20" customFormat="1" ht="14.25" customHeight="1" x14ac:dyDescent="0.2">
      <c r="A381" s="100" t="str">
        <f>$A$29</f>
        <v>Apr 2022</v>
      </c>
      <c r="B381" s="24">
        <f>ROUND(IF(N361=0,0,IFERROR(((LOOKUP(2,1/(A366:A369=A381),G366:G369))*N361*4.348*50%),B380/N361*N361)),2)</f>
        <v>0</v>
      </c>
      <c r="C381" s="23">
        <f>ROUND(IFERROR(((LOOKUP(2,1/(B371=A381),((SUM(B384:B386)+SUM(F384:F386))/3)*C371))),0)+IFERROR(((LOOKUP(2,1/(E371=A381),(B390+F390)*F371))),0),2)</f>
        <v>0</v>
      </c>
      <c r="D381" s="23">
        <f>ROUND(IF(B381=0,0,D377/L359*N361*50%),2)</f>
        <v>0</v>
      </c>
      <c r="E381" s="23">
        <f>ROUND(IF(B381=0,0,E377/N355*N361*50%),2)</f>
        <v>0</v>
      </c>
      <c r="F381" s="24">
        <f>ROUND(IF(N361=0,0,IFERROR(((LOOKUP(2,1/(A366:A369=A381),H366:H369))/N355*N361),F380/N361*N361*50%)),2)</f>
        <v>0</v>
      </c>
      <c r="G381" s="27">
        <f t="shared" si="44"/>
        <v>0</v>
      </c>
      <c r="H381" s="76">
        <f>ROUND(IF(SUM(B378:F380)&lt;(L393*3),IF((SUM(B378:F381))&gt;(L393*4),(((L393*4)-(SUM(B378:F381)-C380))*H377)+((SUM(B381:F381)-C380)*H377),SUM(B381:F381)*H377),IF(SUM(B378:F381)&gt;(L393*4),L393*H377,SUM(B381:F381)*H377)),2)</f>
        <v>0</v>
      </c>
      <c r="I381" s="76">
        <f>ROUND(IF((SUM(B378:F381)*80%)&gt;((L394*4)*90%),((((L394*4)*90%)-((SUM(B378:F381)-C381))*I377)+((SUM(B381:F381)-C381)*I377)*80%),((SUM(B381:F381)-C381)*I377)*80%),2)</f>
        <v>0</v>
      </c>
      <c r="J381" s="76">
        <f>ROUND(IF(SUM(B378:F380)&lt;(L394*3),IF((SUM(B378:F381))&gt;(L394*4),(((L394*4)-(SUM(B378:F381)-C380))*J377)+((SUM(B381:F381)-C380)*J377),SUM(B381:F381)*J377),IF(SUM(B378:F381)&gt;(L394*4),L394*J377,SUM(B381:F381)*J377)),2)</f>
        <v>0</v>
      </c>
      <c r="K381" s="76">
        <f>ROUND(IF(SUM(B378:F380)&lt;(L394*3),IF((SUM(B378:F381))&gt;(L394*4),(((L394*4)-(SUM(B378:F381)-C380))*K377)+((SUM(B381:F381)-C380)*K377),SUM(B381:F381)*K377),IF(SUM(B378:F381)&gt;(L394*4),L394*K377,SUM(B381:F381)*K377)),2)</f>
        <v>0</v>
      </c>
      <c r="L381" s="76">
        <f>ROUND(IF(SUM(B378:F380)&lt;(L393*3),IF((SUM(B378:F381))&gt;(L393*4),(((L393*4)-(SUM(B378:F381)-C380))*L377)+((SUM(B381:F381)-C380)*L377),SUM(B381:F381)*L377),IF(SUM(B378:F381)&gt;(L393*4),L393*L377,SUM(B381:F381)*L377)),2)</f>
        <v>0</v>
      </c>
      <c r="M381" s="76">
        <f>ROUND(IF(SUM(B378:F380)&lt;(L394*3),IF((SUM(B378:F381))&gt;(L394*4),(((L394*4)-(SUM(B378:F381)-C381))*M377)+((SUM(B381:F381)-C381)*M377),(SUM(B381:F381)-C381)*M377),IF(SUM(B378:F381)&gt;(L394*4),L394*M377,SUM(B381:F381)*M377)),2)</f>
        <v>0</v>
      </c>
      <c r="N381" s="23">
        <f>ROUND((B381+E381+F381)*N377,2)</f>
        <v>0</v>
      </c>
      <c r="O381" s="23">
        <f>ROUND(SUM(B381+C381+F381)*O377,2)</f>
        <v>0</v>
      </c>
      <c r="P381" s="27">
        <f t="shared" si="45"/>
        <v>0</v>
      </c>
    </row>
    <row r="382" spans="1:16" s="20" customFormat="1" x14ac:dyDescent="0.2">
      <c r="A382" s="100" t="str">
        <f>$A$30</f>
        <v>Mai 2022</v>
      </c>
      <c r="B382" s="24">
        <f>ROUND(IF(N362=0,0,IFERROR(((LOOKUP(2,1/(A366:A369=A382),G366:G369))*N362*4.348*50%),B381/N362*N362)),2)</f>
        <v>0</v>
      </c>
      <c r="C382" s="23">
        <f>ROUND(IFERROR(((LOOKUP(2,1/(B371=A382),((SUM(B384:B386)+SUM(F384:F386))/3)*C371))),0)+IFERROR(((LOOKUP(2,1/(E371=A382),(B390+F390)*F371))),0),2)</f>
        <v>0</v>
      </c>
      <c r="D382" s="23">
        <f>ROUND(IF(B382=0,0,D377/L359*N362*50%),2)</f>
        <v>0</v>
      </c>
      <c r="E382" s="23">
        <f>ROUND(IF(B382=0,0,E377/N355*N362*50%),2)</f>
        <v>0</v>
      </c>
      <c r="F382" s="24">
        <f>ROUND(IF(N362=0,0,IFERROR(((LOOKUP(2,1/(A366:A369=A382),H366:H369))/N355*N362),F381/N362*N362*50%)),2)</f>
        <v>0</v>
      </c>
      <c r="G382" s="27">
        <f t="shared" si="44"/>
        <v>0</v>
      </c>
      <c r="H382" s="76">
        <f>ROUND(IF(SUM(B378:F381)&lt;(L393*4),IF((SUM(B378:F382))&gt;(L393*5),(((L393*5)-(SUM(B378:F382)-C381))*H377)+((SUM(B382:F382)-C381)*H377),SUM(B382:F382)*H377),IF(SUM(B378:F382)&gt;(L393*5),L393*H377,SUM(B382:F382)*H377)),2)</f>
        <v>0</v>
      </c>
      <c r="I382" s="76">
        <f>ROUND(IF((SUM(B378:F382)*80%)&gt;((L394*5)*90%),((((L394*5)*90%)-((SUM(B378:F382)-C382))*I377)+((SUM(B382:F382)-C382)*I377)*80%),((SUM(B382:F382)-C382)*I377)*80%),2)</f>
        <v>0</v>
      </c>
      <c r="J382" s="76">
        <f>ROUND(IF(SUM(B378:F381)&lt;(L394*4),IF((SUM(B378:F382))&gt;(L394*5),(((L394*5)-(SUM(B378:F382)-C381))*J377)+((SUM(B382:F382)-C381)*J377),SUM(B382:F382)*J377),IF(SUM(B378:F382)&gt;(L394*5),L394*J377,SUM(B382:F382)*J377)),2)</f>
        <v>0</v>
      </c>
      <c r="K382" s="76">
        <f>ROUND(IF(SUM(B378:F381)&lt;(L394*4),IF((SUM(B378:F382))&gt;(L394*5),(((L394*5)-(SUM(B378:F382)-C381))*K377)+((SUM(B382:F382)-C381)*K377),SUM(B382:F382)*K377),IF(SUM(B378:F382)&gt;(L394*5),L394*K377,SUM(B382:F382)*K377)),2)</f>
        <v>0</v>
      </c>
      <c r="L382" s="76">
        <f>ROUND(IF(SUM(B378:F381)&lt;(L393*4),IF((SUM(B378:F382))&gt;(L393*5),(((L393*5)-(SUM(B378:F382)-C381))*L377)+((SUM(B382:F382)-C381)*L377),SUM(B382:F382)*L377),IF(SUM(B378:F382)&gt;(L393*5),L393*L377,SUM(B382:F382)*L377)),2)</f>
        <v>0</v>
      </c>
      <c r="M382" s="76">
        <f>ROUND(IF(SUM(B378:F381)&lt;(L394*4),IF((SUM(B378:F382))&gt;(L394*5),(((L394*5)-(SUM(B378:F382)-C382))*M377)+((SUM(B382:F382)-C382)*M377),(SUM(B382:F382)-C382)*M377),IF(SUM(B378:F382)&gt;(L394*5),L394*M377,SUM(B382:F382)*M377)),2)</f>
        <v>0</v>
      </c>
      <c r="N382" s="23">
        <f>ROUND((B382+E382+F382)*N377,2)</f>
        <v>0</v>
      </c>
      <c r="O382" s="23">
        <f>ROUND(SUM(B382+C382+F382)*O377,2)</f>
        <v>0</v>
      </c>
      <c r="P382" s="27">
        <f t="shared" si="45"/>
        <v>0</v>
      </c>
    </row>
    <row r="383" spans="1:16" s="20" customFormat="1" x14ac:dyDescent="0.2">
      <c r="A383" s="100" t="str">
        <f>$A$31</f>
        <v>Jun 2022</v>
      </c>
      <c r="B383" s="24">
        <f>ROUND(IF(N363=0,0,IFERROR(((LOOKUP(2,1/(A366:A369=A383),G366:G369))*N363*4.348*50%),B382/N363*N363)),2)</f>
        <v>0</v>
      </c>
      <c r="C383" s="23">
        <f>ROUND(IFERROR(((LOOKUP(2,1/(B371=A383),((SUM(B384:B386)+SUM(F384:F386))/3)*C371))),0)+IFERROR(((LOOKUP(2,1/(E371=A383),(B390+F390)*F371))),0),2)</f>
        <v>0</v>
      </c>
      <c r="D383" s="23">
        <f>ROUND(IF(B383=0,0,D377/L359*N363*50%),2)</f>
        <v>0</v>
      </c>
      <c r="E383" s="23">
        <f>ROUND(IF(B383=0,0,E377/N355*N363*50%),2)</f>
        <v>0</v>
      </c>
      <c r="F383" s="24">
        <f>ROUND(IF(N363=0,0,IFERROR(((LOOKUP(2,1/(A366:A369=A383),H366:H369))/N355*N363),F382/N363*N363*50%)),2)</f>
        <v>0</v>
      </c>
      <c r="G383" s="27">
        <f t="shared" si="44"/>
        <v>0</v>
      </c>
      <c r="H383" s="76">
        <f>ROUND(IF(SUM(B378:F382)&lt;(L393*5),IF((SUM(B378:F383))&gt;(L393*6),(((L393*6)-(SUM(B378:F383)-C382))*H377)+((SUM(B383:F383)-C382)*H377),SUM(B383:F383)*H377),IF(SUM(B378:F383)&gt;(L393*6),L393*H377,SUM(B383:F383)*H377)),2)</f>
        <v>0</v>
      </c>
      <c r="I383" s="76">
        <f>ROUND(IF((SUM(B378:F383)*80%)&gt;((L394*6)*90%),((((L394*6)*90%)-((SUM(B378:F383)-C383))*I377)+((SUM(B383:F383)-C383)*I377)*80%),((SUM(B383:F383)-C383)*I377)*80%),2)</f>
        <v>0</v>
      </c>
      <c r="J383" s="76">
        <f>ROUND(IF(SUM(B378:F382)&lt;(L394*5),IF((SUM(B378:F383))&gt;(L394*6),(((L394*6)-(SUM(B378:F383)-C382))*J377)+((SUM(B383:F383)-C382)*J377),SUM(B383:F383)*J377),IF(SUM(B378:F383)&gt;(L394*6),L394*J377,SUM(B383:F383)*J377)),2)</f>
        <v>0</v>
      </c>
      <c r="K383" s="76">
        <f>ROUND(IF(SUM(B378:F382)&lt;(L394*5),IF((SUM(B378:F383))&gt;(L394*6),(((L394*6)-(SUM(B378:F383)-C382))*K377)+((SUM(B383:F383)-C382)*K377),SUM(B383:F383)*K377),IF(SUM(B378:F383)&gt;(L394*6),L394*K377,SUM(B383:F383)*K377)),2)</f>
        <v>0</v>
      </c>
      <c r="L383" s="76">
        <f>ROUND(IF(SUM(B378:F382)&lt;(L393*5),IF((SUM(B378:F383))&gt;(L393*6),(((L393*6)-(SUM(B378:F383)-C382))*L377)+((SUM(B383:F383)-C382)*L377),SUM(B383:F383)*L377),IF(SUM(B378:F383)&gt;(L393*6),L393*L377,SUM(B383:F383)*L377)),2)</f>
        <v>0</v>
      </c>
      <c r="M383" s="76">
        <f>ROUND(IF(SUM(B378:F382)&lt;(L394*5),IF((SUM(B378:F383))&gt;(L394*6),(((L394*6)-(SUM(B378:F383)-C383))*M377)+((SUM(B383:F383)-C383)*M377),(SUM(B383:F383)-C383)*M377),IF(SUM(B378:F383)&gt;(L394*6),L394*M377,SUM(B383:F383)*M377)),2)</f>
        <v>0</v>
      </c>
      <c r="N383" s="23">
        <f>ROUND((B383+E383+F383)*N377,2)</f>
        <v>0</v>
      </c>
      <c r="O383" s="23">
        <f>ROUND(SUM(B383+C383+F383)*O377,2)</f>
        <v>0</v>
      </c>
      <c r="P383" s="27">
        <f t="shared" si="45"/>
        <v>0</v>
      </c>
    </row>
    <row r="384" spans="1:16" s="20" customFormat="1" x14ac:dyDescent="0.2">
      <c r="A384" s="100" t="str">
        <f>$A$32</f>
        <v>Jul 2022</v>
      </c>
      <c r="B384" s="24">
        <f>ROUND(IF(P358=0,0,IFERROR(((LOOKUP(2,1/(A366:A369=A384),G366:G369))*P358*4.348*50%),B383/P358*P358)),2)</f>
        <v>0</v>
      </c>
      <c r="C384" s="23">
        <f>ROUND(IFERROR(((LOOKUP(2,1/(B371=A384),((SUM(B384:B386)+SUM(F384:F386))/3)*C371))),0)+IFERROR(((LOOKUP(2,1/(E371=A384),(B390+F390)*F371))),0),2)</f>
        <v>0</v>
      </c>
      <c r="D384" s="23">
        <f>ROUND(IF(B384=0,0,D377/L359*P358*50%),2)</f>
        <v>0</v>
      </c>
      <c r="E384" s="23">
        <f>ROUND(IF(B384=0,0,E377/N355*P358*50%),2)</f>
        <v>0</v>
      </c>
      <c r="F384" s="24">
        <f>ROUND(IF(P358=0,0,IFERROR(((LOOKUP(2,1/(A366:A369=A384),H366:H369))/N355*P358),F383/P358*P358*50%)),2)</f>
        <v>0</v>
      </c>
      <c r="G384" s="27">
        <f t="shared" si="44"/>
        <v>0</v>
      </c>
      <c r="H384" s="76">
        <f>ROUND(IF(SUM(B378:F383)&lt;(L393*6),IF((SUM(B378:F384))&gt;(L393*7),(((L393*7)-(SUM(B378:F384)-C383))*H377)+((SUM(B384:F384)-C383)*H377),SUM(B384:F384)*H377),IF(SUM(B378:F384)&gt;(L393*7),L393*H377,SUM(B384:F384)*H377)),2)</f>
        <v>0</v>
      </c>
      <c r="I384" s="76">
        <f>ROUND(IF((SUM(B378:F384)*80%)&gt;((L394*7)*90%),((((L394*7)*90%)-((SUM(B378:F384)-C384))*I377)+((SUM(B384:F384)-C384)*I377)*80%),((SUM(B384:F384)-C384)*I377)*80%),2)</f>
        <v>0</v>
      </c>
      <c r="J384" s="76">
        <f>ROUND(IF(SUM(B378:F383)&lt;(L394*6),IF((SUM(B378:F384))&gt;(L394*7),(((L394*7)-(SUM(B378:F384)-C383))*J377)+((SUM(B384:F384)-C383)*J377),SUM(B384:F384)*J377),IF(SUM(B378:F384)&gt;(L394*7),L394*J377,SUM(B384:F384)*J377)),2)</f>
        <v>0</v>
      </c>
      <c r="K384" s="76">
        <f>ROUND(IF(SUM(B378:F383)&lt;(L394*6),IF((SUM(B378:F384))&gt;(L394*7),(((L394*7)-(SUM(B378:F384)-C383))*K377)+((SUM(B384:F384)-C383)*K377),SUM(B384:F384)*K377),IF(SUM(B378:F384)&gt;(L394*7),L394*K377,SUM(B384:F384)*K377)),2)</f>
        <v>0</v>
      </c>
      <c r="L384" s="76">
        <f>ROUND(IF(SUM(B378:F383)&lt;(L393*6),IF((SUM(B378:F384))&gt;(L393*7),(((L393*7)-(SUM(B378:F384)-C383))*L377)+((SUM(B384:F384)-C383)*L377),SUM(B384:F384)*L377),IF(SUM(B378:F384)&gt;(L393*7),L393*L377,SUM(B384:F384)*L377)),2)</f>
        <v>0</v>
      </c>
      <c r="M384" s="76">
        <f>ROUND(IF(SUM(B378:F383)&lt;(L394*6),IF((SUM(B378:F384))&gt;(L394*7),(((L394*7)-(SUM(B378:F384)-C384))*M377)+((SUM(B384:F384)-C384)*M377),(SUM(B384:F384)-C384)*M377),IF(SUM(B378:F384)&gt;(L394*7),L394*M377,SUM(B384:F384)*M377)),2)</f>
        <v>0</v>
      </c>
      <c r="N384" s="23">
        <f>ROUND((B384+E384+F384)*N377,2)</f>
        <v>0</v>
      </c>
      <c r="O384" s="23">
        <f>ROUND(SUM(B384+C384+F384)*O377,2)</f>
        <v>0</v>
      </c>
      <c r="P384" s="27">
        <f t="shared" si="45"/>
        <v>0</v>
      </c>
    </row>
    <row r="385" spans="1:16" s="20" customFormat="1" x14ac:dyDescent="0.2">
      <c r="A385" s="100" t="str">
        <f>$A$33</f>
        <v>Aug 2022</v>
      </c>
      <c r="B385" s="24">
        <f>ROUND(IF(P359=0,0,IFERROR(((LOOKUP(2,1/(A366:A369=A385),G366:G369))*P359*4.348*50%),B384/P359*P359)),2)</f>
        <v>0</v>
      </c>
      <c r="C385" s="23">
        <f>ROUND(IFERROR(((LOOKUP(2,1/(B371=A385),((SUM(B384:B386)+SUM(F384:F386))/3)*C371))),0)+IFERROR(((LOOKUP(2,1/(E371=A385),(B390+F390)*F371))),0),2)</f>
        <v>0</v>
      </c>
      <c r="D385" s="23">
        <f>ROUND(IF(B385=0,0,D377/L359*P359*50%),2)</f>
        <v>0</v>
      </c>
      <c r="E385" s="23">
        <f>ROUND(IF(B385=0,0,E377/N355*P359*50%),2)</f>
        <v>0</v>
      </c>
      <c r="F385" s="24">
        <f>ROUND(IF(P359=0,0,IFERROR(((LOOKUP(2,1/(A366:A369=A385),H366:H369))/N355*P359),F384/P359*P359*50%)),2)</f>
        <v>0</v>
      </c>
      <c r="G385" s="27">
        <f t="shared" si="44"/>
        <v>0</v>
      </c>
      <c r="H385" s="76">
        <f>ROUND(IF(SUM(B378:F384)&lt;(L393*7),IF((SUM(B378:F385))&gt;(L393*8),(((L393*8)-(SUM(B378:F385)-C384))*H377)+((SUM(B385:F385)-C384)*H377),SUM(B385:F385)*H377),IF(SUM(B378:F385)&gt;(L393*8),L393*H377,SUM(B385:F385)*H377)),2)</f>
        <v>0</v>
      </c>
      <c r="I385" s="76">
        <f>ROUND(IF((SUM(B378:F385)*80%)&gt;((L394*8)*90%),((((L394*8)*90%)-((SUM(B378:F385)-C385))*I377)+((SUM(B385:F385)-C385)*I377)*80%),((SUM(B385:F385)-C385)*I377)*80%),2)</f>
        <v>0</v>
      </c>
      <c r="J385" s="76">
        <f>ROUND(IF(SUM(B378:F384)&lt;(L394*7),IF((SUM(B378:F385))&gt;(L394*8),(((L394*8)-(SUM(B378:F385)-C384))*J377)+((SUM(B385:F385)-C384)*J377),SUM(B385:F385)*J377),IF(SUM(B378:F385)&gt;(L394*8),L394*J377,SUM(B385:F385)*J377)),2)</f>
        <v>0</v>
      </c>
      <c r="K385" s="76">
        <f>ROUND(IF(SUM(B378:F384)&lt;(L394*7),IF((SUM(B378:F385))&gt;(L394*8),(((L394*8)-(SUM(B378:F385)-C384))*K377)+((SUM(B385:F385)-C384)*K377),SUM(B385:F385)*K377),IF(SUM(B378:F385)&gt;(L394*8),L394*K377,SUM(B385:F385)*K377)),2)</f>
        <v>0</v>
      </c>
      <c r="L385" s="76">
        <f>ROUND(IF(SUM(B378:F384)&lt;(L393*7),IF((SUM(B378:F385))&gt;(L393*8),(((L393*8)-(SUM(B378:F385)-C384))*L377)+((SUM(B385:F385)-C384)*L377),SUM(B385:F385)*L377),IF(SUM(B378:F385)&gt;(L393*8),L393*L377,SUM(B385:F385)*L377)),2)</f>
        <v>0</v>
      </c>
      <c r="M385" s="76">
        <f>ROUND(IF(SUM(B378:F384)&lt;(L394*7),IF((SUM(B378:F385))&gt;(L394*8),(((L394*8)-(SUM(B378:F385)-C385))*M377)+((SUM(B385:F385)-C385)*M377),(SUM(B385:F385)-C385)*M377),IF(SUM(B378:F385)&gt;(L394*8),L394*M377,SUM(B385:F385)*M377)),2)</f>
        <v>0</v>
      </c>
      <c r="N385" s="23">
        <f>ROUND((B385+E385+F385)*N377,2)</f>
        <v>0</v>
      </c>
      <c r="O385" s="23">
        <f>ROUND(SUM(B385+C385+F385)*O377,2)</f>
        <v>0</v>
      </c>
      <c r="P385" s="27">
        <f t="shared" si="45"/>
        <v>0</v>
      </c>
    </row>
    <row r="386" spans="1:16" s="20" customFormat="1" x14ac:dyDescent="0.2">
      <c r="A386" s="100" t="str">
        <f>$A$34</f>
        <v>Sep 2022</v>
      </c>
      <c r="B386" s="24">
        <f>ROUND(IF(P360=0,0,IFERROR(((LOOKUP(2,1/(A366:A369=A386),G366:G369))*P360*4.348*50%),B385/P360*P360)),2)</f>
        <v>0</v>
      </c>
      <c r="C386" s="23">
        <f>ROUND(IFERROR(((LOOKUP(2,1/(B371=A386),((SUM(B384:B386)+SUM(F384:F386))/3)*C371))),0)+IFERROR(((LOOKUP(2,1/(E371=A386),(B390+F390)*F371))),0),2)</f>
        <v>0</v>
      </c>
      <c r="D386" s="23">
        <f>ROUND(IF(B386=0,0,D377/L359*P360*50%),2)</f>
        <v>0</v>
      </c>
      <c r="E386" s="23">
        <f>ROUND(IF(B386=0,0,E377/N355*P360*50),2)</f>
        <v>0</v>
      </c>
      <c r="F386" s="24">
        <f>ROUND(IF(P360=0,0,IFERROR(((LOOKUP(2,1/(A366:A369=A386),H366:H369))/N355*P360),F385/P360*P360*50%)),2)</f>
        <v>0</v>
      </c>
      <c r="G386" s="27">
        <f t="shared" si="44"/>
        <v>0</v>
      </c>
      <c r="H386" s="76">
        <f>ROUND(IF(SUM(B378:F385)&lt;(L393*8),IF((SUM(B378:F386))&gt;(L393*9),(((L393*9)-(SUM(B378:F386)-C385))*H377)+((SUM(B386:F386)-C385)*H377),SUM(B386:F386)*H377),IF(SUM(B378:F386)&gt;(L393*9),L393*H377,SUM(B386:F386)*H377)),2)</f>
        <v>0</v>
      </c>
      <c r="I386" s="76">
        <f>ROUND(IF((SUM(B378:F386)*80%)&gt;((L394*9)*90%),((((L394*9)*90%)-((SUM(B378:F386)-C386))*I377)+((SUM(B386:F386)-C386)*I377)*80%),((SUM(B386:F386)-C386)*I377)*80%),2)</f>
        <v>0</v>
      </c>
      <c r="J386" s="76">
        <f>ROUND(IF(SUM(B378:F385)&lt;(L394*8),IF((SUM(B378:F386))&gt;(L394*9),(((L394*9)-(SUM(B378:F386)-C385))*J377)+((SUM(B386:F386)-C385)*J377),SUM(B386:F386)*J377),IF(SUM(B378:F386)&gt;(L394*9),L394*J377,SUM(B386:F386)*J377)),2)</f>
        <v>0</v>
      </c>
      <c r="K386" s="76">
        <f>ROUND(IF(SUM(B378:F385)&lt;(L394*8),IF((SUM(B378:F386))&gt;(L394*9),(((L394*9)-(SUM(B378:F386)-C385))*K377)+((SUM(B386:F386)-C385)*K377),SUM(B386:F386)*K377),IF(SUM(B378:F386)&gt;(L394*9),L394*K377,SUM(B386:F386)*K377)),2)</f>
        <v>0</v>
      </c>
      <c r="L386" s="76">
        <f>ROUND(IF(SUM(B378:F385)&lt;(L393*8),IF((SUM(B378:F386))&gt;(L393*9),(((L393*9)-(SUM(B378:F386)-C385))*L377)+((SUM(B386:F386)-C385)*L377),SUM(B386:F386)*L377),IF(SUM(B378:F386)&gt;(L393*9),L393*L377,SUM(B386:F386)*L377)),2)</f>
        <v>0</v>
      </c>
      <c r="M386" s="76">
        <f>ROUND(IF(SUM(B378:F385)&lt;(L394*8),IF((SUM(B378:F386))&gt;(L394*9),(((L394*9)-(SUM(B378:F386)-C386))*M377)+((SUM(B386:F386)-C386)*M377),(SUM(B386:F386)-C386)*M377),IF(SUM(B378:F386)&gt;(L394*9),L394*M377,SUM(B386:F386)*M377)),2)</f>
        <v>0</v>
      </c>
      <c r="N386" s="23">
        <f>ROUND((B386+E386+F386)*N377,2)</f>
        <v>0</v>
      </c>
      <c r="O386" s="23">
        <f>ROUND(SUM(B386+C386+F386)*O377,2)</f>
        <v>0</v>
      </c>
      <c r="P386" s="27">
        <f t="shared" si="45"/>
        <v>0</v>
      </c>
    </row>
    <row r="387" spans="1:16" s="20" customFormat="1" x14ac:dyDescent="0.2">
      <c r="A387" s="100" t="str">
        <f>$A$35</f>
        <v>Okt 2022</v>
      </c>
      <c r="B387" s="24">
        <f>ROUND(IF(P361=0,0,IFERROR(((LOOKUP(2,1/(A366:A369=A387),G366:G369))*P361*4.348*50%),B386/P361*P361)),2)</f>
        <v>0</v>
      </c>
      <c r="C387" s="23">
        <f>ROUND(IFERROR(((LOOKUP(2,1/(B371=A387),((SUM(B384:B386)+SUM(F384:F386))/3)*C371))),0)+IFERROR(((LOOKUP(2,1/(E371=A387),(B390+F390)*F371))),0),2)</f>
        <v>0</v>
      </c>
      <c r="D387" s="23">
        <f>ROUND(IF(B387=0,0,D377/L359*P361*50%),2)</f>
        <v>0</v>
      </c>
      <c r="E387" s="23">
        <f>ROUND(IF(B387=0,0,E377/N355*P361*50%),2)</f>
        <v>0</v>
      </c>
      <c r="F387" s="24">
        <f>ROUND(IF(P361=0,0,IFERROR(((LOOKUP(2,1/(A366:A369=A387),H366:H369))/N355*P361),F386/P361*P361*50%)),2)</f>
        <v>0</v>
      </c>
      <c r="G387" s="27">
        <f t="shared" si="44"/>
        <v>0</v>
      </c>
      <c r="H387" s="76">
        <f>ROUND(IF(SUM(B378:F386)&lt;(L393*9),IF((SUM(B378:F387))&gt;(L393*10),(((L393*10)-(SUM(B378:F387)-C386))*H377)+((SUM(B387:F387)-C386)*H377),SUM(B387:F387)*H377),IF(SUM(B378:F387)&gt;(L393*10),L393*H377,SUM(B387:F387)*H377)),2)</f>
        <v>0</v>
      </c>
      <c r="I387" s="76">
        <f>ROUND(IF((SUM(B378:F387)*80%)&gt;((L394*10)*90%),((((L394*10)*90%)-((SUM(B378:F387)-C387))*I377)+((SUM(B387:F387)-C387)*I377)*80%),((SUM(B387:F387)-C387)*I377)*80%),2)</f>
        <v>0</v>
      </c>
      <c r="J387" s="76">
        <f>ROUND(IF(SUM(B378:F386)&lt;(L394*9),IF((SUM(B378:F387))&gt;(L394*10),(((L394*10)-(SUM(B378:F387)-C386))*J377)+((SUM(B387:F387)-C386)*J377),SUM(B387:F387)*J377),IF(SUM(B378:F387)&gt;(L394*10),L394*J377,SUM(B387:F387)*J377)),2)</f>
        <v>0</v>
      </c>
      <c r="K387" s="76">
        <f>ROUND(IF(SUM(B378:F386)&lt;(L394*9),IF((SUM(B378:F387))&gt;(L394*10),(((L394*10)-(SUM(B378:F387)-C386))*K377)+((SUM(B387:F387)-C386)*K377),SUM(B387:F387)*K377),IF(SUM(B378:F387)&gt;(L394*10),L394*K377,SUM(B387:F387)*K377)),2)</f>
        <v>0</v>
      </c>
      <c r="L387" s="76">
        <f>ROUND(IF(SUM(B378:F386)&lt;(L393*9),IF((SUM(B378:F387))&gt;(L393*10),(((L393*10)-(SUM(B378:F387)-C386))*L377)+((SUM(B387:F387)-C386)*L377),SUM(B387:F387)*L377),IF(SUM(B378:F387)&gt;(L393*10),L393*L377,SUM(B387:F387)*L377)),2)</f>
        <v>0</v>
      </c>
      <c r="M387" s="76">
        <f>ROUND(IF(SUM(B378:F386)&lt;(L394*9),IF((SUM(B378:F387))&gt;(L394*10),(((L394*10)-(SUM(B378:F387)-C387))*M377)+((SUM(B387:F387)-C387)*M377),(SUM(B387:F387)-C387)*M377),IF(SUM(B378:F387)&gt;(L394*10),L394*M377,SUM(B387:F387)*M377)),2)</f>
        <v>0</v>
      </c>
      <c r="N387" s="23">
        <f>ROUND((B387+E387+F387)*N377,2)</f>
        <v>0</v>
      </c>
      <c r="O387" s="23">
        <f>ROUND(SUM(B387+C387+F387)*O377,2)</f>
        <v>0</v>
      </c>
      <c r="P387" s="27">
        <f t="shared" si="45"/>
        <v>0</v>
      </c>
    </row>
    <row r="388" spans="1:16" s="20" customFormat="1" x14ac:dyDescent="0.2">
      <c r="A388" s="100" t="str">
        <f>$A$36</f>
        <v>Nov 2022</v>
      </c>
      <c r="B388" s="24">
        <f>ROUND(IF(P362=0,0,IFERROR(((LOOKUP(2,1/(A366:A369=A388),G366:G369))*P362*4.348*50%),B387/P362*P362)),2)</f>
        <v>0</v>
      </c>
      <c r="C388" s="23">
        <f>ROUND(IFERROR(((LOOKUP(2,1/(B371=A388),((SUM(B384:B386)+SUM(F384:F386))/3)*C371))),0)+IFERROR(((LOOKUP(2,1/(E371=A388),(B390+F390)*F371))),0),2)</f>
        <v>0</v>
      </c>
      <c r="D388" s="23">
        <f>ROUND(IF(B388=0,0,D377/L359*P362*50%),2)</f>
        <v>0</v>
      </c>
      <c r="E388" s="23">
        <f>ROUND(IF(B388=0,0,E377/N355*P362*50%),2)</f>
        <v>0</v>
      </c>
      <c r="F388" s="24">
        <f>ROUND(IF(P362=0,0,IFERROR(((LOOKUP(2,1/(A366:A369=A388),H366:H369))/N355*P362),F387/P362*P362*50%)),2)</f>
        <v>0</v>
      </c>
      <c r="G388" s="27">
        <f t="shared" si="44"/>
        <v>0</v>
      </c>
      <c r="H388" s="76">
        <f>ROUND(IF(SUM(B378:F387)&lt;(L393*10),IF((SUM(B378:F388))&gt;(L393*11),(((L393*11)-(SUM(B378:F388)-C387))*H377)+((SUM(B388:F388)-C387)*H377),SUM(B388:F388)*H377),IF(SUM(B378:F388)&gt;(L393*11),L393*H377,SUM(B388:F388)*H377)),2)</f>
        <v>0</v>
      </c>
      <c r="I388" s="76">
        <f>ROUND(IF((SUM(B378:F388)*80%)&gt;((L394*11)*90%),((((L394*11)*90%)-((SUM(B378:F388)-C388))*I377)+((SUM(B388:F388)-C388)*I377)*80%),((SUM(B388:F388)-C388)*I377)*80%),2)</f>
        <v>0</v>
      </c>
      <c r="J388" s="76">
        <f>ROUND(IF(SUM(B378:F387)&lt;(L394*10),IF((SUM(B378:F388))&gt;(L394*11),(((L394*11)-(SUM(B378:F388)-C387))*J377)+((SUM(B388:F388)-C387)*J377),SUM(B388:F388)*J377),IF(SUM(B378:F388)&gt;(L394*11),L394*J377,SUM(B388:F388)*J377)),2)</f>
        <v>0</v>
      </c>
      <c r="K388" s="76">
        <f>ROUND(IF(SUM(B378:F387)&lt;(L394*10),IF((SUM(B378:F388))&gt;(L394*11),(((L394*11)-(SUM(B378:F388)-C387))*K377)+((SUM(B388:F388)-C387)*K377),SUM(B388:F388)*K377),IF(SUM(B378:F388)&gt;(L394*11),L394*K377,SUM(B388:F388)*K377)),2)</f>
        <v>0</v>
      </c>
      <c r="L388" s="76">
        <f>ROUND(IF(SUM(B378:F387)&lt;(L393*10),IF((SUM(B378:F388))&gt;(L393*11),(((L393*11)-(SUM(B378:F388)-C387))*L377)+((SUM(B388:F388)-C387)*L377),SUM(B388:F388)*L377),IF(SUM(B378:F388)&gt;(L393*11),L393*L377,SUM(B388:F388)*L377)),2)</f>
        <v>0</v>
      </c>
      <c r="M388" s="76">
        <f>ROUND(IF(SUM(B378:F387)&lt;(L394*10),IF((SUM(B378:F388))&gt;(L394*11),(((L394*11)-(SUM(B378:F388)-C388))*M377)+((SUM(B388:F388)-C388)*M377),(SUM(B388:F388)-C388)*M377),IF(SUM(B378:F388)&gt;(L394*11),L394*M377,SUM(B388:F388)*M377)),2)</f>
        <v>0</v>
      </c>
      <c r="N388" s="23">
        <f>ROUND((B388+E388+F388)*N377,2)</f>
        <v>0</v>
      </c>
      <c r="O388" s="23">
        <f>ROUND(SUM(B388+C388+F388)*O377,2)</f>
        <v>0</v>
      </c>
      <c r="P388" s="27">
        <f t="shared" si="45"/>
        <v>0</v>
      </c>
    </row>
    <row r="389" spans="1:16" s="20" customFormat="1" x14ac:dyDescent="0.2">
      <c r="A389" s="100" t="str">
        <f>$A$37</f>
        <v>Dez 2022</v>
      </c>
      <c r="B389" s="24">
        <f>ROUND(IF(P363=0,0,IFERROR(((LOOKUP(2,1/(A366:A369=A389),G366:G369))*P363*4.348*50%),B388/P363*P363)),2)</f>
        <v>0</v>
      </c>
      <c r="C389" s="23">
        <f>ROUND(IFERROR(((LOOKUP(2,1/(B371=A389),((SUM(B384:B386)+SUM(F384:F386))/3)*C371))),0)+IFERROR(((LOOKUP(2,1/(E371=A389),(B390+F390)*F371))),0),2)</f>
        <v>0</v>
      </c>
      <c r="D389" s="23">
        <f>ROUND(IF(B389=0,0,D377/L359*P363*50%),2)</f>
        <v>0</v>
      </c>
      <c r="E389" s="23">
        <f>ROUND(IF(B389=0,0,E377/N355*P363*50%),2)</f>
        <v>0</v>
      </c>
      <c r="F389" s="24">
        <f>ROUND(IF(P363=0,0,IFERROR(((LOOKUP(2,1/(A366:A369=A389),H366:H369))/N355*P363),F388/P363*P363*50%)),2)</f>
        <v>0</v>
      </c>
      <c r="G389" s="27">
        <f t="shared" si="44"/>
        <v>0</v>
      </c>
      <c r="H389" s="76">
        <f>ROUND(IF(SUM(B378:F388)&lt;(L393*11),IF((SUM(B378:F389))&gt;(L393*12),(((L393*12)-(SUM(B378:F389)-C388))*H377)+((SUM(B389:F389)-C388)*H377),SUM(B389:F389)*H377),IF(SUM(B378:F389)&gt;(L393*12),L393*H377,SUM(B389:F389)*H377)),2)</f>
        <v>0</v>
      </c>
      <c r="I389" s="76">
        <f>ROUND(IF((SUM(B378:F389)*80%)&gt;((L394*12)*90%),((((L394*12)*90%)-((SUM(B378:F389)-C389))*I377)+((SUM(B389:F389)-C389)*I377)*80%),((SUM(B389:F389)-C389)*I377)*80%),2)</f>
        <v>0</v>
      </c>
      <c r="J389" s="76">
        <f>ROUND(IF(SUM(B378:F388)&lt;(L394*11),IF((SUM(B378:F389))&gt;(L394*12),(((L394*12)-(SUM(B378:F389)-C388))*J377)+((SUM(B389:F389)-C388)*J377),SUM(B389:F389)*J377),IF(SUM(B378:F389)&gt;(L394*12),L394*J377,SUM(B389:F389)*J377)),2)</f>
        <v>0</v>
      </c>
      <c r="K389" s="76">
        <f>ROUND(IF(SUM(B378:F388)&lt;(L394*11),IF((SUM(B378:F389))&gt;(L394*12),(((L394*12)-(SUM(B378:F389)-C388))*K377)+((SUM(B389:F389)-C388)*K377),SUM(B389:F389)*K377),IF(SUM(B378:F389)&gt;(L394*12),L394*K377,SUM(B389:F389)*K377)),2)</f>
        <v>0</v>
      </c>
      <c r="L389" s="76">
        <f>ROUND(IF(SUM(B378:F388)&lt;(L393*11),IF((SUM(B378:F389))&gt;(L393*12),(((L393*12)-(SUM(B378:F389)-C388))*L377)+((SUM(B389:F389)-C388)*L377),SUM(B389:F389)*L377),IF(SUM(B378:F389)&gt;(L393*12),L393*L377,SUM(B389:F389)*L377)),2)</f>
        <v>0</v>
      </c>
      <c r="M389" s="76">
        <f>ROUND(IF(SUM(B378:F388)&lt;(L394*11),IF((SUM(B378:F389))&gt;(L394*12),(((L394*12)-(SUM(B378:F389)-C389))*M377)+((SUM(B389:F389)-C389)*M377),(SUM(B389:F389)-C389)*M377),IF(SUM(B378:F389)&gt;(L394*12),L394*M377,SUM(B389:F389)*M377)),2)</f>
        <v>0</v>
      </c>
      <c r="N389" s="23">
        <f>ROUND((B389+E389+F389)*N377,2)</f>
        <v>0</v>
      </c>
      <c r="O389" s="23">
        <f>ROUND(SUM(B389+C389+F389)*O377,2)</f>
        <v>0</v>
      </c>
      <c r="P389" s="27">
        <f>SUM(G389:O389)</f>
        <v>0</v>
      </c>
    </row>
    <row r="390" spans="1:16" s="20" customFormat="1" x14ac:dyDescent="0.2">
      <c r="A390" s="4" t="s">
        <v>2</v>
      </c>
      <c r="B390" s="27">
        <f>SUM(B378:B389)</f>
        <v>0</v>
      </c>
      <c r="C390" s="27">
        <f t="shared" ref="C390" si="46">SUM(C378:C389)</f>
        <v>0</v>
      </c>
      <c r="D390" s="27">
        <f>SUM(D378:D389)</f>
        <v>0</v>
      </c>
      <c r="E390" s="27">
        <f t="shared" ref="E390:G390" si="47">SUM(E378:E389)</f>
        <v>0</v>
      </c>
      <c r="F390" s="27">
        <f t="shared" si="47"/>
        <v>0</v>
      </c>
      <c r="G390" s="27">
        <f t="shared" si="47"/>
        <v>0</v>
      </c>
      <c r="H390" s="1133">
        <f>SUM(H378:M389)</f>
        <v>0</v>
      </c>
      <c r="I390" s="1134"/>
      <c r="J390" s="1134"/>
      <c r="K390" s="1134"/>
      <c r="L390" s="1134"/>
      <c r="M390" s="1134"/>
      <c r="N390" s="27">
        <f>SUM(N378:N389)</f>
        <v>0</v>
      </c>
      <c r="O390" s="27">
        <f>SUM(O378:O389)</f>
        <v>0</v>
      </c>
      <c r="P390" s="27">
        <f>SUM(P378:P389)</f>
        <v>0</v>
      </c>
    </row>
    <row r="391" spans="1:16" s="13" customFormat="1" ht="11.25" x14ac:dyDescent="0.2">
      <c r="A391" s="3" t="s">
        <v>1</v>
      </c>
      <c r="B391" s="2"/>
      <c r="C391" s="2"/>
      <c r="D391" s="2"/>
      <c r="E391" s="2"/>
      <c r="F391" s="2"/>
      <c r="G391" s="2"/>
      <c r="H391" s="2"/>
      <c r="I391" s="2"/>
      <c r="J391" s="2"/>
      <c r="K391" s="2"/>
      <c r="L391" s="2"/>
      <c r="M391" s="2"/>
      <c r="N391" s="2"/>
      <c r="O391" s="2"/>
      <c r="P391" s="2"/>
    </row>
    <row r="392" spans="1:16" ht="14.25" customHeight="1" x14ac:dyDescent="0.2">
      <c r="A392" s="1136" t="s">
        <v>133</v>
      </c>
      <c r="B392" s="1137"/>
      <c r="C392" s="1137"/>
      <c r="D392" s="1137" t="s">
        <v>134</v>
      </c>
      <c r="E392" s="1137"/>
      <c r="F392" s="94" t="str">
        <f>IF(IF(G390=0,"",$F$40)=0,"",IF(G390=0,"",$F$40))</f>
        <v/>
      </c>
      <c r="G392" s="77" t="s">
        <v>135</v>
      </c>
      <c r="H392" s="96" t="str">
        <f>IF(IF(G390=0,"",$H$40)=0,"",IF(G390=0,"",$H$40))</f>
        <v/>
      </c>
      <c r="I392" s="73"/>
      <c r="J392" s="194" t="s">
        <v>160</v>
      </c>
      <c r="K392" s="194" t="str">
        <f>$K$40</f>
        <v>2021</v>
      </c>
      <c r="L392" s="194" t="str">
        <f>$L$40</f>
        <v>anteilig 2021</v>
      </c>
      <c r="M392" s="1138" t="s">
        <v>140</v>
      </c>
      <c r="N392" s="1138"/>
      <c r="O392" s="1139"/>
      <c r="P392" s="27">
        <f>ROUND(IF(F392="",IF(E396="",0,(E396*H396/K396)/L359*L360),G390*F392*H392/1000),2)</f>
        <v>0</v>
      </c>
    </row>
    <row r="393" spans="1:16" ht="15" customHeight="1" x14ac:dyDescent="0.2">
      <c r="A393" s="1140" t="s">
        <v>145</v>
      </c>
      <c r="B393" s="1141"/>
      <c r="C393" s="1141"/>
      <c r="D393" s="18"/>
      <c r="E393" s="107" t="s">
        <v>135</v>
      </c>
      <c r="F393" s="95" t="str">
        <f>IF(IF(G390=0,"",$F$41)=0,"",IF(G390=0,"",$F$41))</f>
        <v/>
      </c>
      <c r="G393" s="48"/>
      <c r="H393" s="47"/>
      <c r="I393" s="48"/>
      <c r="J393" s="195" t="s">
        <v>158</v>
      </c>
      <c r="K393" s="198">
        <f>$K$41</f>
        <v>4837.5</v>
      </c>
      <c r="L393" s="197">
        <f>IF(L359="",K393,K393/L359*L360)</f>
        <v>4837.5</v>
      </c>
      <c r="M393" s="1138" t="s">
        <v>139</v>
      </c>
      <c r="N393" s="1138"/>
      <c r="O393" s="1139"/>
      <c r="P393" s="27">
        <f>ROUND(IF(F393="",0,G390*F393/1000),2)</f>
        <v>0</v>
      </c>
    </row>
    <row r="394" spans="1:16" ht="15.75" customHeight="1" x14ac:dyDescent="0.2">
      <c r="A394" s="1142" t="s">
        <v>141</v>
      </c>
      <c r="B394" s="1143"/>
      <c r="C394" s="1143"/>
      <c r="D394" s="1144" t="s">
        <v>143</v>
      </c>
      <c r="E394" s="1144"/>
      <c r="F394" s="1145" t="str">
        <f>IF(IF(G390=0,"",$F$42)=0,"",IF(G390=0,"",$F$42))</f>
        <v/>
      </c>
      <c r="G394" s="1145"/>
      <c r="H394" s="72"/>
      <c r="I394" s="18"/>
      <c r="J394" s="195" t="s">
        <v>159</v>
      </c>
      <c r="K394" s="198">
        <f>$K$42</f>
        <v>6700</v>
      </c>
      <c r="L394" s="197">
        <f>IF(L359="",K394,K394/L359*L360)</f>
        <v>6700</v>
      </c>
      <c r="M394" s="1138" t="s">
        <v>141</v>
      </c>
      <c r="N394" s="1138"/>
      <c r="O394" s="1139"/>
      <c r="P394" s="23">
        <f>ROUND(IF(F394="",0,IF(G390=0,0,F394/L359*L360)),2)</f>
        <v>0</v>
      </c>
    </row>
    <row r="395" spans="1:16" ht="14.25" customHeight="1" x14ac:dyDescent="0.2">
      <c r="A395" s="18"/>
      <c r="B395" s="18"/>
      <c r="C395" s="18"/>
      <c r="D395" s="18"/>
      <c r="E395" s="18"/>
      <c r="F395" s="18"/>
      <c r="G395" s="18"/>
      <c r="H395" s="18"/>
      <c r="I395" s="18"/>
      <c r="J395" s="18"/>
      <c r="K395" s="74"/>
      <c r="L395" s="82"/>
      <c r="M395" s="1127" t="s">
        <v>146</v>
      </c>
      <c r="N395" s="1127"/>
      <c r="O395" s="1128"/>
      <c r="P395" s="23">
        <f>ROUND(IF(G390=0,0,$P$43),2)</f>
        <v>0</v>
      </c>
    </row>
    <row r="396" spans="1:16" ht="14.25" customHeight="1" x14ac:dyDescent="0.2">
      <c r="A396" s="1129" t="s">
        <v>142</v>
      </c>
      <c r="B396" s="1130"/>
      <c r="C396" s="148" t="s">
        <v>136</v>
      </c>
      <c r="D396" s="184" t="s">
        <v>137</v>
      </c>
      <c r="E396" s="1131" t="str">
        <f>IF(IF(G390=0,"",$E$44)=0,"",IF(G390=0,"",$E$44))</f>
        <v/>
      </c>
      <c r="F396" s="1131"/>
      <c r="G396" s="83" t="s">
        <v>138</v>
      </c>
      <c r="H396" s="97" t="str">
        <f>IF(IF(G390=0,"",$H$44)=0,"",IF(G390=0,"",$H$44))</f>
        <v/>
      </c>
      <c r="I396" s="1132" t="s">
        <v>144</v>
      </c>
      <c r="J396" s="1132"/>
      <c r="K396" s="98" t="str">
        <f>IF(IF(G390=0,"",$K$44)=0,"",IF(G390=0,"",$K$44))</f>
        <v/>
      </c>
      <c r="L396" s="29"/>
      <c r="M396" s="29"/>
      <c r="N396" s="29"/>
      <c r="O396" s="28" t="s">
        <v>0</v>
      </c>
      <c r="P396" s="27">
        <f>P390+SUM(P392:P395)</f>
        <v>0</v>
      </c>
    </row>
  </sheetData>
  <sheetProtection algorithmName="SHA-512" hashValue="YTKyzc7fFkDTP6FRSH/hW6jvsptWkJ4jwqvgIgzpu45ZbmDJomAYS/0ZxHx8UCmLo//NiwgbTwGNfD3MMpTwfA==" saltValue="M0EavBeG7x7lFXca7Y3aUw==" spinCount="100000" sheet="1" objects="1" scenarios="1"/>
  <mergeCells count="638">
    <mergeCell ref="M395:O395"/>
    <mergeCell ref="A396:B396"/>
    <mergeCell ref="E396:F396"/>
    <mergeCell ref="I396:J396"/>
    <mergeCell ref="H390:M390"/>
    <mergeCell ref="A392:C392"/>
    <mergeCell ref="D392:E392"/>
    <mergeCell ref="M392:O392"/>
    <mergeCell ref="A393:C393"/>
    <mergeCell ref="M393:O393"/>
    <mergeCell ref="A394:C394"/>
    <mergeCell ref="D394:E394"/>
    <mergeCell ref="F394:G394"/>
    <mergeCell ref="M394:O394"/>
    <mergeCell ref="P373:P377"/>
    <mergeCell ref="B374:B377"/>
    <mergeCell ref="D374:D376"/>
    <mergeCell ref="E374:E376"/>
    <mergeCell ref="G374:G377"/>
    <mergeCell ref="H374:H375"/>
    <mergeCell ref="I374:I376"/>
    <mergeCell ref="J374:J375"/>
    <mergeCell ref="K374:K375"/>
    <mergeCell ref="L374:L375"/>
    <mergeCell ref="M374:M376"/>
    <mergeCell ref="O374:O376"/>
    <mergeCell ref="F375:F377"/>
    <mergeCell ref="B369:C369"/>
    <mergeCell ref="K369:L369"/>
    <mergeCell ref="B370:C370"/>
    <mergeCell ref="E370:F370"/>
    <mergeCell ref="K370:L370"/>
    <mergeCell ref="A373:A377"/>
    <mergeCell ref="B373:G373"/>
    <mergeCell ref="H373:M373"/>
    <mergeCell ref="N373:N376"/>
    <mergeCell ref="F364:G364"/>
    <mergeCell ref="H364:I364"/>
    <mergeCell ref="B365:C365"/>
    <mergeCell ref="K365:L365"/>
    <mergeCell ref="B366:C366"/>
    <mergeCell ref="K366:L366"/>
    <mergeCell ref="B367:C367"/>
    <mergeCell ref="K367:L367"/>
    <mergeCell ref="B368:C368"/>
    <mergeCell ref="K368:L368"/>
    <mergeCell ref="A361:C361"/>
    <mergeCell ref="D361:I361"/>
    <mergeCell ref="J361:K361"/>
    <mergeCell ref="A362:C362"/>
    <mergeCell ref="D362:I362"/>
    <mergeCell ref="J362:K362"/>
    <mergeCell ref="D363:E363"/>
    <mergeCell ref="F363:G363"/>
    <mergeCell ref="H363:I363"/>
    <mergeCell ref="A356:C356"/>
    <mergeCell ref="D356:J356"/>
    <mergeCell ref="A357:M357"/>
    <mergeCell ref="J358:K358"/>
    <mergeCell ref="A359:C359"/>
    <mergeCell ref="D359:I359"/>
    <mergeCell ref="J359:K359"/>
    <mergeCell ref="A360:C360"/>
    <mergeCell ref="D360:I360"/>
    <mergeCell ref="J360:K360"/>
    <mergeCell ref="M351:O351"/>
    <mergeCell ref="A352:B352"/>
    <mergeCell ref="E352:F352"/>
    <mergeCell ref="I352:J352"/>
    <mergeCell ref="A353:C353"/>
    <mergeCell ref="D353:N353"/>
    <mergeCell ref="A354:C354"/>
    <mergeCell ref="D354:N354"/>
    <mergeCell ref="A355:C355"/>
    <mergeCell ref="D355:J355"/>
    <mergeCell ref="K355:M355"/>
    <mergeCell ref="H346:M346"/>
    <mergeCell ref="A348:C348"/>
    <mergeCell ref="D348:E348"/>
    <mergeCell ref="M348:O348"/>
    <mergeCell ref="A349:C349"/>
    <mergeCell ref="M349:O349"/>
    <mergeCell ref="A350:C350"/>
    <mergeCell ref="D350:E350"/>
    <mergeCell ref="F350:G350"/>
    <mergeCell ref="M350:O350"/>
    <mergeCell ref="P329:P333"/>
    <mergeCell ref="B330:B333"/>
    <mergeCell ref="D330:D332"/>
    <mergeCell ref="E330:E332"/>
    <mergeCell ref="G330:G333"/>
    <mergeCell ref="H330:H331"/>
    <mergeCell ref="I330:I332"/>
    <mergeCell ref="J330:J331"/>
    <mergeCell ref="K330:K331"/>
    <mergeCell ref="L330:L331"/>
    <mergeCell ref="M330:M332"/>
    <mergeCell ref="O330:O332"/>
    <mergeCell ref="F331:F333"/>
    <mergeCell ref="B325:C325"/>
    <mergeCell ref="K325:L325"/>
    <mergeCell ref="B326:C326"/>
    <mergeCell ref="E326:F326"/>
    <mergeCell ref="K326:L326"/>
    <mergeCell ref="A329:A333"/>
    <mergeCell ref="B329:G329"/>
    <mergeCell ref="H329:M329"/>
    <mergeCell ref="N329:N332"/>
    <mergeCell ref="F320:G320"/>
    <mergeCell ref="H320:I320"/>
    <mergeCell ref="B321:C321"/>
    <mergeCell ref="K321:L321"/>
    <mergeCell ref="B322:C322"/>
    <mergeCell ref="K322:L322"/>
    <mergeCell ref="B323:C323"/>
    <mergeCell ref="K323:L323"/>
    <mergeCell ref="B324:C324"/>
    <mergeCell ref="K324:L324"/>
    <mergeCell ref="A317:C317"/>
    <mergeCell ref="D317:I317"/>
    <mergeCell ref="J317:K317"/>
    <mergeCell ref="A318:C318"/>
    <mergeCell ref="D318:I318"/>
    <mergeCell ref="J318:K318"/>
    <mergeCell ref="D319:E319"/>
    <mergeCell ref="F319:G319"/>
    <mergeCell ref="H319:I319"/>
    <mergeCell ref="A312:C312"/>
    <mergeCell ref="D312:J312"/>
    <mergeCell ref="A313:M313"/>
    <mergeCell ref="J314:K314"/>
    <mergeCell ref="A315:C315"/>
    <mergeCell ref="D315:I315"/>
    <mergeCell ref="J315:K315"/>
    <mergeCell ref="A316:C316"/>
    <mergeCell ref="D316:I316"/>
    <mergeCell ref="J316:K316"/>
    <mergeCell ref="M307:O307"/>
    <mergeCell ref="A308:B308"/>
    <mergeCell ref="E308:F308"/>
    <mergeCell ref="I308:J308"/>
    <mergeCell ref="A309:C309"/>
    <mergeCell ref="D309:N309"/>
    <mergeCell ref="A310:C310"/>
    <mergeCell ref="D310:N310"/>
    <mergeCell ref="A311:C311"/>
    <mergeCell ref="D311:J311"/>
    <mergeCell ref="K311:M311"/>
    <mergeCell ref="H302:M302"/>
    <mergeCell ref="A304:C304"/>
    <mergeCell ref="D304:E304"/>
    <mergeCell ref="M304:O304"/>
    <mergeCell ref="A305:C305"/>
    <mergeCell ref="M305:O305"/>
    <mergeCell ref="A306:C306"/>
    <mergeCell ref="D306:E306"/>
    <mergeCell ref="F306:G306"/>
    <mergeCell ref="M306:O306"/>
    <mergeCell ref="P285:P289"/>
    <mergeCell ref="B286:B289"/>
    <mergeCell ref="D286:D288"/>
    <mergeCell ref="E286:E288"/>
    <mergeCell ref="G286:G289"/>
    <mergeCell ref="H286:H287"/>
    <mergeCell ref="I286:I288"/>
    <mergeCell ref="J286:J287"/>
    <mergeCell ref="K286:K287"/>
    <mergeCell ref="L286:L287"/>
    <mergeCell ref="M286:M288"/>
    <mergeCell ref="O286:O288"/>
    <mergeCell ref="F287:F289"/>
    <mergeCell ref="B281:C281"/>
    <mergeCell ref="K281:L281"/>
    <mergeCell ref="B282:C282"/>
    <mergeCell ref="E282:F282"/>
    <mergeCell ref="K282:L282"/>
    <mergeCell ref="A285:A289"/>
    <mergeCell ref="B285:G285"/>
    <mergeCell ref="H285:M285"/>
    <mergeCell ref="N285:N288"/>
    <mergeCell ref="F276:G276"/>
    <mergeCell ref="H276:I276"/>
    <mergeCell ref="B277:C277"/>
    <mergeCell ref="K277:L277"/>
    <mergeCell ref="B278:C278"/>
    <mergeCell ref="K278:L278"/>
    <mergeCell ref="B279:C279"/>
    <mergeCell ref="K279:L279"/>
    <mergeCell ref="B280:C280"/>
    <mergeCell ref="K280:L280"/>
    <mergeCell ref="A273:C273"/>
    <mergeCell ref="D273:I273"/>
    <mergeCell ref="J273:K273"/>
    <mergeCell ref="A274:C274"/>
    <mergeCell ref="D274:I274"/>
    <mergeCell ref="J274:K274"/>
    <mergeCell ref="D275:E275"/>
    <mergeCell ref="F275:G275"/>
    <mergeCell ref="H275:I275"/>
    <mergeCell ref="A268:C268"/>
    <mergeCell ref="D268:J268"/>
    <mergeCell ref="A269:M269"/>
    <mergeCell ref="J270:K270"/>
    <mergeCell ref="A271:C271"/>
    <mergeCell ref="D271:I271"/>
    <mergeCell ref="J271:K271"/>
    <mergeCell ref="A272:C272"/>
    <mergeCell ref="D272:I272"/>
    <mergeCell ref="J272:K272"/>
    <mergeCell ref="M263:O263"/>
    <mergeCell ref="A264:B264"/>
    <mergeCell ref="E264:F264"/>
    <mergeCell ref="I264:J264"/>
    <mergeCell ref="A265:C265"/>
    <mergeCell ref="D265:N265"/>
    <mergeCell ref="A266:C266"/>
    <mergeCell ref="D266:N266"/>
    <mergeCell ref="A267:C267"/>
    <mergeCell ref="D267:J267"/>
    <mergeCell ref="K267:M267"/>
    <mergeCell ref="H258:M258"/>
    <mergeCell ref="A260:C260"/>
    <mergeCell ref="D260:E260"/>
    <mergeCell ref="M260:O260"/>
    <mergeCell ref="A261:C261"/>
    <mergeCell ref="M261:O261"/>
    <mergeCell ref="A262:C262"/>
    <mergeCell ref="D262:E262"/>
    <mergeCell ref="F262:G262"/>
    <mergeCell ref="M262:O262"/>
    <mergeCell ref="P241:P245"/>
    <mergeCell ref="B242:B245"/>
    <mergeCell ref="D242:D244"/>
    <mergeCell ref="E242:E244"/>
    <mergeCell ref="G242:G245"/>
    <mergeCell ref="H242:H243"/>
    <mergeCell ref="I242:I244"/>
    <mergeCell ref="J242:J243"/>
    <mergeCell ref="K242:K243"/>
    <mergeCell ref="L242:L243"/>
    <mergeCell ref="M242:M244"/>
    <mergeCell ref="O242:O244"/>
    <mergeCell ref="F243:F245"/>
    <mergeCell ref="B237:C237"/>
    <mergeCell ref="K237:L237"/>
    <mergeCell ref="B238:C238"/>
    <mergeCell ref="E238:F238"/>
    <mergeCell ref="K238:L238"/>
    <mergeCell ref="A241:A245"/>
    <mergeCell ref="B241:G241"/>
    <mergeCell ref="H241:M241"/>
    <mergeCell ref="N241:N244"/>
    <mergeCell ref="F232:G232"/>
    <mergeCell ref="H232:I232"/>
    <mergeCell ref="B233:C233"/>
    <mergeCell ref="K233:L233"/>
    <mergeCell ref="B234:C234"/>
    <mergeCell ref="K234:L234"/>
    <mergeCell ref="B235:C235"/>
    <mergeCell ref="K235:L235"/>
    <mergeCell ref="B236:C236"/>
    <mergeCell ref="K236:L236"/>
    <mergeCell ref="A229:C229"/>
    <mergeCell ref="D229:I229"/>
    <mergeCell ref="J229:K229"/>
    <mergeCell ref="A230:C230"/>
    <mergeCell ref="D230:I230"/>
    <mergeCell ref="J230:K230"/>
    <mergeCell ref="D231:E231"/>
    <mergeCell ref="F231:G231"/>
    <mergeCell ref="H231:I231"/>
    <mergeCell ref="A224:C224"/>
    <mergeCell ref="D224:J224"/>
    <mergeCell ref="A225:M225"/>
    <mergeCell ref="J226:K226"/>
    <mergeCell ref="A227:C227"/>
    <mergeCell ref="D227:I227"/>
    <mergeCell ref="J227:K227"/>
    <mergeCell ref="A228:C228"/>
    <mergeCell ref="D228:I228"/>
    <mergeCell ref="J228:K228"/>
    <mergeCell ref="A221:C221"/>
    <mergeCell ref="D221:N221"/>
    <mergeCell ref="A222:C222"/>
    <mergeCell ref="D222:N222"/>
    <mergeCell ref="A223:C223"/>
    <mergeCell ref="D223:J223"/>
    <mergeCell ref="K223:M223"/>
    <mergeCell ref="H214:N214"/>
    <mergeCell ref="A216:C216"/>
    <mergeCell ref="D216:E216"/>
    <mergeCell ref="M216:O216"/>
    <mergeCell ref="D218:E218"/>
    <mergeCell ref="F218:G218"/>
    <mergeCell ref="M218:O218"/>
    <mergeCell ref="M219:O219"/>
    <mergeCell ref="A220:B220"/>
    <mergeCell ref="E220:F220"/>
    <mergeCell ref="I220:J220"/>
    <mergeCell ref="M217:O217"/>
    <mergeCell ref="A217:C217"/>
    <mergeCell ref="A218:C218"/>
    <mergeCell ref="P197:P201"/>
    <mergeCell ref="B198:B201"/>
    <mergeCell ref="D198:D200"/>
    <mergeCell ref="E198:E200"/>
    <mergeCell ref="G198:G201"/>
    <mergeCell ref="H198:H199"/>
    <mergeCell ref="I198:I199"/>
    <mergeCell ref="J198:J199"/>
    <mergeCell ref="K198:K199"/>
    <mergeCell ref="L198:L199"/>
    <mergeCell ref="M198:M199"/>
    <mergeCell ref="N198:N199"/>
    <mergeCell ref="O198:O200"/>
    <mergeCell ref="F199:F201"/>
    <mergeCell ref="A185:C185"/>
    <mergeCell ref="D185:I185"/>
    <mergeCell ref="J185:K185"/>
    <mergeCell ref="D186:I186"/>
    <mergeCell ref="J186:K186"/>
    <mergeCell ref="D187:E187"/>
    <mergeCell ref="F187:G187"/>
    <mergeCell ref="H187:I187"/>
    <mergeCell ref="K194:L194"/>
    <mergeCell ref="A186:C186"/>
    <mergeCell ref="B194:C194"/>
    <mergeCell ref="E194:F194"/>
    <mergeCell ref="B189:C189"/>
    <mergeCell ref="K189:L189"/>
    <mergeCell ref="B190:C190"/>
    <mergeCell ref="K190:L190"/>
    <mergeCell ref="B191:C191"/>
    <mergeCell ref="K191:L191"/>
    <mergeCell ref="B192:C192"/>
    <mergeCell ref="K192:L192"/>
    <mergeCell ref="B193:C193"/>
    <mergeCell ref="K193:L193"/>
    <mergeCell ref="A181:J181"/>
    <mergeCell ref="J182:K182"/>
    <mergeCell ref="A183:C183"/>
    <mergeCell ref="D183:I183"/>
    <mergeCell ref="J183:K183"/>
    <mergeCell ref="A184:C184"/>
    <mergeCell ref="D184:I184"/>
    <mergeCell ref="J184:K184"/>
    <mergeCell ref="A180:C180"/>
    <mergeCell ref="P153:P157"/>
    <mergeCell ref="B154:B157"/>
    <mergeCell ref="D154:D156"/>
    <mergeCell ref="E154:E156"/>
    <mergeCell ref="G154:G157"/>
    <mergeCell ref="H154:H155"/>
    <mergeCell ref="I154:I155"/>
    <mergeCell ref="J154:J155"/>
    <mergeCell ref="K154:K155"/>
    <mergeCell ref="L154:L155"/>
    <mergeCell ref="M154:M155"/>
    <mergeCell ref="N154:N155"/>
    <mergeCell ref="O154:O156"/>
    <mergeCell ref="F155:F157"/>
    <mergeCell ref="B146:C146"/>
    <mergeCell ref="K146:L146"/>
    <mergeCell ref="B147:C147"/>
    <mergeCell ref="K147:L147"/>
    <mergeCell ref="B148:C148"/>
    <mergeCell ref="K148:L148"/>
    <mergeCell ref="B149:C149"/>
    <mergeCell ref="K149:L149"/>
    <mergeCell ref="B150:C150"/>
    <mergeCell ref="E150:F150"/>
    <mergeCell ref="K150:L150"/>
    <mergeCell ref="A139:C139"/>
    <mergeCell ref="D139:I139"/>
    <mergeCell ref="J139:K139"/>
    <mergeCell ref="A140:C140"/>
    <mergeCell ref="D140:I140"/>
    <mergeCell ref="J140:K140"/>
    <mergeCell ref="A141:C141"/>
    <mergeCell ref="D141:I141"/>
    <mergeCell ref="J141:K141"/>
    <mergeCell ref="A134:C134"/>
    <mergeCell ref="D134:N134"/>
    <mergeCell ref="A135:C135"/>
    <mergeCell ref="D135:J135"/>
    <mergeCell ref="K135:M135"/>
    <mergeCell ref="A136:C136"/>
    <mergeCell ref="D136:J136"/>
    <mergeCell ref="A137:J137"/>
    <mergeCell ref="J138:K138"/>
    <mergeCell ref="B106:C106"/>
    <mergeCell ref="E106:F106"/>
    <mergeCell ref="K106:L106"/>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B101:C101"/>
    <mergeCell ref="K101:L101"/>
    <mergeCell ref="B102:C102"/>
    <mergeCell ref="K102:L102"/>
    <mergeCell ref="B103:C103"/>
    <mergeCell ref="K103:L103"/>
    <mergeCell ref="B104:C104"/>
    <mergeCell ref="K104:L104"/>
    <mergeCell ref="B105:C105"/>
    <mergeCell ref="K105:L105"/>
    <mergeCell ref="A97:C97"/>
    <mergeCell ref="D97:I97"/>
    <mergeCell ref="J97:K97"/>
    <mergeCell ref="A98:C98"/>
    <mergeCell ref="D98:I98"/>
    <mergeCell ref="J98:K98"/>
    <mergeCell ref="D99:E99"/>
    <mergeCell ref="F99:G99"/>
    <mergeCell ref="H99:I99"/>
    <mergeCell ref="A92:C92"/>
    <mergeCell ref="D92:J92"/>
    <mergeCell ref="A93:J93"/>
    <mergeCell ref="J94:K94"/>
    <mergeCell ref="A95:C95"/>
    <mergeCell ref="D95:I95"/>
    <mergeCell ref="J95:K95"/>
    <mergeCell ref="A96:C96"/>
    <mergeCell ref="D96:I96"/>
    <mergeCell ref="J96:K96"/>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B60:C60"/>
    <mergeCell ref="K60:L60"/>
    <mergeCell ref="B61:C61"/>
    <mergeCell ref="K61:L61"/>
    <mergeCell ref="B62:C62"/>
    <mergeCell ref="E62:F62"/>
    <mergeCell ref="K62:L62"/>
    <mergeCell ref="A65:A69"/>
    <mergeCell ref="B65:G65"/>
    <mergeCell ref="H65:N65"/>
    <mergeCell ref="D55:E55"/>
    <mergeCell ref="F55:G55"/>
    <mergeCell ref="H55:I55"/>
    <mergeCell ref="B57:C57"/>
    <mergeCell ref="K57:L57"/>
    <mergeCell ref="B58:C58"/>
    <mergeCell ref="K58:L58"/>
    <mergeCell ref="B59:C59"/>
    <mergeCell ref="K59:L59"/>
    <mergeCell ref="A45:C45"/>
    <mergeCell ref="A52:C52"/>
    <mergeCell ref="D52:I52"/>
    <mergeCell ref="J52:K52"/>
    <mergeCell ref="A53:C53"/>
    <mergeCell ref="D53:I53"/>
    <mergeCell ref="J53:K53"/>
    <mergeCell ref="A54:C54"/>
    <mergeCell ref="D54:I54"/>
    <mergeCell ref="J54:K54"/>
    <mergeCell ref="D47:J47"/>
    <mergeCell ref="A48:C48"/>
    <mergeCell ref="D48:J48"/>
    <mergeCell ref="A49:J49"/>
    <mergeCell ref="J50:K50"/>
    <mergeCell ref="A51:C51"/>
    <mergeCell ref="D51:I51"/>
    <mergeCell ref="J51:K51"/>
    <mergeCell ref="A47:C47"/>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H170:N170"/>
    <mergeCell ref="D11:E11"/>
    <mergeCell ref="F11:G11"/>
    <mergeCell ref="H11:I11"/>
    <mergeCell ref="B13:C13"/>
    <mergeCell ref="K13:L13"/>
    <mergeCell ref="B14:C14"/>
    <mergeCell ref="K14:L14"/>
    <mergeCell ref="B15:C15"/>
    <mergeCell ref="K15:L15"/>
    <mergeCell ref="K18:L18"/>
    <mergeCell ref="A44:B44"/>
    <mergeCell ref="E44:F44"/>
    <mergeCell ref="A153:A157"/>
    <mergeCell ref="B153:G153"/>
    <mergeCell ref="H153:N153"/>
    <mergeCell ref="D143:E143"/>
    <mergeCell ref="A142:C142"/>
    <mergeCell ref="D142:I142"/>
    <mergeCell ref="J142:K142"/>
    <mergeCell ref="F143:G143"/>
    <mergeCell ref="H143:I143"/>
    <mergeCell ref="B145:C145"/>
    <mergeCell ref="K145:L145"/>
    <mergeCell ref="A21:A25"/>
    <mergeCell ref="B21:G21"/>
    <mergeCell ref="H21:N21"/>
    <mergeCell ref="M41:O41"/>
    <mergeCell ref="A42:C42"/>
    <mergeCell ref="D42:E42"/>
    <mergeCell ref="F42:G42"/>
    <mergeCell ref="M42:O42"/>
    <mergeCell ref="M43:O43"/>
    <mergeCell ref="A197:A201"/>
    <mergeCell ref="B197:G197"/>
    <mergeCell ref="H197:N197"/>
    <mergeCell ref="A172:C172"/>
    <mergeCell ref="D172:E172"/>
    <mergeCell ref="M172:O172"/>
    <mergeCell ref="A173:C173"/>
    <mergeCell ref="M173:O173"/>
    <mergeCell ref="A174:C174"/>
    <mergeCell ref="D174:E174"/>
    <mergeCell ref="F174:G174"/>
    <mergeCell ref="M174:O174"/>
    <mergeCell ref="M175:O175"/>
    <mergeCell ref="A176:B176"/>
    <mergeCell ref="E176:F176"/>
    <mergeCell ref="I176:J176"/>
    <mergeCell ref="A177:C177"/>
    <mergeCell ref="D177:N177"/>
    <mergeCell ref="A178:C178"/>
    <mergeCell ref="D178:N178"/>
    <mergeCell ref="A179:C179"/>
    <mergeCell ref="D179:J179"/>
    <mergeCell ref="K179:M179"/>
    <mergeCell ref="D180:J180"/>
    <mergeCell ref="M131:O131"/>
    <mergeCell ref="A132:B132"/>
    <mergeCell ref="E132:F132"/>
    <mergeCell ref="I132:J132"/>
    <mergeCell ref="A133:C133"/>
    <mergeCell ref="D133:N133"/>
    <mergeCell ref="A109:A113"/>
    <mergeCell ref="B109:G109"/>
    <mergeCell ref="H109:N109"/>
    <mergeCell ref="H126:N126"/>
    <mergeCell ref="A128:C128"/>
    <mergeCell ref="D128:E128"/>
    <mergeCell ref="M128:O128"/>
    <mergeCell ref="A129:C129"/>
    <mergeCell ref="M129:O129"/>
    <mergeCell ref="A130:C130"/>
    <mergeCell ref="D130:E130"/>
    <mergeCell ref="F130:G130"/>
    <mergeCell ref="M130:O130"/>
    <mergeCell ref="A84:C84"/>
    <mergeCell ref="H82:N82"/>
    <mergeCell ref="D84:E84"/>
    <mergeCell ref="M84:O84"/>
    <mergeCell ref="A85:C85"/>
    <mergeCell ref="M85:O85"/>
    <mergeCell ref="A86:C86"/>
    <mergeCell ref="D86:E86"/>
    <mergeCell ref="F86:G86"/>
    <mergeCell ref="M86:O86"/>
    <mergeCell ref="M87:O87"/>
    <mergeCell ref="A88:B88"/>
    <mergeCell ref="E88:F88"/>
    <mergeCell ref="I88:J88"/>
    <mergeCell ref="A89:C89"/>
    <mergeCell ref="D89:N89"/>
    <mergeCell ref="A90:C90"/>
    <mergeCell ref="D90:N90"/>
    <mergeCell ref="A91:C91"/>
    <mergeCell ref="D91:J91"/>
    <mergeCell ref="K91:M91"/>
    <mergeCell ref="A1:C1"/>
    <mergeCell ref="A2:C2"/>
    <mergeCell ref="A3:C3"/>
    <mergeCell ref="A8:C8"/>
    <mergeCell ref="D1:N1"/>
    <mergeCell ref="D2:N2"/>
    <mergeCell ref="D3:J3"/>
    <mergeCell ref="K3:M3"/>
    <mergeCell ref="D4:J4"/>
    <mergeCell ref="A5:J5"/>
    <mergeCell ref="J6:K6"/>
    <mergeCell ref="D7:I7"/>
    <mergeCell ref="J7:K7"/>
    <mergeCell ref="D8:I8"/>
    <mergeCell ref="J8:K8"/>
    <mergeCell ref="B17:C17"/>
    <mergeCell ref="K17:L17"/>
    <mergeCell ref="B18:C18"/>
    <mergeCell ref="E18:F18"/>
    <mergeCell ref="K47:M47"/>
    <mergeCell ref="A9:C9"/>
    <mergeCell ref="A4:C4"/>
    <mergeCell ref="A7:C7"/>
    <mergeCell ref="A10:C10"/>
    <mergeCell ref="D9:I9"/>
    <mergeCell ref="J9:K9"/>
    <mergeCell ref="D10:I10"/>
    <mergeCell ref="J10:K10"/>
    <mergeCell ref="B16:C16"/>
    <mergeCell ref="K16:L16"/>
    <mergeCell ref="H38:N38"/>
    <mergeCell ref="D40:E40"/>
    <mergeCell ref="M40:O40"/>
    <mergeCell ref="A40:C40"/>
    <mergeCell ref="A41:C41"/>
    <mergeCell ref="A46:C46"/>
    <mergeCell ref="I44:J44"/>
    <mergeCell ref="D45:N45"/>
    <mergeCell ref="D46:N46"/>
  </mergeCells>
  <dataValidations count="1">
    <dataValidation type="list" allowBlank="1" showInputMessage="1" showErrorMessage="1" sqref="B19 E19 B63 E63 B107 E107 B151 E151 B195 E195 B239 E239 B283 E283 B327 E327 B371 E371">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&amp;10&amp;KFF0000techn. Personal - Wirtschaftskraft/Haushaltshilfe/Küchenkraft&amp;R&amp;G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 A147:A149 A191:A193 A235:A237 A279:A281 A323:A325 A367:A369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132"/>
  <sheetViews>
    <sheetView showGridLines="0" view="pageLayout" zoomScaleNormal="100" workbookViewId="0">
      <selection activeCell="D7" sqref="D7:I7"/>
    </sheetView>
  </sheetViews>
  <sheetFormatPr baseColWidth="10" defaultRowHeight="14.25" x14ac:dyDescent="0.2"/>
  <cols>
    <col min="1" max="1" width="9.42578125" style="20" customWidth="1"/>
    <col min="2" max="2" width="12.7109375" style="20" customWidth="1"/>
    <col min="3" max="3" width="11.42578125" style="20"/>
    <col min="4" max="4" width="10.5703125" style="20" customWidth="1"/>
    <col min="5" max="5" width="11.140625" style="20" customWidth="1"/>
    <col min="6" max="6" width="11.42578125" style="20" customWidth="1"/>
    <col min="7" max="7" width="10.140625" style="20" customWidth="1"/>
    <col min="8" max="8" width="11.5703125" style="20" customWidth="1"/>
    <col min="9" max="11" width="11.42578125" style="20"/>
    <col min="12" max="13" width="11.140625" style="20" customWidth="1"/>
    <col min="14" max="14" width="11.42578125" style="20" customWidth="1"/>
    <col min="15" max="15" width="11.5703125" style="20" customWidth="1"/>
    <col min="16" max="16" width="10.85546875" style="20" customWidth="1"/>
    <col min="17" max="16384" width="11.42578125" style="20"/>
  </cols>
  <sheetData>
    <row r="1" spans="1:16" s="12" customFormat="1" ht="13.5" customHeight="1" x14ac:dyDescent="0.2">
      <c r="A1" s="1178" t="s">
        <v>18</v>
      </c>
      <c r="B1" s="1178"/>
      <c r="C1" s="1178"/>
      <c r="D1" s="1179" t="str">
        <f>IF('päd.Personal - Leitung'!D1="","",'päd.Personal - Leitung'!D1)</f>
        <v/>
      </c>
      <c r="E1" s="1179"/>
      <c r="F1" s="1179"/>
      <c r="G1" s="1179"/>
      <c r="H1" s="1179"/>
      <c r="I1" s="1179"/>
      <c r="J1" s="1179"/>
      <c r="K1" s="1179"/>
      <c r="L1" s="1179"/>
      <c r="M1" s="1179"/>
      <c r="N1" s="1179"/>
    </row>
    <row r="2" spans="1:16" s="12" customFormat="1" ht="15" customHeight="1" x14ac:dyDescent="0.2">
      <c r="A2" s="1178" t="s">
        <v>17</v>
      </c>
      <c r="B2" s="1178"/>
      <c r="C2" s="1178" t="s">
        <v>15</v>
      </c>
      <c r="D2" s="1179" t="str">
        <f>IF('päd.Personal - Leitung'!D2="","",'päd.Personal - Leitung'!D2)</f>
        <v/>
      </c>
      <c r="E2" s="1179"/>
      <c r="F2" s="1179"/>
      <c r="G2" s="1179"/>
      <c r="H2" s="1179"/>
      <c r="I2" s="1179"/>
      <c r="J2" s="1179"/>
      <c r="K2" s="1179"/>
      <c r="L2" s="1179"/>
      <c r="M2" s="1179"/>
      <c r="N2" s="1179"/>
    </row>
    <row r="3" spans="1:16" s="12" customFormat="1" ht="15" customHeight="1" x14ac:dyDescent="0.2">
      <c r="A3" s="1178" t="s">
        <v>16</v>
      </c>
      <c r="B3" s="1178"/>
      <c r="C3" s="1178" t="s">
        <v>15</v>
      </c>
      <c r="D3" s="1179" t="str">
        <f>IF('päd.Personal - Leitung'!D3="","",'päd.Personal - Leitung'!D3)</f>
        <v/>
      </c>
      <c r="E3" s="1179"/>
      <c r="F3" s="1179"/>
      <c r="G3" s="1179"/>
      <c r="H3" s="1179"/>
      <c r="I3" s="1179"/>
      <c r="J3" s="1179"/>
      <c r="K3" s="1178" t="s">
        <v>103</v>
      </c>
      <c r="L3" s="1178"/>
      <c r="M3" s="1178"/>
      <c r="N3" s="41" t="str">
        <f>IF('päd.Personal - Leitung'!N3="","",'päd.Personal - Leitung'!N3)</f>
        <v/>
      </c>
    </row>
    <row r="4" spans="1:16" s="13" customFormat="1" ht="11.25" x14ac:dyDescent="0.2">
      <c r="A4" s="1182"/>
      <c r="B4" s="1182"/>
      <c r="C4" s="1182"/>
      <c r="D4" s="1183"/>
      <c r="E4" s="1183"/>
      <c r="F4" s="1183"/>
      <c r="G4" s="1183"/>
      <c r="H4" s="1183"/>
      <c r="I4" s="1183"/>
      <c r="J4" s="1183"/>
      <c r="K4" s="11"/>
      <c r="L4" s="11"/>
      <c r="M4" s="11"/>
      <c r="N4" s="11"/>
      <c r="O4" s="11"/>
      <c r="P4" s="11"/>
    </row>
    <row r="5" spans="1:16" s="15" customFormat="1" ht="13.5" customHeight="1" x14ac:dyDescent="0.2">
      <c r="A5" s="1177" t="s">
        <v>239</v>
      </c>
      <c r="B5" s="1177"/>
      <c r="C5" s="1177"/>
      <c r="D5" s="1177"/>
      <c r="E5" s="1177"/>
      <c r="F5" s="1177"/>
      <c r="G5" s="1177"/>
      <c r="H5" s="1177"/>
      <c r="I5" s="1177"/>
      <c r="J5" s="1177"/>
      <c r="K5" s="1177"/>
      <c r="L5" s="9"/>
      <c r="M5" s="9"/>
      <c r="N5" s="59" t="s">
        <v>154</v>
      </c>
      <c r="O5" s="191">
        <f>'päd.Personal - Leitung'!$O$5</f>
        <v>2022</v>
      </c>
      <c r="P5" s="59" t="s">
        <v>154</v>
      </c>
    </row>
    <row r="6" spans="1:16" s="10" customFormat="1" ht="13.5" customHeight="1" x14ac:dyDescent="0.25">
      <c r="B6" s="32"/>
      <c r="C6" s="32"/>
      <c r="D6" s="5" t="s">
        <v>205</v>
      </c>
      <c r="E6" s="31"/>
      <c r="F6" s="31"/>
      <c r="G6" s="31"/>
      <c r="H6" s="31"/>
      <c r="I6" s="26"/>
      <c r="J6" s="1197"/>
      <c r="K6" s="1197"/>
      <c r="L6" s="111"/>
      <c r="N6" s="84">
        <f>IF(L8="","",L8)</f>
        <v>0</v>
      </c>
      <c r="O6" s="58" t="str">
        <f>'päd.Personal - Leitung'!$O$6</f>
        <v>Jan                Jul</v>
      </c>
      <c r="P6" s="85">
        <f>IF(N11="","",N11)</f>
        <v>0</v>
      </c>
    </row>
    <row r="7" spans="1:16" s="7" customFormat="1" ht="13.5" customHeight="1" x14ac:dyDescent="0.25">
      <c r="A7" s="1180" t="s">
        <v>71</v>
      </c>
      <c r="B7" s="1180"/>
      <c r="C7" s="1180"/>
      <c r="D7" s="1184"/>
      <c r="E7" s="1184"/>
      <c r="F7" s="1184"/>
      <c r="G7" s="1184"/>
      <c r="H7" s="1184"/>
      <c r="I7" s="1184"/>
      <c r="J7" s="1174" t="s">
        <v>104</v>
      </c>
      <c r="K7" s="1174"/>
      <c r="L7" s="145"/>
      <c r="N7" s="85">
        <f>IF(N6="","",N6)</f>
        <v>0</v>
      </c>
      <c r="O7" s="58" t="str">
        <f>'päd.Personal - Leitung'!$O$7</f>
        <v>Feb              Aug</v>
      </c>
      <c r="P7" s="85">
        <f>IF(P6="","",P6)</f>
        <v>0</v>
      </c>
    </row>
    <row r="8" spans="1:16" s="1" customFormat="1" ht="13.5" customHeight="1" x14ac:dyDescent="0.2">
      <c r="A8" s="1180" t="s">
        <v>13</v>
      </c>
      <c r="B8" s="1180"/>
      <c r="C8" s="1180"/>
      <c r="D8" s="1181"/>
      <c r="E8" s="1181"/>
      <c r="F8" s="1181"/>
      <c r="G8" s="1181"/>
      <c r="H8" s="1181"/>
      <c r="I8" s="1181"/>
      <c r="J8" s="1174" t="s">
        <v>222</v>
      </c>
      <c r="K8" s="1174"/>
      <c r="L8" s="145">
        <f>IF(L9&gt;L7,0,L7-L9)</f>
        <v>0</v>
      </c>
      <c r="N8" s="85">
        <f>IF(N7="","",N7)</f>
        <v>0</v>
      </c>
      <c r="O8" s="58" t="str">
        <f>'päd.Personal - Leitung'!$O$8</f>
        <v>Mrz              Sep</v>
      </c>
      <c r="P8" s="85">
        <f>IF(P7="","",P7)</f>
        <v>0</v>
      </c>
    </row>
    <row r="9" spans="1:16" s="1" customFormat="1" ht="13.5" customHeight="1" x14ac:dyDescent="0.2">
      <c r="A9" s="1180" t="s">
        <v>80</v>
      </c>
      <c r="B9" s="1180"/>
      <c r="C9" s="1180"/>
      <c r="D9" s="1181"/>
      <c r="E9" s="1181"/>
      <c r="F9" s="1181"/>
      <c r="G9" s="1181"/>
      <c r="H9" s="1181"/>
      <c r="I9" s="1181"/>
      <c r="J9" s="1174" t="s">
        <v>223</v>
      </c>
      <c r="K9" s="1174"/>
      <c r="L9" s="145"/>
      <c r="N9" s="85">
        <f>IF(N8="","",N8)</f>
        <v>0</v>
      </c>
      <c r="O9" s="58" t="str">
        <f>'päd.Personal - Leitung'!$O$9</f>
        <v>Apr               Okt</v>
      </c>
      <c r="P9" s="85">
        <f t="shared" ref="P9:P11" si="0">IF(P8="","",P8)</f>
        <v>0</v>
      </c>
    </row>
    <row r="10" spans="1:16" s="1" customFormat="1" ht="13.5" customHeight="1" x14ac:dyDescent="0.2">
      <c r="A10" s="1180" t="s">
        <v>19</v>
      </c>
      <c r="B10" s="1180"/>
      <c r="C10" s="1180"/>
      <c r="D10" s="1181"/>
      <c r="E10" s="1181"/>
      <c r="F10" s="1181"/>
      <c r="G10" s="1181"/>
      <c r="H10" s="1181"/>
      <c r="I10" s="1181"/>
      <c r="J10" s="1174" t="s">
        <v>97</v>
      </c>
      <c r="K10" s="1174"/>
      <c r="L10" s="17" t="str">
        <f>IF(IF((COUNTIF(B26:B37,"&gt;0"))=0,0,(COUNTIF(B26:B37,"&gt;0")))&gt;Grundlagen!$C$24,Grundlagen!$C$24,IF((COUNTIF(B26:B37,"&gt;0"))=0,"",(COUNTIF(B26:B37,"&gt;0"))))</f>
        <v/>
      </c>
      <c r="M10" s="92"/>
      <c r="N10" s="85">
        <f>IF(N9="","",N9)</f>
        <v>0</v>
      </c>
      <c r="O10" s="58" t="str">
        <f>'päd.Personal - Leitung'!$O$10</f>
        <v>Mai               Nov</v>
      </c>
      <c r="P10" s="85">
        <f t="shared" si="0"/>
        <v>0</v>
      </c>
    </row>
    <row r="11" spans="1:16" s="1" customFormat="1" ht="13.5" customHeight="1" x14ac:dyDescent="0.2">
      <c r="B11" s="8"/>
      <c r="C11" s="141" t="s">
        <v>162</v>
      </c>
      <c r="D11" s="1175"/>
      <c r="E11" s="1175"/>
      <c r="F11" s="1176" t="s">
        <v>106</v>
      </c>
      <c r="G11" s="1176"/>
      <c r="H11" s="1186"/>
      <c r="I11" s="1186"/>
      <c r="L11" s="147" t="str">
        <f>IF((SUM(E14:F17))=0,"",IF(P12&gt;L8,L8,IF(L8="","",IF(L10="","",P12))))</f>
        <v/>
      </c>
      <c r="N11" s="85">
        <f>IF(N10="","",N10)</f>
        <v>0</v>
      </c>
      <c r="O11" s="58" t="str">
        <f>'päd.Personal - Leitung'!$O$11</f>
        <v>Jun               Dez</v>
      </c>
      <c r="P11" s="85">
        <f t="shared" si="0"/>
        <v>0</v>
      </c>
    </row>
    <row r="12" spans="1:16" s="1" customFormat="1" ht="13.5" customHeight="1" x14ac:dyDescent="0.2">
      <c r="O12" s="174" t="s">
        <v>251</v>
      </c>
      <c r="P12" s="175">
        <f>IF(L10="",0,((IF(SUMIF(B26,"&gt;0"),N6,0))+(IF(SUMIF(B27,"&gt;0"),N7,0))+(IF(SUMIF(B28,"&gt;0"),N8,0))+(IF(SUMIF(B29,"&gt;0"),N9,0))+(IF(SUMIF(B30,"&gt;0"),N10,0))+(IF(SUMIF(B31,"&gt;0"),N11,0))+(IF(SUMIF(B32,"&gt;0"),P6,0))+(IF(SUMIF(B33,"&gt;0"),P7,0))+(IF(SUMIF(B34,"&gt;0"),P8,0))+(IF(SUMIF(B35,"&gt;0"),P9,0))+(IF(SUMIF(B36,"&gt;0"),P10,0))+(IF(SUMIF(B37,"&gt;0"),P11,0)))/Grundlagen!$C$24)</f>
        <v>0</v>
      </c>
    </row>
    <row r="13" spans="1:16" s="156" customFormat="1" ht="14.25" customHeight="1" x14ac:dyDescent="0.25">
      <c r="A13" s="150" t="s">
        <v>197</v>
      </c>
      <c r="B13" s="63"/>
      <c r="C13" s="151"/>
      <c r="D13" s="63"/>
      <c r="E13" s="1229" t="s">
        <v>198</v>
      </c>
      <c r="F13" s="1229"/>
      <c r="G13" s="65" t="s">
        <v>152</v>
      </c>
      <c r="H13" s="117"/>
      <c r="I13" s="152"/>
      <c r="J13" s="152"/>
      <c r="K13" s="153"/>
      <c r="L13" s="154"/>
      <c r="M13" s="153"/>
      <c r="N13" s="155"/>
      <c r="O13" s="116"/>
    </row>
    <row r="14" spans="1:16" s="156" customFormat="1" ht="14.25" customHeight="1" x14ac:dyDescent="0.25">
      <c r="A14" s="54" t="str">
        <f>A26</f>
        <v>Jan 2022</v>
      </c>
      <c r="B14" s="1233"/>
      <c r="C14" s="1234"/>
      <c r="D14" s="1235"/>
      <c r="E14" s="1222"/>
      <c r="F14" s="1223"/>
      <c r="G14" s="157">
        <f>IF(L8=0,0,E14/L7/4.348)</f>
        <v>0</v>
      </c>
      <c r="H14" s="118"/>
    </row>
    <row r="15" spans="1:16" s="156" customFormat="1" ht="14.25" customHeight="1" x14ac:dyDescent="0.25">
      <c r="A15" s="55"/>
      <c r="B15" s="1233"/>
      <c r="C15" s="1234"/>
      <c r="D15" s="1235"/>
      <c r="E15" s="1222"/>
      <c r="F15" s="1223"/>
      <c r="G15" s="157">
        <f>IF(L8=0,0,E15/L7/4.348)</f>
        <v>0</v>
      </c>
      <c r="H15" s="65"/>
    </row>
    <row r="16" spans="1:16" s="156" customFormat="1" ht="14.25" customHeight="1" x14ac:dyDescent="0.25">
      <c r="A16" s="55"/>
      <c r="B16" s="1233"/>
      <c r="C16" s="1234"/>
      <c r="D16" s="1235"/>
      <c r="E16" s="1222"/>
      <c r="F16" s="1223"/>
      <c r="G16" s="157">
        <f>IF(L8=0,0,E16/L7/4.348)</f>
        <v>0</v>
      </c>
      <c r="H16" s="116"/>
    </row>
    <row r="17" spans="1:16" s="116" customFormat="1" ht="14.25" customHeight="1" x14ac:dyDescent="0.25">
      <c r="A17" s="55"/>
      <c r="B17" s="1233"/>
      <c r="C17" s="1234"/>
      <c r="D17" s="1235"/>
      <c r="E17" s="1222"/>
      <c r="F17" s="1223"/>
      <c r="G17" s="157">
        <f>IF(L8=0,0,E17/L7/4.348)</f>
        <v>0</v>
      </c>
      <c r="H17" s="117"/>
    </row>
    <row r="18" spans="1:16" s="116" customFormat="1" ht="14.25" customHeight="1" x14ac:dyDescent="0.25">
      <c r="A18" s="52"/>
      <c r="B18" s="1167" t="s">
        <v>157</v>
      </c>
      <c r="C18" s="1167"/>
      <c r="D18" s="52"/>
      <c r="E18" s="1167" t="s">
        <v>156</v>
      </c>
      <c r="F18" s="1167"/>
      <c r="G18" s="119"/>
      <c r="H18" s="117"/>
    </row>
    <row r="19" spans="1:16" s="156" customFormat="1" ht="14.25" customHeight="1" x14ac:dyDescent="0.25">
      <c r="A19" s="70" t="s">
        <v>167</v>
      </c>
      <c r="B19" s="67"/>
      <c r="C19" s="99"/>
      <c r="D19" s="70" t="s">
        <v>167</v>
      </c>
      <c r="E19" s="67"/>
      <c r="F19" s="99"/>
      <c r="H19" s="117"/>
      <c r="K19" s="152"/>
      <c r="L19" s="152"/>
      <c r="M19" s="152"/>
      <c r="N19" s="159"/>
      <c r="O19" s="152"/>
    </row>
    <row r="20" spans="1:16" s="52" customFormat="1" ht="13.5" customHeight="1" x14ac:dyDescent="0.2">
      <c r="A20" s="60" t="s">
        <v>155</v>
      </c>
    </row>
    <row r="21" spans="1:16" ht="14.25" customHeight="1" x14ac:dyDescent="0.2">
      <c r="A21" s="1147"/>
      <c r="B21" s="1149" t="s">
        <v>9</v>
      </c>
      <c r="C21" s="1150"/>
      <c r="D21" s="1150"/>
      <c r="E21" s="1150"/>
      <c r="F21" s="1150"/>
      <c r="G21" s="1151"/>
      <c r="H21" s="1152" t="s">
        <v>8</v>
      </c>
      <c r="I21" s="1153"/>
      <c r="J21" s="1153"/>
      <c r="K21" s="1153"/>
      <c r="L21" s="1153"/>
      <c r="M21" s="1153"/>
      <c r="N21" s="146"/>
      <c r="O21" s="33"/>
      <c r="P21" s="1154" t="s">
        <v>0</v>
      </c>
    </row>
    <row r="22" spans="1:16" ht="14.25" customHeight="1" x14ac:dyDescent="0.2">
      <c r="A22" s="1148"/>
      <c r="B22" s="1157" t="s">
        <v>117</v>
      </c>
      <c r="C22" s="144" t="s">
        <v>115</v>
      </c>
      <c r="D22" s="1159" t="s">
        <v>277</v>
      </c>
      <c r="E22" s="1161" t="s">
        <v>147</v>
      </c>
      <c r="F22" s="149" t="s">
        <v>7</v>
      </c>
      <c r="G22" s="1162" t="s">
        <v>6</v>
      </c>
      <c r="H22" s="1161" t="s">
        <v>129</v>
      </c>
      <c r="I22" s="1161" t="s">
        <v>5</v>
      </c>
      <c r="J22" s="1161" t="s">
        <v>206</v>
      </c>
      <c r="K22" s="1161" t="s">
        <v>121</v>
      </c>
      <c r="L22" s="1161" t="s">
        <v>122</v>
      </c>
      <c r="M22" s="1161" t="s">
        <v>123</v>
      </c>
      <c r="N22" s="149" t="s">
        <v>7</v>
      </c>
      <c r="O22" s="1160" t="s">
        <v>114</v>
      </c>
      <c r="P22" s="1155"/>
    </row>
    <row r="23" spans="1:16" ht="14.25" customHeight="1" x14ac:dyDescent="0.2">
      <c r="A23" s="1148"/>
      <c r="B23" s="1157"/>
      <c r="C23" s="21" t="str">
        <f>IF(C19="","",C19)</f>
        <v/>
      </c>
      <c r="D23" s="1160"/>
      <c r="E23" s="1161"/>
      <c r="F23" s="1236" t="str">
        <f>IF(H14=0,"","siehe Zuschläge / Zulagen")</f>
        <v/>
      </c>
      <c r="G23" s="1162"/>
      <c r="H23" s="1164" t="s">
        <v>127</v>
      </c>
      <c r="I23" s="1164"/>
      <c r="J23" s="1164"/>
      <c r="K23" s="1164"/>
      <c r="L23" s="1164"/>
      <c r="M23" s="1164"/>
      <c r="N23" s="1236" t="str">
        <f>IF(P14=0,"","siehe Zuschläge / Zulagen")</f>
        <v/>
      </c>
      <c r="O23" s="1160"/>
      <c r="P23" s="1155"/>
    </row>
    <row r="24" spans="1:16" ht="14.25" customHeight="1" x14ac:dyDescent="0.2">
      <c r="A24" s="1148"/>
      <c r="B24" s="1157"/>
      <c r="C24" s="142" t="s">
        <v>70</v>
      </c>
      <c r="D24" s="1160"/>
      <c r="E24" s="1161"/>
      <c r="F24" s="1236"/>
      <c r="G24" s="1162"/>
      <c r="H24" s="120" t="s">
        <v>261</v>
      </c>
      <c r="I24" s="143" t="s">
        <v>262</v>
      </c>
      <c r="J24" s="143" t="s">
        <v>263</v>
      </c>
      <c r="K24" s="143" t="s">
        <v>264</v>
      </c>
      <c r="L24" s="143" t="s">
        <v>265</v>
      </c>
      <c r="M24" s="143" t="s">
        <v>254</v>
      </c>
      <c r="N24" s="1236"/>
      <c r="O24" s="1160"/>
      <c r="P24" s="1155"/>
    </row>
    <row r="25" spans="1:16" x14ac:dyDescent="0.2">
      <c r="A25" s="1148"/>
      <c r="B25" s="1158"/>
      <c r="C25" s="21" t="str">
        <f>IF(F19="","",F19)</f>
        <v/>
      </c>
      <c r="D25" s="51"/>
      <c r="E25" s="51"/>
      <c r="F25" s="51"/>
      <c r="G25" s="1163"/>
      <c r="H25" s="21"/>
      <c r="I25" s="21"/>
      <c r="J25" s="21"/>
      <c r="K25" s="34"/>
      <c r="L25" s="34"/>
      <c r="M25" s="25"/>
      <c r="N25" s="51"/>
      <c r="O25" s="21">
        <f>'päd.Personal - Leitung'!$O$69</f>
        <v>0</v>
      </c>
      <c r="P25" s="1156"/>
    </row>
    <row r="26" spans="1:16" x14ac:dyDescent="0.2">
      <c r="A26" s="100" t="str">
        <f>'päd.Personal - Leitung'!$A$26</f>
        <v>Jan 2022</v>
      </c>
      <c r="B26" s="24">
        <f>ROUND(IF(N6=0,0,(LOOKUP(2,1/(A14:A17=A26),E14:E17))/L7*N6),2)</f>
        <v>0</v>
      </c>
      <c r="C26" s="23">
        <f>ROUND(IFERROR(((LOOKUP(2,1/(B19=A26),((SUM(B32:B34)+SUM(F32:F34))/3)*C19))),0)+IFERROR(((LOOKUP(2,1/(E19=A26),(B38+F38)*F19))),0),2)</f>
        <v>0</v>
      </c>
      <c r="D26" s="23">
        <f>IF(B26=0,0,D25/L7*N6)</f>
        <v>0</v>
      </c>
      <c r="E26" s="23">
        <f>IF(B26=0,0,E25/N3*N6)</f>
        <v>0</v>
      </c>
      <c r="F26" s="23">
        <f>IF(B26=0,0,F25/L7*N6)</f>
        <v>0</v>
      </c>
      <c r="G26" s="27">
        <f>SUM(B26+C26+E26+F26)</f>
        <v>0</v>
      </c>
      <c r="H26" s="76">
        <f>ROUND(SUM(B26:F26)*H25,2)</f>
        <v>0</v>
      </c>
      <c r="I26" s="76">
        <f>ROUND(SUM(B26:F26)*I25,2)</f>
        <v>0</v>
      </c>
      <c r="J26" s="76">
        <f>ROUND(SUM(B26:F26)*J25,2)</f>
        <v>0</v>
      </c>
      <c r="K26" s="27">
        <f>ROUND((B26+SUM(D26:F26))*K25,2)</f>
        <v>0</v>
      </c>
      <c r="L26" s="27">
        <f>ROUND((B26+SUM(D26:F26))*L25,2)</f>
        <v>0</v>
      </c>
      <c r="M26" s="76">
        <f>ROUND(SUM(B26:F26)*M25,2)</f>
        <v>0</v>
      </c>
      <c r="N26" s="23"/>
      <c r="O26" s="23">
        <f>ROUND(SUM(B26+C26+F26)*O25,2)</f>
        <v>0</v>
      </c>
      <c r="P26" s="27">
        <f>SUM(G26:O26)</f>
        <v>0</v>
      </c>
    </row>
    <row r="27" spans="1:16" x14ac:dyDescent="0.2">
      <c r="A27" s="100" t="str">
        <f>'päd.Personal - Leitung'!$A$27</f>
        <v>Feb 2022</v>
      </c>
      <c r="B27" s="24">
        <f>ROUND(IF(N7=0,0,IFERROR(((LOOKUP(2,1/(A14:A17=A27),E14:E17))/L7*N7),B26/N7*N7)),2)</f>
        <v>0</v>
      </c>
      <c r="C27" s="23">
        <f>ROUND(IFERROR(((LOOKUP(2,1/(B19=A27),((SUM(B32:B34)+SUM(F32:F34))/3)*C19))),0)+IFERROR(((LOOKUP(2,1/(E19=A27),(B38+F38)*F19))),0),2)</f>
        <v>0</v>
      </c>
      <c r="D27" s="23">
        <f>IF(B27=0,0,D25/L7*N7)</f>
        <v>0</v>
      </c>
      <c r="E27" s="23">
        <f>IF(B27=0,0,E25/N3*N7)</f>
        <v>0</v>
      </c>
      <c r="F27" s="23">
        <f>IF(B27=0,0,F25/L7*N7)</f>
        <v>0</v>
      </c>
      <c r="G27" s="27">
        <f t="shared" ref="G27:G37" si="1">SUM(B27+C27+E27+F27)</f>
        <v>0</v>
      </c>
      <c r="H27" s="76">
        <f>ROUND(SUM(B27:F27)*H25,2)</f>
        <v>0</v>
      </c>
      <c r="I27" s="76">
        <f>ROUND(SUM(B27:F27)*I25,2)</f>
        <v>0</v>
      </c>
      <c r="J27" s="76">
        <f>ROUND(SUM(B27:F27)*J25,2)</f>
        <v>0</v>
      </c>
      <c r="K27" s="27">
        <f>ROUND((B27+SUM(D27:F27))*K25,2)</f>
        <v>0</v>
      </c>
      <c r="L27" s="27">
        <f>ROUND((B27+SUM(D27:F27))*L25,2)</f>
        <v>0</v>
      </c>
      <c r="M27" s="76">
        <f>ROUND(SUM(B27:F27)*M25,2)</f>
        <v>0</v>
      </c>
      <c r="N27" s="23"/>
      <c r="O27" s="23">
        <f>ROUND(SUM(B27+C27+F27)*O25,2)</f>
        <v>0</v>
      </c>
      <c r="P27" s="27">
        <f>SUM(G27:O27)</f>
        <v>0</v>
      </c>
    </row>
    <row r="28" spans="1:16" x14ac:dyDescent="0.2">
      <c r="A28" s="100" t="str">
        <f>'päd.Personal - Leitung'!$A$28</f>
        <v>Mrz 2022</v>
      </c>
      <c r="B28" s="24">
        <f>ROUND(IF(N8=0,0,IFERROR(((LOOKUP(2,1/(A14:A17=A28),E14:E17))/L7*N8),B27/N8*N8)),2)</f>
        <v>0</v>
      </c>
      <c r="C28" s="23">
        <f>ROUND(IFERROR(((LOOKUP(2,1/(B19=A28),((SUM(B32:B34)+SUM(F32:F34))/3)*C19))),0)+IFERROR(((LOOKUP(2,1/(E19=A28),(B38+F38)*F19))),0),2)</f>
        <v>0</v>
      </c>
      <c r="D28" s="23">
        <f>IF(B28=0,0,D25/L7*N8)</f>
        <v>0</v>
      </c>
      <c r="E28" s="23">
        <f>IF(B28=0,0,E25/N3*N8)</f>
        <v>0</v>
      </c>
      <c r="F28" s="23">
        <f>IF(B28=0,0,F25/L7*N8)</f>
        <v>0</v>
      </c>
      <c r="G28" s="27">
        <f t="shared" si="1"/>
        <v>0</v>
      </c>
      <c r="H28" s="76">
        <f>ROUND(SUM(B28:F28)*H25,2)</f>
        <v>0</v>
      </c>
      <c r="I28" s="76">
        <f>ROUND(SUM(B28:F28)*I25,2)</f>
        <v>0</v>
      </c>
      <c r="J28" s="76">
        <f>ROUND(SUM(B28:F28)*J25,2)</f>
        <v>0</v>
      </c>
      <c r="K28" s="27">
        <f>ROUND((B28+SUM(D28:F28))*K25,2)</f>
        <v>0</v>
      </c>
      <c r="L28" s="27">
        <f>ROUND((B28+SUM(D28:F28))*L25,2)</f>
        <v>0</v>
      </c>
      <c r="M28" s="76">
        <f>ROUND(SUM(B28:F28)*M25,2)</f>
        <v>0</v>
      </c>
      <c r="N28" s="23"/>
      <c r="O28" s="23">
        <f>ROUND(SUM(B28+C28+F28)*O25,2)</f>
        <v>0</v>
      </c>
      <c r="P28" s="27">
        <f t="shared" ref="P28" si="2">SUM(G28:O28)</f>
        <v>0</v>
      </c>
    </row>
    <row r="29" spans="1:16" x14ac:dyDescent="0.2">
      <c r="A29" s="100" t="str">
        <f>'päd.Personal - Leitung'!$A$29</f>
        <v>Apr 2022</v>
      </c>
      <c r="B29" s="24">
        <f>ROUND(IF(N9=0,0,IFERROR(((LOOKUP(2,1/(A14:A17=A29),E14:E17))/L7*N9),B28/N9*N9)),2)</f>
        <v>0</v>
      </c>
      <c r="C29" s="23">
        <f>ROUND(IFERROR(((LOOKUP(2,1/(B19=A29),((SUM(B32:B34)+SUM(F32:F34))/3)*C19))),0)+IFERROR(((LOOKUP(2,1/(E19=A29),(B38+F38)*F19))),0),2)</f>
        <v>0</v>
      </c>
      <c r="D29" s="23">
        <f>IF(B29=0,0,D25/L7*N9)</f>
        <v>0</v>
      </c>
      <c r="E29" s="23">
        <f>IF(B29=0,0,E25/N3*N9)</f>
        <v>0</v>
      </c>
      <c r="F29" s="23">
        <f>IF(B29=0,0,F25/L7*N9)</f>
        <v>0</v>
      </c>
      <c r="G29" s="27">
        <f t="shared" si="1"/>
        <v>0</v>
      </c>
      <c r="H29" s="76">
        <f>ROUND(SUM(B29:F29)*H25,2)</f>
        <v>0</v>
      </c>
      <c r="I29" s="76">
        <f>ROUND(SUM(B29:F29)*I25,2)</f>
        <v>0</v>
      </c>
      <c r="J29" s="76">
        <f>ROUND(SUM(B29:F29)*J25,2)</f>
        <v>0</v>
      </c>
      <c r="K29" s="27">
        <f>ROUND((B29+SUM(D29:F29))*K25,2)</f>
        <v>0</v>
      </c>
      <c r="L29" s="27">
        <f>ROUND((B29+SUM(D29:F29))*L25,2)</f>
        <v>0</v>
      </c>
      <c r="M29" s="76">
        <f>ROUND(SUM(B29:F29)*M25,2)</f>
        <v>0</v>
      </c>
      <c r="N29" s="23"/>
      <c r="O29" s="23">
        <f>ROUND(SUM(B29+C29+F29)*O25,2)</f>
        <v>0</v>
      </c>
      <c r="P29" s="27">
        <f>SUM(G29:O29)</f>
        <v>0</v>
      </c>
    </row>
    <row r="30" spans="1:16" x14ac:dyDescent="0.2">
      <c r="A30" s="100" t="str">
        <f>'päd.Personal - Leitung'!$A$30</f>
        <v>Mai 2022</v>
      </c>
      <c r="B30" s="24">
        <f>ROUND(IF(N10=0,0,IFERROR(((LOOKUP(2,1/(A14:A17=A30),E14:E17))/L7*N10),B29/N10*N10)),2)</f>
        <v>0</v>
      </c>
      <c r="C30" s="23">
        <f>ROUND(IFERROR(((LOOKUP(2,1/(B19=A30),((SUM(B32:B34)+SUM(F32:F34))/3)*C19))),0)+IFERROR(((LOOKUP(2,1/(E19=A30),(B38+F38)*F19))),0),2)</f>
        <v>0</v>
      </c>
      <c r="D30" s="23">
        <f>IF(B30=0,0,D25/L7*N10)</f>
        <v>0</v>
      </c>
      <c r="E30" s="23">
        <f>IF(B30=0,0,E25/N3*N10)</f>
        <v>0</v>
      </c>
      <c r="F30" s="23">
        <f>IF(B30=0,0,F25/L7*N10)</f>
        <v>0</v>
      </c>
      <c r="G30" s="27">
        <f t="shared" si="1"/>
        <v>0</v>
      </c>
      <c r="H30" s="76">
        <f>ROUND(SUM(B30:F30)*H25,2)</f>
        <v>0</v>
      </c>
      <c r="I30" s="76">
        <f>ROUND(SUM(B30:F30)*I25,2)</f>
        <v>0</v>
      </c>
      <c r="J30" s="76">
        <f>ROUND(SUM(B30:F30)*J25,2)</f>
        <v>0</v>
      </c>
      <c r="K30" s="27">
        <f>ROUND((B30+SUM(D30:F30))*K25,2)</f>
        <v>0</v>
      </c>
      <c r="L30" s="27">
        <f>ROUND((B30+SUM(D30:F30))*L25,2)</f>
        <v>0</v>
      </c>
      <c r="M30" s="76">
        <f>ROUND(SUM(B30:F30)*M25,2)</f>
        <v>0</v>
      </c>
      <c r="N30" s="23"/>
      <c r="O30" s="23">
        <f>ROUND(SUM(B30+C30+F30)*O25,2)</f>
        <v>0</v>
      </c>
      <c r="P30" s="27">
        <f t="shared" ref="P30" si="3">SUM(G30:O30)</f>
        <v>0</v>
      </c>
    </row>
    <row r="31" spans="1:16" x14ac:dyDescent="0.2">
      <c r="A31" s="100" t="str">
        <f>'päd.Personal - Leitung'!$A$31</f>
        <v>Jun 2022</v>
      </c>
      <c r="B31" s="24">
        <f>ROUND(IF(N11=0,0,IFERROR(((LOOKUP(2,1/(A14:A17=A31),E14:E17))/L7*N11),B30/N11*N11)),2)</f>
        <v>0</v>
      </c>
      <c r="C31" s="23">
        <f>ROUND(IFERROR(((LOOKUP(2,1/(B19=A31),((SUM(B32:B34)+SUM(F32:F34))/3)*C19))),0)+IFERROR(((LOOKUP(2,1/(E19=A31),(B38+F38)*F19))),0),2)</f>
        <v>0</v>
      </c>
      <c r="D31" s="23">
        <f>IF(B31=0,0,D25/L7*N11)</f>
        <v>0</v>
      </c>
      <c r="E31" s="23">
        <f>IF(B31=0,0,E25/N3*N11)</f>
        <v>0</v>
      </c>
      <c r="F31" s="23">
        <f>IF(B31=0,0,F25/L7*N11)</f>
        <v>0</v>
      </c>
      <c r="G31" s="27">
        <f t="shared" si="1"/>
        <v>0</v>
      </c>
      <c r="H31" s="76">
        <f>ROUND(SUM(B31:F31)*H25,2)</f>
        <v>0</v>
      </c>
      <c r="I31" s="76">
        <f>ROUND(SUM(B31:F31)*I25,2)</f>
        <v>0</v>
      </c>
      <c r="J31" s="76">
        <f>ROUND(SUM(B31:F31)*J25,2)</f>
        <v>0</v>
      </c>
      <c r="K31" s="27">
        <f>ROUND((B31+SUM(D31:F31))*K25,2)</f>
        <v>0</v>
      </c>
      <c r="L31" s="27">
        <f>ROUND((B31+SUM(D31:F31))*L25,2)</f>
        <v>0</v>
      </c>
      <c r="M31" s="76">
        <f>ROUND(SUM(B31:F31)*M25,2)</f>
        <v>0</v>
      </c>
      <c r="N31" s="23"/>
      <c r="O31" s="23">
        <f>ROUND(SUM(B31+C31+F31)*O25,2)</f>
        <v>0</v>
      </c>
      <c r="P31" s="27">
        <f t="shared" ref="P31:P37" si="4">SUM(G31:O31)</f>
        <v>0</v>
      </c>
    </row>
    <row r="32" spans="1:16" x14ac:dyDescent="0.2">
      <c r="A32" s="100" t="str">
        <f>'päd.Personal - Leitung'!$A$32</f>
        <v>Jul 2022</v>
      </c>
      <c r="B32" s="24">
        <f>ROUND(IF(P6=0,0,IFERROR(((LOOKUP(2,1/(A14:A17=A32),E14:E17))/L7*P6),B31/P6*P6)),2)</f>
        <v>0</v>
      </c>
      <c r="C32" s="23">
        <f>ROUND(IFERROR(((LOOKUP(2,1/(B19=A32),((SUM(B32:B34)+SUM(F32:F34))/3)*C19))),0)+IFERROR(((LOOKUP(2,1/(E19=A32),(B38+F38)*F19))),0),2)</f>
        <v>0</v>
      </c>
      <c r="D32" s="23">
        <f>IF(B32=0,0,D25/L7*P6)</f>
        <v>0</v>
      </c>
      <c r="E32" s="23">
        <f>IF(B32=0,0,E25/N3*P6)</f>
        <v>0</v>
      </c>
      <c r="F32" s="23">
        <f>IF(B32=0,0,F25/L7*P6)</f>
        <v>0</v>
      </c>
      <c r="G32" s="27">
        <f t="shared" si="1"/>
        <v>0</v>
      </c>
      <c r="H32" s="76">
        <f>ROUND(SUM(B32:F32)*H25,2)</f>
        <v>0</v>
      </c>
      <c r="I32" s="76">
        <f>ROUND(SUM(B32:F32)*I25,2)</f>
        <v>0</v>
      </c>
      <c r="J32" s="76">
        <f>ROUND(SUM(B32:F32)*J25,2)</f>
        <v>0</v>
      </c>
      <c r="K32" s="27">
        <f>ROUND((B32+SUM(D32:F32))*K25,2)</f>
        <v>0</v>
      </c>
      <c r="L32" s="27">
        <f>ROUND((B32+SUM(D32:F32))*L25,2)</f>
        <v>0</v>
      </c>
      <c r="M32" s="76">
        <f>ROUND(SUM(B32:F32)*M25,2)</f>
        <v>0</v>
      </c>
      <c r="N32" s="23"/>
      <c r="O32" s="23">
        <f>ROUND(SUM(B32+C32+F32)*O25,2)</f>
        <v>0</v>
      </c>
      <c r="P32" s="27">
        <f t="shared" si="4"/>
        <v>0</v>
      </c>
    </row>
    <row r="33" spans="1:16" x14ac:dyDescent="0.2">
      <c r="A33" s="100" t="str">
        <f>'päd.Personal - Leitung'!$A$33</f>
        <v>Aug 2022</v>
      </c>
      <c r="B33" s="24">
        <f>ROUND(IF(P7=0,0,IFERROR(((LOOKUP(2,1/(A14:A17=A33),E14:E17))/L7*P7),B32/P7*P7)),2)</f>
        <v>0</v>
      </c>
      <c r="C33" s="23">
        <f>ROUND(IFERROR(((LOOKUP(2,1/(B19=A33),((SUM(B32:B34)+SUM(F32:F34))/3)*C19))),0)+IFERROR(((LOOKUP(2,1/(E19=A33),(B38+F38)*F19))),0),2)</f>
        <v>0</v>
      </c>
      <c r="D33" s="23">
        <f>IF(B33=0,0,D25/L7*P7)</f>
        <v>0</v>
      </c>
      <c r="E33" s="23">
        <f>IF(B33=0,0,E25/N3*P7)</f>
        <v>0</v>
      </c>
      <c r="F33" s="23">
        <f>IF(B33=0,0,F25/L7*P7)</f>
        <v>0</v>
      </c>
      <c r="G33" s="27">
        <f t="shared" si="1"/>
        <v>0</v>
      </c>
      <c r="H33" s="76">
        <f>ROUND(SUM(B33:F33)*H25,2)</f>
        <v>0</v>
      </c>
      <c r="I33" s="76">
        <f>ROUND(SUM(B33:F33)*I25,2)</f>
        <v>0</v>
      </c>
      <c r="J33" s="76">
        <f>ROUND(SUM(B33:F33)*J25,2)</f>
        <v>0</v>
      </c>
      <c r="K33" s="27">
        <f>ROUND((B33+SUM(D33:F33))*K25,2)</f>
        <v>0</v>
      </c>
      <c r="L33" s="27">
        <f>ROUND((B33+SUM(D33:F33))*L25,2)</f>
        <v>0</v>
      </c>
      <c r="M33" s="76">
        <f>ROUND(SUM(B33:F33)*M25,2)</f>
        <v>0</v>
      </c>
      <c r="N33" s="23"/>
      <c r="O33" s="23">
        <f>ROUND(SUM(B33+C33+F33)*O25,2)</f>
        <v>0</v>
      </c>
      <c r="P33" s="27">
        <f t="shared" si="4"/>
        <v>0</v>
      </c>
    </row>
    <row r="34" spans="1:16" x14ac:dyDescent="0.2">
      <c r="A34" s="100" t="str">
        <f>'päd.Personal - Leitung'!$A$34</f>
        <v>Sep 2022</v>
      </c>
      <c r="B34" s="24">
        <f>ROUND(IF(P8=0,0,IFERROR(((LOOKUP(2,1/(A14:A17=A34),E14:E17))/L7*P8),B33/P8*P8)),2)</f>
        <v>0</v>
      </c>
      <c r="C34" s="23">
        <f>ROUND(IFERROR(((LOOKUP(2,1/(B19=A34),((SUM(B32:B34)+SUM(F32:F34))/3)*C19))),0)+IFERROR(((LOOKUP(2,1/(E19=A34),(B38+F38)*F19))),0),2)</f>
        <v>0</v>
      </c>
      <c r="D34" s="23">
        <f>IF(B34=0,0,D25/L7*P8)</f>
        <v>0</v>
      </c>
      <c r="E34" s="23">
        <f>IF(B34=0,0,E25/N3*P8)</f>
        <v>0</v>
      </c>
      <c r="F34" s="23">
        <f>IF(B34=0,0,F25/L7*P8)</f>
        <v>0</v>
      </c>
      <c r="G34" s="27">
        <f t="shared" si="1"/>
        <v>0</v>
      </c>
      <c r="H34" s="76">
        <f>ROUND(SUM(B34:F34)*H25,2)</f>
        <v>0</v>
      </c>
      <c r="I34" s="76">
        <f>ROUND(SUM(B34:F34)*I25,2)</f>
        <v>0</v>
      </c>
      <c r="J34" s="76">
        <f>ROUND(SUM(B34:F34)*J25,2)</f>
        <v>0</v>
      </c>
      <c r="K34" s="27">
        <f>ROUND((B34+SUM(D34:F34))*K25,2)</f>
        <v>0</v>
      </c>
      <c r="L34" s="27">
        <f>ROUND((B34+SUM(D34:F34))*L25,2)</f>
        <v>0</v>
      </c>
      <c r="M34" s="76">
        <f>ROUND(SUM(B34:F34)*M25,2)</f>
        <v>0</v>
      </c>
      <c r="N34" s="23"/>
      <c r="O34" s="23">
        <f>ROUND(SUM(B34+C34+F34)*O25,2)</f>
        <v>0</v>
      </c>
      <c r="P34" s="27">
        <f t="shared" si="4"/>
        <v>0</v>
      </c>
    </row>
    <row r="35" spans="1:16" x14ac:dyDescent="0.2">
      <c r="A35" s="100" t="str">
        <f>'päd.Personal - Leitung'!$A$35</f>
        <v>Okt 2022</v>
      </c>
      <c r="B35" s="24">
        <f>ROUND(IF(P9=0,0,IFERROR(((LOOKUP(2,1/(A14:A17=A35),E14:E17))/L7*P9),B34/P9*P9)),2)</f>
        <v>0</v>
      </c>
      <c r="C35" s="23">
        <f>ROUND(IFERROR(((LOOKUP(2,1/(B19=A35),((SUM(B32:B34)+SUM(F32:F34))/3)*C19))),0)+IFERROR(((LOOKUP(2,1/(E19=A35),(B38+F38)*F19))),0),2)</f>
        <v>0</v>
      </c>
      <c r="D35" s="23">
        <f>IF(B35=0,0,D25/L7*P9)</f>
        <v>0</v>
      </c>
      <c r="E35" s="23">
        <f>IF(B35=0,0,E25/N3*P9)</f>
        <v>0</v>
      </c>
      <c r="F35" s="23">
        <f>IF(B35=0,0,F25/L7*P9)</f>
        <v>0</v>
      </c>
      <c r="G35" s="27">
        <f t="shared" si="1"/>
        <v>0</v>
      </c>
      <c r="H35" s="76">
        <f>ROUND(SUM(B35:F35)*H25,2)</f>
        <v>0</v>
      </c>
      <c r="I35" s="76">
        <f>ROUND(SUM(B35:F35)*I25,2)</f>
        <v>0</v>
      </c>
      <c r="J35" s="76">
        <f>ROUND(SUM(B35:F35)*J25,2)</f>
        <v>0</v>
      </c>
      <c r="K35" s="27">
        <f>ROUND((B35+SUM(D35:F35))*K25,2)</f>
        <v>0</v>
      </c>
      <c r="L35" s="27">
        <f>ROUND((B35+SUM(D35:F35))*L25,2)</f>
        <v>0</v>
      </c>
      <c r="M35" s="76">
        <f>ROUND(SUM(B35:F35)*M25,2)</f>
        <v>0</v>
      </c>
      <c r="N35" s="23"/>
      <c r="O35" s="23">
        <f>ROUND(SUM(B35+C35+F35)*O25,2)</f>
        <v>0</v>
      </c>
      <c r="P35" s="27">
        <f t="shared" si="4"/>
        <v>0</v>
      </c>
    </row>
    <row r="36" spans="1:16" x14ac:dyDescent="0.2">
      <c r="A36" s="100" t="str">
        <f>'päd.Personal - Leitung'!$A$36</f>
        <v>Nov 2022</v>
      </c>
      <c r="B36" s="24">
        <f>ROUND(IF(P10=0,0,IFERROR(((LOOKUP(2,1/(A14:A17=A36),E14:E17))/L7*P10),B35/P10*P10)),2)</f>
        <v>0</v>
      </c>
      <c r="C36" s="23">
        <f>ROUND(IFERROR(((LOOKUP(2,1/(B19=A36),((SUM(B32:B34)+SUM(F32:F34))/3)*C19))),0)+IFERROR(((LOOKUP(2,1/(E19=A36),(B38+F38)*F19))),0),2)</f>
        <v>0</v>
      </c>
      <c r="D36" s="23">
        <f>IF(B36=0,0,D25/L7*P10)</f>
        <v>0</v>
      </c>
      <c r="E36" s="23">
        <f>IF(B36=0,0,E25/N3*P10)</f>
        <v>0</v>
      </c>
      <c r="F36" s="23">
        <f>IF(B36=0,0,F25/L7*P10)</f>
        <v>0</v>
      </c>
      <c r="G36" s="27">
        <f t="shared" si="1"/>
        <v>0</v>
      </c>
      <c r="H36" s="76">
        <f>ROUND(SUM(B36:F36)*H25,2)</f>
        <v>0</v>
      </c>
      <c r="I36" s="76">
        <f>ROUND(SUM(B36:F36)*I25,2)</f>
        <v>0</v>
      </c>
      <c r="J36" s="76">
        <f>ROUND(SUM(B36:F36)*J25,2)</f>
        <v>0</v>
      </c>
      <c r="K36" s="27">
        <f>ROUND((B36+SUM(D36:F36))*K25,2)</f>
        <v>0</v>
      </c>
      <c r="L36" s="27">
        <f>ROUND((B36+SUM(D36:F36))*L25,2)</f>
        <v>0</v>
      </c>
      <c r="M36" s="76">
        <f>ROUND(SUM(B36:F36)*M25,2)</f>
        <v>0</v>
      </c>
      <c r="N36" s="23"/>
      <c r="O36" s="23">
        <f>ROUND(SUM(B36+C36+F36)*O25,2)</f>
        <v>0</v>
      </c>
      <c r="P36" s="27">
        <f t="shared" si="4"/>
        <v>0</v>
      </c>
    </row>
    <row r="37" spans="1:16" x14ac:dyDescent="0.2">
      <c r="A37" s="100" t="str">
        <f>'päd.Personal - Leitung'!$A$37</f>
        <v>Dez 2022</v>
      </c>
      <c r="B37" s="24">
        <f>ROUND(IF(P11=0,0,IFERROR(((LOOKUP(2,1/(A14:A17=A37),E14:E17))/L7*P11),B36/P11*P11)),2)</f>
        <v>0</v>
      </c>
      <c r="C37" s="23">
        <f>ROUND(IFERROR(((LOOKUP(2,1/(B19=A37),((SUM(B32:B34)+SUM(F32:F34))/3)*C19))),0)+IFERROR(((LOOKUP(2,1/(E19=A37),(B38+F38)*F19))),0),2)</f>
        <v>0</v>
      </c>
      <c r="D37" s="23">
        <f>IF(B37=0,0,D25/L7*P11)</f>
        <v>0</v>
      </c>
      <c r="E37" s="23">
        <f>IF(B37=0,0,E25/N3*P11)</f>
        <v>0</v>
      </c>
      <c r="F37" s="23">
        <f>IF(B37=0,0,F25/L7*P11)</f>
        <v>0</v>
      </c>
      <c r="G37" s="27">
        <f t="shared" si="1"/>
        <v>0</v>
      </c>
      <c r="H37" s="76">
        <f>ROUND(SUM(B37:F37)*H25,2)</f>
        <v>0</v>
      </c>
      <c r="I37" s="76">
        <f>ROUND(SUM(B37:F37)*I25,2)</f>
        <v>0</v>
      </c>
      <c r="J37" s="76">
        <f>ROUND(SUM(B37:F37)*J25,2)</f>
        <v>0</v>
      </c>
      <c r="K37" s="27">
        <f>ROUND((B37+SUM(D37:F37))*K25,2)</f>
        <v>0</v>
      </c>
      <c r="L37" s="27">
        <f>ROUND((B37+SUM(D37:F37))*L25,2)</f>
        <v>0</v>
      </c>
      <c r="M37" s="76">
        <f>ROUND(SUM(B37:F37)*M25,2)</f>
        <v>0</v>
      </c>
      <c r="N37" s="23"/>
      <c r="O37" s="23">
        <f>ROUND(SUM(B37+C37+F37)*O25,2)</f>
        <v>0</v>
      </c>
      <c r="P37" s="27">
        <f t="shared" si="4"/>
        <v>0</v>
      </c>
    </row>
    <row r="38" spans="1:16" x14ac:dyDescent="0.2">
      <c r="A38" s="4" t="s">
        <v>2</v>
      </c>
      <c r="B38" s="27">
        <f t="shared" ref="B38:G38" si="5">SUM(B26:B37)</f>
        <v>0</v>
      </c>
      <c r="C38" s="27">
        <f t="shared" si="5"/>
        <v>0</v>
      </c>
      <c r="D38" s="27">
        <f t="shared" si="5"/>
        <v>0</v>
      </c>
      <c r="E38" s="27">
        <f t="shared" si="5"/>
        <v>0</v>
      </c>
      <c r="F38" s="27">
        <f t="shared" si="5"/>
        <v>0</v>
      </c>
      <c r="G38" s="27">
        <f t="shared" si="5"/>
        <v>0</v>
      </c>
      <c r="H38" s="1133">
        <f>SUM(H26:N37)</f>
        <v>0</v>
      </c>
      <c r="I38" s="1134"/>
      <c r="J38" s="1134"/>
      <c r="K38" s="1134"/>
      <c r="L38" s="1134"/>
      <c r="M38" s="1135"/>
      <c r="N38" s="27">
        <f>SUM(N26:N37)</f>
        <v>0</v>
      </c>
      <c r="O38" s="27">
        <f>SUM(O26:O37)</f>
        <v>0</v>
      </c>
      <c r="P38" s="27">
        <f>SUM(P26:P37)</f>
        <v>0</v>
      </c>
    </row>
    <row r="39" spans="1:16" s="13" customFormat="1" ht="11.25" x14ac:dyDescent="0.2">
      <c r="A39" s="3" t="s">
        <v>1</v>
      </c>
      <c r="B39" s="2"/>
      <c r="C39" s="2"/>
      <c r="D39" s="2"/>
      <c r="E39" s="2"/>
      <c r="F39" s="2"/>
      <c r="G39" s="2"/>
      <c r="H39" s="2"/>
      <c r="I39" s="2"/>
      <c r="J39" s="2"/>
      <c r="K39" s="2"/>
      <c r="L39" s="2"/>
      <c r="M39" s="2"/>
      <c r="N39" s="2"/>
      <c r="O39" s="2"/>
      <c r="P39" s="2"/>
    </row>
    <row r="40" spans="1:16" s="1" customFormat="1" ht="14.25" customHeight="1" x14ac:dyDescent="0.2">
      <c r="A40" s="1136" t="s">
        <v>133</v>
      </c>
      <c r="B40" s="1137"/>
      <c r="C40" s="1137"/>
      <c r="D40" s="1137" t="s">
        <v>134</v>
      </c>
      <c r="E40" s="1137"/>
      <c r="F40" s="46"/>
      <c r="G40" s="77" t="s">
        <v>135</v>
      </c>
      <c r="H40" s="71"/>
      <c r="I40" s="73"/>
      <c r="J40" s="78"/>
      <c r="K40" s="78"/>
      <c r="L40" s="78"/>
      <c r="M40" s="1138" t="s">
        <v>140</v>
      </c>
      <c r="N40" s="1138"/>
      <c r="O40" s="1139"/>
      <c r="P40" s="27">
        <f>ROUND(IF(F40="",IF(E44="",0,(E44*H44/K44)/L7*L8),G38*F40*H40/1000),2)</f>
        <v>0</v>
      </c>
    </row>
    <row r="41" spans="1:16" s="1" customFormat="1" ht="15" customHeight="1" x14ac:dyDescent="0.2">
      <c r="A41" s="1140" t="s">
        <v>145</v>
      </c>
      <c r="B41" s="1141"/>
      <c r="C41" s="1141"/>
      <c r="D41" s="18"/>
      <c r="E41" s="107" t="s">
        <v>135</v>
      </c>
      <c r="F41" s="49"/>
      <c r="G41" s="48"/>
      <c r="H41" s="47"/>
      <c r="I41" s="48"/>
      <c r="J41" s="79"/>
      <c r="K41" s="80"/>
      <c r="L41" s="81"/>
      <c r="M41" s="1138" t="s">
        <v>139</v>
      </c>
      <c r="N41" s="1138"/>
      <c r="O41" s="1139"/>
      <c r="P41" s="27">
        <f>ROUND(IF(F41="",0,G38*F41/1000),2)</f>
        <v>0</v>
      </c>
    </row>
    <row r="42" spans="1:16" s="1" customFormat="1" ht="15.75" customHeight="1" x14ac:dyDescent="0.2">
      <c r="A42" s="1142" t="s">
        <v>141</v>
      </c>
      <c r="B42" s="1143"/>
      <c r="C42" s="1143"/>
      <c r="D42" s="1144" t="s">
        <v>143</v>
      </c>
      <c r="E42" s="1144"/>
      <c r="F42" s="1145"/>
      <c r="G42" s="1145"/>
      <c r="H42" s="72"/>
      <c r="I42" s="18"/>
      <c r="J42" s="79"/>
      <c r="K42" s="80"/>
      <c r="L42" s="81"/>
      <c r="M42" s="1138" t="s">
        <v>141</v>
      </c>
      <c r="N42" s="1138"/>
      <c r="O42" s="1139"/>
      <c r="P42" s="23">
        <f>ROUND(IF(F42="",0,IF(G38=0,0,F42/L7*L8)),2)</f>
        <v>0</v>
      </c>
    </row>
    <row r="43" spans="1:16" s="1" customFormat="1" ht="14.25" customHeight="1" x14ac:dyDescent="0.2">
      <c r="A43" s="18"/>
      <c r="B43" s="18"/>
      <c r="C43" s="18"/>
      <c r="D43" s="18"/>
      <c r="E43" s="18"/>
      <c r="F43" s="18"/>
      <c r="G43" s="18"/>
      <c r="H43" s="18"/>
      <c r="I43" s="18"/>
      <c r="J43" s="18"/>
      <c r="K43" s="74"/>
      <c r="L43" s="82"/>
      <c r="M43" s="1127" t="s">
        <v>146</v>
      </c>
      <c r="N43" s="1127"/>
      <c r="O43" s="1128"/>
      <c r="P43" s="23">
        <f>ROUND(IF(G38=0,0,'techn.Personal - Hausmeister'!$P$43),2)</f>
        <v>0</v>
      </c>
    </row>
    <row r="44" spans="1:16" s="1" customFormat="1" ht="14.25" customHeight="1" x14ac:dyDescent="0.2">
      <c r="A44" s="1129" t="s">
        <v>142</v>
      </c>
      <c r="B44" s="1130"/>
      <c r="C44" s="148" t="s">
        <v>136</v>
      </c>
      <c r="D44" s="148" t="s">
        <v>137</v>
      </c>
      <c r="E44" s="1185"/>
      <c r="F44" s="1185"/>
      <c r="G44" s="83" t="s">
        <v>138</v>
      </c>
      <c r="H44" s="90"/>
      <c r="I44" s="1132" t="s">
        <v>144</v>
      </c>
      <c r="J44" s="1132"/>
      <c r="K44" s="91"/>
      <c r="L44" s="29"/>
      <c r="M44" s="29"/>
      <c r="N44" s="29"/>
      <c r="O44" s="28" t="s">
        <v>0</v>
      </c>
      <c r="P44" s="27">
        <f>P38+SUM(P40:P43)</f>
        <v>0</v>
      </c>
    </row>
    <row r="45" spans="1:16" s="12" customFormat="1" ht="13.5" customHeight="1" x14ac:dyDescent="0.2">
      <c r="A45" s="1178" t="s">
        <v>18</v>
      </c>
      <c r="B45" s="1178"/>
      <c r="C45" s="1178"/>
      <c r="D45" s="1179" t="str">
        <f>IF($D$1="","",$D$1)</f>
        <v/>
      </c>
      <c r="E45" s="1179"/>
      <c r="F45" s="1179"/>
      <c r="G45" s="1179"/>
      <c r="H45" s="1179"/>
      <c r="I45" s="1179"/>
      <c r="J45" s="1179"/>
      <c r="K45" s="1179"/>
      <c r="L45" s="1179"/>
      <c r="M45" s="1179"/>
      <c r="N45" s="1179"/>
    </row>
    <row r="46" spans="1:16" s="12" customFormat="1" ht="15" customHeight="1" x14ac:dyDescent="0.2">
      <c r="A46" s="1178" t="s">
        <v>17</v>
      </c>
      <c r="B46" s="1178"/>
      <c r="C46" s="1178" t="s">
        <v>15</v>
      </c>
      <c r="D46" s="1179" t="str">
        <f>IF($D$2="","",$D$2)</f>
        <v/>
      </c>
      <c r="E46" s="1179"/>
      <c r="F46" s="1179"/>
      <c r="G46" s="1179"/>
      <c r="H46" s="1179"/>
      <c r="I46" s="1179"/>
      <c r="J46" s="1179"/>
      <c r="K46" s="1179"/>
      <c r="L46" s="1179"/>
      <c r="M46" s="1179"/>
      <c r="N46" s="1179"/>
    </row>
    <row r="47" spans="1:16" s="12" customFormat="1" ht="15" customHeight="1" x14ac:dyDescent="0.2">
      <c r="A47" s="1178" t="s">
        <v>16</v>
      </c>
      <c r="B47" s="1178"/>
      <c r="C47" s="1178" t="s">
        <v>15</v>
      </c>
      <c r="D47" s="1179" t="str">
        <f>IF($D$3="","",$D$3)</f>
        <v/>
      </c>
      <c r="E47" s="1179"/>
      <c r="F47" s="1179"/>
      <c r="G47" s="1179"/>
      <c r="H47" s="1179"/>
      <c r="I47" s="1179"/>
      <c r="J47" s="1179"/>
      <c r="K47" s="1178" t="s">
        <v>103</v>
      </c>
      <c r="L47" s="1178"/>
      <c r="M47" s="1178"/>
      <c r="N47" s="41" t="str">
        <f>IF($N$3="","",$N$3)</f>
        <v/>
      </c>
    </row>
    <row r="48" spans="1:16" s="13" customFormat="1" ht="11.25" x14ac:dyDescent="0.2">
      <c r="A48" s="1182"/>
      <c r="B48" s="1182"/>
      <c r="C48" s="1182"/>
      <c r="D48" s="1183"/>
      <c r="E48" s="1183"/>
      <c r="F48" s="1183"/>
      <c r="G48" s="1183"/>
      <c r="H48" s="1183"/>
      <c r="I48" s="1183"/>
      <c r="J48" s="1183"/>
      <c r="K48" s="11"/>
      <c r="L48" s="11"/>
      <c r="M48" s="11"/>
      <c r="N48" s="11"/>
      <c r="O48" s="11"/>
      <c r="P48" s="11"/>
    </row>
    <row r="49" spans="1:16" s="15" customFormat="1" ht="13.5" customHeight="1" x14ac:dyDescent="0.2">
      <c r="A49" s="1177" t="s">
        <v>239</v>
      </c>
      <c r="B49" s="1177"/>
      <c r="C49" s="1177"/>
      <c r="D49" s="1177"/>
      <c r="E49" s="1177"/>
      <c r="F49" s="1177"/>
      <c r="G49" s="1177"/>
      <c r="H49" s="1177"/>
      <c r="I49" s="1177"/>
      <c r="J49" s="1177"/>
      <c r="K49" s="1177"/>
      <c r="L49" s="9"/>
      <c r="M49" s="9"/>
      <c r="N49" s="59" t="s">
        <v>154</v>
      </c>
      <c r="O49" s="191">
        <f>'päd.Personal - Leitung'!$O$5</f>
        <v>2022</v>
      </c>
      <c r="P49" s="59" t="s">
        <v>154</v>
      </c>
    </row>
    <row r="50" spans="1:16" s="10" customFormat="1" ht="13.5" customHeight="1" x14ac:dyDescent="0.25">
      <c r="B50" s="32"/>
      <c r="C50" s="32"/>
      <c r="D50" s="5" t="s">
        <v>207</v>
      </c>
      <c r="E50" s="31"/>
      <c r="F50" s="31"/>
      <c r="G50" s="31"/>
      <c r="H50" s="31"/>
      <c r="I50" s="26"/>
      <c r="J50" s="1197"/>
      <c r="K50" s="1197"/>
      <c r="L50" s="111"/>
      <c r="N50" s="84">
        <f>IF(L52="","",L52)</f>
        <v>0</v>
      </c>
      <c r="O50" s="58" t="str">
        <f>'päd.Personal - Leitung'!$O$6</f>
        <v>Jan                Jul</v>
      </c>
      <c r="P50" s="85">
        <f>IF(N55="","",N55)</f>
        <v>0</v>
      </c>
    </row>
    <row r="51" spans="1:16" s="7" customFormat="1" ht="13.5" customHeight="1" x14ac:dyDescent="0.25">
      <c r="A51" s="1180" t="s">
        <v>71</v>
      </c>
      <c r="B51" s="1180"/>
      <c r="C51" s="1180"/>
      <c r="D51" s="1184"/>
      <c r="E51" s="1184"/>
      <c r="F51" s="1184"/>
      <c r="G51" s="1184"/>
      <c r="H51" s="1184"/>
      <c r="I51" s="1184"/>
      <c r="J51" s="1174" t="s">
        <v>104</v>
      </c>
      <c r="K51" s="1174"/>
      <c r="L51" s="145"/>
      <c r="N51" s="85">
        <f>IF(N50="","",N50)</f>
        <v>0</v>
      </c>
      <c r="O51" s="58" t="str">
        <f>'päd.Personal - Leitung'!$O$7</f>
        <v>Feb              Aug</v>
      </c>
      <c r="P51" s="85">
        <f>IF(P50="","",P50)</f>
        <v>0</v>
      </c>
    </row>
    <row r="52" spans="1:16" s="1" customFormat="1" ht="13.5" customHeight="1" x14ac:dyDescent="0.2">
      <c r="A52" s="1180" t="s">
        <v>13</v>
      </c>
      <c r="B52" s="1180"/>
      <c r="C52" s="1180"/>
      <c r="D52" s="1181"/>
      <c r="E52" s="1181"/>
      <c r="F52" s="1181"/>
      <c r="G52" s="1181"/>
      <c r="H52" s="1181"/>
      <c r="I52" s="1181"/>
      <c r="J52" s="1174" t="s">
        <v>222</v>
      </c>
      <c r="K52" s="1174"/>
      <c r="L52" s="145">
        <f>IF(L53&gt;L51,0,L51-L53)</f>
        <v>0</v>
      </c>
      <c r="N52" s="85">
        <f>IF(N51="","",N51)</f>
        <v>0</v>
      </c>
      <c r="O52" s="58" t="str">
        <f>'päd.Personal - Leitung'!$O$8</f>
        <v>Mrz              Sep</v>
      </c>
      <c r="P52" s="85">
        <f>IF(P51="","",P51)</f>
        <v>0</v>
      </c>
    </row>
    <row r="53" spans="1:16" s="1" customFormat="1" ht="13.5" customHeight="1" x14ac:dyDescent="0.2">
      <c r="A53" s="1180" t="s">
        <v>80</v>
      </c>
      <c r="B53" s="1180"/>
      <c r="C53" s="1180"/>
      <c r="D53" s="1181"/>
      <c r="E53" s="1181"/>
      <c r="F53" s="1181"/>
      <c r="G53" s="1181"/>
      <c r="H53" s="1181"/>
      <c r="I53" s="1181"/>
      <c r="J53" s="1174" t="s">
        <v>223</v>
      </c>
      <c r="K53" s="1174"/>
      <c r="L53" s="145"/>
      <c r="N53" s="85">
        <f>IF(N52="","",N52)</f>
        <v>0</v>
      </c>
      <c r="O53" s="58" t="str">
        <f>'päd.Personal - Leitung'!$O$9</f>
        <v>Apr               Okt</v>
      </c>
      <c r="P53" s="85">
        <f t="shared" ref="P53:P55" si="6">IF(P52="","",P52)</f>
        <v>0</v>
      </c>
    </row>
    <row r="54" spans="1:16" s="1" customFormat="1" ht="13.5" customHeight="1" x14ac:dyDescent="0.2">
      <c r="A54" s="1180" t="s">
        <v>19</v>
      </c>
      <c r="B54" s="1180"/>
      <c r="C54" s="1180"/>
      <c r="D54" s="1181"/>
      <c r="E54" s="1181"/>
      <c r="F54" s="1181"/>
      <c r="G54" s="1181"/>
      <c r="H54" s="1181"/>
      <c r="I54" s="1181"/>
      <c r="J54" s="1174" t="s">
        <v>97</v>
      </c>
      <c r="K54" s="1174"/>
      <c r="L54" s="17" t="str">
        <f>IF(IF((COUNTIF(B70:B81,"&gt;0"))=0,0,(COUNTIF(B70:B81,"&gt;0")))&gt;Grundlagen!$C$24,Grundlagen!$C$24,IF((COUNTIF(B70:B81,"&gt;0"))=0,"",(COUNTIF(B70:B81,"&gt;0"))))</f>
        <v/>
      </c>
      <c r="M54" s="92"/>
      <c r="N54" s="85">
        <f>IF(N53="","",N53)</f>
        <v>0</v>
      </c>
      <c r="O54" s="58" t="str">
        <f>'päd.Personal - Leitung'!$O$10</f>
        <v>Mai               Nov</v>
      </c>
      <c r="P54" s="85">
        <f t="shared" si="6"/>
        <v>0</v>
      </c>
    </row>
    <row r="55" spans="1:16" s="1" customFormat="1" ht="13.5" customHeight="1" x14ac:dyDescent="0.2">
      <c r="B55" s="8"/>
      <c r="C55" s="141" t="s">
        <v>162</v>
      </c>
      <c r="D55" s="1175"/>
      <c r="E55" s="1175"/>
      <c r="F55" s="1176" t="s">
        <v>106</v>
      </c>
      <c r="G55" s="1176"/>
      <c r="H55" s="1186"/>
      <c r="I55" s="1186"/>
      <c r="L55" s="147" t="str">
        <f>IF((SUM(E58:F61))=0,"",IF(P56&gt;L52,L52,IF(L52="","",IF(L54="","",P56))))</f>
        <v/>
      </c>
      <c r="N55" s="85">
        <f>IF(N54="","",N54)</f>
        <v>0</v>
      </c>
      <c r="O55" s="58" t="str">
        <f>'päd.Personal - Leitung'!$O$11</f>
        <v>Jun               Dez</v>
      </c>
      <c r="P55" s="85">
        <f t="shared" si="6"/>
        <v>0</v>
      </c>
    </row>
    <row r="56" spans="1:16" s="1" customFormat="1" ht="13.5" customHeight="1" x14ac:dyDescent="0.2">
      <c r="O56" s="174" t="s">
        <v>251</v>
      </c>
      <c r="P56" s="175">
        <f>IF(L54="",0,((IF(SUMIF(B70,"&gt;0"),N50,0))+(IF(SUMIF(B71,"&gt;0"),N51,0))+(IF(SUMIF(B72,"&gt;0"),N52,0))+(IF(SUMIF(B73,"&gt;0"),N53,0))+(IF(SUMIF(B74,"&gt;0"),N54,0))+(IF(SUMIF(B75,"&gt;0"),N55,0))+(IF(SUMIF(B76,"&gt;0"),P50,0))+(IF(SUMIF(B77,"&gt;0"),P51,0))+(IF(SUMIF(B78,"&gt;0"),P52,0))+(IF(SUMIF(B79,"&gt;0"),P53,0))+(IF(SUMIF(B80,"&gt;0"),P54,0))+(IF(SUMIF(B81,"&gt;0"),P55,0)))/Grundlagen!$C$24)</f>
        <v>0</v>
      </c>
    </row>
    <row r="57" spans="1:16" s="156" customFormat="1" ht="14.25" customHeight="1" x14ac:dyDescent="0.25">
      <c r="A57" s="150" t="s">
        <v>197</v>
      </c>
      <c r="B57" s="63"/>
      <c r="C57" s="151"/>
      <c r="D57" s="63"/>
      <c r="E57" s="1229" t="s">
        <v>198</v>
      </c>
      <c r="F57" s="1229"/>
      <c r="G57" s="65" t="s">
        <v>152</v>
      </c>
      <c r="H57" s="117"/>
      <c r="I57" s="152"/>
      <c r="J57" s="152"/>
      <c r="K57" s="153"/>
      <c r="L57" s="154"/>
      <c r="M57" s="153"/>
      <c r="N57" s="155"/>
      <c r="O57" s="116"/>
    </row>
    <row r="58" spans="1:16" s="156" customFormat="1" ht="14.25" customHeight="1" x14ac:dyDescent="0.25">
      <c r="A58" s="54" t="str">
        <f>A70</f>
        <v>Jan 2022</v>
      </c>
      <c r="B58" s="1233"/>
      <c r="C58" s="1234"/>
      <c r="D58" s="1235"/>
      <c r="E58" s="1222"/>
      <c r="F58" s="1223"/>
      <c r="G58" s="157">
        <f>IF(L52=0,0,E58/L51/4.348)</f>
        <v>0</v>
      </c>
      <c r="H58" s="118"/>
    </row>
    <row r="59" spans="1:16" s="156" customFormat="1" ht="14.25" customHeight="1" x14ac:dyDescent="0.25">
      <c r="A59" s="55"/>
      <c r="B59" s="1233"/>
      <c r="C59" s="1234"/>
      <c r="D59" s="1235"/>
      <c r="E59" s="1222"/>
      <c r="F59" s="1223"/>
      <c r="G59" s="157">
        <f>IF(L52=0,0,E59/L51/4.348)</f>
        <v>0</v>
      </c>
      <c r="H59" s="65"/>
    </row>
    <row r="60" spans="1:16" s="156" customFormat="1" ht="14.25" customHeight="1" x14ac:dyDescent="0.25">
      <c r="A60" s="55"/>
      <c r="B60" s="1233"/>
      <c r="C60" s="1234"/>
      <c r="D60" s="1235"/>
      <c r="E60" s="1222"/>
      <c r="F60" s="1223"/>
      <c r="G60" s="157">
        <f>IF(L52=0,0,E60/L51/4.348)</f>
        <v>0</v>
      </c>
      <c r="H60" s="116"/>
    </row>
    <row r="61" spans="1:16" s="116" customFormat="1" ht="14.25" customHeight="1" x14ac:dyDescent="0.25">
      <c r="A61" s="55"/>
      <c r="B61" s="1233"/>
      <c r="C61" s="1234"/>
      <c r="D61" s="1235"/>
      <c r="E61" s="1222"/>
      <c r="F61" s="1223"/>
      <c r="G61" s="157">
        <f>IF(L52=0,0,E61/L51/4.348)</f>
        <v>0</v>
      </c>
      <c r="H61" s="117"/>
    </row>
    <row r="62" spans="1:16" s="116" customFormat="1" ht="14.25" customHeight="1" x14ac:dyDescent="0.25">
      <c r="A62" s="52"/>
      <c r="B62" s="1167" t="s">
        <v>157</v>
      </c>
      <c r="C62" s="1167"/>
      <c r="D62" s="52"/>
      <c r="E62" s="1167" t="s">
        <v>156</v>
      </c>
      <c r="F62" s="1167"/>
      <c r="G62" s="119"/>
      <c r="H62" s="117"/>
    </row>
    <row r="63" spans="1:16" s="156" customFormat="1" ht="14.25" customHeight="1" x14ac:dyDescent="0.25">
      <c r="A63" s="70" t="s">
        <v>167</v>
      </c>
      <c r="B63" s="67"/>
      <c r="C63" s="99"/>
      <c r="D63" s="70" t="s">
        <v>167</v>
      </c>
      <c r="E63" s="67"/>
      <c r="F63" s="99"/>
      <c r="H63" s="117"/>
      <c r="K63" s="152"/>
      <c r="L63" s="152"/>
      <c r="M63" s="152"/>
      <c r="N63" s="159"/>
      <c r="O63" s="152"/>
    </row>
    <row r="64" spans="1:16" s="52" customFormat="1" ht="13.5" customHeight="1" x14ac:dyDescent="0.2">
      <c r="A64" s="60" t="s">
        <v>155</v>
      </c>
    </row>
    <row r="65" spans="1:16" ht="14.25" customHeight="1" x14ac:dyDescent="0.2">
      <c r="A65" s="1147"/>
      <c r="B65" s="1149" t="s">
        <v>9</v>
      </c>
      <c r="C65" s="1150"/>
      <c r="D65" s="1150"/>
      <c r="E65" s="1150"/>
      <c r="F65" s="1150"/>
      <c r="G65" s="1151"/>
      <c r="H65" s="1152" t="s">
        <v>8</v>
      </c>
      <c r="I65" s="1153"/>
      <c r="J65" s="1153"/>
      <c r="K65" s="1153"/>
      <c r="L65" s="1153"/>
      <c r="M65" s="1153"/>
      <c r="N65" s="146"/>
      <c r="O65" s="33"/>
      <c r="P65" s="1154" t="s">
        <v>0</v>
      </c>
    </row>
    <row r="66" spans="1:16" ht="14.25" customHeight="1" x14ac:dyDescent="0.2">
      <c r="A66" s="1148"/>
      <c r="B66" s="1157" t="s">
        <v>117</v>
      </c>
      <c r="C66" s="144" t="s">
        <v>115</v>
      </c>
      <c r="D66" s="1159" t="s">
        <v>277</v>
      </c>
      <c r="E66" s="1161" t="s">
        <v>147</v>
      </c>
      <c r="F66" s="149" t="s">
        <v>7</v>
      </c>
      <c r="G66" s="1162" t="s">
        <v>6</v>
      </c>
      <c r="H66" s="1161" t="s">
        <v>129</v>
      </c>
      <c r="I66" s="1161" t="s">
        <v>5</v>
      </c>
      <c r="J66" s="1161" t="s">
        <v>206</v>
      </c>
      <c r="K66" s="1161" t="s">
        <v>121</v>
      </c>
      <c r="L66" s="1161" t="s">
        <v>122</v>
      </c>
      <c r="M66" s="1161" t="s">
        <v>123</v>
      </c>
      <c r="N66" s="149" t="s">
        <v>7</v>
      </c>
      <c r="O66" s="1160" t="s">
        <v>114</v>
      </c>
      <c r="P66" s="1155"/>
    </row>
    <row r="67" spans="1:16" ht="14.25" customHeight="1" x14ac:dyDescent="0.2">
      <c r="A67" s="1148"/>
      <c r="B67" s="1157"/>
      <c r="C67" s="21" t="str">
        <f>IF(C63="","",C63)</f>
        <v/>
      </c>
      <c r="D67" s="1160"/>
      <c r="E67" s="1161"/>
      <c r="F67" s="1236" t="str">
        <f>IF(H58=0,"","siehe Zuschläge / Zulagen")</f>
        <v/>
      </c>
      <c r="G67" s="1162"/>
      <c r="H67" s="1164" t="s">
        <v>127</v>
      </c>
      <c r="I67" s="1164"/>
      <c r="J67" s="1164"/>
      <c r="K67" s="1164"/>
      <c r="L67" s="1164"/>
      <c r="M67" s="1164"/>
      <c r="N67" s="1236" t="str">
        <f>IF(P58=0,"","siehe Zuschläge / Zulagen")</f>
        <v/>
      </c>
      <c r="O67" s="1160"/>
      <c r="P67" s="1155"/>
    </row>
    <row r="68" spans="1:16" ht="14.25" customHeight="1" x14ac:dyDescent="0.2">
      <c r="A68" s="1148"/>
      <c r="B68" s="1157"/>
      <c r="C68" s="142" t="s">
        <v>70</v>
      </c>
      <c r="D68" s="1160"/>
      <c r="E68" s="1161"/>
      <c r="F68" s="1236"/>
      <c r="G68" s="1162"/>
      <c r="H68" s="120" t="s">
        <v>261</v>
      </c>
      <c r="I68" s="185" t="s">
        <v>262</v>
      </c>
      <c r="J68" s="185" t="s">
        <v>263</v>
      </c>
      <c r="K68" s="185" t="s">
        <v>264</v>
      </c>
      <c r="L68" s="185" t="s">
        <v>265</v>
      </c>
      <c r="M68" s="185" t="s">
        <v>254</v>
      </c>
      <c r="N68" s="1236"/>
      <c r="O68" s="1160"/>
      <c r="P68" s="1155"/>
    </row>
    <row r="69" spans="1:16" x14ac:dyDescent="0.2">
      <c r="A69" s="1148"/>
      <c r="B69" s="1158"/>
      <c r="C69" s="21" t="str">
        <f>IF(F63="","",F63)</f>
        <v/>
      </c>
      <c r="D69" s="51"/>
      <c r="E69" s="51"/>
      <c r="F69" s="51"/>
      <c r="G69" s="1163"/>
      <c r="H69" s="21"/>
      <c r="I69" s="21"/>
      <c r="J69" s="21"/>
      <c r="K69" s="34"/>
      <c r="L69" s="34"/>
      <c r="M69" s="25"/>
      <c r="N69" s="51"/>
      <c r="O69" s="21">
        <f>'päd.Personal - Leitung'!$O$69</f>
        <v>0</v>
      </c>
      <c r="P69" s="1156"/>
    </row>
    <row r="70" spans="1:16" x14ac:dyDescent="0.2">
      <c r="A70" s="100" t="str">
        <f>'päd.Personal - Leitung'!$A$26</f>
        <v>Jan 2022</v>
      </c>
      <c r="B70" s="24">
        <f>ROUND(IF(N50=0,0,(LOOKUP(2,1/(A58:A61=A70),E58:E61))/L51*N50),2)</f>
        <v>0</v>
      </c>
      <c r="C70" s="23">
        <f>ROUND(IFERROR(((LOOKUP(2,1/(B63=A70),((SUM(B76:B78)+SUM(F76:F78))/3)*C63))),0)+IFERROR(((LOOKUP(2,1/(E63=A70),(B82+F82)*F63))),0),2)</f>
        <v>0</v>
      </c>
      <c r="D70" s="23">
        <f>IF(B70=0,0,D69/L51*N50)</f>
        <v>0</v>
      </c>
      <c r="E70" s="23">
        <f>IF(B70=0,0,E69/N47*N50)</f>
        <v>0</v>
      </c>
      <c r="F70" s="23">
        <f>IF(B70=0,0,F69/L51*N50)</f>
        <v>0</v>
      </c>
      <c r="G70" s="27">
        <f>SUM(B70+C70+E70+F70)</f>
        <v>0</v>
      </c>
      <c r="H70" s="76">
        <f>ROUND(SUM(B70:F70)*H69,2)</f>
        <v>0</v>
      </c>
      <c r="I70" s="76">
        <f>ROUND(SUM(B70:F70)*I69,2)</f>
        <v>0</v>
      </c>
      <c r="J70" s="76">
        <f>ROUND(SUM(B70:F70)*J69,2)</f>
        <v>0</v>
      </c>
      <c r="K70" s="27">
        <f>ROUND((B70+SUM(D70:F70))*K69,2)</f>
        <v>0</v>
      </c>
      <c r="L70" s="27">
        <f>ROUND((B70+SUM(D70:F70))*L69,2)</f>
        <v>0</v>
      </c>
      <c r="M70" s="76">
        <f>ROUND(SUM(B70:F70)*M69,2)</f>
        <v>0</v>
      </c>
      <c r="N70" s="23"/>
      <c r="O70" s="23">
        <f>ROUND(SUM(B70+C70+F70)*O69,2)</f>
        <v>0</v>
      </c>
      <c r="P70" s="27">
        <f>SUM(G70:O70)</f>
        <v>0</v>
      </c>
    </row>
    <row r="71" spans="1:16" x14ac:dyDescent="0.2">
      <c r="A71" s="100" t="str">
        <f>'päd.Personal - Leitung'!$A$27</f>
        <v>Feb 2022</v>
      </c>
      <c r="B71" s="24">
        <f>ROUND(IF(N51=0,0,IFERROR(((LOOKUP(2,1/(A58:A61=A71),E58:E61))/L51*N51),B70/N51*N51)),2)</f>
        <v>0</v>
      </c>
      <c r="C71" s="23">
        <f>ROUND(IFERROR(((LOOKUP(2,1/(B63=A71),((SUM(B76:B78)+SUM(F76:F78))/3)*C63))),0)+IFERROR(((LOOKUP(2,1/(E63=A71),(B82+F82)*F63))),0),2)</f>
        <v>0</v>
      </c>
      <c r="D71" s="23">
        <f>IF(B71=0,0,D69/L51*N51)</f>
        <v>0</v>
      </c>
      <c r="E71" s="23">
        <f>IF(B71=0,0,E69/N47*N51)</f>
        <v>0</v>
      </c>
      <c r="F71" s="23">
        <f>IF(B71=0,0,F69/L51*N51)</f>
        <v>0</v>
      </c>
      <c r="G71" s="27">
        <f t="shared" ref="G71:G81" si="7">SUM(B71+C71+E71+F71)</f>
        <v>0</v>
      </c>
      <c r="H71" s="76">
        <f>ROUND(SUM(B71:F71)*H69,2)</f>
        <v>0</v>
      </c>
      <c r="I71" s="76">
        <f>ROUND(SUM(B71:F71)*I69,2)</f>
        <v>0</v>
      </c>
      <c r="J71" s="76">
        <f>ROUND(SUM(B71:F71)*J69,2)</f>
        <v>0</v>
      </c>
      <c r="K71" s="27">
        <f>ROUND((B71+SUM(D71:F71))*K69,2)</f>
        <v>0</v>
      </c>
      <c r="L71" s="27">
        <f>ROUND((B71+SUM(D71:F71))*L69,2)</f>
        <v>0</v>
      </c>
      <c r="M71" s="76">
        <f>ROUND(SUM(B71:F71)*M69,2)</f>
        <v>0</v>
      </c>
      <c r="N71" s="23"/>
      <c r="O71" s="23">
        <f>ROUND(SUM(B71+C71+F71)*O69,2)</f>
        <v>0</v>
      </c>
      <c r="P71" s="27">
        <f>SUM(G71:O71)</f>
        <v>0</v>
      </c>
    </row>
    <row r="72" spans="1:16" x14ac:dyDescent="0.2">
      <c r="A72" s="100" t="str">
        <f>'päd.Personal - Leitung'!$A$28</f>
        <v>Mrz 2022</v>
      </c>
      <c r="B72" s="24">
        <f>ROUND(IF(N52=0,0,IFERROR(((LOOKUP(2,1/(A58:A61=A72),E58:E61))/L51*N52),B71/N52*N52)),2)</f>
        <v>0</v>
      </c>
      <c r="C72" s="23">
        <f>ROUND(IFERROR(((LOOKUP(2,1/(B63=A72),((SUM(B76:B78)+SUM(F76:F78))/3)*C63))),0)+IFERROR(((LOOKUP(2,1/(E63=A72),(B82+F82)*F63))),0),2)</f>
        <v>0</v>
      </c>
      <c r="D72" s="23">
        <f>IF(B72=0,0,D69/L51*N52)</f>
        <v>0</v>
      </c>
      <c r="E72" s="23">
        <f>IF(B72=0,0,E69/N47*N52)</f>
        <v>0</v>
      </c>
      <c r="F72" s="23">
        <f>IF(B72=0,0,F69/L51*N52)</f>
        <v>0</v>
      </c>
      <c r="G72" s="27">
        <f t="shared" si="7"/>
        <v>0</v>
      </c>
      <c r="H72" s="76">
        <f>ROUND(SUM(B72:F72)*H69,2)</f>
        <v>0</v>
      </c>
      <c r="I72" s="76">
        <f>ROUND(SUM(B72:F72)*I69,2)</f>
        <v>0</v>
      </c>
      <c r="J72" s="76">
        <f>ROUND(SUM(B72:F72)*J69,2)</f>
        <v>0</v>
      </c>
      <c r="K72" s="27">
        <f>ROUND((B72+SUM(D72:F72))*K69,2)</f>
        <v>0</v>
      </c>
      <c r="L72" s="27">
        <f>ROUND((B72+SUM(D72:F72))*L69,2)</f>
        <v>0</v>
      </c>
      <c r="M72" s="76">
        <f>ROUND(SUM(B72:F72)*M69,2)</f>
        <v>0</v>
      </c>
      <c r="N72" s="23"/>
      <c r="O72" s="23">
        <f>ROUND(SUM(B72+C72+F72)*O69,2)</f>
        <v>0</v>
      </c>
      <c r="P72" s="27">
        <f t="shared" ref="P72" si="8">SUM(G72:O72)</f>
        <v>0</v>
      </c>
    </row>
    <row r="73" spans="1:16" x14ac:dyDescent="0.2">
      <c r="A73" s="100" t="str">
        <f>'päd.Personal - Leitung'!$A$29</f>
        <v>Apr 2022</v>
      </c>
      <c r="B73" s="24">
        <f>ROUND(IF(N53=0,0,IFERROR(((LOOKUP(2,1/(A58:A61=A73),E58:E61))/L51*N53),B72/N53*N53)),2)</f>
        <v>0</v>
      </c>
      <c r="C73" s="23">
        <f>ROUND(IFERROR(((LOOKUP(2,1/(B63=A73),((SUM(B76:B78)+SUM(F76:F78))/3)*C63))),0)+IFERROR(((LOOKUP(2,1/(E63=A73),(B82+F82)*F63))),0),2)</f>
        <v>0</v>
      </c>
      <c r="D73" s="23">
        <f>IF(B73=0,0,D69/L51*N53)</f>
        <v>0</v>
      </c>
      <c r="E73" s="23">
        <f>IF(B73=0,0,E69/N47*N53)</f>
        <v>0</v>
      </c>
      <c r="F73" s="23">
        <f>IF(B73=0,0,F69/L51*N53)</f>
        <v>0</v>
      </c>
      <c r="G73" s="27">
        <f t="shared" si="7"/>
        <v>0</v>
      </c>
      <c r="H73" s="76">
        <f>ROUND(SUM(B73:F73)*H69,2)</f>
        <v>0</v>
      </c>
      <c r="I73" s="76">
        <f>ROUND(SUM(B73:F73)*I69,2)</f>
        <v>0</v>
      </c>
      <c r="J73" s="76">
        <f>ROUND(SUM(B73:F73)*J69,2)</f>
        <v>0</v>
      </c>
      <c r="K73" s="27">
        <f>ROUND((B73+SUM(D73:F73))*K69,2)</f>
        <v>0</v>
      </c>
      <c r="L73" s="27">
        <f>ROUND((B73+SUM(D73:F73))*L69,2)</f>
        <v>0</v>
      </c>
      <c r="M73" s="76">
        <f>ROUND(SUM(B73:F73)*M69,2)</f>
        <v>0</v>
      </c>
      <c r="N73" s="23"/>
      <c r="O73" s="23">
        <f>ROUND(SUM(B73+C73+F73)*O69,2)</f>
        <v>0</v>
      </c>
      <c r="P73" s="27">
        <f>SUM(G73:O73)</f>
        <v>0</v>
      </c>
    </row>
    <row r="74" spans="1:16" x14ac:dyDescent="0.2">
      <c r="A74" s="100" t="str">
        <f>'päd.Personal - Leitung'!$A$30</f>
        <v>Mai 2022</v>
      </c>
      <c r="B74" s="24">
        <f>ROUND(IF(N54=0,0,IFERROR(((LOOKUP(2,1/(A58:A61=A74),E58:E61))/L51*N54),B73/N54*N54)),2)</f>
        <v>0</v>
      </c>
      <c r="C74" s="23">
        <f>ROUND(IFERROR(((LOOKUP(2,1/(B63=A74),((SUM(B76:B78)+SUM(F76:F78))/3)*C63))),0)+IFERROR(((LOOKUP(2,1/(E63=A74),(B82+F82)*F63))),0),2)</f>
        <v>0</v>
      </c>
      <c r="D74" s="23">
        <f>IF(B74=0,0,D69/L51*N54)</f>
        <v>0</v>
      </c>
      <c r="E74" s="23">
        <f>IF(B74=0,0,E69/N47*N54)</f>
        <v>0</v>
      </c>
      <c r="F74" s="23">
        <f>IF(B74=0,0,F69/L51*N54)</f>
        <v>0</v>
      </c>
      <c r="G74" s="27">
        <f t="shared" si="7"/>
        <v>0</v>
      </c>
      <c r="H74" s="76">
        <f>ROUND(SUM(B74:F74)*H69,2)</f>
        <v>0</v>
      </c>
      <c r="I74" s="76">
        <f>ROUND(SUM(B74:F74)*I69,2)</f>
        <v>0</v>
      </c>
      <c r="J74" s="76">
        <f>ROUND(SUM(B74:F74)*J69,2)</f>
        <v>0</v>
      </c>
      <c r="K74" s="27">
        <f>ROUND((B74+SUM(D74:F74))*K69,2)</f>
        <v>0</v>
      </c>
      <c r="L74" s="27">
        <f>ROUND((B74+SUM(D74:F74))*L69,2)</f>
        <v>0</v>
      </c>
      <c r="M74" s="76">
        <f>ROUND(SUM(B74:F74)*M69,2)</f>
        <v>0</v>
      </c>
      <c r="N74" s="23"/>
      <c r="O74" s="23">
        <f>ROUND(SUM(B74+C74+F74)*O69,2)</f>
        <v>0</v>
      </c>
      <c r="P74" s="27">
        <f t="shared" ref="P74" si="9">SUM(G74:O74)</f>
        <v>0</v>
      </c>
    </row>
    <row r="75" spans="1:16" x14ac:dyDescent="0.2">
      <c r="A75" s="100" t="str">
        <f>'päd.Personal - Leitung'!$A$31</f>
        <v>Jun 2022</v>
      </c>
      <c r="B75" s="24">
        <f>ROUND(IF(N55=0,0,IFERROR(((LOOKUP(2,1/(A58:A61=A75),E58:E61))/L51*N55),B74/N55*N55)),2)</f>
        <v>0</v>
      </c>
      <c r="C75" s="23">
        <f>ROUND(IFERROR(((LOOKUP(2,1/(B63=A75),((SUM(B76:B78)+SUM(F76:F78))/3)*C63))),0)+IFERROR(((LOOKUP(2,1/(E63=A75),(B82+F82)*F63))),0),2)</f>
        <v>0</v>
      </c>
      <c r="D75" s="23">
        <f>IF(B75=0,0,D69/L51*N55)</f>
        <v>0</v>
      </c>
      <c r="E75" s="23">
        <f>IF(B75=0,0,E69/N47*N55)</f>
        <v>0</v>
      </c>
      <c r="F75" s="23">
        <f>IF(B75=0,0,F69/L51*N55)</f>
        <v>0</v>
      </c>
      <c r="G75" s="27">
        <f t="shared" si="7"/>
        <v>0</v>
      </c>
      <c r="H75" s="76">
        <f>ROUND(SUM(B75:F75)*H69,2)</f>
        <v>0</v>
      </c>
      <c r="I75" s="76">
        <f>ROUND(SUM(B75:F75)*I69,2)</f>
        <v>0</v>
      </c>
      <c r="J75" s="76">
        <f>ROUND(SUM(B75:F75)*J69,2)</f>
        <v>0</v>
      </c>
      <c r="K75" s="27">
        <f>ROUND((B75+SUM(D75:F75))*K69,2)</f>
        <v>0</v>
      </c>
      <c r="L75" s="27">
        <f>ROUND((B75+SUM(D75:F75))*L69,2)</f>
        <v>0</v>
      </c>
      <c r="M75" s="76">
        <f>ROUND(SUM(B75:F75)*M69,2)</f>
        <v>0</v>
      </c>
      <c r="N75" s="23"/>
      <c r="O75" s="23">
        <f>ROUND(SUM(B75+C75+F75)*O69,2)</f>
        <v>0</v>
      </c>
      <c r="P75" s="27">
        <f t="shared" ref="P75:P81" si="10">SUM(G75:O75)</f>
        <v>0</v>
      </c>
    </row>
    <row r="76" spans="1:16" x14ac:dyDescent="0.2">
      <c r="A76" s="100" t="str">
        <f>'päd.Personal - Leitung'!$A$32</f>
        <v>Jul 2022</v>
      </c>
      <c r="B76" s="24">
        <f>ROUND(IF(P50=0,0,IFERROR(((LOOKUP(2,1/(A58:A61=A76),E58:E61))/L51*P50),B75/P50*P50)),2)</f>
        <v>0</v>
      </c>
      <c r="C76" s="23">
        <f>ROUND(IFERROR(((LOOKUP(2,1/(B63=A76),((SUM(B76:B78)+SUM(F76:F78))/3)*C63))),0)+IFERROR(((LOOKUP(2,1/(E63=A76),(B82+F82)*F63))),0),2)</f>
        <v>0</v>
      </c>
      <c r="D76" s="23">
        <f>IF(B76=0,0,D69/L51*P50)</f>
        <v>0</v>
      </c>
      <c r="E76" s="23">
        <f>IF(B76=0,0,E69/N47*P50)</f>
        <v>0</v>
      </c>
      <c r="F76" s="23">
        <f>IF(B76=0,0,F69/L51*P50)</f>
        <v>0</v>
      </c>
      <c r="G76" s="27">
        <f t="shared" si="7"/>
        <v>0</v>
      </c>
      <c r="H76" s="76">
        <f>ROUND(SUM(B76:F76)*H69,2)</f>
        <v>0</v>
      </c>
      <c r="I76" s="76">
        <f>ROUND(SUM(B76:F76)*I69,2)</f>
        <v>0</v>
      </c>
      <c r="J76" s="76">
        <f>ROUND(SUM(B76:F76)*J69,2)</f>
        <v>0</v>
      </c>
      <c r="K76" s="27">
        <f>ROUND((B76+SUM(D76:F76))*K69,2)</f>
        <v>0</v>
      </c>
      <c r="L76" s="27">
        <f>ROUND((B76+SUM(D76:F76))*L69,2)</f>
        <v>0</v>
      </c>
      <c r="M76" s="76">
        <f>ROUND(SUM(B76:F76)*M69,2)</f>
        <v>0</v>
      </c>
      <c r="N76" s="23"/>
      <c r="O76" s="23">
        <f>ROUND(SUM(B76+C76+F76)*O69,2)</f>
        <v>0</v>
      </c>
      <c r="P76" s="27">
        <f t="shared" si="10"/>
        <v>0</v>
      </c>
    </row>
    <row r="77" spans="1:16" x14ac:dyDescent="0.2">
      <c r="A77" s="100" t="str">
        <f>'päd.Personal - Leitung'!$A$33</f>
        <v>Aug 2022</v>
      </c>
      <c r="B77" s="24">
        <f>ROUND(IF(P51=0,0,IFERROR(((LOOKUP(2,1/(A58:A61=A77),E58:E61))/L51*P51),B76/P51*P51)),2)</f>
        <v>0</v>
      </c>
      <c r="C77" s="23">
        <f>ROUND(IFERROR(((LOOKUP(2,1/(B63=A77),((SUM(B76:B78)+SUM(F76:F78))/3)*C63))),0)+IFERROR(((LOOKUP(2,1/(E63=A77),(B82+F82)*F63))),0),2)</f>
        <v>0</v>
      </c>
      <c r="D77" s="23">
        <f>IF(B77=0,0,D69/L51*P51)</f>
        <v>0</v>
      </c>
      <c r="E77" s="23">
        <f>IF(B77=0,0,E69/N47*P51)</f>
        <v>0</v>
      </c>
      <c r="F77" s="23">
        <f>IF(B77=0,0,F69/L51*P51)</f>
        <v>0</v>
      </c>
      <c r="G77" s="27">
        <f t="shared" si="7"/>
        <v>0</v>
      </c>
      <c r="H77" s="76">
        <f>ROUND(SUM(B77:F77)*H69,2)</f>
        <v>0</v>
      </c>
      <c r="I77" s="76">
        <f>ROUND(SUM(B77:F77)*I69,2)</f>
        <v>0</v>
      </c>
      <c r="J77" s="76">
        <f>ROUND(SUM(B77:F77)*J69,2)</f>
        <v>0</v>
      </c>
      <c r="K77" s="27">
        <f>ROUND((B77+SUM(D77:F77))*K69,2)</f>
        <v>0</v>
      </c>
      <c r="L77" s="27">
        <f>ROUND((B77+SUM(D77:F77))*L69,2)</f>
        <v>0</v>
      </c>
      <c r="M77" s="76">
        <f>ROUND(SUM(B77:F77)*M69,2)</f>
        <v>0</v>
      </c>
      <c r="N77" s="23"/>
      <c r="O77" s="23">
        <f>ROUND(SUM(B77+C77+F77)*O69,2)</f>
        <v>0</v>
      </c>
      <c r="P77" s="27">
        <f t="shared" si="10"/>
        <v>0</v>
      </c>
    </row>
    <row r="78" spans="1:16" x14ac:dyDescent="0.2">
      <c r="A78" s="100" t="str">
        <f>'päd.Personal - Leitung'!$A$34</f>
        <v>Sep 2022</v>
      </c>
      <c r="B78" s="24">
        <f>ROUND(IF(P52=0,0,IFERROR(((LOOKUP(2,1/(A58:A61=A78),E58:E61))/L51*P52),B77/P52*P52)),2)</f>
        <v>0</v>
      </c>
      <c r="C78" s="23">
        <f>ROUND(IFERROR(((LOOKUP(2,1/(B63=A78),((SUM(B76:B78)+SUM(F76:F78))/3)*C63))),0)+IFERROR(((LOOKUP(2,1/(E63=A78),(B82+F82)*F63))),0),2)</f>
        <v>0</v>
      </c>
      <c r="D78" s="23">
        <f>IF(B78=0,0,D69/L51*P52)</f>
        <v>0</v>
      </c>
      <c r="E78" s="23">
        <f>IF(B78=0,0,E69/N47*P52)</f>
        <v>0</v>
      </c>
      <c r="F78" s="23">
        <f>IF(B78=0,0,F69/L51*P52)</f>
        <v>0</v>
      </c>
      <c r="G78" s="27">
        <f t="shared" si="7"/>
        <v>0</v>
      </c>
      <c r="H78" s="76">
        <f>ROUND(SUM(B78:F78)*H69,2)</f>
        <v>0</v>
      </c>
      <c r="I78" s="76">
        <f>ROUND(SUM(B78:F78)*I69,2)</f>
        <v>0</v>
      </c>
      <c r="J78" s="76">
        <f>ROUND(SUM(B78:F78)*J69,2)</f>
        <v>0</v>
      </c>
      <c r="K78" s="27">
        <f>ROUND((B78+SUM(D78:F78))*K69,2)</f>
        <v>0</v>
      </c>
      <c r="L78" s="27">
        <f>ROUND((B78+SUM(D78:F78))*L69,2)</f>
        <v>0</v>
      </c>
      <c r="M78" s="76">
        <f>ROUND(SUM(B78:F78)*M69,2)</f>
        <v>0</v>
      </c>
      <c r="N78" s="23"/>
      <c r="O78" s="23">
        <f>ROUND(SUM(B78+C78+F78)*O69,2)</f>
        <v>0</v>
      </c>
      <c r="P78" s="27">
        <f t="shared" si="10"/>
        <v>0</v>
      </c>
    </row>
    <row r="79" spans="1:16" x14ac:dyDescent="0.2">
      <c r="A79" s="100" t="str">
        <f>'päd.Personal - Leitung'!$A$35</f>
        <v>Okt 2022</v>
      </c>
      <c r="B79" s="24">
        <f>ROUND(IF(P53=0,0,IFERROR(((LOOKUP(2,1/(A58:A61=A79),E58:E61))/L51*P53),B78/P53*P53)),2)</f>
        <v>0</v>
      </c>
      <c r="C79" s="23">
        <f>ROUND(IFERROR(((LOOKUP(2,1/(B63=A79),((SUM(B76:B78)+SUM(F76:F78))/3)*C63))),0)+IFERROR(((LOOKUP(2,1/(E63=A79),(B82+F82)*F63))),0),2)</f>
        <v>0</v>
      </c>
      <c r="D79" s="23">
        <f>IF(B79=0,0,D69/L51*P53)</f>
        <v>0</v>
      </c>
      <c r="E79" s="23">
        <f>IF(B79=0,0,E69/N47*P53)</f>
        <v>0</v>
      </c>
      <c r="F79" s="23">
        <f>IF(B79=0,0,F69/L51*P53)</f>
        <v>0</v>
      </c>
      <c r="G79" s="27">
        <f t="shared" si="7"/>
        <v>0</v>
      </c>
      <c r="H79" s="76">
        <f>ROUND(SUM(B79:F79)*H69,2)</f>
        <v>0</v>
      </c>
      <c r="I79" s="76">
        <f>ROUND(SUM(B79:F79)*I69,2)</f>
        <v>0</v>
      </c>
      <c r="J79" s="76">
        <f>ROUND(SUM(B79:F79)*J69,2)</f>
        <v>0</v>
      </c>
      <c r="K79" s="27">
        <f>ROUND((B79+SUM(D79:F79))*K69,2)</f>
        <v>0</v>
      </c>
      <c r="L79" s="27">
        <f>ROUND((B79+SUM(D79:F79))*L69,2)</f>
        <v>0</v>
      </c>
      <c r="M79" s="76">
        <f>ROUND(SUM(B79:F79)*M69,2)</f>
        <v>0</v>
      </c>
      <c r="N79" s="23"/>
      <c r="O79" s="23">
        <f>ROUND(SUM(B79+C79+F79)*O69,2)</f>
        <v>0</v>
      </c>
      <c r="P79" s="27">
        <f t="shared" si="10"/>
        <v>0</v>
      </c>
    </row>
    <row r="80" spans="1:16" x14ac:dyDescent="0.2">
      <c r="A80" s="100" t="str">
        <f>'päd.Personal - Leitung'!$A$36</f>
        <v>Nov 2022</v>
      </c>
      <c r="B80" s="24">
        <f>ROUND(IF(P54=0,0,IFERROR(((LOOKUP(2,1/(A58:A61=A80),E58:E61))/L51*P54),B79/P54*P54)),2)</f>
        <v>0</v>
      </c>
      <c r="C80" s="23">
        <f>ROUND(IFERROR(((LOOKUP(2,1/(B63=A80),((SUM(B76:B78)+SUM(F76:F78))/3)*C63))),0)+IFERROR(((LOOKUP(2,1/(E63=A80),(B82+F82)*F63))),0),2)</f>
        <v>0</v>
      </c>
      <c r="D80" s="23">
        <f>IF(B80=0,0,D69/L51*P54)</f>
        <v>0</v>
      </c>
      <c r="E80" s="23">
        <f>IF(B80=0,0,E69/N47*P54)</f>
        <v>0</v>
      </c>
      <c r="F80" s="23">
        <f>IF(B80=0,0,F69/L51*P54)</f>
        <v>0</v>
      </c>
      <c r="G80" s="27">
        <f t="shared" si="7"/>
        <v>0</v>
      </c>
      <c r="H80" s="76">
        <f>ROUND(SUM(B80:F80)*H69,2)</f>
        <v>0</v>
      </c>
      <c r="I80" s="76">
        <f>ROUND(SUM(B80:F80)*I69,2)</f>
        <v>0</v>
      </c>
      <c r="J80" s="76">
        <f>ROUND(SUM(B80:F80)*J69,2)</f>
        <v>0</v>
      </c>
      <c r="K80" s="27">
        <f>ROUND((B80+SUM(D80:F80))*K69,2)</f>
        <v>0</v>
      </c>
      <c r="L80" s="27">
        <f>ROUND((B80+SUM(D80:F80))*L69,2)</f>
        <v>0</v>
      </c>
      <c r="M80" s="76">
        <f>ROUND(SUM(B80:F80)*M69,2)</f>
        <v>0</v>
      </c>
      <c r="N80" s="23"/>
      <c r="O80" s="23">
        <f>ROUND(SUM(B80+C80+F80)*O69,2)</f>
        <v>0</v>
      </c>
      <c r="P80" s="27">
        <f t="shared" si="10"/>
        <v>0</v>
      </c>
    </row>
    <row r="81" spans="1:16" x14ac:dyDescent="0.2">
      <c r="A81" s="100" t="str">
        <f>'päd.Personal - Leitung'!$A$37</f>
        <v>Dez 2022</v>
      </c>
      <c r="B81" s="24">
        <f>ROUND(IF(P55=0,0,IFERROR(((LOOKUP(2,1/(A58:A61=A81),E58:E61))/L51*P55),B80/P55*P55)),2)</f>
        <v>0</v>
      </c>
      <c r="C81" s="23">
        <f>ROUND(IFERROR(((LOOKUP(2,1/(B63=A81),((SUM(B76:B78)+SUM(F76:F78))/3)*C63))),0)+IFERROR(((LOOKUP(2,1/(E63=A81),(B82+F82)*F63))),0),2)</f>
        <v>0</v>
      </c>
      <c r="D81" s="23">
        <f>IF(B81=0,0,D69/L51*P55)</f>
        <v>0</v>
      </c>
      <c r="E81" s="23">
        <f>IF(B81=0,0,E69/N47*P55)</f>
        <v>0</v>
      </c>
      <c r="F81" s="23">
        <f>IF(B81=0,0,F69/L51*P55)</f>
        <v>0</v>
      </c>
      <c r="G81" s="27">
        <f t="shared" si="7"/>
        <v>0</v>
      </c>
      <c r="H81" s="76">
        <f>ROUND(SUM(B81:F81)*H69,2)</f>
        <v>0</v>
      </c>
      <c r="I81" s="76">
        <f>ROUND(SUM(B81:F81)*I69,2)</f>
        <v>0</v>
      </c>
      <c r="J81" s="76">
        <f>ROUND(SUM(B81:F81)*J69,2)</f>
        <v>0</v>
      </c>
      <c r="K81" s="27">
        <f>ROUND((B81+SUM(D81:F81))*K69,2)</f>
        <v>0</v>
      </c>
      <c r="L81" s="27">
        <f>ROUND((B81+SUM(D81:F81))*L69,2)</f>
        <v>0</v>
      </c>
      <c r="M81" s="76">
        <f>ROUND(SUM(B81:F81)*M69,2)</f>
        <v>0</v>
      </c>
      <c r="N81" s="23"/>
      <c r="O81" s="23">
        <f>ROUND(SUM(B81+C81+F81)*O69,2)</f>
        <v>0</v>
      </c>
      <c r="P81" s="27">
        <f t="shared" si="10"/>
        <v>0</v>
      </c>
    </row>
    <row r="82" spans="1:16" x14ac:dyDescent="0.2">
      <c r="A82" s="4" t="s">
        <v>2</v>
      </c>
      <c r="B82" s="27">
        <f t="shared" ref="B82:G82" si="11">SUM(B70:B81)</f>
        <v>0</v>
      </c>
      <c r="C82" s="27">
        <f t="shared" si="11"/>
        <v>0</v>
      </c>
      <c r="D82" s="27">
        <f t="shared" si="11"/>
        <v>0</v>
      </c>
      <c r="E82" s="27">
        <f t="shared" si="11"/>
        <v>0</v>
      </c>
      <c r="F82" s="27">
        <f t="shared" si="11"/>
        <v>0</v>
      </c>
      <c r="G82" s="27">
        <f t="shared" si="11"/>
        <v>0</v>
      </c>
      <c r="H82" s="1133">
        <f>SUM(H70:N81)</f>
        <v>0</v>
      </c>
      <c r="I82" s="1134"/>
      <c r="J82" s="1134"/>
      <c r="K82" s="1134"/>
      <c r="L82" s="1134"/>
      <c r="M82" s="1135"/>
      <c r="N82" s="27">
        <f>SUM(N70:N81)</f>
        <v>0</v>
      </c>
      <c r="O82" s="27">
        <f>SUM(O70:O81)</f>
        <v>0</v>
      </c>
      <c r="P82" s="27">
        <f>SUM(P70:P81)</f>
        <v>0</v>
      </c>
    </row>
    <row r="83" spans="1:16" s="13" customFormat="1" ht="11.25" x14ac:dyDescent="0.2">
      <c r="A83" s="3" t="s">
        <v>1</v>
      </c>
      <c r="B83" s="2"/>
      <c r="C83" s="2"/>
      <c r="D83" s="2"/>
      <c r="E83" s="2"/>
      <c r="F83" s="2"/>
      <c r="G83" s="2"/>
      <c r="H83" s="2"/>
      <c r="I83" s="2"/>
      <c r="J83" s="2"/>
      <c r="K83" s="2"/>
      <c r="L83" s="2"/>
      <c r="M83" s="2"/>
      <c r="N83" s="2"/>
      <c r="O83" s="2"/>
      <c r="P83" s="2"/>
    </row>
    <row r="84" spans="1:16" s="1" customFormat="1" ht="14.25" customHeight="1" x14ac:dyDescent="0.2">
      <c r="A84" s="1136" t="s">
        <v>133</v>
      </c>
      <c r="B84" s="1137"/>
      <c r="C84" s="1137"/>
      <c r="D84" s="1137" t="s">
        <v>134</v>
      </c>
      <c r="E84" s="1137"/>
      <c r="F84" s="46"/>
      <c r="G84" s="77" t="s">
        <v>135</v>
      </c>
      <c r="H84" s="71"/>
      <c r="I84" s="73"/>
      <c r="J84" s="78"/>
      <c r="K84" s="78"/>
      <c r="L84" s="78"/>
      <c r="M84" s="1138" t="s">
        <v>140</v>
      </c>
      <c r="N84" s="1138"/>
      <c r="O84" s="1139"/>
      <c r="P84" s="27">
        <f>ROUND(IF(F84="",IF(E88="",0,(E88*H88/K88)/L51*L52),G82*F84*H84/1000),2)</f>
        <v>0</v>
      </c>
    </row>
    <row r="85" spans="1:16" s="1" customFormat="1" ht="15" customHeight="1" x14ac:dyDescent="0.2">
      <c r="A85" s="1140" t="s">
        <v>145</v>
      </c>
      <c r="B85" s="1141"/>
      <c r="C85" s="1141"/>
      <c r="D85" s="18"/>
      <c r="E85" s="107" t="s">
        <v>135</v>
      </c>
      <c r="F85" s="49"/>
      <c r="G85" s="48"/>
      <c r="H85" s="47"/>
      <c r="I85" s="48"/>
      <c r="J85" s="79"/>
      <c r="K85" s="80"/>
      <c r="L85" s="81"/>
      <c r="M85" s="1138" t="s">
        <v>139</v>
      </c>
      <c r="N85" s="1138"/>
      <c r="O85" s="1139"/>
      <c r="P85" s="27">
        <f>ROUND(IF(F85="",0,G82*F85/1000),2)</f>
        <v>0</v>
      </c>
    </row>
    <row r="86" spans="1:16" s="1" customFormat="1" ht="15.75" customHeight="1" x14ac:dyDescent="0.2">
      <c r="A86" s="1142" t="s">
        <v>141</v>
      </c>
      <c r="B86" s="1143"/>
      <c r="C86" s="1143"/>
      <c r="D86" s="1144" t="s">
        <v>143</v>
      </c>
      <c r="E86" s="1144"/>
      <c r="F86" s="1145"/>
      <c r="G86" s="1145"/>
      <c r="H86" s="72"/>
      <c r="I86" s="18"/>
      <c r="J86" s="79"/>
      <c r="K86" s="80"/>
      <c r="L86" s="81"/>
      <c r="M86" s="1138" t="s">
        <v>141</v>
      </c>
      <c r="N86" s="1138"/>
      <c r="O86" s="1139"/>
      <c r="P86" s="23">
        <f>ROUND(IF(F86="",0,IF(G82=0,0,F86/L51*L52)),2)</f>
        <v>0</v>
      </c>
    </row>
    <row r="87" spans="1:16" s="1" customFormat="1" ht="14.25" customHeight="1" x14ac:dyDescent="0.2">
      <c r="A87" s="18"/>
      <c r="B87" s="18"/>
      <c r="C87" s="18"/>
      <c r="D87" s="18"/>
      <c r="E87" s="18"/>
      <c r="F87" s="18"/>
      <c r="G87" s="18"/>
      <c r="H87" s="18"/>
      <c r="I87" s="18"/>
      <c r="J87" s="18"/>
      <c r="K87" s="74"/>
      <c r="L87" s="82"/>
      <c r="M87" s="1127" t="s">
        <v>146</v>
      </c>
      <c r="N87" s="1127"/>
      <c r="O87" s="1128"/>
      <c r="P87" s="23">
        <f>ROUND(IF(G82=0,0,$P$43),2)</f>
        <v>0</v>
      </c>
    </row>
    <row r="88" spans="1:16" s="1" customFormat="1" ht="14.25" customHeight="1" x14ac:dyDescent="0.2">
      <c r="A88" s="1129" t="s">
        <v>142</v>
      </c>
      <c r="B88" s="1130"/>
      <c r="C88" s="148" t="s">
        <v>136</v>
      </c>
      <c r="D88" s="148" t="s">
        <v>137</v>
      </c>
      <c r="E88" s="1185"/>
      <c r="F88" s="1185"/>
      <c r="G88" s="83" t="s">
        <v>138</v>
      </c>
      <c r="H88" s="90"/>
      <c r="I88" s="1132" t="s">
        <v>144</v>
      </c>
      <c r="J88" s="1132"/>
      <c r="K88" s="91"/>
      <c r="L88" s="29"/>
      <c r="M88" s="29"/>
      <c r="N88" s="29"/>
      <c r="O88" s="28" t="s">
        <v>0</v>
      </c>
      <c r="P88" s="27">
        <f>P82+SUM(P84:P87)</f>
        <v>0</v>
      </c>
    </row>
    <row r="89" spans="1:16" s="12" customFormat="1" ht="13.5" customHeight="1" x14ac:dyDescent="0.2">
      <c r="A89" s="1178" t="s">
        <v>18</v>
      </c>
      <c r="B89" s="1178"/>
      <c r="C89" s="1178"/>
      <c r="D89" s="1179" t="str">
        <f>IF($D$1="","",$D$1)</f>
        <v/>
      </c>
      <c r="E89" s="1179"/>
      <c r="F89" s="1179"/>
      <c r="G89" s="1179"/>
      <c r="H89" s="1179"/>
      <c r="I89" s="1179"/>
      <c r="J89" s="1179"/>
      <c r="K89" s="1179"/>
      <c r="L89" s="1179"/>
      <c r="M89" s="1179"/>
      <c r="N89" s="1179"/>
    </row>
    <row r="90" spans="1:16" s="12" customFormat="1" ht="15" customHeight="1" x14ac:dyDescent="0.2">
      <c r="A90" s="1178" t="s">
        <v>17</v>
      </c>
      <c r="B90" s="1178"/>
      <c r="C90" s="1178" t="s">
        <v>15</v>
      </c>
      <c r="D90" s="1179" t="str">
        <f>IF($D$2="","",$D$2)</f>
        <v/>
      </c>
      <c r="E90" s="1179"/>
      <c r="F90" s="1179"/>
      <c r="G90" s="1179"/>
      <c r="H90" s="1179"/>
      <c r="I90" s="1179"/>
      <c r="J90" s="1179"/>
      <c r="K90" s="1179"/>
      <c r="L90" s="1179"/>
      <c r="M90" s="1179"/>
      <c r="N90" s="1179"/>
    </row>
    <row r="91" spans="1:16" s="12" customFormat="1" ht="15" customHeight="1" x14ac:dyDescent="0.2">
      <c r="A91" s="1178" t="s">
        <v>16</v>
      </c>
      <c r="B91" s="1178"/>
      <c r="C91" s="1178" t="s">
        <v>15</v>
      </c>
      <c r="D91" s="1179" t="str">
        <f>IF($D$3="","",$D$3)</f>
        <v/>
      </c>
      <c r="E91" s="1179"/>
      <c r="F91" s="1179"/>
      <c r="G91" s="1179"/>
      <c r="H91" s="1179"/>
      <c r="I91" s="1179"/>
      <c r="J91" s="1179"/>
      <c r="K91" s="1178" t="s">
        <v>103</v>
      </c>
      <c r="L91" s="1178"/>
      <c r="M91" s="1178"/>
      <c r="N91" s="41" t="str">
        <f>IF($N$3="","",$N$3)</f>
        <v/>
      </c>
    </row>
    <row r="92" spans="1:16" s="13" customFormat="1" ht="11.25" x14ac:dyDescent="0.2">
      <c r="A92" s="1182"/>
      <c r="B92" s="1182"/>
      <c r="C92" s="1182"/>
      <c r="D92" s="1183"/>
      <c r="E92" s="1183"/>
      <c r="F92" s="1183"/>
      <c r="G92" s="1183"/>
      <c r="H92" s="1183"/>
      <c r="I92" s="1183"/>
      <c r="J92" s="1183"/>
      <c r="K92" s="11"/>
      <c r="L92" s="11"/>
      <c r="M92" s="11"/>
      <c r="N92" s="11"/>
      <c r="O92" s="11"/>
      <c r="P92" s="11"/>
    </row>
    <row r="93" spans="1:16" s="15" customFormat="1" ht="13.5" customHeight="1" x14ac:dyDescent="0.2">
      <c r="A93" s="1177" t="s">
        <v>240</v>
      </c>
      <c r="B93" s="1177"/>
      <c r="C93" s="1177"/>
      <c r="D93" s="1177"/>
      <c r="E93" s="1177"/>
      <c r="F93" s="1177"/>
      <c r="G93" s="1177"/>
      <c r="H93" s="1177"/>
      <c r="I93" s="1177"/>
      <c r="J93" s="1177"/>
      <c r="K93" s="1177"/>
      <c r="L93" s="9"/>
      <c r="M93" s="9"/>
      <c r="N93" s="59" t="s">
        <v>154</v>
      </c>
      <c r="O93" s="191">
        <f>'päd.Personal - Leitung'!$O$5</f>
        <v>2022</v>
      </c>
      <c r="P93" s="59" t="s">
        <v>154</v>
      </c>
    </row>
    <row r="94" spans="1:16" s="10" customFormat="1" ht="13.5" customHeight="1" x14ac:dyDescent="0.25">
      <c r="B94" s="32"/>
      <c r="C94" s="32"/>
      <c r="D94" s="5" t="s">
        <v>208</v>
      </c>
      <c r="E94" s="31"/>
      <c r="F94" s="31"/>
      <c r="G94" s="31"/>
      <c r="H94" s="31"/>
      <c r="I94" s="26"/>
      <c r="J94" s="1197"/>
      <c r="K94" s="1197"/>
      <c r="L94" s="111"/>
      <c r="N94" s="84">
        <f>IF(L96="","",L96)</f>
        <v>0</v>
      </c>
      <c r="O94" s="58" t="str">
        <f>'päd.Personal - Leitung'!$O$6</f>
        <v>Jan                Jul</v>
      </c>
      <c r="P94" s="85">
        <f>IF(N99="","",N99)</f>
        <v>0</v>
      </c>
    </row>
    <row r="95" spans="1:16" s="7" customFormat="1" ht="13.5" customHeight="1" x14ac:dyDescent="0.25">
      <c r="A95" s="1180" t="s">
        <v>71</v>
      </c>
      <c r="B95" s="1180"/>
      <c r="C95" s="1180"/>
      <c r="D95" s="1184"/>
      <c r="E95" s="1184"/>
      <c r="F95" s="1184"/>
      <c r="G95" s="1184"/>
      <c r="H95" s="1184"/>
      <c r="I95" s="1184"/>
      <c r="J95" s="1174" t="s">
        <v>104</v>
      </c>
      <c r="K95" s="1174"/>
      <c r="L95" s="145"/>
      <c r="N95" s="85">
        <f>IF(N94="","",N94)</f>
        <v>0</v>
      </c>
      <c r="O95" s="58" t="str">
        <f>'päd.Personal - Leitung'!$O$7</f>
        <v>Feb              Aug</v>
      </c>
      <c r="P95" s="85">
        <f>IF(P94="","",P94)</f>
        <v>0</v>
      </c>
    </row>
    <row r="96" spans="1:16" s="1" customFormat="1" ht="13.5" customHeight="1" x14ac:dyDescent="0.2">
      <c r="A96" s="1180" t="s">
        <v>13</v>
      </c>
      <c r="B96" s="1180"/>
      <c r="C96" s="1180"/>
      <c r="D96" s="1181"/>
      <c r="E96" s="1181"/>
      <c r="F96" s="1181"/>
      <c r="G96" s="1181"/>
      <c r="H96" s="1181"/>
      <c r="I96" s="1181"/>
      <c r="J96" s="1174" t="s">
        <v>222</v>
      </c>
      <c r="K96" s="1174"/>
      <c r="L96" s="145">
        <f>IF(L97&gt;L95,0,L95-L97)</f>
        <v>0</v>
      </c>
      <c r="N96" s="85">
        <f>IF(N95="","",N95)</f>
        <v>0</v>
      </c>
      <c r="O96" s="58" t="str">
        <f>'päd.Personal - Leitung'!$O$8</f>
        <v>Mrz              Sep</v>
      </c>
      <c r="P96" s="85">
        <f>IF(P95="","",P95)</f>
        <v>0</v>
      </c>
    </row>
    <row r="97" spans="1:16" s="1" customFormat="1" ht="13.5" customHeight="1" x14ac:dyDescent="0.2">
      <c r="A97" s="1180" t="s">
        <v>80</v>
      </c>
      <c r="B97" s="1180"/>
      <c r="C97" s="1180"/>
      <c r="D97" s="1181"/>
      <c r="E97" s="1181"/>
      <c r="F97" s="1181"/>
      <c r="G97" s="1181"/>
      <c r="H97" s="1181"/>
      <c r="I97" s="1181"/>
      <c r="J97" s="1174" t="s">
        <v>223</v>
      </c>
      <c r="K97" s="1174"/>
      <c r="L97" s="145"/>
      <c r="N97" s="85">
        <f>IF(N96="","",N96)</f>
        <v>0</v>
      </c>
      <c r="O97" s="58" t="str">
        <f>'päd.Personal - Leitung'!$O$9</f>
        <v>Apr               Okt</v>
      </c>
      <c r="P97" s="85">
        <f t="shared" ref="P97:P99" si="12">IF(P96="","",P96)</f>
        <v>0</v>
      </c>
    </row>
    <row r="98" spans="1:16" s="1" customFormat="1" ht="13.5" customHeight="1" x14ac:dyDescent="0.2">
      <c r="A98" s="1180" t="s">
        <v>19</v>
      </c>
      <c r="B98" s="1180"/>
      <c r="C98" s="1180"/>
      <c r="D98" s="1181"/>
      <c r="E98" s="1181"/>
      <c r="F98" s="1181"/>
      <c r="G98" s="1181"/>
      <c r="H98" s="1181"/>
      <c r="I98" s="1181"/>
      <c r="J98" s="1174" t="s">
        <v>97</v>
      </c>
      <c r="K98" s="1174"/>
      <c r="L98" s="17" t="str">
        <f>IF(IF((COUNTIF(B114:B125,"&gt;0"))=0,0,(COUNTIF(B114:B125,"&gt;0")))&gt;Grundlagen!$C$24,Grundlagen!$C$24,IF((COUNTIF(B114:B125,"&gt;0"))=0,"",(COUNTIF(B114:B125,"&gt;0"))))</f>
        <v/>
      </c>
      <c r="M98" s="92"/>
      <c r="N98" s="85">
        <f>IF(N97="","",N97)</f>
        <v>0</v>
      </c>
      <c r="O98" s="58" t="str">
        <f>'päd.Personal - Leitung'!$O$10</f>
        <v>Mai               Nov</v>
      </c>
      <c r="P98" s="85">
        <f t="shared" si="12"/>
        <v>0</v>
      </c>
    </row>
    <row r="99" spans="1:16" s="1" customFormat="1" ht="13.5" customHeight="1" x14ac:dyDescent="0.2">
      <c r="B99" s="8"/>
      <c r="C99" s="141" t="s">
        <v>162</v>
      </c>
      <c r="D99" s="1175"/>
      <c r="E99" s="1175"/>
      <c r="F99" s="1176" t="s">
        <v>106</v>
      </c>
      <c r="G99" s="1176"/>
      <c r="H99" s="1186"/>
      <c r="I99" s="1186"/>
      <c r="L99" s="147" t="str">
        <f>IF((SUM(E102:F105))=0,"",IF(P100&gt;L96,L96,IF(L96="","",IF(L98="","",P100))))</f>
        <v/>
      </c>
      <c r="N99" s="85">
        <f>IF(N98="","",N98)</f>
        <v>0</v>
      </c>
      <c r="O99" s="58" t="str">
        <f>'päd.Personal - Leitung'!$O$11</f>
        <v>Jun               Dez</v>
      </c>
      <c r="P99" s="85">
        <f t="shared" si="12"/>
        <v>0</v>
      </c>
    </row>
    <row r="100" spans="1:16" s="1" customFormat="1" ht="13.5" customHeight="1" x14ac:dyDescent="0.2">
      <c r="O100" s="174" t="s">
        <v>251</v>
      </c>
      <c r="P100" s="175">
        <f>IF(L98="",0,((IF(SUMIF(B114,"&gt;0"),N94,0))+(IF(SUMIF(B115,"&gt;0"),N95,0))+(IF(SUMIF(B116,"&gt;0"),N96,0))+(IF(SUMIF(B117,"&gt;0"),N97,0))+(IF(SUMIF(B118,"&gt;0"),N98,0))+(IF(SUMIF(B119,"&gt;0"),N99,0))+(IF(SUMIF(B120,"&gt;0"),P94,0))+(IF(SUMIF(B121,"&gt;0"),P95,0))+(IF(SUMIF(B122,"&gt;0"),P96,0))+(IF(SUMIF(B123,"&gt;0"),P97,0))+(IF(SUMIF(B124,"&gt;0"),P98,0))+(IF(SUMIF(B125,"&gt;0"),P99,0)))/Grundlagen!$C$24)</f>
        <v>0</v>
      </c>
    </row>
    <row r="101" spans="1:16" s="156" customFormat="1" ht="14.25" customHeight="1" x14ac:dyDescent="0.25">
      <c r="A101" s="150" t="s">
        <v>197</v>
      </c>
      <c r="B101" s="63"/>
      <c r="C101" s="151"/>
      <c r="D101" s="63"/>
      <c r="E101" s="1229" t="s">
        <v>198</v>
      </c>
      <c r="F101" s="1229"/>
      <c r="G101" s="65" t="s">
        <v>152</v>
      </c>
      <c r="H101" s="117"/>
      <c r="I101" s="152"/>
      <c r="J101" s="152"/>
      <c r="K101" s="153"/>
      <c r="L101" s="154"/>
      <c r="M101" s="153"/>
      <c r="N101" s="155"/>
      <c r="O101" s="116"/>
    </row>
    <row r="102" spans="1:16" s="156" customFormat="1" ht="14.25" customHeight="1" x14ac:dyDescent="0.25">
      <c r="A102" s="54" t="str">
        <f>A114</f>
        <v>Jan 2022</v>
      </c>
      <c r="B102" s="1233"/>
      <c r="C102" s="1234"/>
      <c r="D102" s="1235"/>
      <c r="E102" s="1222"/>
      <c r="F102" s="1223"/>
      <c r="G102" s="157">
        <f>IF(L96=0,0,E102/L95/4.348)</f>
        <v>0</v>
      </c>
      <c r="H102" s="118"/>
    </row>
    <row r="103" spans="1:16" s="156" customFormat="1" ht="14.25" customHeight="1" x14ac:dyDescent="0.25">
      <c r="A103" s="55"/>
      <c r="B103" s="1233"/>
      <c r="C103" s="1234"/>
      <c r="D103" s="1235"/>
      <c r="E103" s="1222"/>
      <c r="F103" s="1223"/>
      <c r="G103" s="157">
        <f>IF(L96=0,0,E103/L95/4.348)</f>
        <v>0</v>
      </c>
      <c r="H103" s="65"/>
    </row>
    <row r="104" spans="1:16" s="156" customFormat="1" ht="14.25" customHeight="1" x14ac:dyDescent="0.25">
      <c r="A104" s="55"/>
      <c r="B104" s="1233"/>
      <c r="C104" s="1234"/>
      <c r="D104" s="1235"/>
      <c r="E104" s="1222"/>
      <c r="F104" s="1223"/>
      <c r="G104" s="157">
        <f>IF(L96=0,0,E104/L95/4.348)</f>
        <v>0</v>
      </c>
      <c r="H104" s="116"/>
    </row>
    <row r="105" spans="1:16" s="116" customFormat="1" ht="14.25" customHeight="1" x14ac:dyDescent="0.25">
      <c r="A105" s="55"/>
      <c r="B105" s="1233"/>
      <c r="C105" s="1234"/>
      <c r="D105" s="1235"/>
      <c r="E105" s="1222"/>
      <c r="F105" s="1223"/>
      <c r="G105" s="157">
        <f>IF(L96=0,0,E105/L95/4.348)</f>
        <v>0</v>
      </c>
      <c r="H105" s="117"/>
    </row>
    <row r="106" spans="1:16" s="116" customFormat="1" ht="14.25" customHeight="1" x14ac:dyDescent="0.25">
      <c r="A106" s="52"/>
      <c r="B106" s="1167" t="s">
        <v>157</v>
      </c>
      <c r="C106" s="1167"/>
      <c r="D106" s="52"/>
      <c r="E106" s="1167" t="s">
        <v>156</v>
      </c>
      <c r="F106" s="1167"/>
      <c r="G106" s="119"/>
      <c r="H106" s="117"/>
    </row>
    <row r="107" spans="1:16" s="156" customFormat="1" ht="14.25" customHeight="1" x14ac:dyDescent="0.25">
      <c r="A107" s="70" t="s">
        <v>167</v>
      </c>
      <c r="B107" s="67"/>
      <c r="C107" s="99"/>
      <c r="D107" s="70" t="s">
        <v>167</v>
      </c>
      <c r="E107" s="67"/>
      <c r="F107" s="99"/>
      <c r="H107" s="117"/>
      <c r="K107" s="152"/>
      <c r="L107" s="152"/>
      <c r="M107" s="152"/>
      <c r="N107" s="159"/>
      <c r="O107" s="152"/>
    </row>
    <row r="108" spans="1:16" s="52" customFormat="1" ht="13.5" customHeight="1" x14ac:dyDescent="0.2">
      <c r="A108" s="60" t="s">
        <v>155</v>
      </c>
    </row>
    <row r="109" spans="1:16" ht="14.25" customHeight="1" x14ac:dyDescent="0.2">
      <c r="A109" s="1147"/>
      <c r="B109" s="1149" t="s">
        <v>9</v>
      </c>
      <c r="C109" s="1150"/>
      <c r="D109" s="1150"/>
      <c r="E109" s="1150"/>
      <c r="F109" s="1150"/>
      <c r="G109" s="1151"/>
      <c r="H109" s="1152" t="s">
        <v>8</v>
      </c>
      <c r="I109" s="1153"/>
      <c r="J109" s="1153"/>
      <c r="K109" s="1153"/>
      <c r="L109" s="1153"/>
      <c r="M109" s="1153"/>
      <c r="N109" s="146"/>
      <c r="O109" s="33"/>
      <c r="P109" s="1154" t="s">
        <v>0</v>
      </c>
    </row>
    <row r="110" spans="1:16" ht="14.25" customHeight="1" x14ac:dyDescent="0.2">
      <c r="A110" s="1148"/>
      <c r="B110" s="1157" t="s">
        <v>117</v>
      </c>
      <c r="C110" s="144" t="s">
        <v>115</v>
      </c>
      <c r="D110" s="1159" t="s">
        <v>277</v>
      </c>
      <c r="E110" s="1161" t="s">
        <v>147</v>
      </c>
      <c r="F110" s="149" t="s">
        <v>7</v>
      </c>
      <c r="G110" s="1162" t="s">
        <v>6</v>
      </c>
      <c r="H110" s="1161" t="s">
        <v>129</v>
      </c>
      <c r="I110" s="1161" t="s">
        <v>5</v>
      </c>
      <c r="J110" s="1161" t="s">
        <v>206</v>
      </c>
      <c r="K110" s="1161" t="s">
        <v>121</v>
      </c>
      <c r="L110" s="1161" t="s">
        <v>122</v>
      </c>
      <c r="M110" s="1161" t="s">
        <v>123</v>
      </c>
      <c r="N110" s="149" t="s">
        <v>7</v>
      </c>
      <c r="O110" s="1160" t="s">
        <v>114</v>
      </c>
      <c r="P110" s="1155"/>
    </row>
    <row r="111" spans="1:16" ht="14.25" customHeight="1" x14ac:dyDescent="0.2">
      <c r="A111" s="1148"/>
      <c r="B111" s="1157"/>
      <c r="C111" s="21" t="str">
        <f>IF(C107="","",C107)</f>
        <v/>
      </c>
      <c r="D111" s="1160"/>
      <c r="E111" s="1161"/>
      <c r="F111" s="1236" t="str">
        <f>IF(H102=0,"","siehe Zuschläge / Zulagen")</f>
        <v/>
      </c>
      <c r="G111" s="1162"/>
      <c r="H111" s="1164" t="s">
        <v>127</v>
      </c>
      <c r="I111" s="1164"/>
      <c r="J111" s="1164"/>
      <c r="K111" s="1164"/>
      <c r="L111" s="1164"/>
      <c r="M111" s="1164"/>
      <c r="N111" s="1236" t="str">
        <f>IF(P102=0,"","siehe Zuschläge / Zulagen")</f>
        <v/>
      </c>
      <c r="O111" s="1160"/>
      <c r="P111" s="1155"/>
    </row>
    <row r="112" spans="1:16" ht="14.25" customHeight="1" x14ac:dyDescent="0.2">
      <c r="A112" s="1148"/>
      <c r="B112" s="1157"/>
      <c r="C112" s="142" t="s">
        <v>70</v>
      </c>
      <c r="D112" s="1160"/>
      <c r="E112" s="1161"/>
      <c r="F112" s="1236"/>
      <c r="G112" s="1162"/>
      <c r="H112" s="120" t="s">
        <v>261</v>
      </c>
      <c r="I112" s="185" t="s">
        <v>262</v>
      </c>
      <c r="J112" s="185" t="s">
        <v>263</v>
      </c>
      <c r="K112" s="185" t="s">
        <v>264</v>
      </c>
      <c r="L112" s="185" t="s">
        <v>265</v>
      </c>
      <c r="M112" s="185" t="s">
        <v>254</v>
      </c>
      <c r="N112" s="1236"/>
      <c r="O112" s="1160"/>
      <c r="P112" s="1155"/>
    </row>
    <row r="113" spans="1:16" x14ac:dyDescent="0.2">
      <c r="A113" s="1148"/>
      <c r="B113" s="1158"/>
      <c r="C113" s="21" t="str">
        <f>IF(F107="","",F107)</f>
        <v/>
      </c>
      <c r="D113" s="51"/>
      <c r="E113" s="51"/>
      <c r="F113" s="51"/>
      <c r="G113" s="1163"/>
      <c r="H113" s="21"/>
      <c r="I113" s="21"/>
      <c r="J113" s="21"/>
      <c r="K113" s="34"/>
      <c r="L113" s="34"/>
      <c r="M113" s="25"/>
      <c r="N113" s="51"/>
      <c r="O113" s="21">
        <f>'päd.Personal - Leitung'!$O$69</f>
        <v>0</v>
      </c>
      <c r="P113" s="1156"/>
    </row>
    <row r="114" spans="1:16" x14ac:dyDescent="0.2">
      <c r="A114" s="100" t="str">
        <f>'päd.Personal - Leitung'!$A$26</f>
        <v>Jan 2022</v>
      </c>
      <c r="B114" s="24">
        <f>ROUND(IF(N94=0,0,(LOOKUP(2,1/(A102:A105=A114),E102:E105))/L95*N94),2)</f>
        <v>0</v>
      </c>
      <c r="C114" s="23">
        <f>ROUND(IFERROR(((LOOKUP(2,1/(B107=A114),((SUM(B120:B122)+SUM(F120:F122))/3)*C107))),0)+IFERROR(((LOOKUP(2,1/(E107=A114),(B126+F126)*F107))),0),2)</f>
        <v>0</v>
      </c>
      <c r="D114" s="23">
        <f>IF(B114=0,0,D113/L95*N94)</f>
        <v>0</v>
      </c>
      <c r="E114" s="23">
        <f>IF(B114=0,0,E113/N91*N94)</f>
        <v>0</v>
      </c>
      <c r="F114" s="23">
        <f>IF(B114=0,0,F113/L95*N94)</f>
        <v>0</v>
      </c>
      <c r="G114" s="27">
        <f>SUM(B114+C114+E114+F114)</f>
        <v>0</v>
      </c>
      <c r="H114" s="76">
        <f>ROUND(SUM(B114:F114)*H113,2)</f>
        <v>0</v>
      </c>
      <c r="I114" s="76">
        <f>ROUND(SUM(B114:F114)*I113,2)</f>
        <v>0</v>
      </c>
      <c r="J114" s="76">
        <f>ROUND(SUM(B114:F114)*J113,2)</f>
        <v>0</v>
      </c>
      <c r="K114" s="27">
        <f>ROUND((B114+SUM(D114:F114))*K113,2)</f>
        <v>0</v>
      </c>
      <c r="L114" s="27">
        <f>ROUND((B114+SUM(D114:F114))*L113,2)</f>
        <v>0</v>
      </c>
      <c r="M114" s="76">
        <f>ROUND(SUM(B114:F114)*M113,2)</f>
        <v>0</v>
      </c>
      <c r="N114" s="23"/>
      <c r="O114" s="23">
        <f>ROUND(SUM(B114+C114+F114)*O113,2)</f>
        <v>0</v>
      </c>
      <c r="P114" s="27">
        <f>SUM(G114:O114)</f>
        <v>0</v>
      </c>
    </row>
    <row r="115" spans="1:16" x14ac:dyDescent="0.2">
      <c r="A115" s="100" t="str">
        <f>'päd.Personal - Leitung'!$A$27</f>
        <v>Feb 2022</v>
      </c>
      <c r="B115" s="24">
        <f>ROUND(IF(N95=0,0,IFERROR(((LOOKUP(2,1/(A102:A105=A115),E102:E105))/L95*N95),B114/N95*N95)),2)</f>
        <v>0</v>
      </c>
      <c r="C115" s="23">
        <f>ROUND(IFERROR(((LOOKUP(2,1/(B107=A115),((SUM(B120:B122)+SUM(F120:F122))/3)*C107))),0)+IFERROR(((LOOKUP(2,1/(E107=A115),(B126+F126)*F107))),0),2)</f>
        <v>0</v>
      </c>
      <c r="D115" s="23">
        <f>IF(B115=0,0,D113/L95*N95)</f>
        <v>0</v>
      </c>
      <c r="E115" s="23">
        <f>IF(B115=0,0,E113/N91*N95)</f>
        <v>0</v>
      </c>
      <c r="F115" s="23">
        <f>IF(B115=0,0,F113/L95*N95)</f>
        <v>0</v>
      </c>
      <c r="G115" s="27">
        <f t="shared" ref="G115:G125" si="13">SUM(B115+C115+E115+F115)</f>
        <v>0</v>
      </c>
      <c r="H115" s="76">
        <f>ROUND(SUM(B115:F115)*H113,2)</f>
        <v>0</v>
      </c>
      <c r="I115" s="76">
        <f>ROUND(SUM(B115:F115)*I113,2)</f>
        <v>0</v>
      </c>
      <c r="J115" s="76">
        <f>ROUND(SUM(B115:F115)*J113,2)</f>
        <v>0</v>
      </c>
      <c r="K115" s="27">
        <f>ROUND((B115+SUM(D115:F115))*K113,2)</f>
        <v>0</v>
      </c>
      <c r="L115" s="27">
        <f>ROUND((B115+SUM(D115:F115))*L113,2)</f>
        <v>0</v>
      </c>
      <c r="M115" s="76">
        <f>ROUND(SUM(B115:F115)*M113,2)</f>
        <v>0</v>
      </c>
      <c r="N115" s="23"/>
      <c r="O115" s="23">
        <f>ROUND(SUM(B115+C115+F115)*O113,2)</f>
        <v>0</v>
      </c>
      <c r="P115" s="27">
        <f>SUM(G115:O115)</f>
        <v>0</v>
      </c>
    </row>
    <row r="116" spans="1:16" x14ac:dyDescent="0.2">
      <c r="A116" s="100" t="str">
        <f>'päd.Personal - Leitung'!$A$28</f>
        <v>Mrz 2022</v>
      </c>
      <c r="B116" s="24">
        <f>ROUND(IF(N96=0,0,IFERROR(((LOOKUP(2,1/(A102:A105=A116),E102:E105))/L95*N96),B115/N96*N96)),2)</f>
        <v>0</v>
      </c>
      <c r="C116" s="23">
        <f>ROUND(IFERROR(((LOOKUP(2,1/(B107=A116),((SUM(B120:B122)+SUM(F120:F122))/3)*C107))),0)+IFERROR(((LOOKUP(2,1/(E107=A116),(B126+F126)*F107))),0),2)</f>
        <v>0</v>
      </c>
      <c r="D116" s="23">
        <f>IF(B116=0,0,D113/L95*N96)</f>
        <v>0</v>
      </c>
      <c r="E116" s="23">
        <f>IF(B116=0,0,E113/N91*N96)</f>
        <v>0</v>
      </c>
      <c r="F116" s="23">
        <f>IF(B116=0,0,F113/L95*N96)</f>
        <v>0</v>
      </c>
      <c r="G116" s="27">
        <f t="shared" si="13"/>
        <v>0</v>
      </c>
      <c r="H116" s="76">
        <f>ROUND(SUM(B116:F116)*H113,2)</f>
        <v>0</v>
      </c>
      <c r="I116" s="76">
        <f>ROUND(SUM(B116:F116)*I113,2)</f>
        <v>0</v>
      </c>
      <c r="J116" s="76">
        <f>ROUND(SUM(B116:F116)*J113,2)</f>
        <v>0</v>
      </c>
      <c r="K116" s="27">
        <f>ROUND((B116+SUM(D116:F116))*K113,2)</f>
        <v>0</v>
      </c>
      <c r="L116" s="27">
        <f>ROUND((B116+SUM(D116:F116))*L113,2)</f>
        <v>0</v>
      </c>
      <c r="M116" s="76">
        <f>ROUND(SUM(B116:F116)*M113,2)</f>
        <v>0</v>
      </c>
      <c r="N116" s="23"/>
      <c r="O116" s="23">
        <f>ROUND(SUM(B116+C116+F116)*O113,2)</f>
        <v>0</v>
      </c>
      <c r="P116" s="27">
        <f t="shared" ref="P116" si="14">SUM(G116:O116)</f>
        <v>0</v>
      </c>
    </row>
    <row r="117" spans="1:16" x14ac:dyDescent="0.2">
      <c r="A117" s="100" t="str">
        <f>'päd.Personal - Leitung'!$A$29</f>
        <v>Apr 2022</v>
      </c>
      <c r="B117" s="24">
        <f>ROUND(IF(N97=0,0,IFERROR(((LOOKUP(2,1/(A102:A105=A117),E102:E105))/L95*N97),B116/N97*N97)),2)</f>
        <v>0</v>
      </c>
      <c r="C117" s="23">
        <f>ROUND(IFERROR(((LOOKUP(2,1/(B107=A117),((SUM(B120:B122)+SUM(F120:F122))/3)*C107))),0)+IFERROR(((LOOKUP(2,1/(E107=A117),(B126+F126)*F107))),0),2)</f>
        <v>0</v>
      </c>
      <c r="D117" s="23">
        <f>IF(B117=0,0,D113/L95*N97)</f>
        <v>0</v>
      </c>
      <c r="E117" s="23">
        <f>IF(B117=0,0,E113/N91*N97)</f>
        <v>0</v>
      </c>
      <c r="F117" s="23">
        <f>IF(B117=0,0,F113/L95*N97)</f>
        <v>0</v>
      </c>
      <c r="G117" s="27">
        <f t="shared" si="13"/>
        <v>0</v>
      </c>
      <c r="H117" s="76">
        <f>ROUND(SUM(B117:F117)*H113,2)</f>
        <v>0</v>
      </c>
      <c r="I117" s="76">
        <f>ROUND(SUM(B117:F117)*I113,2)</f>
        <v>0</v>
      </c>
      <c r="J117" s="76">
        <f>ROUND(SUM(B117:F117)*J113,2)</f>
        <v>0</v>
      </c>
      <c r="K117" s="27">
        <f>ROUND((B117+SUM(D117:F117))*K113,2)</f>
        <v>0</v>
      </c>
      <c r="L117" s="27">
        <f>ROUND((B117+SUM(D117:F117))*L113,2)</f>
        <v>0</v>
      </c>
      <c r="M117" s="76">
        <f>ROUND(SUM(B117:F117)*M113,2)</f>
        <v>0</v>
      </c>
      <c r="N117" s="23"/>
      <c r="O117" s="23">
        <f>ROUND(SUM(B117+C117+F117)*O113,2)</f>
        <v>0</v>
      </c>
      <c r="P117" s="27">
        <f>SUM(G117:O117)</f>
        <v>0</v>
      </c>
    </row>
    <row r="118" spans="1:16" x14ac:dyDescent="0.2">
      <c r="A118" s="100" t="str">
        <f>'päd.Personal - Leitung'!$A$30</f>
        <v>Mai 2022</v>
      </c>
      <c r="B118" s="24">
        <f>ROUND(IF(N98=0,0,IFERROR(((LOOKUP(2,1/(A102:A105=A118),E102:E105))/L95*N98),B117/N98*N98)),2)</f>
        <v>0</v>
      </c>
      <c r="C118" s="23">
        <f>ROUND(IFERROR(((LOOKUP(2,1/(B107=A118),((SUM(B120:B122)+SUM(F120:F122))/3)*C107))),0)+IFERROR(((LOOKUP(2,1/(E107=A118),(B126+F126)*F107))),0),2)</f>
        <v>0</v>
      </c>
      <c r="D118" s="23">
        <f>IF(B118=0,0,D113/L95*N98)</f>
        <v>0</v>
      </c>
      <c r="E118" s="23">
        <f>IF(B118=0,0,E113/N91*N98)</f>
        <v>0</v>
      </c>
      <c r="F118" s="23">
        <f>IF(B118=0,0,F113/L95*N98)</f>
        <v>0</v>
      </c>
      <c r="G118" s="27">
        <f t="shared" si="13"/>
        <v>0</v>
      </c>
      <c r="H118" s="76">
        <f>ROUND(SUM(B118:F118)*H113,2)</f>
        <v>0</v>
      </c>
      <c r="I118" s="76">
        <f>ROUND(SUM(B118:F118)*I113,2)</f>
        <v>0</v>
      </c>
      <c r="J118" s="76">
        <f>ROUND(SUM(B118:F118)*J113,2)</f>
        <v>0</v>
      </c>
      <c r="K118" s="27">
        <f>ROUND((B118+SUM(D118:F118))*K113,2)</f>
        <v>0</v>
      </c>
      <c r="L118" s="27">
        <f>ROUND((B118+SUM(D118:F118))*L113,2)</f>
        <v>0</v>
      </c>
      <c r="M118" s="76">
        <f>ROUND(SUM(B118:F118)*M113,2)</f>
        <v>0</v>
      </c>
      <c r="N118" s="23"/>
      <c r="O118" s="23">
        <f>ROUND(SUM(B118+C118+F118)*O113,2)</f>
        <v>0</v>
      </c>
      <c r="P118" s="27">
        <f t="shared" ref="P118" si="15">SUM(G118:O118)</f>
        <v>0</v>
      </c>
    </row>
    <row r="119" spans="1:16" x14ac:dyDescent="0.2">
      <c r="A119" s="100" t="str">
        <f>'päd.Personal - Leitung'!$A$31</f>
        <v>Jun 2022</v>
      </c>
      <c r="B119" s="24">
        <f>ROUND(IF(N99=0,0,IFERROR(((LOOKUP(2,1/(A102:A105=A119),E102:E105))/L95*N99),B118/N99*N99)),2)</f>
        <v>0</v>
      </c>
      <c r="C119" s="23">
        <f>ROUND(IFERROR(((LOOKUP(2,1/(B107=A119),((SUM(B120:B122)+SUM(F120:F122))/3)*C107))),0)+IFERROR(((LOOKUP(2,1/(E107=A119),(B126+F126)*F107))),0),2)</f>
        <v>0</v>
      </c>
      <c r="D119" s="23">
        <f>IF(B119=0,0,D113/L95*N99)</f>
        <v>0</v>
      </c>
      <c r="E119" s="23">
        <f>IF(B119=0,0,E113/N91*N99)</f>
        <v>0</v>
      </c>
      <c r="F119" s="23">
        <f>IF(B119=0,0,F113/L95*N99)</f>
        <v>0</v>
      </c>
      <c r="G119" s="27">
        <f t="shared" si="13"/>
        <v>0</v>
      </c>
      <c r="H119" s="76">
        <f>ROUND(SUM(B119:F119)*H113,2)</f>
        <v>0</v>
      </c>
      <c r="I119" s="76">
        <f>ROUND(SUM(B119:F119)*I113,2)</f>
        <v>0</v>
      </c>
      <c r="J119" s="76">
        <f>ROUND(SUM(B119:F119)*J113,2)</f>
        <v>0</v>
      </c>
      <c r="K119" s="27">
        <f>ROUND((B119+SUM(D119:F119))*K113,2)</f>
        <v>0</v>
      </c>
      <c r="L119" s="27">
        <f>ROUND((B119+SUM(D119:F119))*L113,2)</f>
        <v>0</v>
      </c>
      <c r="M119" s="76">
        <f>ROUND(SUM(B119:F119)*M113,2)</f>
        <v>0</v>
      </c>
      <c r="N119" s="23"/>
      <c r="O119" s="23">
        <f>ROUND(SUM(B119+C119+F119)*O113,2)</f>
        <v>0</v>
      </c>
      <c r="P119" s="27">
        <f t="shared" ref="P119:P125" si="16">SUM(G119:O119)</f>
        <v>0</v>
      </c>
    </row>
    <row r="120" spans="1:16" x14ac:dyDescent="0.2">
      <c r="A120" s="100" t="str">
        <f>'päd.Personal - Leitung'!$A$32</f>
        <v>Jul 2022</v>
      </c>
      <c r="B120" s="24">
        <f>ROUND(IF(P94=0,0,IFERROR(((LOOKUP(2,1/(A102:A105=A120),E102:E105))/L95*P94),B119/P94*P94)),2)</f>
        <v>0</v>
      </c>
      <c r="C120" s="23">
        <f>ROUND(IFERROR(((LOOKUP(2,1/(B107=A120),((SUM(B120:B122)+SUM(F120:F122))/3)*C107))),0)+IFERROR(((LOOKUP(2,1/(E107=A120),(B126+F126)*F107))),0),2)</f>
        <v>0</v>
      </c>
      <c r="D120" s="23">
        <f>IF(B120=0,0,D113/L95*P94)</f>
        <v>0</v>
      </c>
      <c r="E120" s="23">
        <f>IF(B120=0,0,E113/N91*P94)</f>
        <v>0</v>
      </c>
      <c r="F120" s="23">
        <f>IF(B120=0,0,F113/L95*P94)</f>
        <v>0</v>
      </c>
      <c r="G120" s="27">
        <f t="shared" si="13"/>
        <v>0</v>
      </c>
      <c r="H120" s="76">
        <f>ROUND(SUM(B120:F120)*H113,2)</f>
        <v>0</v>
      </c>
      <c r="I120" s="76">
        <f>ROUND(SUM(B120:F120)*I113,2)</f>
        <v>0</v>
      </c>
      <c r="J120" s="76">
        <f>ROUND(SUM(B120:F120)*J113,2)</f>
        <v>0</v>
      </c>
      <c r="K120" s="27">
        <f>ROUND((B120+SUM(D120:F120))*K113,2)</f>
        <v>0</v>
      </c>
      <c r="L120" s="27">
        <f>ROUND((B120+SUM(D120:F120))*L113,2)</f>
        <v>0</v>
      </c>
      <c r="M120" s="76">
        <f>ROUND(SUM(B120:F120)*M113,2)</f>
        <v>0</v>
      </c>
      <c r="N120" s="23"/>
      <c r="O120" s="23">
        <f>ROUND(SUM(B120+C120+F120)*O113,2)</f>
        <v>0</v>
      </c>
      <c r="P120" s="27">
        <f t="shared" si="16"/>
        <v>0</v>
      </c>
    </row>
    <row r="121" spans="1:16" x14ac:dyDescent="0.2">
      <c r="A121" s="100" t="str">
        <f>'päd.Personal - Leitung'!$A$33</f>
        <v>Aug 2022</v>
      </c>
      <c r="B121" s="24">
        <f>ROUND(IF(P95=0,0,IFERROR(((LOOKUP(2,1/(A102:A105=A121),E102:E105))/L95*P95),B120/P95*P95)),2)</f>
        <v>0</v>
      </c>
      <c r="C121" s="23">
        <f>ROUND(IFERROR(((LOOKUP(2,1/(B107=A121),((SUM(B120:B122)+SUM(F120:F122))/3)*C107))),0)+IFERROR(((LOOKUP(2,1/(E107=A121),(B126+F126)*F107))),0),2)</f>
        <v>0</v>
      </c>
      <c r="D121" s="23">
        <f>IF(B121=0,0,D113/L95*P95)</f>
        <v>0</v>
      </c>
      <c r="E121" s="23">
        <f>IF(B121=0,0,E113/N91*P95)</f>
        <v>0</v>
      </c>
      <c r="F121" s="23">
        <f>IF(B121=0,0,F113/L95*P95)</f>
        <v>0</v>
      </c>
      <c r="G121" s="27">
        <f t="shared" si="13"/>
        <v>0</v>
      </c>
      <c r="H121" s="76">
        <f>ROUND(SUM(B121:F121)*H113,2)</f>
        <v>0</v>
      </c>
      <c r="I121" s="76">
        <f>ROUND(SUM(B121:F121)*I113,2)</f>
        <v>0</v>
      </c>
      <c r="J121" s="76">
        <f>ROUND(SUM(B121:F121)*J113,2)</f>
        <v>0</v>
      </c>
      <c r="K121" s="27">
        <f>ROUND((B121+SUM(D121:F121))*K113,2)</f>
        <v>0</v>
      </c>
      <c r="L121" s="27">
        <f>ROUND((B121+SUM(D121:F121))*L113,2)</f>
        <v>0</v>
      </c>
      <c r="M121" s="76">
        <f>ROUND(SUM(B121:F121)*M113,2)</f>
        <v>0</v>
      </c>
      <c r="N121" s="23"/>
      <c r="O121" s="23">
        <f>ROUND(SUM(B121+C121+F121)*O113,2)</f>
        <v>0</v>
      </c>
      <c r="P121" s="27">
        <f t="shared" si="16"/>
        <v>0</v>
      </c>
    </row>
    <row r="122" spans="1:16" x14ac:dyDescent="0.2">
      <c r="A122" s="100" t="str">
        <f>'päd.Personal - Leitung'!$A$34</f>
        <v>Sep 2022</v>
      </c>
      <c r="B122" s="24">
        <f>ROUND(IF(P96=0,0,IFERROR(((LOOKUP(2,1/(A102:A105=A122),E102:E105))/L95*P96),B121/P96*P96)),2)</f>
        <v>0</v>
      </c>
      <c r="C122" s="23">
        <f>ROUND(IFERROR(((LOOKUP(2,1/(B107=A122),((SUM(B120:B122)+SUM(F120:F122))/3)*C107))),0)+IFERROR(((LOOKUP(2,1/(E107=A122),(B126+F126)*F107))),0),2)</f>
        <v>0</v>
      </c>
      <c r="D122" s="23">
        <f>IF(B122=0,0,D113/L95*P96)</f>
        <v>0</v>
      </c>
      <c r="E122" s="23">
        <f>IF(B122=0,0,E113/N91*P96)</f>
        <v>0</v>
      </c>
      <c r="F122" s="23">
        <f>IF(B122=0,0,F113/L95*P96)</f>
        <v>0</v>
      </c>
      <c r="G122" s="27">
        <f t="shared" si="13"/>
        <v>0</v>
      </c>
      <c r="H122" s="76">
        <f>ROUND(SUM(B122:F122)*H113,2)</f>
        <v>0</v>
      </c>
      <c r="I122" s="76">
        <f>ROUND(SUM(B122:F122)*I113,2)</f>
        <v>0</v>
      </c>
      <c r="J122" s="76">
        <f>ROUND(SUM(B122:F122)*J113,2)</f>
        <v>0</v>
      </c>
      <c r="K122" s="27">
        <f>ROUND((B122+SUM(D122:F122))*K113,2)</f>
        <v>0</v>
      </c>
      <c r="L122" s="27">
        <f>ROUND((B122+SUM(D122:F122))*L113,2)</f>
        <v>0</v>
      </c>
      <c r="M122" s="76">
        <f>ROUND(SUM(B122:F122)*M113,2)</f>
        <v>0</v>
      </c>
      <c r="N122" s="23"/>
      <c r="O122" s="23">
        <f>ROUND(SUM(B122+C122+F122)*O113,2)</f>
        <v>0</v>
      </c>
      <c r="P122" s="27">
        <f t="shared" si="16"/>
        <v>0</v>
      </c>
    </row>
    <row r="123" spans="1:16" x14ac:dyDescent="0.2">
      <c r="A123" s="100" t="str">
        <f>'päd.Personal - Leitung'!$A$35</f>
        <v>Okt 2022</v>
      </c>
      <c r="B123" s="24">
        <f>ROUND(IF(P97=0,0,IFERROR(((LOOKUP(2,1/(A102:A105=A123),E102:E105))/L95*P97),B122/P97*P97)),2)</f>
        <v>0</v>
      </c>
      <c r="C123" s="23">
        <f>ROUND(IFERROR(((LOOKUP(2,1/(B107=A123),((SUM(B120:B122)+SUM(F120:F122))/3)*C107))),0)+IFERROR(((LOOKUP(2,1/(E107=A123),(B126+F126)*F107))),0),2)</f>
        <v>0</v>
      </c>
      <c r="D123" s="23">
        <f>IF(B123=0,0,D113/L95*P97)</f>
        <v>0</v>
      </c>
      <c r="E123" s="23">
        <f>IF(B123=0,0,E113/N91*P97)</f>
        <v>0</v>
      </c>
      <c r="F123" s="23">
        <f>IF(B123=0,0,F113/L95*P97)</f>
        <v>0</v>
      </c>
      <c r="G123" s="27">
        <f t="shared" si="13"/>
        <v>0</v>
      </c>
      <c r="H123" s="76">
        <f>ROUND(SUM(B123:F123)*H113,2)</f>
        <v>0</v>
      </c>
      <c r="I123" s="76">
        <f>ROUND(SUM(B123:F123)*I113,2)</f>
        <v>0</v>
      </c>
      <c r="J123" s="76">
        <f>ROUND(SUM(B123:F123)*J113,2)</f>
        <v>0</v>
      </c>
      <c r="K123" s="27">
        <f>ROUND((B123+SUM(D123:F123))*K113,2)</f>
        <v>0</v>
      </c>
      <c r="L123" s="27">
        <f>ROUND((B123+SUM(D123:F123))*L113,2)</f>
        <v>0</v>
      </c>
      <c r="M123" s="76">
        <f>ROUND(SUM(B123:F123)*M113,2)</f>
        <v>0</v>
      </c>
      <c r="N123" s="23"/>
      <c r="O123" s="23">
        <f>ROUND(SUM(B123+C123+F123)*O113,2)</f>
        <v>0</v>
      </c>
      <c r="P123" s="27">
        <f t="shared" si="16"/>
        <v>0</v>
      </c>
    </row>
    <row r="124" spans="1:16" x14ac:dyDescent="0.2">
      <c r="A124" s="100" t="str">
        <f>'päd.Personal - Leitung'!$A$36</f>
        <v>Nov 2022</v>
      </c>
      <c r="B124" s="24">
        <f>ROUND(IF(P98=0,0,IFERROR(((LOOKUP(2,1/(A102:A105=A124),E102:E105))/L95*P98),B123/P98*P98)),2)</f>
        <v>0</v>
      </c>
      <c r="C124" s="23">
        <f>ROUND(IFERROR(((LOOKUP(2,1/(B107=A124),((SUM(B120:B122)+SUM(F120:F122))/3)*C107))),0)+IFERROR(((LOOKUP(2,1/(E107=A124),(B126+F126)*F107))),0),2)</f>
        <v>0</v>
      </c>
      <c r="D124" s="23">
        <f>IF(B124=0,0,D113/L95*P98)</f>
        <v>0</v>
      </c>
      <c r="E124" s="23">
        <f>IF(B124=0,0,E113/N91*P98)</f>
        <v>0</v>
      </c>
      <c r="F124" s="23">
        <f>IF(B124=0,0,F113/L95*P98)</f>
        <v>0</v>
      </c>
      <c r="G124" s="27">
        <f t="shared" si="13"/>
        <v>0</v>
      </c>
      <c r="H124" s="76">
        <f>ROUND(SUM(B124:F124)*H113,2)</f>
        <v>0</v>
      </c>
      <c r="I124" s="76">
        <f>ROUND(SUM(B124:F124)*I113,2)</f>
        <v>0</v>
      </c>
      <c r="J124" s="76">
        <f>ROUND(SUM(B124:F124)*J113,2)</f>
        <v>0</v>
      </c>
      <c r="K124" s="27">
        <f>ROUND((B124+SUM(D124:F124))*K113,2)</f>
        <v>0</v>
      </c>
      <c r="L124" s="27">
        <f>ROUND((B124+SUM(D124:F124))*L113,2)</f>
        <v>0</v>
      </c>
      <c r="M124" s="76">
        <f>ROUND(SUM(B124:F124)*M113,2)</f>
        <v>0</v>
      </c>
      <c r="N124" s="23"/>
      <c r="O124" s="23">
        <f>ROUND(SUM(B124+C124+F124)*O113,2)</f>
        <v>0</v>
      </c>
      <c r="P124" s="27">
        <f t="shared" si="16"/>
        <v>0</v>
      </c>
    </row>
    <row r="125" spans="1:16" x14ac:dyDescent="0.2">
      <c r="A125" s="100" t="str">
        <f>'päd.Personal - Leitung'!$A$37</f>
        <v>Dez 2022</v>
      </c>
      <c r="B125" s="24">
        <f>ROUND(IF(P99=0,0,IFERROR(((LOOKUP(2,1/(A102:A105=A125),E102:E105))/L95*P99),B124/P99*P99)),2)</f>
        <v>0</v>
      </c>
      <c r="C125" s="23">
        <f>ROUND(IFERROR(((LOOKUP(2,1/(B107=A125),((SUM(B120:B122)+SUM(F120:F122))/3)*C107))),0)+IFERROR(((LOOKUP(2,1/(E107=A125),(B126+F126)*F107))),0),2)</f>
        <v>0</v>
      </c>
      <c r="D125" s="23">
        <f>IF(B125=0,0,D113/L95*P99)</f>
        <v>0</v>
      </c>
      <c r="E125" s="23">
        <f>IF(B125=0,0,E113/N91*P99)</f>
        <v>0</v>
      </c>
      <c r="F125" s="23">
        <f>IF(B125=0,0,F113/L95*P99)</f>
        <v>0</v>
      </c>
      <c r="G125" s="27">
        <f t="shared" si="13"/>
        <v>0</v>
      </c>
      <c r="H125" s="76">
        <f>ROUND(SUM(B125:F125)*H113,2)</f>
        <v>0</v>
      </c>
      <c r="I125" s="76">
        <f>ROUND(SUM(B125:F125)*I113,2)</f>
        <v>0</v>
      </c>
      <c r="J125" s="76">
        <f>ROUND(SUM(B125:F125)*J113,2)</f>
        <v>0</v>
      </c>
      <c r="K125" s="27">
        <f>ROUND((B125+SUM(D125:F125))*K113,2)</f>
        <v>0</v>
      </c>
      <c r="L125" s="27">
        <f>ROUND((B125+SUM(D125:F125))*L113,2)</f>
        <v>0</v>
      </c>
      <c r="M125" s="76">
        <f>ROUND(SUM(B125:F125)*M113,2)</f>
        <v>0</v>
      </c>
      <c r="N125" s="23"/>
      <c r="O125" s="23">
        <f>ROUND(SUM(B125+C125+F125)*O113,2)</f>
        <v>0</v>
      </c>
      <c r="P125" s="27">
        <f t="shared" si="16"/>
        <v>0</v>
      </c>
    </row>
    <row r="126" spans="1:16" x14ac:dyDescent="0.2">
      <c r="A126" s="4" t="s">
        <v>2</v>
      </c>
      <c r="B126" s="27">
        <f t="shared" ref="B126:G126" si="17">SUM(B114:B125)</f>
        <v>0</v>
      </c>
      <c r="C126" s="27">
        <f t="shared" si="17"/>
        <v>0</v>
      </c>
      <c r="D126" s="27">
        <f t="shared" si="17"/>
        <v>0</v>
      </c>
      <c r="E126" s="27">
        <f t="shared" si="17"/>
        <v>0</v>
      </c>
      <c r="F126" s="27">
        <f t="shared" si="17"/>
        <v>0</v>
      </c>
      <c r="G126" s="27">
        <f t="shared" si="17"/>
        <v>0</v>
      </c>
      <c r="H126" s="1133">
        <f>SUM(H114:N125)</f>
        <v>0</v>
      </c>
      <c r="I126" s="1134"/>
      <c r="J126" s="1134"/>
      <c r="K126" s="1134"/>
      <c r="L126" s="1134"/>
      <c r="M126" s="1135"/>
      <c r="N126" s="27">
        <f>SUM(N114:N125)</f>
        <v>0</v>
      </c>
      <c r="O126" s="27">
        <f>SUM(O114:O125)</f>
        <v>0</v>
      </c>
      <c r="P126" s="27">
        <f>SUM(P114:P125)</f>
        <v>0</v>
      </c>
    </row>
    <row r="127" spans="1:16" s="13" customFormat="1" ht="11.25" x14ac:dyDescent="0.2">
      <c r="A127" s="3" t="s">
        <v>1</v>
      </c>
      <c r="B127" s="2"/>
      <c r="C127" s="2"/>
      <c r="D127" s="2"/>
      <c r="E127" s="2"/>
      <c r="F127" s="2"/>
      <c r="G127" s="2"/>
      <c r="H127" s="2"/>
      <c r="I127" s="2"/>
      <c r="J127" s="2"/>
      <c r="K127" s="2"/>
      <c r="L127" s="2"/>
      <c r="M127" s="2"/>
      <c r="N127" s="2"/>
      <c r="O127" s="2"/>
      <c r="P127" s="2"/>
    </row>
    <row r="128" spans="1:16" s="1" customFormat="1" ht="14.25" customHeight="1" x14ac:dyDescent="0.2">
      <c r="A128" s="1136" t="s">
        <v>133</v>
      </c>
      <c r="B128" s="1137"/>
      <c r="C128" s="1137"/>
      <c r="D128" s="1137" t="s">
        <v>134</v>
      </c>
      <c r="E128" s="1137"/>
      <c r="F128" s="46"/>
      <c r="G128" s="77" t="s">
        <v>135</v>
      </c>
      <c r="H128" s="71"/>
      <c r="I128" s="73"/>
      <c r="J128" s="78"/>
      <c r="K128" s="78"/>
      <c r="L128" s="78"/>
      <c r="M128" s="1138" t="s">
        <v>140</v>
      </c>
      <c r="N128" s="1138"/>
      <c r="O128" s="1139"/>
      <c r="P128" s="27">
        <f>ROUND(IF(F128="",IF(E132="",0,(E132*H132/K132)/L95*L96),G126*F128*H128/1000),2)</f>
        <v>0</v>
      </c>
    </row>
    <row r="129" spans="1:16" s="1" customFormat="1" ht="15" customHeight="1" x14ac:dyDescent="0.2">
      <c r="A129" s="1140" t="s">
        <v>145</v>
      </c>
      <c r="B129" s="1141"/>
      <c r="C129" s="1141"/>
      <c r="D129" s="18"/>
      <c r="E129" s="107" t="s">
        <v>135</v>
      </c>
      <c r="F129" s="49"/>
      <c r="G129" s="48"/>
      <c r="H129" s="47"/>
      <c r="I129" s="48"/>
      <c r="J129" s="79"/>
      <c r="K129" s="80"/>
      <c r="L129" s="81"/>
      <c r="M129" s="1138" t="s">
        <v>139</v>
      </c>
      <c r="N129" s="1138"/>
      <c r="O129" s="1139"/>
      <c r="P129" s="27">
        <f>ROUND(IF(F129="",0,G126*F129/1000),2)</f>
        <v>0</v>
      </c>
    </row>
    <row r="130" spans="1:16" s="1" customFormat="1" ht="15.75" customHeight="1" x14ac:dyDescent="0.2">
      <c r="A130" s="1142" t="s">
        <v>141</v>
      </c>
      <c r="B130" s="1143"/>
      <c r="C130" s="1143"/>
      <c r="D130" s="1144" t="s">
        <v>143</v>
      </c>
      <c r="E130" s="1144"/>
      <c r="F130" s="1145"/>
      <c r="G130" s="1145"/>
      <c r="H130" s="72"/>
      <c r="I130" s="18"/>
      <c r="J130" s="79"/>
      <c r="K130" s="80"/>
      <c r="L130" s="81"/>
      <c r="M130" s="1138" t="s">
        <v>141</v>
      </c>
      <c r="N130" s="1138"/>
      <c r="O130" s="1139"/>
      <c r="P130" s="23">
        <f>ROUND(IF(F130="",0,IF(G126=0,0,F130/L95*L96)),2)</f>
        <v>0</v>
      </c>
    </row>
    <row r="131" spans="1:16" s="1" customFormat="1" ht="14.25" customHeight="1" x14ac:dyDescent="0.2">
      <c r="A131" s="18"/>
      <c r="B131" s="18"/>
      <c r="C131" s="18"/>
      <c r="D131" s="18"/>
      <c r="E131" s="18"/>
      <c r="F131" s="18"/>
      <c r="G131" s="18"/>
      <c r="H131" s="18"/>
      <c r="I131" s="18"/>
      <c r="J131" s="18"/>
      <c r="K131" s="74"/>
      <c r="L131" s="82"/>
      <c r="M131" s="1127" t="s">
        <v>146</v>
      </c>
      <c r="N131" s="1127"/>
      <c r="O131" s="1128"/>
      <c r="P131" s="23">
        <f>ROUND(IF(G126=0,0,$P$43),2)</f>
        <v>0</v>
      </c>
    </row>
    <row r="132" spans="1:16" s="1" customFormat="1" ht="14.25" customHeight="1" x14ac:dyDescent="0.2">
      <c r="A132" s="1129" t="s">
        <v>142</v>
      </c>
      <c r="B132" s="1130"/>
      <c r="C132" s="148" t="s">
        <v>136</v>
      </c>
      <c r="D132" s="148" t="s">
        <v>137</v>
      </c>
      <c r="E132" s="1185"/>
      <c r="F132" s="1185"/>
      <c r="G132" s="83" t="s">
        <v>138</v>
      </c>
      <c r="H132" s="90"/>
      <c r="I132" s="1132" t="s">
        <v>144</v>
      </c>
      <c r="J132" s="1132"/>
      <c r="K132" s="91"/>
      <c r="L132" s="29"/>
      <c r="M132" s="29"/>
      <c r="N132" s="29"/>
      <c r="O132" s="28" t="s">
        <v>0</v>
      </c>
      <c r="P132" s="27">
        <f>P126+SUM(P128:P131)</f>
        <v>0</v>
      </c>
    </row>
  </sheetData>
  <sheetProtection algorithmName="SHA-512" hashValue="SoKrg/t3wO4EirKzRRJPMCZ20AI7cx4tto7yspI/cyDVhd3CXW/CartMRt7PHersPG/9tF8LmNtOuw3fx4WiFQ==" saltValue="ExxZc7sWJKGJwMCneBBtMg==" spinCount="100000" sheet="1" objects="1" scenarios="1"/>
  <mergeCells count="204">
    <mergeCell ref="M131:O131"/>
    <mergeCell ref="A132:B132"/>
    <mergeCell ref="E132:F132"/>
    <mergeCell ref="I132:J132"/>
    <mergeCell ref="H126:M126"/>
    <mergeCell ref="A128:C128"/>
    <mergeCell ref="D128:E128"/>
    <mergeCell ref="M128:O128"/>
    <mergeCell ref="A129:C129"/>
    <mergeCell ref="M129:O129"/>
    <mergeCell ref="A130:C130"/>
    <mergeCell ref="D130:E130"/>
    <mergeCell ref="F130:G130"/>
    <mergeCell ref="M130:O130"/>
    <mergeCell ref="B105:D105"/>
    <mergeCell ref="E105:F105"/>
    <mergeCell ref="B106:C106"/>
    <mergeCell ref="E106:F106"/>
    <mergeCell ref="A109:A113"/>
    <mergeCell ref="B109:G109"/>
    <mergeCell ref="H109:M109"/>
    <mergeCell ref="P109:P113"/>
    <mergeCell ref="B110:B113"/>
    <mergeCell ref="D110:D112"/>
    <mergeCell ref="E110:E112"/>
    <mergeCell ref="G110:G113"/>
    <mergeCell ref="H110:H111"/>
    <mergeCell ref="I110:I111"/>
    <mergeCell ref="J110:J111"/>
    <mergeCell ref="K110:K111"/>
    <mergeCell ref="L110:L111"/>
    <mergeCell ref="M110:M111"/>
    <mergeCell ref="O110:O112"/>
    <mergeCell ref="F111:F112"/>
    <mergeCell ref="N111:N112"/>
    <mergeCell ref="F99:G99"/>
    <mergeCell ref="H99:I99"/>
    <mergeCell ref="E101:F101"/>
    <mergeCell ref="B102:D102"/>
    <mergeCell ref="E102:F102"/>
    <mergeCell ref="B103:D103"/>
    <mergeCell ref="E103:F103"/>
    <mergeCell ref="B104:D104"/>
    <mergeCell ref="E104:F104"/>
    <mergeCell ref="A89:C89"/>
    <mergeCell ref="D89:N89"/>
    <mergeCell ref="A90:C90"/>
    <mergeCell ref="D90:N90"/>
    <mergeCell ref="A91:C91"/>
    <mergeCell ref="D91:J91"/>
    <mergeCell ref="K91:M91"/>
    <mergeCell ref="A92:C92"/>
    <mergeCell ref="D92:J92"/>
    <mergeCell ref="H82:M82"/>
    <mergeCell ref="D84:E84"/>
    <mergeCell ref="M84:O84"/>
    <mergeCell ref="A85:C85"/>
    <mergeCell ref="M85:O85"/>
    <mergeCell ref="A86:C86"/>
    <mergeCell ref="D86:E86"/>
    <mergeCell ref="F86:G86"/>
    <mergeCell ref="M86:O86"/>
    <mergeCell ref="H65:M65"/>
    <mergeCell ref="P65:P69"/>
    <mergeCell ref="B66:B69"/>
    <mergeCell ref="D66:D68"/>
    <mergeCell ref="E66:E68"/>
    <mergeCell ref="G66:G69"/>
    <mergeCell ref="H66:H67"/>
    <mergeCell ref="I66:I67"/>
    <mergeCell ref="J66:J67"/>
    <mergeCell ref="K66:K67"/>
    <mergeCell ref="L66:L67"/>
    <mergeCell ref="M66:M67"/>
    <mergeCell ref="O66:O68"/>
    <mergeCell ref="F67:F68"/>
    <mergeCell ref="N67:N68"/>
    <mergeCell ref="B59:D59"/>
    <mergeCell ref="E59:F59"/>
    <mergeCell ref="B60:D60"/>
    <mergeCell ref="E60:F60"/>
    <mergeCell ref="B61:D61"/>
    <mergeCell ref="E61:F61"/>
    <mergeCell ref="B62:C62"/>
    <mergeCell ref="E62:F62"/>
    <mergeCell ref="A65:A69"/>
    <mergeCell ref="B65:G65"/>
    <mergeCell ref="A54:C54"/>
    <mergeCell ref="D54:I54"/>
    <mergeCell ref="J54:K54"/>
    <mergeCell ref="D55:E55"/>
    <mergeCell ref="F55:G55"/>
    <mergeCell ref="H55:I55"/>
    <mergeCell ref="E57:F57"/>
    <mergeCell ref="B58:D58"/>
    <mergeCell ref="E58:F58"/>
    <mergeCell ref="A49:K49"/>
    <mergeCell ref="J50:K50"/>
    <mergeCell ref="A51:C51"/>
    <mergeCell ref="D51:I51"/>
    <mergeCell ref="J51:K51"/>
    <mergeCell ref="A52:C52"/>
    <mergeCell ref="D52:I52"/>
    <mergeCell ref="J52:K52"/>
    <mergeCell ref="A53:C53"/>
    <mergeCell ref="D53:I53"/>
    <mergeCell ref="J53:K53"/>
    <mergeCell ref="M42:O42"/>
    <mergeCell ref="M43:O43"/>
    <mergeCell ref="A44:B44"/>
    <mergeCell ref="E44:F44"/>
    <mergeCell ref="I44:J44"/>
    <mergeCell ref="D45:N45"/>
    <mergeCell ref="D46:N46"/>
    <mergeCell ref="D47:J47"/>
    <mergeCell ref="A48:C48"/>
    <mergeCell ref="D48:J48"/>
    <mergeCell ref="A45:C45"/>
    <mergeCell ref="A46:C46"/>
    <mergeCell ref="A47:C47"/>
    <mergeCell ref="A21:A25"/>
    <mergeCell ref="B21:G21"/>
    <mergeCell ref="H21:M21"/>
    <mergeCell ref="P21:P25"/>
    <mergeCell ref="B22:B25"/>
    <mergeCell ref="D22:D24"/>
    <mergeCell ref="E22:E24"/>
    <mergeCell ref="G22:G25"/>
    <mergeCell ref="H22:H23"/>
    <mergeCell ref="I22:I23"/>
    <mergeCell ref="J22:J23"/>
    <mergeCell ref="K22:K23"/>
    <mergeCell ref="L22:L23"/>
    <mergeCell ref="M22:M23"/>
    <mergeCell ref="O22:O24"/>
    <mergeCell ref="F23:F24"/>
    <mergeCell ref="N23:N24"/>
    <mergeCell ref="B14:D14"/>
    <mergeCell ref="E14:F14"/>
    <mergeCell ref="B15:D15"/>
    <mergeCell ref="E15:F15"/>
    <mergeCell ref="B16:D16"/>
    <mergeCell ref="E16:F16"/>
    <mergeCell ref="B17:D17"/>
    <mergeCell ref="E17:F17"/>
    <mergeCell ref="B18:C18"/>
    <mergeCell ref="E18:F18"/>
    <mergeCell ref="J8:K8"/>
    <mergeCell ref="D9:I9"/>
    <mergeCell ref="J9:K9"/>
    <mergeCell ref="D10:I10"/>
    <mergeCell ref="J10:K10"/>
    <mergeCell ref="D11:E11"/>
    <mergeCell ref="F11:G11"/>
    <mergeCell ref="H11:I11"/>
    <mergeCell ref="E13:F13"/>
    <mergeCell ref="M40:O40"/>
    <mergeCell ref="M41:O41"/>
    <mergeCell ref="A42:C42"/>
    <mergeCell ref="D42:E42"/>
    <mergeCell ref="F42:G42"/>
    <mergeCell ref="D1:N1"/>
    <mergeCell ref="D2:N2"/>
    <mergeCell ref="A40:C40"/>
    <mergeCell ref="A41:C41"/>
    <mergeCell ref="A1:C1"/>
    <mergeCell ref="A2:C2"/>
    <mergeCell ref="D3:J3"/>
    <mergeCell ref="K3:M3"/>
    <mergeCell ref="D4:J4"/>
    <mergeCell ref="A5:K5"/>
    <mergeCell ref="J6:K6"/>
    <mergeCell ref="D7:I7"/>
    <mergeCell ref="A3:C3"/>
    <mergeCell ref="A8:C8"/>
    <mergeCell ref="A9:C9"/>
    <mergeCell ref="A4:C4"/>
    <mergeCell ref="A7:C7"/>
    <mergeCell ref="J7:K7"/>
    <mergeCell ref="D8:I8"/>
    <mergeCell ref="A10:C10"/>
    <mergeCell ref="K47:M47"/>
    <mergeCell ref="A98:C98"/>
    <mergeCell ref="D98:I98"/>
    <mergeCell ref="J98:K98"/>
    <mergeCell ref="D99:E99"/>
    <mergeCell ref="A84:C84"/>
    <mergeCell ref="M87:O87"/>
    <mergeCell ref="A88:B88"/>
    <mergeCell ref="E88:F88"/>
    <mergeCell ref="I88:J88"/>
    <mergeCell ref="A93:K93"/>
    <mergeCell ref="J94:K94"/>
    <mergeCell ref="A95:C95"/>
    <mergeCell ref="D95:I95"/>
    <mergeCell ref="J95:K95"/>
    <mergeCell ref="A96:C96"/>
    <mergeCell ref="D96:I96"/>
    <mergeCell ref="J96:K96"/>
    <mergeCell ref="A97:C97"/>
    <mergeCell ref="D97:I97"/>
    <mergeCell ref="J97:K97"/>
    <mergeCell ref="H38:M38"/>
    <mergeCell ref="D40:E40"/>
  </mergeCells>
  <dataValidations count="1">
    <dataValidation type="list" allowBlank="1" showInputMessage="1" showErrorMessage="1" sqref="E107 B107 B63 E63 B19 E19">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&amp;10&amp;KFF0000techn. Personal - sonstige/r Arbeitnehmer/in
&amp;R&amp;G</oddHeader>
    <oddFooter>&amp;L&amp;"Arial,Standard"&amp;7JSZ - Jahressonderzahlung o.ä.
LOB - Leistungsorientierte Bezahlung o.ä.
SV - Sozialversicherung
BAV - Betriebliche Altersvorsorge&amp;C&amp;"Arial,Standard"&amp;8
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A103:A105 A59:A61 A15:A17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Layout" zoomScaleNormal="100" workbookViewId="0"/>
  </sheetViews>
  <sheetFormatPr baseColWidth="10" defaultRowHeight="15" x14ac:dyDescent="0.25"/>
  <cols>
    <col min="1" max="16384" width="11.42578125" style="50"/>
  </cols>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51"/>
  <sheetViews>
    <sheetView showGridLines="0" view="pageLayout" zoomScale="90" zoomScaleNormal="90" zoomScalePageLayoutView="90" workbookViewId="0">
      <selection activeCell="E1" sqref="E1:F1"/>
    </sheetView>
  </sheetViews>
  <sheetFormatPr baseColWidth="10" defaultColWidth="2.140625" defaultRowHeight="12.75" x14ac:dyDescent="0.2"/>
  <cols>
    <col min="1" max="1" width="4.28515625" style="685" customWidth="1"/>
    <col min="2" max="2" width="10.5703125" style="577" customWidth="1"/>
    <col min="3" max="4" width="4.7109375" style="751" hidden="1" customWidth="1"/>
    <col min="5" max="5" width="8.42578125" style="578" bestFit="1" customWidth="1"/>
    <col min="6" max="6" width="17.42578125" style="577" customWidth="1"/>
    <col min="7" max="7" width="10.28515625" style="576" customWidth="1"/>
    <col min="8" max="8" width="25.28515625" style="577" customWidth="1"/>
    <col min="9" max="9" width="8.140625" style="596" customWidth="1"/>
    <col min="10" max="10" width="13.28515625" style="579" customWidth="1"/>
    <col min="11" max="13" width="12.28515625" style="581" customWidth="1"/>
    <col min="14" max="15" width="12.28515625" style="579" customWidth="1"/>
    <col min="16" max="16" width="13.85546875" style="579" customWidth="1"/>
    <col min="17" max="17" width="13.140625" style="581" customWidth="1"/>
    <col min="18" max="16384" width="2.140625" style="581"/>
  </cols>
  <sheetData>
    <row r="1" spans="1:17" ht="15" x14ac:dyDescent="0.25">
      <c r="A1" s="951" t="s">
        <v>674</v>
      </c>
      <c r="B1" s="952"/>
      <c r="C1" s="688"/>
      <c r="D1" s="688"/>
      <c r="E1" s="962">
        <f>IF(Grundlagen!$C$4="","",Grundlagen!$C$4)</f>
        <v>2022</v>
      </c>
      <c r="F1" s="962"/>
      <c r="G1" s="689"/>
      <c r="H1" s="690"/>
      <c r="I1" s="690"/>
      <c r="J1" s="690"/>
    </row>
    <row r="2" spans="1:17" ht="13.5" customHeight="1" x14ac:dyDescent="0.25">
      <c r="A2" s="951" t="s">
        <v>18</v>
      </c>
      <c r="B2" s="952"/>
      <c r="C2" s="688"/>
      <c r="D2" s="688"/>
      <c r="E2" s="953" t="str">
        <f>IF(Grundlagen!$C$6="","",Grundlagen!$C$6)</f>
        <v/>
      </c>
      <c r="F2" s="953"/>
      <c r="G2" s="953"/>
      <c r="H2" s="953"/>
      <c r="I2" s="953"/>
      <c r="J2" s="953"/>
      <c r="K2" s="690"/>
    </row>
    <row r="3" spans="1:17" ht="15" customHeight="1" x14ac:dyDescent="0.25">
      <c r="A3" s="951" t="s">
        <v>17</v>
      </c>
      <c r="B3" s="952"/>
      <c r="C3" s="688"/>
      <c r="D3" s="688"/>
      <c r="E3" s="953" t="str">
        <f>IF(Grundlagen!$C$9="","",Grundlagen!$C$9)</f>
        <v/>
      </c>
      <c r="F3" s="953"/>
      <c r="G3" s="953"/>
      <c r="H3" s="953"/>
      <c r="I3" s="953"/>
      <c r="J3" s="953"/>
      <c r="K3" s="690"/>
    </row>
    <row r="4" spans="1:17" ht="15" customHeight="1" x14ac:dyDescent="0.25">
      <c r="A4" s="951" t="s">
        <v>16</v>
      </c>
      <c r="B4" s="952"/>
      <c r="C4" s="688"/>
      <c r="D4" s="688"/>
      <c r="E4" s="953" t="str">
        <f>IF(Grundlagen!$C$13="","",Grundlagen!$C$13)</f>
        <v/>
      </c>
      <c r="F4" s="953"/>
      <c r="G4" s="953"/>
      <c r="H4" s="953"/>
      <c r="I4" s="953"/>
      <c r="J4" s="953"/>
      <c r="K4" s="690"/>
    </row>
    <row r="5" spans="1:17" s="590" customFormat="1" ht="6.75" customHeight="1" x14ac:dyDescent="0.25">
      <c r="A5" s="583"/>
      <c r="B5" s="691"/>
      <c r="C5" s="688"/>
      <c r="D5" s="688"/>
      <c r="E5" s="689"/>
      <c r="F5" s="586"/>
      <c r="G5" s="587"/>
      <c r="H5" s="588"/>
      <c r="I5" s="588"/>
      <c r="J5" s="589"/>
      <c r="N5" s="589"/>
      <c r="O5" s="589"/>
      <c r="P5" s="589"/>
    </row>
    <row r="6" spans="1:17" x14ac:dyDescent="0.2">
      <c r="A6" s="842" t="s">
        <v>675</v>
      </c>
      <c r="B6" s="592"/>
      <c r="C6" s="692"/>
      <c r="D6" s="692"/>
      <c r="E6" s="594"/>
      <c r="F6" s="592"/>
      <c r="G6" s="595"/>
      <c r="H6" s="592"/>
    </row>
    <row r="7" spans="1:17" s="590" customFormat="1" ht="9" customHeight="1" x14ac:dyDescent="0.25">
      <c r="A7" s="583"/>
      <c r="B7" s="691"/>
      <c r="C7" s="688"/>
      <c r="D7" s="688"/>
      <c r="E7" s="689"/>
      <c r="F7" s="586"/>
      <c r="G7" s="587"/>
      <c r="H7" s="588"/>
      <c r="I7" s="588"/>
      <c r="J7" s="589"/>
      <c r="N7" s="589"/>
      <c r="O7" s="589"/>
      <c r="P7" s="589"/>
    </row>
    <row r="8" spans="1:17" ht="12.75" customHeight="1" x14ac:dyDescent="0.2">
      <c r="A8" s="954" t="s">
        <v>358</v>
      </c>
      <c r="B8" s="957" t="s">
        <v>676</v>
      </c>
      <c r="C8" s="693"/>
      <c r="D8" s="693"/>
      <c r="E8" s="957" t="s">
        <v>677</v>
      </c>
      <c r="F8" s="957" t="s">
        <v>678</v>
      </c>
      <c r="G8" s="957" t="s">
        <v>679</v>
      </c>
      <c r="H8" s="957" t="s">
        <v>680</v>
      </c>
      <c r="I8" s="958" t="s">
        <v>681</v>
      </c>
      <c r="J8" s="961" t="s">
        <v>682</v>
      </c>
      <c r="K8" s="961"/>
      <c r="L8" s="961"/>
      <c r="M8" s="961"/>
      <c r="N8" s="961"/>
      <c r="O8" s="961"/>
      <c r="P8" s="961"/>
      <c r="Q8" s="961"/>
    </row>
    <row r="9" spans="1:17" s="598" customFormat="1" ht="12.75" customHeight="1" x14ac:dyDescent="0.2">
      <c r="A9" s="955"/>
      <c r="B9" s="949"/>
      <c r="C9" s="694"/>
      <c r="D9" s="694"/>
      <c r="E9" s="949"/>
      <c r="F9" s="949"/>
      <c r="G9" s="949"/>
      <c r="H9" s="949"/>
      <c r="I9" s="959"/>
      <c r="J9" s="949" t="s">
        <v>683</v>
      </c>
      <c r="K9" s="949" t="s">
        <v>684</v>
      </c>
      <c r="L9" s="949" t="s">
        <v>685</v>
      </c>
      <c r="M9" s="949" t="s">
        <v>686</v>
      </c>
      <c r="N9" s="949" t="s">
        <v>687</v>
      </c>
      <c r="O9" s="949" t="s">
        <v>688</v>
      </c>
      <c r="P9" s="943" t="s">
        <v>689</v>
      </c>
      <c r="Q9" s="946" t="s">
        <v>6</v>
      </c>
    </row>
    <row r="10" spans="1:17" s="598" customFormat="1" ht="12.95" customHeight="1" x14ac:dyDescent="0.2">
      <c r="A10" s="955"/>
      <c r="B10" s="949"/>
      <c r="C10" s="694"/>
      <c r="D10" s="694"/>
      <c r="E10" s="949"/>
      <c r="F10" s="949"/>
      <c r="G10" s="949"/>
      <c r="H10" s="949"/>
      <c r="I10" s="959"/>
      <c r="J10" s="949"/>
      <c r="K10" s="949"/>
      <c r="L10" s="949"/>
      <c r="M10" s="949"/>
      <c r="N10" s="949"/>
      <c r="O10" s="949"/>
      <c r="P10" s="944"/>
      <c r="Q10" s="946"/>
    </row>
    <row r="11" spans="1:17" s="598" customFormat="1" ht="12.95" customHeight="1" x14ac:dyDescent="0.2">
      <c r="A11" s="955"/>
      <c r="B11" s="947" t="s">
        <v>690</v>
      </c>
      <c r="C11" s="694"/>
      <c r="D11" s="694"/>
      <c r="E11" s="949"/>
      <c r="F11" s="949"/>
      <c r="G11" s="947" t="s">
        <v>691</v>
      </c>
      <c r="H11" s="949"/>
      <c r="I11" s="959"/>
      <c r="J11" s="949"/>
      <c r="K11" s="949"/>
      <c r="L11" s="949"/>
      <c r="M11" s="949"/>
      <c r="N11" s="949"/>
      <c r="O11" s="949"/>
      <c r="P11" s="944"/>
      <c r="Q11" s="946"/>
    </row>
    <row r="12" spans="1:17" s="598" customFormat="1" ht="12.95" customHeight="1" x14ac:dyDescent="0.2">
      <c r="A12" s="956"/>
      <c r="B12" s="948"/>
      <c r="C12" s="695"/>
      <c r="D12" s="695"/>
      <c r="E12" s="950"/>
      <c r="F12" s="950"/>
      <c r="G12" s="948"/>
      <c r="H12" s="950"/>
      <c r="I12" s="960"/>
      <c r="J12" s="950"/>
      <c r="K12" s="950"/>
      <c r="L12" s="950"/>
      <c r="M12" s="950"/>
      <c r="N12" s="950"/>
      <c r="O12" s="950"/>
      <c r="P12" s="945"/>
      <c r="Q12" s="946"/>
    </row>
    <row r="13" spans="1:17" s="598" customFormat="1" x14ac:dyDescent="0.2">
      <c r="A13" s="636"/>
      <c r="B13" s="646"/>
      <c r="C13" s="696"/>
      <c r="D13" s="696"/>
      <c r="E13" s="648"/>
      <c r="F13" s="646"/>
      <c r="G13" s="655"/>
      <c r="H13" s="646"/>
      <c r="I13" s="667"/>
      <c r="J13" s="607"/>
      <c r="N13" s="607"/>
      <c r="O13" s="607"/>
      <c r="P13" s="607"/>
    </row>
    <row r="14" spans="1:17" s="598" customFormat="1" x14ac:dyDescent="0.2">
      <c r="A14" s="654" t="s">
        <v>705</v>
      </c>
      <c r="B14" s="646"/>
      <c r="C14" s="696"/>
      <c r="D14" s="696"/>
      <c r="E14" s="648"/>
      <c r="F14" s="646"/>
      <c r="G14" s="655"/>
      <c r="H14" s="646"/>
      <c r="I14" s="667"/>
      <c r="J14" s="607"/>
      <c r="N14" s="607"/>
      <c r="O14" s="607"/>
      <c r="P14" s="607"/>
    </row>
    <row r="15" spans="1:17" s="156" customFormat="1" ht="28.35" customHeight="1" x14ac:dyDescent="0.25">
      <c r="A15" s="609">
        <v>1</v>
      </c>
      <c r="B15" s="697" t="str">
        <f>IF('päd.Personal - Leitung'!$D$7="","",'päd.Personal - Leitung'!$D$7)</f>
        <v/>
      </c>
      <c r="C15" s="698" t="str">
        <f>IF('päd.Personal - Leitung'!$D$7="","",'päd.Personal - Leitung'!$L$10)</f>
        <v/>
      </c>
      <c r="D15" s="699" t="str">
        <f>IF('päd.Personal - Leitung'!$D$7="","",1)</f>
        <v/>
      </c>
      <c r="E15" s="700" t="str">
        <f>IF('päd.Personal - Leitung'!$D$11="","",'päd.Personal - Leitung'!$D$11)</f>
        <v/>
      </c>
      <c r="F15" s="697" t="str">
        <f>IF('päd.Personal - Leitung'!$D$9="","",'päd.Personal - Leitung'!$D$9)</f>
        <v/>
      </c>
      <c r="G15" s="701" t="str">
        <f>IF('päd.Personal - Leitung'!$L$11="","",'päd.Personal - Leitung'!$L$11)</f>
        <v/>
      </c>
      <c r="H15" s="697" t="str">
        <f>IF('päd.Personal - Leitung'!$D$8="","",'päd.Personal - Leitung'!$D$8)</f>
        <v/>
      </c>
      <c r="I15" s="702" t="str">
        <f>IF('päd.Personal - Leitung'!$L$6="","",'päd.Personal - Leitung'!$L$6)</f>
        <v/>
      </c>
      <c r="J15" s="615">
        <f>'päd.Personal - Leitung'!$G$38</f>
        <v>0</v>
      </c>
      <c r="K15" s="615">
        <f>'päd.Personal - Leitung'!$H$38</f>
        <v>0</v>
      </c>
      <c r="L15" s="615">
        <f>'päd.Personal - Leitung'!$O$38</f>
        <v>0</v>
      </c>
      <c r="M15" s="615">
        <f>'päd.Personal - Leitung'!$P$40</f>
        <v>0</v>
      </c>
      <c r="N15" s="615">
        <f>'päd.Personal - Leitung'!$P$41</f>
        <v>0</v>
      </c>
      <c r="O15" s="615">
        <f>'päd.Personal - Leitung'!$P$42</f>
        <v>0</v>
      </c>
      <c r="P15" s="616">
        <f>'päd.Personal - Leitung'!$P$43</f>
        <v>0</v>
      </c>
      <c r="Q15" s="617">
        <f>SUM(J15:P15)</f>
        <v>0</v>
      </c>
    </row>
    <row r="16" spans="1:17" s="156" customFormat="1" ht="28.35" customHeight="1" x14ac:dyDescent="0.25">
      <c r="A16" s="609">
        <v>2</v>
      </c>
      <c r="B16" s="697" t="str">
        <f>IF('päd.Personal - Leitung'!$D$51="","",'päd.Personal - Leitung'!$D$51)</f>
        <v/>
      </c>
      <c r="C16" s="698" t="str">
        <f>IF('päd.Personal - Leitung'!$D$51="","",'päd.Personal - Leitung'!$L$54)</f>
        <v/>
      </c>
      <c r="D16" s="699" t="str">
        <f>IF('päd.Personal - Leitung'!$D$51="","",1)</f>
        <v/>
      </c>
      <c r="E16" s="700" t="str">
        <f>IF('päd.Personal - Leitung'!$D$55="","",'päd.Personal - Leitung'!$D$55)</f>
        <v/>
      </c>
      <c r="F16" s="697" t="str">
        <f>IF('päd.Personal - Leitung'!$D$53="","",'päd.Personal - Leitung'!$D$53)</f>
        <v/>
      </c>
      <c r="G16" s="701" t="str">
        <f>IF('päd.Personal - Leitung'!$L$55="","",'päd.Personal - Leitung'!$L$55)</f>
        <v/>
      </c>
      <c r="H16" s="697" t="str">
        <f>IF('päd.Personal - Leitung'!$D$52="","",'päd.Personal - Leitung'!$D$52)</f>
        <v/>
      </c>
      <c r="I16" s="702" t="str">
        <f>IF('päd.Personal - Leitung'!$L$50="","",'päd.Personal - Leitung'!$L$50)</f>
        <v/>
      </c>
      <c r="J16" s="615">
        <f>'päd.Personal - Leitung'!$G$82</f>
        <v>0</v>
      </c>
      <c r="K16" s="615">
        <f>'päd.Personal - Leitung'!$H$82</f>
        <v>0</v>
      </c>
      <c r="L16" s="615">
        <f>'päd.Personal - Leitung'!$O$82</f>
        <v>0</v>
      </c>
      <c r="M16" s="615">
        <f>'päd.Personal - Leitung'!$P$84</f>
        <v>0</v>
      </c>
      <c r="N16" s="615">
        <f>'päd.Personal - Leitung'!$P$85</f>
        <v>0</v>
      </c>
      <c r="O16" s="615">
        <f>'päd.Personal - Leitung'!$P$86</f>
        <v>0</v>
      </c>
      <c r="P16" s="616">
        <f>'päd.Personal - Leitung'!$P$87</f>
        <v>0</v>
      </c>
      <c r="Q16" s="617">
        <f t="shared" ref="Q16:Q17" si="0">SUM(J16:P16)</f>
        <v>0</v>
      </c>
    </row>
    <row r="17" spans="1:17" s="156" customFormat="1" ht="28.35" customHeight="1" x14ac:dyDescent="0.25">
      <c r="A17" s="609">
        <v>3</v>
      </c>
      <c r="B17" s="697" t="str">
        <f>IF('päd.Personal - Leitung'!$D$95="","",'päd.Personal - Leitung'!$D$95)</f>
        <v/>
      </c>
      <c r="C17" s="698" t="str">
        <f>IF('päd.Personal - Leitung'!$D$95="","",'päd.Personal - Leitung'!$L$98)</f>
        <v/>
      </c>
      <c r="D17" s="699" t="str">
        <f>IF('päd.Personal - Leitung'!$D$95="","",1)</f>
        <v/>
      </c>
      <c r="E17" s="700" t="str">
        <f>IF('päd.Personal - Leitung'!$D$99="","",'päd.Personal - Leitung'!$D$99)</f>
        <v/>
      </c>
      <c r="F17" s="697" t="str">
        <f>IF('päd.Personal - Leitung'!$D$97="","",'päd.Personal - Leitung'!$D$97)</f>
        <v/>
      </c>
      <c r="G17" s="701" t="str">
        <f>IF('päd.Personal - Leitung'!$L$99="","",'päd.Personal - Leitung'!$L$99)</f>
        <v/>
      </c>
      <c r="H17" s="697" t="str">
        <f>IF('päd.Personal - Leitung'!$D$96="","",'päd.Personal - Leitung'!$D$96)</f>
        <v/>
      </c>
      <c r="I17" s="702" t="str">
        <f>IF('päd.Personal - Leitung'!$L$94="","",'päd.Personal - Leitung'!$L$94)</f>
        <v/>
      </c>
      <c r="J17" s="615">
        <f>'päd.Personal - Leitung'!$G$126</f>
        <v>0</v>
      </c>
      <c r="K17" s="615">
        <f>'päd.Personal - Leitung'!$H$126</f>
        <v>0</v>
      </c>
      <c r="L17" s="615">
        <f>'päd.Personal - Leitung'!$O$126</f>
        <v>0</v>
      </c>
      <c r="M17" s="615">
        <f>'päd.Personal - Leitung'!$P$128</f>
        <v>0</v>
      </c>
      <c r="N17" s="615">
        <f>'päd.Personal - Leitung'!$P$129</f>
        <v>0</v>
      </c>
      <c r="O17" s="615">
        <f>'päd.Personal - Leitung'!$P$130</f>
        <v>0</v>
      </c>
      <c r="P17" s="616">
        <f>'päd.Personal - Leitung'!$P$131</f>
        <v>0</v>
      </c>
      <c r="Q17" s="617">
        <f t="shared" si="0"/>
        <v>0</v>
      </c>
    </row>
    <row r="18" spans="1:17" s="156" customFormat="1" ht="27.75" customHeight="1" thickBot="1" x14ac:dyDescent="0.25">
      <c r="A18" s="636"/>
      <c r="B18" s="703" t="s">
        <v>706</v>
      </c>
      <c r="C18" s="704">
        <f>SUM(C15:C17)</f>
        <v>0</v>
      </c>
      <c r="D18" s="705"/>
      <c r="E18" s="706">
        <f>IF(SUM(D15:D17)=0,0,SUM(D15:D17))</f>
        <v>0</v>
      </c>
      <c r="F18" s="703" t="s">
        <v>338</v>
      </c>
      <c r="G18" s="707">
        <f>SUM(G15:G17)</f>
        <v>0</v>
      </c>
      <c r="H18" s="708">
        <f>'INTERN Personalstunden'!C35</f>
        <v>0</v>
      </c>
      <c r="I18" s="641" t="str">
        <f>IF(H18="","","h max.")</f>
        <v>h max.</v>
      </c>
      <c r="J18" s="642">
        <f>SUM(J15:J17)</f>
        <v>0</v>
      </c>
      <c r="K18" s="642">
        <f t="shared" ref="K18:P18" si="1">SUM(K15:K17)</f>
        <v>0</v>
      </c>
      <c r="L18" s="642">
        <f t="shared" si="1"/>
        <v>0</v>
      </c>
      <c r="M18" s="642">
        <f t="shared" si="1"/>
        <v>0</v>
      </c>
      <c r="N18" s="642">
        <f t="shared" si="1"/>
        <v>0</v>
      </c>
      <c r="O18" s="643">
        <f t="shared" si="1"/>
        <v>0</v>
      </c>
      <c r="P18" s="644">
        <f t="shared" si="1"/>
        <v>0</v>
      </c>
      <c r="Q18" s="645">
        <f>SUM(Q15:Q17)</f>
        <v>0</v>
      </c>
    </row>
    <row r="19" spans="1:17" s="118" customFormat="1" ht="27.75" customHeight="1" thickBot="1" x14ac:dyDescent="0.25">
      <c r="A19" s="656"/>
      <c r="B19" s="709"/>
      <c r="C19" s="705"/>
      <c r="D19" s="705"/>
      <c r="E19" s="710"/>
      <c r="F19" s="709" t="s">
        <v>345</v>
      </c>
      <c r="G19" s="711">
        <f>IF(Grundlagen!$C$14="",0,G18/Grundlagen!$C$14)</f>
        <v>0</v>
      </c>
      <c r="H19" s="712"/>
      <c r="I19" s="713"/>
      <c r="J19" s="934">
        <f>SUM(J18:L18)</f>
        <v>0</v>
      </c>
      <c r="K19" s="940"/>
      <c r="L19" s="935"/>
      <c r="M19" s="934">
        <f>SUM(M18:N18)</f>
        <v>0</v>
      </c>
      <c r="N19" s="935"/>
      <c r="O19" s="665"/>
      <c r="P19" s="665"/>
      <c r="Q19" s="659"/>
    </row>
    <row r="20" spans="1:17" s="156" customFormat="1" ht="12.6" customHeight="1" x14ac:dyDescent="0.2">
      <c r="A20" s="636"/>
      <c r="B20" s="646"/>
      <c r="C20" s="696"/>
      <c r="D20" s="696"/>
      <c r="E20" s="648"/>
      <c r="F20" s="646"/>
      <c r="G20" s="655"/>
      <c r="H20" s="646"/>
      <c r="I20" s="667"/>
      <c r="J20" s="607"/>
      <c r="K20" s="607"/>
      <c r="L20" s="607"/>
      <c r="M20" s="607"/>
      <c r="N20" s="607"/>
      <c r="O20" s="607"/>
      <c r="P20" s="607"/>
    </row>
    <row r="21" spans="1:17" s="156" customFormat="1" ht="12.6" customHeight="1" x14ac:dyDescent="0.2">
      <c r="A21" s="654" t="s">
        <v>707</v>
      </c>
      <c r="B21" s="646"/>
      <c r="C21" s="696"/>
      <c r="D21" s="696"/>
      <c r="E21" s="648"/>
      <c r="F21" s="646"/>
      <c r="G21" s="655"/>
      <c r="H21" s="646"/>
      <c r="I21" s="667"/>
      <c r="J21" s="607"/>
      <c r="K21" s="607"/>
      <c r="L21" s="607"/>
      <c r="M21" s="607"/>
      <c r="N21" s="607"/>
      <c r="O21" s="607"/>
      <c r="P21" s="607"/>
    </row>
    <row r="22" spans="1:17" s="156" customFormat="1" ht="27.75" customHeight="1" x14ac:dyDescent="0.25">
      <c r="A22" s="609">
        <v>1</v>
      </c>
      <c r="B22" s="697" t="str">
        <f>IF(B15="","noch 1. lfd.Nr. 1",B15)</f>
        <v>noch 1. lfd.Nr. 1</v>
      </c>
      <c r="C22" s="698"/>
      <c r="D22" s="698"/>
      <c r="E22" s="700" t="str">
        <f>IF('päd.Personal - Erzieher'!$D$11="","",'päd.Personal - Erzieher'!$D$11)</f>
        <v/>
      </c>
      <c r="F22" s="697" t="str">
        <f>IF('päd.Personal - Erzieher'!$D$9="","",'päd.Personal - Erzieher'!$D$9)</f>
        <v/>
      </c>
      <c r="G22" s="701" t="str">
        <f>IF('päd.Personal - Erzieher'!$L$12="","",'päd.Personal - Erzieher'!$L$12)</f>
        <v/>
      </c>
      <c r="H22" s="697" t="str">
        <f>IF('päd.Personal - Erzieher'!$D$8="","",'päd.Personal - Erzieher'!$D$8)</f>
        <v/>
      </c>
      <c r="I22" s="701" t="str">
        <f>IF('päd.Personal - Erzieher'!$L$6="","",'päd.Personal - Erzieher'!$L$6)</f>
        <v/>
      </c>
      <c r="J22" s="615">
        <f>'päd.Personal - Erzieher'!$G$38</f>
        <v>0</v>
      </c>
      <c r="K22" s="615">
        <f>'päd.Personal - Erzieher'!$H$38</f>
        <v>0</v>
      </c>
      <c r="L22" s="615">
        <f>'päd.Personal - Erzieher'!$O$38</f>
        <v>0</v>
      </c>
      <c r="M22" s="615">
        <f>'päd.Personal - Erzieher'!$P$40</f>
        <v>0</v>
      </c>
      <c r="N22" s="615">
        <f>'päd.Personal - Erzieher'!$P$41</f>
        <v>0</v>
      </c>
      <c r="O22" s="615">
        <f>'päd.Personal - Erzieher'!$P$42</f>
        <v>0</v>
      </c>
      <c r="P22" s="616">
        <f>'päd.Personal - Erzieher'!$P$43</f>
        <v>0</v>
      </c>
      <c r="Q22" s="617">
        <f>SUM(J22:P22)</f>
        <v>0</v>
      </c>
    </row>
    <row r="23" spans="1:17" s="156" customFormat="1" ht="27.75" customHeight="1" x14ac:dyDescent="0.25">
      <c r="A23" s="609">
        <v>2</v>
      </c>
      <c r="B23" s="697" t="str">
        <f>IF('päd.Personal - Erzieher'!$D$51="","",'päd.Personal - Erzieher'!$D$51)</f>
        <v/>
      </c>
      <c r="C23" s="698" t="str">
        <f>IF('päd.Personal - Erzieher'!$D$51="","",'päd.Personal - Erzieher'!$L$55)</f>
        <v/>
      </c>
      <c r="D23" s="698" t="str">
        <f>IF('päd.Personal - Erzieher'!$D$51="","",1)</f>
        <v/>
      </c>
      <c r="E23" s="700" t="str">
        <f>IF('päd.Personal - Erzieher'!$D$55="","",'päd.Personal - Erzieher'!$D$55)</f>
        <v/>
      </c>
      <c r="F23" s="697" t="str">
        <f>IF('päd.Personal - Erzieher'!$D$53="","",'päd.Personal - Erzieher'!$D$53)</f>
        <v/>
      </c>
      <c r="G23" s="701" t="str">
        <f>IF('päd.Personal - Erzieher'!$L$56="","",'päd.Personal - Erzieher'!$L$56)</f>
        <v/>
      </c>
      <c r="H23" s="697" t="str">
        <f>IF('päd.Personal - Erzieher'!$D$52="","",'päd.Personal - Erzieher'!$D$52)</f>
        <v/>
      </c>
      <c r="I23" s="702" t="str">
        <f>IF('päd.Personal - Erzieher'!$L$50="","",'päd.Personal - Erzieher'!$L$50)</f>
        <v/>
      </c>
      <c r="J23" s="615">
        <f>'päd.Personal - Erzieher'!$G$82</f>
        <v>0</v>
      </c>
      <c r="K23" s="615">
        <f>'päd.Personal - Erzieher'!$H$82</f>
        <v>0</v>
      </c>
      <c r="L23" s="615">
        <f>'päd.Personal - Erzieher'!$O$82</f>
        <v>0</v>
      </c>
      <c r="M23" s="615">
        <f>'päd.Personal - Erzieher'!$P$84</f>
        <v>0</v>
      </c>
      <c r="N23" s="615">
        <f>'päd.Personal - Erzieher'!$P$85</f>
        <v>0</v>
      </c>
      <c r="O23" s="615">
        <f>'päd.Personal - Erzieher'!$P$86</f>
        <v>0</v>
      </c>
      <c r="P23" s="616">
        <f>'päd.Personal - Erzieher'!$P$87</f>
        <v>0</v>
      </c>
      <c r="Q23" s="617">
        <f t="shared" ref="Q23:Q37" si="2">SUM(J23:P23)</f>
        <v>0</v>
      </c>
    </row>
    <row r="24" spans="1:17" s="156" customFormat="1" ht="27.75" customHeight="1" x14ac:dyDescent="0.25">
      <c r="A24" s="609">
        <v>3</v>
      </c>
      <c r="B24" s="697" t="str">
        <f>IF('päd.Personal - Erzieher'!$D$95="","",'päd.Personal - Erzieher'!$D$95)</f>
        <v/>
      </c>
      <c r="C24" s="698" t="str">
        <f>IF('päd.Personal - Erzieher'!$D$95="","",'päd.Personal - Erzieher'!$L$99)</f>
        <v/>
      </c>
      <c r="D24" s="698" t="str">
        <f>IF('päd.Personal - Erzieher'!$D$95="","",1)</f>
        <v/>
      </c>
      <c r="E24" s="700" t="str">
        <f>IF('päd.Personal - Erzieher'!$D$99="","",'päd.Personal - Erzieher'!$D$99)</f>
        <v/>
      </c>
      <c r="F24" s="697" t="str">
        <f>IF('päd.Personal - Erzieher'!$D$97="","",'päd.Personal - Erzieher'!$D$97)</f>
        <v/>
      </c>
      <c r="G24" s="701" t="str">
        <f>IF('päd.Personal - Erzieher'!$L$100="","",'päd.Personal - Erzieher'!$L$100)</f>
        <v/>
      </c>
      <c r="H24" s="697" t="str">
        <f>IF('päd.Personal - Erzieher'!$D$96="","",'päd.Personal - Erzieher'!$D$96)</f>
        <v/>
      </c>
      <c r="I24" s="702" t="str">
        <f>IF('päd.Personal - Erzieher'!$L$94="","",'päd.Personal - Erzieher'!$L$94)</f>
        <v/>
      </c>
      <c r="J24" s="615">
        <f>'päd.Personal - Erzieher'!$G$126</f>
        <v>0</v>
      </c>
      <c r="K24" s="615">
        <f>'päd.Personal - Erzieher'!$H$126</f>
        <v>0</v>
      </c>
      <c r="L24" s="615">
        <f>'päd.Personal - Erzieher'!$O$126</f>
        <v>0</v>
      </c>
      <c r="M24" s="615">
        <f>'päd.Personal - Erzieher'!$P$128</f>
        <v>0</v>
      </c>
      <c r="N24" s="615">
        <f>'päd.Personal - Erzieher'!$P$129</f>
        <v>0</v>
      </c>
      <c r="O24" s="615">
        <f>'päd.Personal - Erzieher'!$P$130</f>
        <v>0</v>
      </c>
      <c r="P24" s="616">
        <f>'päd.Personal - Erzieher'!$P$131</f>
        <v>0</v>
      </c>
      <c r="Q24" s="617">
        <f t="shared" si="2"/>
        <v>0</v>
      </c>
    </row>
    <row r="25" spans="1:17" s="156" customFormat="1" ht="27.75" customHeight="1" x14ac:dyDescent="0.25">
      <c r="A25" s="609">
        <v>4</v>
      </c>
      <c r="B25" s="697" t="str">
        <f>IF('päd.Personal - Erzieher'!$D$139="","",'päd.Personal - Erzieher'!$D$139)</f>
        <v/>
      </c>
      <c r="C25" s="698" t="str">
        <f>IF('päd.Personal - Erzieher'!$D$139="","",'päd.Personal - Erzieher'!$L$143)</f>
        <v/>
      </c>
      <c r="D25" s="698" t="str">
        <f>IF('päd.Personal - Erzieher'!$D$139="","",1)</f>
        <v/>
      </c>
      <c r="E25" s="700" t="str">
        <f>IF('päd.Personal - Erzieher'!$D$143="","",'päd.Personal - Erzieher'!$D$143)</f>
        <v/>
      </c>
      <c r="F25" s="697" t="str">
        <f>IF('päd.Personal - Erzieher'!$D$141="","",'päd.Personal - Erzieher'!$D$141)</f>
        <v/>
      </c>
      <c r="G25" s="701" t="str">
        <f>IF('päd.Personal - Erzieher'!$L$144="","",'päd.Personal - Erzieher'!$L$144)</f>
        <v/>
      </c>
      <c r="H25" s="697" t="str">
        <f>IF('päd.Personal - Erzieher'!$D$140="","",'päd.Personal - Erzieher'!$D$140)</f>
        <v/>
      </c>
      <c r="I25" s="702" t="str">
        <f>IF('päd.Personal - Erzieher'!$L$138="","",'päd.Personal - Erzieher'!$L$138)</f>
        <v/>
      </c>
      <c r="J25" s="615">
        <f>'päd.Personal - Erzieher'!$G$170</f>
        <v>0</v>
      </c>
      <c r="K25" s="615">
        <f>'päd.Personal - Erzieher'!$H$170</f>
        <v>0</v>
      </c>
      <c r="L25" s="615">
        <f>'päd.Personal - Erzieher'!$O$170</f>
        <v>0</v>
      </c>
      <c r="M25" s="615">
        <f>'päd.Personal - Erzieher'!$P$172</f>
        <v>0</v>
      </c>
      <c r="N25" s="615">
        <f>'päd.Personal - Erzieher'!$P$173</f>
        <v>0</v>
      </c>
      <c r="O25" s="615">
        <f>'päd.Personal - Erzieher'!$P$174</f>
        <v>0</v>
      </c>
      <c r="P25" s="616">
        <f>'päd.Personal - Erzieher'!$P$175</f>
        <v>0</v>
      </c>
      <c r="Q25" s="617">
        <f t="shared" si="2"/>
        <v>0</v>
      </c>
    </row>
    <row r="26" spans="1:17" s="156" customFormat="1" ht="27.75" customHeight="1" x14ac:dyDescent="0.25">
      <c r="A26" s="609">
        <v>5</v>
      </c>
      <c r="B26" s="697" t="str">
        <f>IF('päd.Personal - Erzieher'!$D$183="","",'päd.Personal - Erzieher'!$D$183)</f>
        <v/>
      </c>
      <c r="C26" s="698" t="str">
        <f>IF('päd.Personal - Erzieher'!$D$183="","",'päd.Personal - Erzieher'!$L$187)</f>
        <v/>
      </c>
      <c r="D26" s="698" t="str">
        <f>IF('päd.Personal - Erzieher'!$D$183="","",1)</f>
        <v/>
      </c>
      <c r="E26" s="700" t="str">
        <f>IF('päd.Personal - Erzieher'!$D$187="","",'päd.Personal - Erzieher'!$D$187)</f>
        <v/>
      </c>
      <c r="F26" s="697" t="str">
        <f>IF('päd.Personal - Erzieher'!$D$185="","",'päd.Personal - Erzieher'!$D$185)</f>
        <v/>
      </c>
      <c r="G26" s="701" t="str">
        <f>IF('päd.Personal - Erzieher'!$L$188="","",'päd.Personal - Erzieher'!$L$188)</f>
        <v/>
      </c>
      <c r="H26" s="697" t="str">
        <f>IF('päd.Personal - Erzieher'!$D$184="","",'päd.Personal - Erzieher'!$D$184)</f>
        <v/>
      </c>
      <c r="I26" s="702" t="str">
        <f>IF('päd.Personal - Erzieher'!$L$182="","",'päd.Personal - Erzieher'!$L$182)</f>
        <v/>
      </c>
      <c r="J26" s="615">
        <f>'päd.Personal - Erzieher'!$G$214</f>
        <v>0</v>
      </c>
      <c r="K26" s="615">
        <f>'päd.Personal - Erzieher'!$H$214</f>
        <v>0</v>
      </c>
      <c r="L26" s="615">
        <f>'päd.Personal - Erzieher'!$O$214</f>
        <v>0</v>
      </c>
      <c r="M26" s="615">
        <f>'päd.Personal - Erzieher'!$P$216</f>
        <v>0</v>
      </c>
      <c r="N26" s="615">
        <f>'päd.Personal - Erzieher'!$P$217</f>
        <v>0</v>
      </c>
      <c r="O26" s="615">
        <f>'päd.Personal - Erzieher'!$P$218</f>
        <v>0</v>
      </c>
      <c r="P26" s="616">
        <f>'päd.Personal - Erzieher'!$P$219</f>
        <v>0</v>
      </c>
      <c r="Q26" s="617">
        <f t="shared" si="2"/>
        <v>0</v>
      </c>
    </row>
    <row r="27" spans="1:17" s="156" customFormat="1" ht="27.75" customHeight="1" x14ac:dyDescent="0.25">
      <c r="A27" s="609">
        <v>6</v>
      </c>
      <c r="B27" s="697" t="str">
        <f>IF('päd.Personal - Erzieher'!$D$227="","",'päd.Personal - Erzieher'!$D$227)</f>
        <v/>
      </c>
      <c r="C27" s="698" t="str">
        <f>IF('päd.Personal - Erzieher'!$D$227="","",'päd.Personal - Erzieher'!$L$231)</f>
        <v/>
      </c>
      <c r="D27" s="698" t="str">
        <f>IF('päd.Personal - Erzieher'!$D$227="","",1)</f>
        <v/>
      </c>
      <c r="E27" s="700" t="str">
        <f>IF('päd.Personal - Erzieher'!$D$231="","",'päd.Personal - Erzieher'!$D$231)</f>
        <v/>
      </c>
      <c r="F27" s="697" t="str">
        <f>IF('päd.Personal - Erzieher'!$D$229="","",'päd.Personal - Erzieher'!$D$229)</f>
        <v/>
      </c>
      <c r="G27" s="701" t="str">
        <f>IF('päd.Personal - Erzieher'!$L$232="","",'päd.Personal - Erzieher'!$L$232)</f>
        <v/>
      </c>
      <c r="H27" s="697" t="str">
        <f>IF('päd.Personal - Erzieher'!$D$228="","",'päd.Personal - Erzieher'!$D$228)</f>
        <v/>
      </c>
      <c r="I27" s="702" t="str">
        <f>IF('päd.Personal - Erzieher'!$L$226="","",'päd.Personal - Erzieher'!$L$226)</f>
        <v/>
      </c>
      <c r="J27" s="615">
        <f>'päd.Personal - Erzieher'!$G$258</f>
        <v>0</v>
      </c>
      <c r="K27" s="615">
        <f>'päd.Personal - Erzieher'!$H$258</f>
        <v>0</v>
      </c>
      <c r="L27" s="615">
        <f>'päd.Personal - Erzieher'!$O$258</f>
        <v>0</v>
      </c>
      <c r="M27" s="615">
        <f>'päd.Personal - Erzieher'!$P$260</f>
        <v>0</v>
      </c>
      <c r="N27" s="615">
        <f>'päd.Personal - Erzieher'!$P$261</f>
        <v>0</v>
      </c>
      <c r="O27" s="615">
        <f>'päd.Personal - Erzieher'!$P$262</f>
        <v>0</v>
      </c>
      <c r="P27" s="616">
        <f>'päd.Personal - Erzieher'!$P$263</f>
        <v>0</v>
      </c>
      <c r="Q27" s="617">
        <f t="shared" si="2"/>
        <v>0</v>
      </c>
    </row>
    <row r="28" spans="1:17" s="156" customFormat="1" ht="27.75" customHeight="1" x14ac:dyDescent="0.25">
      <c r="A28" s="609">
        <v>7</v>
      </c>
      <c r="B28" s="697" t="str">
        <f>IF('päd.Personal - Erzieher'!$D$271="","",'päd.Personal - Erzieher'!$D$271)</f>
        <v/>
      </c>
      <c r="C28" s="698" t="str">
        <f>IF('päd.Personal - Erzieher'!$D$271="","",'päd.Personal - Erzieher'!$L$275)</f>
        <v/>
      </c>
      <c r="D28" s="698" t="str">
        <f>IF('päd.Personal - Erzieher'!$D$271="","",1)</f>
        <v/>
      </c>
      <c r="E28" s="700" t="str">
        <f>IF('päd.Personal - Erzieher'!$D$275="","",'päd.Personal - Erzieher'!$D$275)</f>
        <v/>
      </c>
      <c r="F28" s="697" t="str">
        <f>IF('päd.Personal - Erzieher'!$D$273="","",'päd.Personal - Erzieher'!$D$273)</f>
        <v/>
      </c>
      <c r="G28" s="701" t="str">
        <f>IF('päd.Personal - Erzieher'!$L$276="","",'päd.Personal - Erzieher'!$L$276)</f>
        <v/>
      </c>
      <c r="H28" s="697" t="str">
        <f>IF('päd.Personal - Erzieher'!$D$272="","",'päd.Personal - Erzieher'!$D$272)</f>
        <v/>
      </c>
      <c r="I28" s="702" t="str">
        <f>IF('päd.Personal - Erzieher'!$L$270="","",'päd.Personal - Erzieher'!$L$270)</f>
        <v/>
      </c>
      <c r="J28" s="615">
        <f>'päd.Personal - Erzieher'!$G$302</f>
        <v>0</v>
      </c>
      <c r="K28" s="615">
        <f>'päd.Personal - Erzieher'!$H$302</f>
        <v>0</v>
      </c>
      <c r="L28" s="615">
        <f>'päd.Personal - Erzieher'!$O$302</f>
        <v>0</v>
      </c>
      <c r="M28" s="615">
        <f>'päd.Personal - Erzieher'!$P$304</f>
        <v>0</v>
      </c>
      <c r="N28" s="615">
        <f>'päd.Personal - Erzieher'!$P$305</f>
        <v>0</v>
      </c>
      <c r="O28" s="615">
        <f>'päd.Personal - Erzieher'!$P$306</f>
        <v>0</v>
      </c>
      <c r="P28" s="616">
        <f>'päd.Personal - Erzieher'!$P$307</f>
        <v>0</v>
      </c>
      <c r="Q28" s="617">
        <f t="shared" si="2"/>
        <v>0</v>
      </c>
    </row>
    <row r="29" spans="1:17" s="156" customFormat="1" ht="27.75" customHeight="1" x14ac:dyDescent="0.25">
      <c r="A29" s="609">
        <v>8</v>
      </c>
      <c r="B29" s="697" t="str">
        <f>IF('päd.Personal - Erzieher'!$D$315="","",'päd.Personal - Erzieher'!$D$315)</f>
        <v/>
      </c>
      <c r="C29" s="698" t="str">
        <f>IF('päd.Personal - Erzieher'!$D$315="","",'päd.Personal - Erzieher'!$L$319)</f>
        <v/>
      </c>
      <c r="D29" s="698" t="str">
        <f>IF('päd.Personal - Erzieher'!$D$315="","",1)</f>
        <v/>
      </c>
      <c r="E29" s="700" t="str">
        <f>IF('päd.Personal - Erzieher'!$D$319="","",'päd.Personal - Erzieher'!$D$319)</f>
        <v/>
      </c>
      <c r="F29" s="697" t="str">
        <f>IF('päd.Personal - Erzieher'!$D$317="","",'päd.Personal - Erzieher'!$D$317)</f>
        <v/>
      </c>
      <c r="G29" s="701" t="str">
        <f>IF('päd.Personal - Erzieher'!$L$320="","",'päd.Personal - Erzieher'!$L$320)</f>
        <v/>
      </c>
      <c r="H29" s="697" t="str">
        <f>IF('päd.Personal - Erzieher'!$D$316="","",'päd.Personal - Erzieher'!$D$316)</f>
        <v/>
      </c>
      <c r="I29" s="702" t="str">
        <f>IF('päd.Personal - Erzieher'!$L$314="","",'päd.Personal - Erzieher'!$L$314)</f>
        <v/>
      </c>
      <c r="J29" s="615">
        <f>'päd.Personal - Erzieher'!$G$346</f>
        <v>0</v>
      </c>
      <c r="K29" s="615">
        <f>'päd.Personal - Erzieher'!$H$346</f>
        <v>0</v>
      </c>
      <c r="L29" s="615">
        <f>'päd.Personal - Erzieher'!$O$346</f>
        <v>0</v>
      </c>
      <c r="M29" s="615">
        <f>'päd.Personal - Erzieher'!$P$348</f>
        <v>0</v>
      </c>
      <c r="N29" s="615">
        <f>'päd.Personal - Erzieher'!$P$349</f>
        <v>0</v>
      </c>
      <c r="O29" s="615">
        <f>'päd.Personal - Erzieher'!$P$350</f>
        <v>0</v>
      </c>
      <c r="P29" s="616">
        <f>'päd.Personal - Erzieher'!$P$351</f>
        <v>0</v>
      </c>
      <c r="Q29" s="617">
        <f t="shared" si="2"/>
        <v>0</v>
      </c>
    </row>
    <row r="30" spans="1:17" s="156" customFormat="1" ht="27.75" customHeight="1" x14ac:dyDescent="0.25">
      <c r="A30" s="609">
        <v>9</v>
      </c>
      <c r="B30" s="697" t="str">
        <f>IF('päd.Personal - Erzieher'!$D$359="","",'päd.Personal - Erzieher'!$D$359)</f>
        <v/>
      </c>
      <c r="C30" s="698" t="str">
        <f>IF('päd.Personal - Erzieher'!$D$359="","",'päd.Personal - Erzieher'!$L$363)</f>
        <v/>
      </c>
      <c r="D30" s="698" t="str">
        <f>IF('päd.Personal - Erzieher'!$D$359="","",1)</f>
        <v/>
      </c>
      <c r="E30" s="700" t="str">
        <f>IF('päd.Personal - Erzieher'!$D$363="","",'päd.Personal - Erzieher'!$D$363)</f>
        <v/>
      </c>
      <c r="F30" s="697" t="str">
        <f>IF('päd.Personal - Erzieher'!$D$361="","",'päd.Personal - Erzieher'!$D$361)</f>
        <v/>
      </c>
      <c r="G30" s="701" t="str">
        <f>IF('päd.Personal - Erzieher'!$L$364="","",'päd.Personal - Erzieher'!$L$364)</f>
        <v/>
      </c>
      <c r="H30" s="697" t="str">
        <f>IF('päd.Personal - Erzieher'!$D$360="","",'päd.Personal - Erzieher'!$D$360)</f>
        <v/>
      </c>
      <c r="I30" s="702" t="str">
        <f>IF('päd.Personal - Erzieher'!$L$358="","",'päd.Personal - Erzieher'!$L$358)</f>
        <v/>
      </c>
      <c r="J30" s="615">
        <f>'päd.Personal - Erzieher'!$G$390</f>
        <v>0</v>
      </c>
      <c r="K30" s="615">
        <f>'päd.Personal - Erzieher'!$H$390</f>
        <v>0</v>
      </c>
      <c r="L30" s="615">
        <f>'päd.Personal - Erzieher'!$O$390</f>
        <v>0</v>
      </c>
      <c r="M30" s="615">
        <f>'päd.Personal - Erzieher'!$P$392</f>
        <v>0</v>
      </c>
      <c r="N30" s="615">
        <f>'päd.Personal - Erzieher'!$P$393</f>
        <v>0</v>
      </c>
      <c r="O30" s="615">
        <f>'päd.Personal - Erzieher'!$P$394</f>
        <v>0</v>
      </c>
      <c r="P30" s="616">
        <f>'päd.Personal - Erzieher'!$P$395</f>
        <v>0</v>
      </c>
      <c r="Q30" s="617">
        <f t="shared" si="2"/>
        <v>0</v>
      </c>
    </row>
    <row r="31" spans="1:17" s="156" customFormat="1" ht="27.75" customHeight="1" x14ac:dyDescent="0.25">
      <c r="A31" s="609">
        <v>10</v>
      </c>
      <c r="B31" s="697" t="str">
        <f>IF('päd.Personal - Erzieher'!$D$403="","",'päd.Personal - Erzieher'!$D$403)</f>
        <v/>
      </c>
      <c r="C31" s="698" t="str">
        <f>IF('päd.Personal - Erzieher'!$D$403="","",'päd.Personal - Erzieher'!$L$407)</f>
        <v/>
      </c>
      <c r="D31" s="698" t="str">
        <f>IF('päd.Personal - Erzieher'!$D$403="","",1)</f>
        <v/>
      </c>
      <c r="E31" s="700" t="str">
        <f>IF('päd.Personal - Erzieher'!$D$407="","",'päd.Personal - Erzieher'!$D$407)</f>
        <v/>
      </c>
      <c r="F31" s="697" t="str">
        <f>IF('päd.Personal - Erzieher'!$D$405="","",'päd.Personal - Erzieher'!$D$405)</f>
        <v/>
      </c>
      <c r="G31" s="701" t="str">
        <f>IF('päd.Personal - Erzieher'!$L$408="","",'päd.Personal - Erzieher'!$L$408)</f>
        <v/>
      </c>
      <c r="H31" s="697" t="str">
        <f>IF('päd.Personal - Erzieher'!$D$404="","",'päd.Personal - Erzieher'!$D$404)</f>
        <v/>
      </c>
      <c r="I31" s="702" t="str">
        <f>IF('päd.Personal - Erzieher'!$L$402="","",'päd.Personal - Erzieher'!$L$402)</f>
        <v/>
      </c>
      <c r="J31" s="615">
        <f>'päd.Personal - Erzieher'!$G$434</f>
        <v>0</v>
      </c>
      <c r="K31" s="615">
        <f>'päd.Personal - Erzieher'!$H$434</f>
        <v>0</v>
      </c>
      <c r="L31" s="615">
        <f>'päd.Personal - Erzieher'!$O$434</f>
        <v>0</v>
      </c>
      <c r="M31" s="615">
        <f>'päd.Personal - Erzieher'!$P$436</f>
        <v>0</v>
      </c>
      <c r="N31" s="615">
        <f>'päd.Personal - Erzieher'!$P$437</f>
        <v>0</v>
      </c>
      <c r="O31" s="615">
        <f>'päd.Personal - Erzieher'!$P$438</f>
        <v>0</v>
      </c>
      <c r="P31" s="616">
        <f>'päd.Personal - Erzieher'!$P$439</f>
        <v>0</v>
      </c>
      <c r="Q31" s="617">
        <f t="shared" si="2"/>
        <v>0</v>
      </c>
    </row>
    <row r="32" spans="1:17" s="156" customFormat="1" ht="27.75" customHeight="1" x14ac:dyDescent="0.25">
      <c r="A32" s="609">
        <v>11</v>
      </c>
      <c r="B32" s="697" t="str">
        <f>IF('päd.Personal - Erzieher'!$D$447="","",'päd.Personal - Erzieher'!$D$447)</f>
        <v/>
      </c>
      <c r="C32" s="698" t="str">
        <f>IF('päd.Personal - Erzieher'!$D$447="","",'päd.Personal - Erzieher'!$L$451)</f>
        <v/>
      </c>
      <c r="D32" s="698" t="str">
        <f>IF('päd.Personal - Erzieher'!$D$447="","",1)</f>
        <v/>
      </c>
      <c r="E32" s="700" t="str">
        <f>IF('päd.Personal - Erzieher'!$D$451="","",'päd.Personal - Erzieher'!$D$451)</f>
        <v/>
      </c>
      <c r="F32" s="697" t="str">
        <f>IF('päd.Personal - Erzieher'!$D$449="","",'päd.Personal - Erzieher'!$D$449)</f>
        <v/>
      </c>
      <c r="G32" s="701" t="str">
        <f>IF('päd.Personal - Erzieher'!$L$452="","",'päd.Personal - Erzieher'!$L$452)</f>
        <v/>
      </c>
      <c r="H32" s="697" t="str">
        <f>IF('päd.Personal - Erzieher'!$D$448="","",'päd.Personal - Erzieher'!$D$448)</f>
        <v/>
      </c>
      <c r="I32" s="702" t="str">
        <f>IF('päd.Personal - Erzieher'!$L$446="","",'päd.Personal - Erzieher'!$L$446)</f>
        <v/>
      </c>
      <c r="J32" s="615">
        <f>'päd.Personal - Erzieher'!$G$478</f>
        <v>0</v>
      </c>
      <c r="K32" s="615">
        <f>'päd.Personal - Erzieher'!$H$478</f>
        <v>0</v>
      </c>
      <c r="L32" s="615">
        <f>'päd.Personal - Erzieher'!$O$478</f>
        <v>0</v>
      </c>
      <c r="M32" s="615">
        <f>'päd.Personal - Erzieher'!$P$480</f>
        <v>0</v>
      </c>
      <c r="N32" s="615">
        <f>'päd.Personal - Erzieher'!$P$481</f>
        <v>0</v>
      </c>
      <c r="O32" s="615">
        <f>'päd.Personal - Erzieher'!$P$482</f>
        <v>0</v>
      </c>
      <c r="P32" s="616">
        <f>'päd.Personal - Erzieher'!$P$483</f>
        <v>0</v>
      </c>
      <c r="Q32" s="617">
        <f t="shared" si="2"/>
        <v>0</v>
      </c>
    </row>
    <row r="33" spans="1:17" s="156" customFormat="1" ht="27.75" customHeight="1" x14ac:dyDescent="0.25">
      <c r="A33" s="609">
        <v>12</v>
      </c>
      <c r="B33" s="697" t="str">
        <f>IF('päd.Personal - Erzieher'!$D$491="","",'päd.Personal - Erzieher'!$D$491)</f>
        <v/>
      </c>
      <c r="C33" s="698" t="str">
        <f>IF('päd.Personal - Erzieher'!$D$491="","",'päd.Personal - Erzieher'!$L$495)</f>
        <v/>
      </c>
      <c r="D33" s="698" t="str">
        <f>IF('päd.Personal - Erzieher'!$D$491="","",1)</f>
        <v/>
      </c>
      <c r="E33" s="700" t="str">
        <f>IF('päd.Personal - Erzieher'!$D$495="","",'päd.Personal - Erzieher'!$D$495)</f>
        <v/>
      </c>
      <c r="F33" s="697" t="str">
        <f>IF('päd.Personal - Erzieher'!$D$493="","",'päd.Personal - Erzieher'!$D$493)</f>
        <v/>
      </c>
      <c r="G33" s="701" t="str">
        <f>IF('päd.Personal - Erzieher'!$L$496="","",'päd.Personal - Erzieher'!$L$496)</f>
        <v/>
      </c>
      <c r="H33" s="697" t="str">
        <f>IF('päd.Personal - Erzieher'!$D$492="","",'päd.Personal - Erzieher'!$D$492)</f>
        <v/>
      </c>
      <c r="I33" s="702" t="str">
        <f>IF('päd.Personal - Erzieher'!$L$490="","",'päd.Personal - Erzieher'!$L$490)</f>
        <v/>
      </c>
      <c r="J33" s="615">
        <f>'päd.Personal - Erzieher'!$G$522</f>
        <v>0</v>
      </c>
      <c r="K33" s="615">
        <f>'päd.Personal - Erzieher'!$H$522</f>
        <v>0</v>
      </c>
      <c r="L33" s="615">
        <f>'päd.Personal - Erzieher'!$O$522</f>
        <v>0</v>
      </c>
      <c r="M33" s="615">
        <f>'päd.Personal - Erzieher'!$P$524</f>
        <v>0</v>
      </c>
      <c r="N33" s="615">
        <f>'päd.Personal - Erzieher'!$P$525</f>
        <v>0</v>
      </c>
      <c r="O33" s="615">
        <f>'päd.Personal - Erzieher'!$P$526</f>
        <v>0</v>
      </c>
      <c r="P33" s="616">
        <f>'päd.Personal - Erzieher'!$P$527</f>
        <v>0</v>
      </c>
      <c r="Q33" s="617">
        <f>SUM(J33:P33)</f>
        <v>0</v>
      </c>
    </row>
    <row r="34" spans="1:17" s="156" customFormat="1" ht="27.75" customHeight="1" x14ac:dyDescent="0.25">
      <c r="A34" s="609">
        <v>13</v>
      </c>
      <c r="B34" s="697" t="str">
        <f>IF('päd.Personal - Erzieher'!$D$535="","",'päd.Personal - Erzieher'!$D$535)</f>
        <v/>
      </c>
      <c r="C34" s="698" t="str">
        <f>IF('päd.Personal - Erzieher'!$D$535="","",'päd.Personal - Erzieher'!$L$539)</f>
        <v/>
      </c>
      <c r="D34" s="698" t="str">
        <f>IF('päd.Personal - Erzieher'!$D$535="","",1)</f>
        <v/>
      </c>
      <c r="E34" s="700" t="str">
        <f>IF('päd.Personal - Erzieher'!$D$539="","",'päd.Personal - Erzieher'!$D$539)</f>
        <v/>
      </c>
      <c r="F34" s="697" t="str">
        <f>IF('päd.Personal - Erzieher'!$D$537="","",'päd.Personal - Erzieher'!$D$537)</f>
        <v/>
      </c>
      <c r="G34" s="701" t="str">
        <f>IF('päd.Personal - Erzieher'!$L$540="","",'päd.Personal - Erzieher'!$L$540)</f>
        <v/>
      </c>
      <c r="H34" s="697" t="str">
        <f>IF('päd.Personal - Erzieher'!$D$536="","",'päd.Personal - Erzieher'!$D$536)</f>
        <v/>
      </c>
      <c r="I34" s="702" t="str">
        <f>IF('päd.Personal - Erzieher'!$L$534="","",'päd.Personal - Erzieher'!$L$534)</f>
        <v/>
      </c>
      <c r="J34" s="615">
        <f>'päd.Personal - Erzieher'!$G$566</f>
        <v>0</v>
      </c>
      <c r="K34" s="615">
        <f>'päd.Personal - Erzieher'!$H$566</f>
        <v>0</v>
      </c>
      <c r="L34" s="615">
        <f>'päd.Personal - Erzieher'!$O$566</f>
        <v>0</v>
      </c>
      <c r="M34" s="615">
        <f>'päd.Personal - Erzieher'!$P$568</f>
        <v>0</v>
      </c>
      <c r="N34" s="615">
        <f>'päd.Personal - Erzieher'!$P$569</f>
        <v>0</v>
      </c>
      <c r="O34" s="615">
        <f>'päd.Personal - Erzieher'!$P$570</f>
        <v>0</v>
      </c>
      <c r="P34" s="616">
        <f>'päd.Personal - Erzieher'!$P$571</f>
        <v>0</v>
      </c>
      <c r="Q34" s="617">
        <f t="shared" si="2"/>
        <v>0</v>
      </c>
    </row>
    <row r="35" spans="1:17" s="156" customFormat="1" ht="27.75" customHeight="1" x14ac:dyDescent="0.25">
      <c r="A35" s="609">
        <v>14</v>
      </c>
      <c r="B35" s="697" t="str">
        <f>IF('päd.Personal - Erzieher'!$D$579="","",'päd.Personal - Erzieher'!$D$579)</f>
        <v/>
      </c>
      <c r="C35" s="698" t="str">
        <f>IF('päd.Personal - Erzieher'!$D$579="","",'päd.Personal - Erzieher'!$L$583)</f>
        <v/>
      </c>
      <c r="D35" s="698" t="str">
        <f>IF('päd.Personal - Erzieher'!$D$579="","",1)</f>
        <v/>
      </c>
      <c r="E35" s="700" t="str">
        <f>IF('päd.Personal - Erzieher'!$D$583="","",'päd.Personal - Erzieher'!$D$583)</f>
        <v/>
      </c>
      <c r="F35" s="697" t="str">
        <f>IF('päd.Personal - Erzieher'!$D$581="","",'päd.Personal - Erzieher'!$D$581)</f>
        <v/>
      </c>
      <c r="G35" s="701" t="str">
        <f>IF('päd.Personal - Erzieher'!$L$584="","",'päd.Personal - Erzieher'!$L$584)</f>
        <v/>
      </c>
      <c r="H35" s="697" t="str">
        <f>IF('päd.Personal - Erzieher'!$D$580="","",'päd.Personal - Erzieher'!$D$580)</f>
        <v/>
      </c>
      <c r="I35" s="702" t="str">
        <f>IF('päd.Personal - Erzieher'!$L$578="","",'päd.Personal - Erzieher'!$L$578)</f>
        <v/>
      </c>
      <c r="J35" s="615">
        <f>'päd.Personal - Erzieher'!$G$610</f>
        <v>0</v>
      </c>
      <c r="K35" s="615">
        <f>'päd.Personal - Erzieher'!$H$610</f>
        <v>0</v>
      </c>
      <c r="L35" s="615">
        <f>'päd.Personal - Erzieher'!$O$610</f>
        <v>0</v>
      </c>
      <c r="M35" s="615">
        <f>'päd.Personal - Erzieher'!$P$612</f>
        <v>0</v>
      </c>
      <c r="N35" s="615">
        <f>'päd.Personal - Erzieher'!$P$613</f>
        <v>0</v>
      </c>
      <c r="O35" s="615">
        <f>'päd.Personal - Erzieher'!$P$614</f>
        <v>0</v>
      </c>
      <c r="P35" s="616">
        <f>'päd.Personal - Erzieher'!$P$615</f>
        <v>0</v>
      </c>
      <c r="Q35" s="617">
        <f t="shared" si="2"/>
        <v>0</v>
      </c>
    </row>
    <row r="36" spans="1:17" s="156" customFormat="1" ht="27.75" customHeight="1" x14ac:dyDescent="0.25">
      <c r="A36" s="609">
        <v>15</v>
      </c>
      <c r="B36" s="697" t="str">
        <f>IF('päd.Personal - Erzieher'!$D$623="","",'päd.Personal - Erzieher'!$D$623)</f>
        <v/>
      </c>
      <c r="C36" s="698" t="str">
        <f>IF('päd.Personal - Erzieher'!$D$623="","",'päd.Personal - Erzieher'!$L$627)</f>
        <v/>
      </c>
      <c r="D36" s="698" t="str">
        <f>IF('päd.Personal - Erzieher'!$D$623="","",1)</f>
        <v/>
      </c>
      <c r="E36" s="700" t="str">
        <f>IF('päd.Personal - Erzieher'!$D$627="","",'päd.Personal - Erzieher'!$D$627)</f>
        <v/>
      </c>
      <c r="F36" s="697" t="str">
        <f>IF('päd.Personal - Erzieher'!$D$625="","",'päd.Personal - Erzieher'!$D$625)</f>
        <v/>
      </c>
      <c r="G36" s="701" t="str">
        <f>IF('päd.Personal - Erzieher'!$L$628="","",'päd.Personal - Erzieher'!$L$628)</f>
        <v/>
      </c>
      <c r="H36" s="697" t="str">
        <f>IF('päd.Personal - Erzieher'!$D$624="","",'päd.Personal - Erzieher'!$D$624)</f>
        <v/>
      </c>
      <c r="I36" s="702" t="str">
        <f>IF('päd.Personal - Erzieher'!$L$622="","",'päd.Personal - Erzieher'!$L$622)</f>
        <v/>
      </c>
      <c r="J36" s="615">
        <f>'päd.Personal - Erzieher'!$G$654</f>
        <v>0</v>
      </c>
      <c r="K36" s="615">
        <f>'päd.Personal - Erzieher'!$H$654</f>
        <v>0</v>
      </c>
      <c r="L36" s="615">
        <f>'päd.Personal - Erzieher'!$O$654</f>
        <v>0</v>
      </c>
      <c r="M36" s="615">
        <f>'päd.Personal - Erzieher'!$P$656</f>
        <v>0</v>
      </c>
      <c r="N36" s="615">
        <f>'päd.Personal - Erzieher'!$P$657</f>
        <v>0</v>
      </c>
      <c r="O36" s="615">
        <f>'päd.Personal - Erzieher'!$P$658</f>
        <v>0</v>
      </c>
      <c r="P36" s="616">
        <f>'päd.Personal - Erzieher'!$P$659</f>
        <v>0</v>
      </c>
      <c r="Q36" s="617">
        <f t="shared" si="2"/>
        <v>0</v>
      </c>
    </row>
    <row r="37" spans="1:17" s="156" customFormat="1" ht="27.75" customHeight="1" x14ac:dyDescent="0.25">
      <c r="A37" s="609">
        <v>16</v>
      </c>
      <c r="B37" s="697" t="str">
        <f>IF('päd.Personal - Erzieher'!$D$667="","",'päd.Personal - Erzieher'!$D$667)</f>
        <v/>
      </c>
      <c r="C37" s="698" t="str">
        <f>IF('päd.Personal - Erzieher'!$D$667="","",'päd.Personal - Erzieher'!$L$671)</f>
        <v/>
      </c>
      <c r="D37" s="698" t="str">
        <f>IF('päd.Personal - Erzieher'!$D$667="","",1)</f>
        <v/>
      </c>
      <c r="E37" s="700" t="str">
        <f>IF('päd.Personal - Erzieher'!$D$671="","",'päd.Personal - Erzieher'!$D$671)</f>
        <v/>
      </c>
      <c r="F37" s="697" t="str">
        <f>IF('päd.Personal - Erzieher'!$D$669="","",'päd.Personal - Erzieher'!$D$669)</f>
        <v/>
      </c>
      <c r="G37" s="701" t="str">
        <f>IF('päd.Personal - Erzieher'!$L$672="","",'päd.Personal - Erzieher'!$L$672)</f>
        <v/>
      </c>
      <c r="H37" s="697" t="str">
        <f>IF('päd.Personal - Erzieher'!$D$668="","",'päd.Personal - Erzieher'!$D$668)</f>
        <v/>
      </c>
      <c r="I37" s="702" t="str">
        <f>IF('päd.Personal - Erzieher'!$L$666="","",'päd.Personal - Erzieher'!$L$666)</f>
        <v/>
      </c>
      <c r="J37" s="615">
        <f>'päd.Personal - Erzieher'!$G$698</f>
        <v>0</v>
      </c>
      <c r="K37" s="615">
        <f>'päd.Personal - Erzieher'!$H$698</f>
        <v>0</v>
      </c>
      <c r="L37" s="615">
        <f>'päd.Personal - Erzieher'!$O$698</f>
        <v>0</v>
      </c>
      <c r="M37" s="615">
        <f>'päd.Personal - Erzieher'!$P$700</f>
        <v>0</v>
      </c>
      <c r="N37" s="615">
        <f>'päd.Personal - Erzieher'!$P$701</f>
        <v>0</v>
      </c>
      <c r="O37" s="615">
        <f>'päd.Personal - Erzieher'!$P$702</f>
        <v>0</v>
      </c>
      <c r="P37" s="616">
        <f>'päd.Personal - Erzieher'!$P$703</f>
        <v>0</v>
      </c>
      <c r="Q37" s="617">
        <f t="shared" si="2"/>
        <v>0</v>
      </c>
    </row>
    <row r="38" spans="1:17" s="156" customFormat="1" ht="27.75" customHeight="1" x14ac:dyDescent="0.25">
      <c r="A38" s="609">
        <v>17</v>
      </c>
      <c r="B38" s="697" t="str">
        <f>IF('päd.Personal - Erzieher'!$D$711="","",'päd.Personal - Erzieher'!$D$711)</f>
        <v/>
      </c>
      <c r="C38" s="698" t="str">
        <f>IF('päd.Personal - Erzieher'!$D$711="","",'päd.Personal - Erzieher'!$L$715)</f>
        <v/>
      </c>
      <c r="D38" s="698" t="str">
        <f>IF('päd.Personal - Erzieher'!$D$711="","",1)</f>
        <v/>
      </c>
      <c r="E38" s="700" t="str">
        <f>IF('päd.Personal - Erzieher'!$D$715="","",'päd.Personal - Erzieher'!$D$715)</f>
        <v/>
      </c>
      <c r="F38" s="697" t="str">
        <f>IF('päd.Personal - Erzieher'!$D$713="","",'päd.Personal - Erzieher'!$D$713)</f>
        <v/>
      </c>
      <c r="G38" s="701" t="str">
        <f>IF('päd.Personal - Erzieher'!$L$716="","",'päd.Personal - Erzieher'!$L$716)</f>
        <v/>
      </c>
      <c r="H38" s="697" t="str">
        <f>IF('päd.Personal - Erzieher'!$D$712="","",'päd.Personal - Erzieher'!$D$712)</f>
        <v/>
      </c>
      <c r="I38" s="702" t="str">
        <f>IF('päd.Personal - Erzieher'!$L$710="","",'päd.Personal - Erzieher'!$L$710)</f>
        <v/>
      </c>
      <c r="J38" s="615">
        <f>'päd.Personal - Erzieher'!$G$742</f>
        <v>0</v>
      </c>
      <c r="K38" s="615">
        <f>'päd.Personal - Erzieher'!$H$742</f>
        <v>0</v>
      </c>
      <c r="L38" s="615">
        <f>'päd.Personal - Erzieher'!$O$742</f>
        <v>0</v>
      </c>
      <c r="M38" s="615">
        <f>'päd.Personal - Erzieher'!$P$744</f>
        <v>0</v>
      </c>
      <c r="N38" s="615">
        <f>'päd.Personal - Erzieher'!$P$745</f>
        <v>0</v>
      </c>
      <c r="O38" s="615">
        <f>'päd.Personal - Erzieher'!$P$746</f>
        <v>0</v>
      </c>
      <c r="P38" s="616">
        <f>'päd.Personal - Erzieher'!$P$747</f>
        <v>0</v>
      </c>
      <c r="Q38" s="617">
        <f>SUM(J38:P38)</f>
        <v>0</v>
      </c>
    </row>
    <row r="39" spans="1:17" s="156" customFormat="1" ht="27.75" customHeight="1" x14ac:dyDescent="0.25">
      <c r="A39" s="609">
        <v>18</v>
      </c>
      <c r="B39" s="697" t="str">
        <f>IF('päd.Personal - Erzieher'!$D$755="","",'päd.Personal - Erzieher'!$D$755)</f>
        <v/>
      </c>
      <c r="C39" s="698" t="str">
        <f>IF('päd.Personal - Erzieher'!$D$755="","",'päd.Personal - Erzieher'!$L$759)</f>
        <v/>
      </c>
      <c r="D39" s="698" t="str">
        <f>IF('päd.Personal - Erzieher'!$D$755="","",1)</f>
        <v/>
      </c>
      <c r="E39" s="700" t="str">
        <f>IF('päd.Personal - Erzieher'!$D$759="","",'päd.Personal - Erzieher'!$D$759)</f>
        <v/>
      </c>
      <c r="F39" s="697" t="str">
        <f>IF('päd.Personal - Erzieher'!$D$757="","",'päd.Personal - Erzieher'!$D$757)</f>
        <v/>
      </c>
      <c r="G39" s="701" t="str">
        <f>IF('päd.Personal - Erzieher'!$L$760="","",'päd.Personal - Erzieher'!$L$760)</f>
        <v/>
      </c>
      <c r="H39" s="697" t="str">
        <f>IF('päd.Personal - Erzieher'!$D$756="","",'päd.Personal - Erzieher'!$D$756)</f>
        <v/>
      </c>
      <c r="I39" s="702" t="str">
        <f>IF('päd.Personal - Erzieher'!$L$754="","",'päd.Personal - Erzieher'!$L$754)</f>
        <v/>
      </c>
      <c r="J39" s="615">
        <f>'päd.Personal - Erzieher'!$G$786</f>
        <v>0</v>
      </c>
      <c r="K39" s="615">
        <f>'päd.Personal - Erzieher'!$H$786</f>
        <v>0</v>
      </c>
      <c r="L39" s="615">
        <f>'päd.Personal - Erzieher'!$O$786</f>
        <v>0</v>
      </c>
      <c r="M39" s="615">
        <f>'päd.Personal - Erzieher'!$P$788</f>
        <v>0</v>
      </c>
      <c r="N39" s="615">
        <f>'päd.Personal - Erzieher'!$P$789</f>
        <v>0</v>
      </c>
      <c r="O39" s="615">
        <f>'päd.Personal - Erzieher'!$P$790</f>
        <v>0</v>
      </c>
      <c r="P39" s="616">
        <f>'päd.Personal - Erzieher'!$P$791</f>
        <v>0</v>
      </c>
      <c r="Q39" s="617">
        <f t="shared" ref="Q39:Q56" si="3">SUM(J39:P39)</f>
        <v>0</v>
      </c>
    </row>
    <row r="40" spans="1:17" s="156" customFormat="1" ht="27.75" customHeight="1" x14ac:dyDescent="0.25">
      <c r="A40" s="609">
        <v>19</v>
      </c>
      <c r="B40" s="697" t="str">
        <f>IF('päd.Personal - Erzieher'!$D$799="","",'päd.Personal - Erzieher'!$D$799)</f>
        <v/>
      </c>
      <c r="C40" s="698" t="str">
        <f>IF('päd.Personal - Erzieher'!$D$799="","",'päd.Personal - Erzieher'!$L$803)</f>
        <v/>
      </c>
      <c r="D40" s="698" t="str">
        <f>IF('päd.Personal - Erzieher'!$D$799="","",1)</f>
        <v/>
      </c>
      <c r="E40" s="700" t="str">
        <f>IF('päd.Personal - Erzieher'!$D$803="","",'päd.Personal - Erzieher'!$D$803)</f>
        <v/>
      </c>
      <c r="F40" s="697" t="str">
        <f>IF('päd.Personal - Erzieher'!$D$801="","",'päd.Personal - Erzieher'!$D$801)</f>
        <v/>
      </c>
      <c r="G40" s="701" t="str">
        <f>IF('päd.Personal - Erzieher'!$L$804="","",'päd.Personal - Erzieher'!$L$804)</f>
        <v/>
      </c>
      <c r="H40" s="697" t="str">
        <f>IF('päd.Personal - Erzieher'!$D$800="","",'päd.Personal - Erzieher'!$D$800)</f>
        <v/>
      </c>
      <c r="I40" s="702" t="str">
        <f>IF('päd.Personal - Erzieher'!$L$798="","",'päd.Personal - Erzieher'!$L$798)</f>
        <v/>
      </c>
      <c r="J40" s="615">
        <f>'päd.Personal - Erzieher'!$G$830</f>
        <v>0</v>
      </c>
      <c r="K40" s="615">
        <f>'päd.Personal - Erzieher'!$H$830</f>
        <v>0</v>
      </c>
      <c r="L40" s="615">
        <f>'päd.Personal - Erzieher'!$O$830</f>
        <v>0</v>
      </c>
      <c r="M40" s="615">
        <f>'päd.Personal - Erzieher'!$P$832</f>
        <v>0</v>
      </c>
      <c r="N40" s="615">
        <f>'päd.Personal - Erzieher'!$P$833</f>
        <v>0</v>
      </c>
      <c r="O40" s="615">
        <f>'päd.Personal - Erzieher'!$P$834</f>
        <v>0</v>
      </c>
      <c r="P40" s="616">
        <f>'päd.Personal - Erzieher'!$P$835</f>
        <v>0</v>
      </c>
      <c r="Q40" s="617">
        <f t="shared" si="3"/>
        <v>0</v>
      </c>
    </row>
    <row r="41" spans="1:17" s="156" customFormat="1" ht="27.75" customHeight="1" x14ac:dyDescent="0.25">
      <c r="A41" s="609">
        <v>20</v>
      </c>
      <c r="B41" s="697" t="str">
        <f>IF('päd.Personal - Erzieher'!$D$843="","",'päd.Personal - Erzieher'!$D$843)</f>
        <v/>
      </c>
      <c r="C41" s="698" t="str">
        <f>IF('päd.Personal - Erzieher'!$D$843="","",'päd.Personal - Erzieher'!$L$847)</f>
        <v/>
      </c>
      <c r="D41" s="698" t="str">
        <f>IF('päd.Personal - Erzieher'!$D$843="","",1)</f>
        <v/>
      </c>
      <c r="E41" s="700" t="str">
        <f>IF('päd.Personal - Erzieher'!$D$847="","",'päd.Personal - Erzieher'!$D$847)</f>
        <v/>
      </c>
      <c r="F41" s="697" t="str">
        <f>IF('päd.Personal - Erzieher'!$D$845="","",'päd.Personal - Erzieher'!$D$845)</f>
        <v/>
      </c>
      <c r="G41" s="701" t="str">
        <f>IF('päd.Personal - Erzieher'!$L$848="","",'päd.Personal - Erzieher'!$L$848)</f>
        <v/>
      </c>
      <c r="H41" s="697" t="str">
        <f>IF('päd.Personal - Erzieher'!$D$844="","",'päd.Personal - Erzieher'!$D$844)</f>
        <v/>
      </c>
      <c r="I41" s="702" t="str">
        <f>IF('päd.Personal - Erzieher'!$L$842="","",'päd.Personal - Erzieher'!$L$842)</f>
        <v/>
      </c>
      <c r="J41" s="615">
        <f>'päd.Personal - Erzieher'!$G$874</f>
        <v>0</v>
      </c>
      <c r="K41" s="615">
        <f>'päd.Personal - Erzieher'!$H$874</f>
        <v>0</v>
      </c>
      <c r="L41" s="615">
        <f>'päd.Personal - Erzieher'!$O$874</f>
        <v>0</v>
      </c>
      <c r="M41" s="615">
        <f>'päd.Personal - Erzieher'!$P$876</f>
        <v>0</v>
      </c>
      <c r="N41" s="615">
        <f>'päd.Personal - Erzieher'!$P$877</f>
        <v>0</v>
      </c>
      <c r="O41" s="615">
        <f>'päd.Personal - Erzieher'!$P$878</f>
        <v>0</v>
      </c>
      <c r="P41" s="616">
        <f>'päd.Personal - Erzieher'!$P$879</f>
        <v>0</v>
      </c>
      <c r="Q41" s="617">
        <f t="shared" si="3"/>
        <v>0</v>
      </c>
    </row>
    <row r="42" spans="1:17" s="156" customFormat="1" ht="27.75" customHeight="1" x14ac:dyDescent="0.25">
      <c r="A42" s="609">
        <v>21</v>
      </c>
      <c r="B42" s="697" t="str">
        <f>IF('päd.Personal - Erzieher'!$D$887="","",'päd.Personal - Erzieher'!$D$887)</f>
        <v/>
      </c>
      <c r="C42" s="698" t="str">
        <f>IF('päd.Personal - Erzieher'!$D$887="","",'päd.Personal - Erzieher'!$L$891)</f>
        <v/>
      </c>
      <c r="D42" s="698" t="str">
        <f>IF('päd.Personal - Erzieher'!$D$887="","",1)</f>
        <v/>
      </c>
      <c r="E42" s="700" t="str">
        <f>IF('päd.Personal - Erzieher'!$D$891="","",'päd.Personal - Erzieher'!$D$891)</f>
        <v/>
      </c>
      <c r="F42" s="697" t="str">
        <f>IF('päd.Personal - Erzieher'!$D$889="","",'päd.Personal - Erzieher'!$D$889)</f>
        <v/>
      </c>
      <c r="G42" s="701" t="str">
        <f>IF('päd.Personal - Erzieher'!$L$892="","",'päd.Personal - Erzieher'!$L$892)</f>
        <v/>
      </c>
      <c r="H42" s="697" t="str">
        <f>IF('päd.Personal - Erzieher'!$D$888="","",'päd.Personal - Erzieher'!$D$888)</f>
        <v/>
      </c>
      <c r="I42" s="702" t="str">
        <f>IF('päd.Personal - Erzieher'!$L$886="","",'päd.Personal - Erzieher'!$L$886)</f>
        <v/>
      </c>
      <c r="J42" s="615">
        <f>'päd.Personal - Erzieher'!$G$918</f>
        <v>0</v>
      </c>
      <c r="K42" s="615">
        <f>'päd.Personal - Erzieher'!$H$918</f>
        <v>0</v>
      </c>
      <c r="L42" s="615">
        <f>'päd.Personal - Erzieher'!$O$918</f>
        <v>0</v>
      </c>
      <c r="M42" s="615">
        <f>'päd.Personal - Erzieher'!$P$920</f>
        <v>0</v>
      </c>
      <c r="N42" s="615">
        <f>'päd.Personal - Erzieher'!$P$921</f>
        <v>0</v>
      </c>
      <c r="O42" s="615">
        <f>'päd.Personal - Erzieher'!$P$922</f>
        <v>0</v>
      </c>
      <c r="P42" s="616">
        <f>'päd.Personal - Erzieher'!$P$923</f>
        <v>0</v>
      </c>
      <c r="Q42" s="617">
        <f t="shared" si="3"/>
        <v>0</v>
      </c>
    </row>
    <row r="43" spans="1:17" s="156" customFormat="1" ht="27.75" customHeight="1" x14ac:dyDescent="0.25">
      <c r="A43" s="609">
        <v>22</v>
      </c>
      <c r="B43" s="697" t="str">
        <f>IF('päd.Personal - Erzieher'!$D$931="","",'päd.Personal - Erzieher'!$D$931)</f>
        <v/>
      </c>
      <c r="C43" s="698" t="str">
        <f>IF('päd.Personal - Erzieher'!$D$931="","",'päd.Personal - Erzieher'!$L$935)</f>
        <v/>
      </c>
      <c r="D43" s="698" t="str">
        <f>IF('päd.Personal - Erzieher'!$D$931="","",1)</f>
        <v/>
      </c>
      <c r="E43" s="700" t="str">
        <f>IF('päd.Personal - Erzieher'!$D$935="","",'päd.Personal - Erzieher'!$D$935)</f>
        <v/>
      </c>
      <c r="F43" s="697" t="str">
        <f>IF('päd.Personal - Erzieher'!$D$933="","",'päd.Personal - Erzieher'!$D$933)</f>
        <v/>
      </c>
      <c r="G43" s="701" t="str">
        <f>IF('päd.Personal - Erzieher'!$L$936="","",'päd.Personal - Erzieher'!$L$936)</f>
        <v/>
      </c>
      <c r="H43" s="697" t="str">
        <f>IF('päd.Personal - Erzieher'!$D$932="","",'päd.Personal - Erzieher'!$D$932)</f>
        <v/>
      </c>
      <c r="I43" s="702" t="str">
        <f>IF('päd.Personal - Erzieher'!$L$930="","",'päd.Personal - Erzieher'!$L$930)</f>
        <v/>
      </c>
      <c r="J43" s="615">
        <f>'päd.Personal - Erzieher'!$G$962</f>
        <v>0</v>
      </c>
      <c r="K43" s="615">
        <f>'päd.Personal - Erzieher'!$H$962</f>
        <v>0</v>
      </c>
      <c r="L43" s="615">
        <f>'päd.Personal - Erzieher'!$O$962</f>
        <v>0</v>
      </c>
      <c r="M43" s="615">
        <f>'päd.Personal - Erzieher'!$P$964</f>
        <v>0</v>
      </c>
      <c r="N43" s="615">
        <f>'päd.Personal - Erzieher'!$P$965</f>
        <v>0</v>
      </c>
      <c r="O43" s="615">
        <f>'päd.Personal - Erzieher'!$P$966</f>
        <v>0</v>
      </c>
      <c r="P43" s="616">
        <f>'päd.Personal - Erzieher'!$P$967</f>
        <v>0</v>
      </c>
      <c r="Q43" s="617">
        <f t="shared" si="3"/>
        <v>0</v>
      </c>
    </row>
    <row r="44" spans="1:17" s="156" customFormat="1" ht="27.75" customHeight="1" x14ac:dyDescent="0.25">
      <c r="A44" s="609">
        <v>23</v>
      </c>
      <c r="B44" s="697" t="str">
        <f>IF('päd.Personal - Erzieher'!$D$975="","",'päd.Personal - Erzieher'!$D$975)</f>
        <v/>
      </c>
      <c r="C44" s="698" t="str">
        <f>IF('päd.Personal - Erzieher'!$D$975="","",'päd.Personal - Erzieher'!$L$979)</f>
        <v/>
      </c>
      <c r="D44" s="698" t="str">
        <f>IF('päd.Personal - Erzieher'!$D$975="","",1)</f>
        <v/>
      </c>
      <c r="E44" s="700" t="str">
        <f>IF('päd.Personal - Erzieher'!$D$979="","",'päd.Personal - Erzieher'!$D$979)</f>
        <v/>
      </c>
      <c r="F44" s="697" t="str">
        <f>IF('päd.Personal - Erzieher'!$D$977="","",'päd.Personal - Erzieher'!$D$977)</f>
        <v/>
      </c>
      <c r="G44" s="701" t="str">
        <f>IF('päd.Personal - Erzieher'!$L$980="","",'päd.Personal - Erzieher'!$L$980)</f>
        <v/>
      </c>
      <c r="H44" s="697" t="str">
        <f>IF('päd.Personal - Erzieher'!$D$976="","",'päd.Personal - Erzieher'!$D$976)</f>
        <v/>
      </c>
      <c r="I44" s="702" t="str">
        <f>IF('päd.Personal - Erzieher'!$L$974="","",'päd.Personal - Erzieher'!$L$974)</f>
        <v/>
      </c>
      <c r="J44" s="615">
        <f>'päd.Personal - Erzieher'!$G$1006</f>
        <v>0</v>
      </c>
      <c r="K44" s="615">
        <f>'päd.Personal - Erzieher'!$H$1006</f>
        <v>0</v>
      </c>
      <c r="L44" s="615">
        <f>'päd.Personal - Erzieher'!$O$1006</f>
        <v>0</v>
      </c>
      <c r="M44" s="615">
        <f>'päd.Personal - Erzieher'!$P$1008</f>
        <v>0</v>
      </c>
      <c r="N44" s="615">
        <f>'päd.Personal - Erzieher'!$P$1009</f>
        <v>0</v>
      </c>
      <c r="O44" s="615">
        <f>'päd.Personal - Erzieher'!$P$1010</f>
        <v>0</v>
      </c>
      <c r="P44" s="616">
        <f>'päd.Personal - Erzieher'!$P$1011</f>
        <v>0</v>
      </c>
      <c r="Q44" s="617">
        <f t="shared" si="3"/>
        <v>0</v>
      </c>
    </row>
    <row r="45" spans="1:17" s="156" customFormat="1" ht="27.75" customHeight="1" x14ac:dyDescent="0.25">
      <c r="A45" s="609">
        <v>24</v>
      </c>
      <c r="B45" s="697" t="str">
        <f>IF('päd.Personal - Erzieher'!$D$1019="","",'päd.Personal - Erzieher'!$D$1019)</f>
        <v/>
      </c>
      <c r="C45" s="698" t="str">
        <f>IF('päd.Personal - Erzieher'!$D$1019="","",'päd.Personal - Erzieher'!$L$1023)</f>
        <v/>
      </c>
      <c r="D45" s="698" t="str">
        <f>IF('päd.Personal - Erzieher'!$D$1019="","",1)</f>
        <v/>
      </c>
      <c r="E45" s="700" t="str">
        <f>IF('päd.Personal - Erzieher'!$D$1023="","",'päd.Personal - Erzieher'!$D$1023)</f>
        <v/>
      </c>
      <c r="F45" s="697" t="str">
        <f>IF('päd.Personal - Erzieher'!$D$1021="","",'päd.Personal - Erzieher'!$D$1021)</f>
        <v/>
      </c>
      <c r="G45" s="701" t="str">
        <f>IF('päd.Personal - Erzieher'!$L$1024="","",'päd.Personal - Erzieher'!$L$1024)</f>
        <v/>
      </c>
      <c r="H45" s="697" t="str">
        <f>IF('päd.Personal - Erzieher'!$D$1020="","",'päd.Personal - Erzieher'!$D$1020)</f>
        <v/>
      </c>
      <c r="I45" s="702" t="str">
        <f>IF('päd.Personal - Erzieher'!$L$1018="","",'päd.Personal - Erzieher'!$L$1018)</f>
        <v/>
      </c>
      <c r="J45" s="615">
        <f>'päd.Personal - Erzieher'!$G$1050</f>
        <v>0</v>
      </c>
      <c r="K45" s="615">
        <f>'päd.Personal - Erzieher'!$H$1050</f>
        <v>0</v>
      </c>
      <c r="L45" s="615">
        <f>'päd.Personal - Erzieher'!$O$1050</f>
        <v>0</v>
      </c>
      <c r="M45" s="615">
        <f>'päd.Personal - Erzieher'!$P$1052</f>
        <v>0</v>
      </c>
      <c r="N45" s="615">
        <f>'päd.Personal - Erzieher'!$P$1053</f>
        <v>0</v>
      </c>
      <c r="O45" s="615">
        <f>'päd.Personal - Erzieher'!$P$1054</f>
        <v>0</v>
      </c>
      <c r="P45" s="616">
        <f>'päd.Personal - Erzieher'!$P$1055</f>
        <v>0</v>
      </c>
      <c r="Q45" s="617">
        <f t="shared" si="3"/>
        <v>0</v>
      </c>
    </row>
    <row r="46" spans="1:17" s="156" customFormat="1" ht="27.75" customHeight="1" x14ac:dyDescent="0.25">
      <c r="A46" s="609">
        <v>25</v>
      </c>
      <c r="B46" s="697" t="str">
        <f>IF('päd.Personal - Erzieher'!$D$1063="","",'päd.Personal - Erzieher'!$D$1063)</f>
        <v/>
      </c>
      <c r="C46" s="698" t="str">
        <f>IF('päd.Personal - Erzieher'!$D$1063="","",'päd.Personal - Erzieher'!$L$1067)</f>
        <v/>
      </c>
      <c r="D46" s="698" t="str">
        <f>IF('päd.Personal - Erzieher'!$D$1063="","",1)</f>
        <v/>
      </c>
      <c r="E46" s="700" t="str">
        <f>IF('päd.Personal - Erzieher'!$D$1067="","",'päd.Personal - Erzieher'!$D$1067)</f>
        <v/>
      </c>
      <c r="F46" s="697" t="str">
        <f>IF('päd.Personal - Erzieher'!$D$1065="","",'päd.Personal - Erzieher'!$D$1065)</f>
        <v/>
      </c>
      <c r="G46" s="701" t="str">
        <f>IF('päd.Personal - Erzieher'!$L$1068="","",'päd.Personal - Erzieher'!$L$1068)</f>
        <v/>
      </c>
      <c r="H46" s="697" t="str">
        <f>IF('päd.Personal - Erzieher'!$D$1064="","",'päd.Personal - Erzieher'!$D$1064)</f>
        <v/>
      </c>
      <c r="I46" s="702" t="str">
        <f>IF('päd.Personal - Erzieher'!$L$1062="","",'päd.Personal - Erzieher'!$L$1062)</f>
        <v/>
      </c>
      <c r="J46" s="615">
        <f>'päd.Personal - Erzieher'!$G$1094</f>
        <v>0</v>
      </c>
      <c r="K46" s="615">
        <f>'päd.Personal - Erzieher'!$H$1094</f>
        <v>0</v>
      </c>
      <c r="L46" s="615">
        <f>'päd.Personal - Erzieher'!$O$1094</f>
        <v>0</v>
      </c>
      <c r="M46" s="615">
        <f>'päd.Personal - Erzieher'!$P$1096</f>
        <v>0</v>
      </c>
      <c r="N46" s="615">
        <f>'päd.Personal - Erzieher'!$P$1097</f>
        <v>0</v>
      </c>
      <c r="O46" s="615">
        <f>'päd.Personal - Erzieher'!$P$1098</f>
        <v>0</v>
      </c>
      <c r="P46" s="616">
        <f>'päd.Personal - Erzieher'!$P$1099</f>
        <v>0</v>
      </c>
      <c r="Q46" s="617">
        <f t="shared" si="3"/>
        <v>0</v>
      </c>
    </row>
    <row r="47" spans="1:17" s="156" customFormat="1" ht="27.75" customHeight="1" x14ac:dyDescent="0.25">
      <c r="A47" s="609">
        <v>26</v>
      </c>
      <c r="B47" s="697" t="str">
        <f>IF('päd.Personal - Erzieher'!$D$1107="","",'päd.Personal - Erzieher'!$D$1107)</f>
        <v/>
      </c>
      <c r="C47" s="698" t="str">
        <f>IF('päd.Personal - Erzieher'!$D$1107="","",'päd.Personal - Erzieher'!$L$1111)</f>
        <v/>
      </c>
      <c r="D47" s="698" t="str">
        <f>IF('päd.Personal - Erzieher'!$D$1107="","",1)</f>
        <v/>
      </c>
      <c r="E47" s="700" t="str">
        <f>IF('päd.Personal - Erzieher'!$D$1111="","",'päd.Personal - Erzieher'!$D$1111)</f>
        <v/>
      </c>
      <c r="F47" s="697" t="str">
        <f>IF('päd.Personal - Erzieher'!$D$1109="","",'päd.Personal - Erzieher'!$D$1109)</f>
        <v/>
      </c>
      <c r="G47" s="701" t="str">
        <f>IF('päd.Personal - Erzieher'!$L$1112="","",'päd.Personal - Erzieher'!$L$1112)</f>
        <v/>
      </c>
      <c r="H47" s="697" t="str">
        <f>IF('päd.Personal - Erzieher'!$D$1108="","",'päd.Personal - Erzieher'!$D$1108)</f>
        <v/>
      </c>
      <c r="I47" s="702" t="str">
        <f>IF('päd.Personal - Erzieher'!$L$1106="","",'päd.Personal - Erzieher'!$L$1106)</f>
        <v/>
      </c>
      <c r="J47" s="615">
        <f>'päd.Personal - Erzieher'!$G$1138</f>
        <v>0</v>
      </c>
      <c r="K47" s="615">
        <f>'päd.Personal - Erzieher'!$H$1138</f>
        <v>0</v>
      </c>
      <c r="L47" s="615">
        <f>'päd.Personal - Erzieher'!$O$1138</f>
        <v>0</v>
      </c>
      <c r="M47" s="615">
        <f>'päd.Personal - Erzieher'!$P$1140</f>
        <v>0</v>
      </c>
      <c r="N47" s="615">
        <f>'päd.Personal - Erzieher'!$P$1141</f>
        <v>0</v>
      </c>
      <c r="O47" s="615">
        <f>'päd.Personal - Erzieher'!$P$1142</f>
        <v>0</v>
      </c>
      <c r="P47" s="616">
        <f>'päd.Personal - Erzieher'!$P$1143</f>
        <v>0</v>
      </c>
      <c r="Q47" s="617">
        <f t="shared" si="3"/>
        <v>0</v>
      </c>
    </row>
    <row r="48" spans="1:17" s="156" customFormat="1" ht="27.75" customHeight="1" x14ac:dyDescent="0.25">
      <c r="A48" s="609">
        <v>27</v>
      </c>
      <c r="B48" s="697" t="str">
        <f>IF('päd.Personal - Erzieher'!$D$1151="","",'päd.Personal - Erzieher'!$D$1151)</f>
        <v/>
      </c>
      <c r="C48" s="698" t="str">
        <f>IF('päd.Personal - Erzieher'!$D$1151="","",'päd.Personal - Erzieher'!$L$1155)</f>
        <v/>
      </c>
      <c r="D48" s="698" t="str">
        <f>IF('päd.Personal - Erzieher'!$D$1151="","",1)</f>
        <v/>
      </c>
      <c r="E48" s="700" t="str">
        <f>IF('päd.Personal - Erzieher'!$D$1155="","",'päd.Personal - Erzieher'!$D$1155)</f>
        <v/>
      </c>
      <c r="F48" s="697" t="str">
        <f>IF('päd.Personal - Erzieher'!$D$1153="","",'päd.Personal - Erzieher'!$D$1153)</f>
        <v/>
      </c>
      <c r="G48" s="701" t="str">
        <f>IF('päd.Personal - Erzieher'!$L$1156="","",'päd.Personal - Erzieher'!$L$1156)</f>
        <v/>
      </c>
      <c r="H48" s="697" t="str">
        <f>IF('päd.Personal - Erzieher'!$D$1152="","",'päd.Personal - Erzieher'!$D$1152)</f>
        <v/>
      </c>
      <c r="I48" s="702" t="str">
        <f>IF('päd.Personal - Erzieher'!$L$1150="","",'päd.Personal - Erzieher'!$L$1150)</f>
        <v/>
      </c>
      <c r="J48" s="615">
        <f>'päd.Personal - Erzieher'!$G$1182</f>
        <v>0</v>
      </c>
      <c r="K48" s="615">
        <f>'päd.Personal - Erzieher'!$H$1182</f>
        <v>0</v>
      </c>
      <c r="L48" s="615">
        <f>'päd.Personal - Erzieher'!$O$1182</f>
        <v>0</v>
      </c>
      <c r="M48" s="615">
        <f>'päd.Personal - Erzieher'!$P$1184</f>
        <v>0</v>
      </c>
      <c r="N48" s="615">
        <f>'päd.Personal - Erzieher'!$P$1185</f>
        <v>0</v>
      </c>
      <c r="O48" s="615">
        <f>'päd.Personal - Erzieher'!$P$1186</f>
        <v>0</v>
      </c>
      <c r="P48" s="616">
        <f>'päd.Personal - Erzieher'!$P$1187</f>
        <v>0</v>
      </c>
      <c r="Q48" s="617">
        <f t="shared" si="3"/>
        <v>0</v>
      </c>
    </row>
    <row r="49" spans="1:17" s="156" customFormat="1" ht="27.75" customHeight="1" x14ac:dyDescent="0.25">
      <c r="A49" s="609">
        <v>28</v>
      </c>
      <c r="B49" s="697" t="str">
        <f>IF('päd.Personal - Erzieher'!$D$1195="","",'päd.Personal - Erzieher'!$D$1195)</f>
        <v/>
      </c>
      <c r="C49" s="698" t="str">
        <f>IF('päd.Personal - Erzieher'!$D$1195="","",'päd.Personal - Erzieher'!$L$1199)</f>
        <v/>
      </c>
      <c r="D49" s="698" t="str">
        <f>IF('päd.Personal - Erzieher'!$D$1195="","",1)</f>
        <v/>
      </c>
      <c r="E49" s="700" t="str">
        <f>IF('päd.Personal - Erzieher'!$D$1199="","",'päd.Personal - Erzieher'!$D$1199)</f>
        <v/>
      </c>
      <c r="F49" s="697" t="str">
        <f>IF('päd.Personal - Erzieher'!$D$1197="","",'päd.Personal - Erzieher'!$D$1197)</f>
        <v/>
      </c>
      <c r="G49" s="701" t="str">
        <f>IF('päd.Personal - Erzieher'!$L$1200="","",'päd.Personal - Erzieher'!$L$1200)</f>
        <v/>
      </c>
      <c r="H49" s="697" t="str">
        <f>IF('päd.Personal - Erzieher'!$D$1196="","",'päd.Personal - Erzieher'!$D$1196)</f>
        <v/>
      </c>
      <c r="I49" s="702" t="str">
        <f>IF('päd.Personal - Erzieher'!$L$1194="","",'päd.Personal - Erzieher'!$L$1194)</f>
        <v/>
      </c>
      <c r="J49" s="615">
        <f>'päd.Personal - Erzieher'!$G$1226</f>
        <v>0</v>
      </c>
      <c r="K49" s="615">
        <f>'päd.Personal - Erzieher'!$H$1226</f>
        <v>0</v>
      </c>
      <c r="L49" s="615">
        <f>'päd.Personal - Erzieher'!$O$1226</f>
        <v>0</v>
      </c>
      <c r="M49" s="615">
        <f>'päd.Personal - Erzieher'!$P$1228</f>
        <v>0</v>
      </c>
      <c r="N49" s="615">
        <f>'päd.Personal - Erzieher'!$P$1229</f>
        <v>0</v>
      </c>
      <c r="O49" s="615">
        <f>'päd.Personal - Erzieher'!$P$1230</f>
        <v>0</v>
      </c>
      <c r="P49" s="616">
        <f>'päd.Personal - Erzieher'!$P$1231</f>
        <v>0</v>
      </c>
      <c r="Q49" s="617">
        <f t="shared" si="3"/>
        <v>0</v>
      </c>
    </row>
    <row r="50" spans="1:17" s="156" customFormat="1" ht="27.75" customHeight="1" x14ac:dyDescent="0.25">
      <c r="A50" s="609">
        <v>29</v>
      </c>
      <c r="B50" s="697" t="str">
        <f>IF('päd.Personal - Erzieher'!$D$1239="","",'päd.Personal - Erzieher'!$D$1239)</f>
        <v/>
      </c>
      <c r="C50" s="698" t="str">
        <f>IF('päd.Personal - Erzieher'!$D$1239="","",'päd.Personal - Erzieher'!$L$1243)</f>
        <v/>
      </c>
      <c r="D50" s="698" t="str">
        <f>IF('päd.Personal - Erzieher'!$D$1239="","",1)</f>
        <v/>
      </c>
      <c r="E50" s="700" t="str">
        <f>IF('päd.Personal - Erzieher'!$D$1243="","",'päd.Personal - Erzieher'!$D$1243)</f>
        <v/>
      </c>
      <c r="F50" s="697" t="str">
        <f>IF('päd.Personal - Erzieher'!$D$1241="","",'päd.Personal - Erzieher'!$D$1241)</f>
        <v/>
      </c>
      <c r="G50" s="701" t="str">
        <f>IF('päd.Personal - Erzieher'!$L$1244="","",'päd.Personal - Erzieher'!$L$1244)</f>
        <v/>
      </c>
      <c r="H50" s="697" t="str">
        <f>IF('päd.Personal - Erzieher'!$D$1240="","",'päd.Personal - Erzieher'!$D$1240)</f>
        <v/>
      </c>
      <c r="I50" s="702" t="str">
        <f>IF('päd.Personal - Erzieher'!$L$1238="","",'päd.Personal - Erzieher'!$L$1238)</f>
        <v/>
      </c>
      <c r="J50" s="615">
        <f>'päd.Personal - Erzieher'!$G$1270</f>
        <v>0</v>
      </c>
      <c r="K50" s="615">
        <f>'päd.Personal - Erzieher'!$H$1270</f>
        <v>0</v>
      </c>
      <c r="L50" s="615">
        <f>'päd.Personal - Erzieher'!$O$1270</f>
        <v>0</v>
      </c>
      <c r="M50" s="615">
        <f>'päd.Personal - Erzieher'!$P$1272</f>
        <v>0</v>
      </c>
      <c r="N50" s="615">
        <f>'päd.Personal - Erzieher'!$P$1273</f>
        <v>0</v>
      </c>
      <c r="O50" s="615">
        <f>'päd.Personal - Erzieher'!$P$1274</f>
        <v>0</v>
      </c>
      <c r="P50" s="616">
        <f>'päd.Personal - Erzieher'!$P$1275</f>
        <v>0</v>
      </c>
      <c r="Q50" s="617">
        <f t="shared" si="3"/>
        <v>0</v>
      </c>
    </row>
    <row r="51" spans="1:17" s="156" customFormat="1" ht="27.75" customHeight="1" x14ac:dyDescent="0.25">
      <c r="A51" s="609">
        <v>30</v>
      </c>
      <c r="B51" s="697" t="str">
        <f>IF('päd.Personal - Erzieher'!$D$1283="","",'päd.Personal - Erzieher'!$D$1283)</f>
        <v/>
      </c>
      <c r="C51" s="698" t="str">
        <f>IF('päd.Personal - Erzieher'!$D$1283="","",'päd.Personal - Erzieher'!$L$1287)</f>
        <v/>
      </c>
      <c r="D51" s="698" t="str">
        <f>IF('päd.Personal - Erzieher'!$D$1283="","",1)</f>
        <v/>
      </c>
      <c r="E51" s="700" t="str">
        <f>IF('päd.Personal - Erzieher'!$D$1287="","",'päd.Personal - Erzieher'!$D$1287)</f>
        <v/>
      </c>
      <c r="F51" s="697" t="str">
        <f>IF('päd.Personal - Erzieher'!$D$1285="","",'päd.Personal - Erzieher'!$D$1285)</f>
        <v/>
      </c>
      <c r="G51" s="701" t="str">
        <f>IF('päd.Personal - Erzieher'!$L$1288="","",'päd.Personal - Erzieher'!$L$1288)</f>
        <v/>
      </c>
      <c r="H51" s="697" t="str">
        <f>IF('päd.Personal - Erzieher'!$D$1284="","",'päd.Personal - Erzieher'!$D$1284)</f>
        <v/>
      </c>
      <c r="I51" s="702" t="str">
        <f>IF('päd.Personal - Erzieher'!$L$1282="","",'päd.Personal - Erzieher'!$L$1282)</f>
        <v/>
      </c>
      <c r="J51" s="615">
        <f>'päd.Personal - Erzieher'!$G$1314</f>
        <v>0</v>
      </c>
      <c r="K51" s="615">
        <f>'päd.Personal - Erzieher'!$H$1314</f>
        <v>0</v>
      </c>
      <c r="L51" s="615">
        <f>'päd.Personal - Erzieher'!$O$1314</f>
        <v>0</v>
      </c>
      <c r="M51" s="615">
        <f>'päd.Personal - Erzieher'!$P$1316</f>
        <v>0</v>
      </c>
      <c r="N51" s="615">
        <f>'päd.Personal - Erzieher'!$P$1317</f>
        <v>0</v>
      </c>
      <c r="O51" s="615">
        <f>'päd.Personal - Erzieher'!$P$1318</f>
        <v>0</v>
      </c>
      <c r="P51" s="616">
        <f>'päd.Personal - Erzieher'!$P$1319</f>
        <v>0</v>
      </c>
      <c r="Q51" s="617">
        <f t="shared" si="3"/>
        <v>0</v>
      </c>
    </row>
    <row r="52" spans="1:17" s="156" customFormat="1" ht="27.75" customHeight="1" x14ac:dyDescent="0.25">
      <c r="A52" s="609">
        <v>31</v>
      </c>
      <c r="B52" s="697" t="str">
        <f>IF('päd.Personal - Erzieher'!$D$1327="","",'päd.Personal - Erzieher'!$D$1327)</f>
        <v/>
      </c>
      <c r="C52" s="698" t="str">
        <f>IF('päd.Personal - Erzieher'!$D$1327="","",'päd.Personal - Erzieher'!$L$1331)</f>
        <v/>
      </c>
      <c r="D52" s="698" t="str">
        <f>IF('päd.Personal - Erzieher'!$D$1327="","",1)</f>
        <v/>
      </c>
      <c r="E52" s="700" t="str">
        <f>IF('päd.Personal - Erzieher'!$D$1331="","",'päd.Personal - Erzieher'!$D$1331)</f>
        <v/>
      </c>
      <c r="F52" s="697" t="str">
        <f>IF('päd.Personal - Erzieher'!$D$1329="","",'päd.Personal - Erzieher'!$D$1329)</f>
        <v/>
      </c>
      <c r="G52" s="701" t="str">
        <f>IF('päd.Personal - Erzieher'!$L$1332="","",'päd.Personal - Erzieher'!$L$1332)</f>
        <v/>
      </c>
      <c r="H52" s="697" t="str">
        <f>IF('päd.Personal - Erzieher'!$D$1328="","",'päd.Personal - Erzieher'!$D$1328)</f>
        <v/>
      </c>
      <c r="I52" s="702" t="str">
        <f>IF('päd.Personal - Erzieher'!$L$1326="","",'päd.Personal - Erzieher'!$L$1326)</f>
        <v/>
      </c>
      <c r="J52" s="615">
        <f>'päd.Personal - Erzieher'!$G$1358</f>
        <v>0</v>
      </c>
      <c r="K52" s="615">
        <f>'päd.Personal - Erzieher'!$H$1358</f>
        <v>0</v>
      </c>
      <c r="L52" s="615">
        <f>'päd.Personal - Erzieher'!$O$1358</f>
        <v>0</v>
      </c>
      <c r="M52" s="615">
        <f>'päd.Personal - Erzieher'!$P$1360</f>
        <v>0</v>
      </c>
      <c r="N52" s="615">
        <f>'päd.Personal - Erzieher'!$P$1361</f>
        <v>0</v>
      </c>
      <c r="O52" s="615">
        <f>'päd.Personal - Erzieher'!$P$1362</f>
        <v>0</v>
      </c>
      <c r="P52" s="616">
        <f>'päd.Personal - Erzieher'!$P$1363</f>
        <v>0</v>
      </c>
      <c r="Q52" s="617">
        <f t="shared" si="3"/>
        <v>0</v>
      </c>
    </row>
    <row r="53" spans="1:17" s="156" customFormat="1" ht="27.75" customHeight="1" x14ac:dyDescent="0.25">
      <c r="A53" s="609">
        <v>32</v>
      </c>
      <c r="B53" s="697" t="str">
        <f>IF('päd.Personal - Erzieher'!$D$1371="","",'päd.Personal - Erzieher'!$D$1371)</f>
        <v/>
      </c>
      <c r="C53" s="698" t="str">
        <f>IF('päd.Personal - Erzieher'!$D$1371="","",'päd.Personal - Erzieher'!$L$1375)</f>
        <v/>
      </c>
      <c r="D53" s="698" t="str">
        <f>IF('päd.Personal - Erzieher'!$D$1371="","",1)</f>
        <v/>
      </c>
      <c r="E53" s="700" t="str">
        <f>IF('päd.Personal - Erzieher'!$D$1375="","",'päd.Personal - Erzieher'!$D$1375)</f>
        <v/>
      </c>
      <c r="F53" s="697" t="str">
        <f>IF('päd.Personal - Erzieher'!$D$1373="","",'päd.Personal - Erzieher'!$D$1373)</f>
        <v/>
      </c>
      <c r="G53" s="701" t="str">
        <f>IF('päd.Personal - Erzieher'!$L$1376="","",'päd.Personal - Erzieher'!$L$1376)</f>
        <v/>
      </c>
      <c r="H53" s="697" t="str">
        <f>IF('päd.Personal - Erzieher'!$D$1372="","",'päd.Personal - Erzieher'!$D$1372)</f>
        <v/>
      </c>
      <c r="I53" s="702" t="str">
        <f>IF('päd.Personal - Erzieher'!$L$1370="","",'päd.Personal - Erzieher'!$L$1370)</f>
        <v/>
      </c>
      <c r="J53" s="615">
        <f>'päd.Personal - Erzieher'!$G$1402</f>
        <v>0</v>
      </c>
      <c r="K53" s="615">
        <f>'päd.Personal - Erzieher'!$H$1402</f>
        <v>0</v>
      </c>
      <c r="L53" s="615">
        <f>'päd.Personal - Erzieher'!$O$1402</f>
        <v>0</v>
      </c>
      <c r="M53" s="615">
        <f>'päd.Personal - Erzieher'!$P$1404</f>
        <v>0</v>
      </c>
      <c r="N53" s="615">
        <f>'päd.Personal - Erzieher'!$P$1405</f>
        <v>0</v>
      </c>
      <c r="O53" s="615">
        <f>'päd.Personal - Erzieher'!$P$1406</f>
        <v>0</v>
      </c>
      <c r="P53" s="616">
        <f>'päd.Personal - Erzieher'!$P$1407</f>
        <v>0</v>
      </c>
      <c r="Q53" s="617">
        <f t="shared" si="3"/>
        <v>0</v>
      </c>
    </row>
    <row r="54" spans="1:17" s="156" customFormat="1" ht="27.75" customHeight="1" x14ac:dyDescent="0.25">
      <c r="A54" s="609">
        <v>33</v>
      </c>
      <c r="B54" s="697" t="str">
        <f>IF('päd.Personal - Erzieher'!$D$1415="","",'päd.Personal - Erzieher'!$D$1415)</f>
        <v/>
      </c>
      <c r="C54" s="698" t="str">
        <f>IF('päd.Personal - Erzieher'!$D$1415="","",'päd.Personal - Erzieher'!$L$1419)</f>
        <v/>
      </c>
      <c r="D54" s="698" t="str">
        <f>IF('päd.Personal - Erzieher'!$D$1415="","",1)</f>
        <v/>
      </c>
      <c r="E54" s="700" t="str">
        <f>IF('päd.Personal - Erzieher'!$D$1419="","",'päd.Personal - Erzieher'!$D$1419)</f>
        <v/>
      </c>
      <c r="F54" s="697" t="str">
        <f>IF('päd.Personal - Erzieher'!$D$1417="","",'päd.Personal - Erzieher'!$D$1417)</f>
        <v/>
      </c>
      <c r="G54" s="701" t="str">
        <f>IF('päd.Personal - Erzieher'!$L$1420="","",'päd.Personal - Erzieher'!$L$1420)</f>
        <v/>
      </c>
      <c r="H54" s="697" t="str">
        <f>IF('päd.Personal - Erzieher'!$D$1416="","",'päd.Personal - Erzieher'!$D$1416)</f>
        <v/>
      </c>
      <c r="I54" s="702" t="str">
        <f>IF('päd.Personal - Erzieher'!$L$1414="","",'päd.Personal - Erzieher'!$L$1414)</f>
        <v/>
      </c>
      <c r="J54" s="615">
        <f>'päd.Personal - Erzieher'!$G$1446</f>
        <v>0</v>
      </c>
      <c r="K54" s="615">
        <f>'päd.Personal - Erzieher'!$H$1446</f>
        <v>0</v>
      </c>
      <c r="L54" s="615">
        <f>'päd.Personal - Erzieher'!$O$1446</f>
        <v>0</v>
      </c>
      <c r="M54" s="615">
        <f>'päd.Personal - Erzieher'!$P$1448</f>
        <v>0</v>
      </c>
      <c r="N54" s="615">
        <f>'päd.Personal - Erzieher'!$P$1449</f>
        <v>0</v>
      </c>
      <c r="O54" s="615">
        <f>'päd.Personal - Erzieher'!$P$1450</f>
        <v>0</v>
      </c>
      <c r="P54" s="616">
        <f>'päd.Personal - Erzieher'!$P$1451</f>
        <v>0</v>
      </c>
      <c r="Q54" s="617">
        <f t="shared" si="3"/>
        <v>0</v>
      </c>
    </row>
    <row r="55" spans="1:17" s="156" customFormat="1" ht="27.75" customHeight="1" x14ac:dyDescent="0.25">
      <c r="A55" s="609">
        <v>34</v>
      </c>
      <c r="B55" s="697" t="str">
        <f>IF('päd.Personal - Erzieher'!$D$1459="","",'päd.Personal - Erzieher'!$D$1459)</f>
        <v/>
      </c>
      <c r="C55" s="698" t="str">
        <f>IF('päd.Personal - Erzieher'!$D$1459="","",'päd.Personal - Erzieher'!$L$1463)</f>
        <v/>
      </c>
      <c r="D55" s="698" t="str">
        <f>IF('päd.Personal - Erzieher'!$D$1459="","",1)</f>
        <v/>
      </c>
      <c r="E55" s="700" t="str">
        <f>IF('päd.Personal - Erzieher'!$D$1463="","",'päd.Personal - Erzieher'!$D$1463)</f>
        <v/>
      </c>
      <c r="F55" s="697" t="str">
        <f>IF('päd.Personal - Erzieher'!$D$1461="","",'päd.Personal - Erzieher'!$D$1461)</f>
        <v/>
      </c>
      <c r="G55" s="701" t="str">
        <f>IF('päd.Personal - Erzieher'!$L$1464="","",'päd.Personal - Erzieher'!$L$1464)</f>
        <v/>
      </c>
      <c r="H55" s="697" t="str">
        <f>IF('päd.Personal - Erzieher'!$D$1460="","",'päd.Personal - Erzieher'!$D$1460)</f>
        <v/>
      </c>
      <c r="I55" s="702" t="str">
        <f>IF('päd.Personal - Erzieher'!$L$1458="","",'päd.Personal - Erzieher'!$L$1458)</f>
        <v/>
      </c>
      <c r="J55" s="615">
        <f>'päd.Personal - Erzieher'!$G$1490</f>
        <v>0</v>
      </c>
      <c r="K55" s="615">
        <f>'päd.Personal - Erzieher'!$H$1490</f>
        <v>0</v>
      </c>
      <c r="L55" s="615">
        <f>'päd.Personal - Erzieher'!$O$1490</f>
        <v>0</v>
      </c>
      <c r="M55" s="615">
        <f>'päd.Personal - Erzieher'!$P$1492</f>
        <v>0</v>
      </c>
      <c r="N55" s="615">
        <f>'päd.Personal - Erzieher'!$P$1493</f>
        <v>0</v>
      </c>
      <c r="O55" s="615">
        <f>'päd.Personal - Erzieher'!$P$1494</f>
        <v>0</v>
      </c>
      <c r="P55" s="616">
        <f>'päd.Personal - Erzieher'!$P$1495</f>
        <v>0</v>
      </c>
      <c r="Q55" s="617">
        <f t="shared" si="3"/>
        <v>0</v>
      </c>
    </row>
    <row r="56" spans="1:17" s="156" customFormat="1" ht="27.75" customHeight="1" x14ac:dyDescent="0.25">
      <c r="A56" s="609">
        <v>35</v>
      </c>
      <c r="B56" s="697" t="str">
        <f>IF('päd.Personal - Erzieher'!$D$1503="","",'päd.Personal - Erzieher'!$D$1503)</f>
        <v/>
      </c>
      <c r="C56" s="698" t="str">
        <f>IF('päd.Personal - Erzieher'!$D$1503="","",'päd.Personal - Erzieher'!$L$1507)</f>
        <v/>
      </c>
      <c r="D56" s="698" t="str">
        <f>IF('päd.Personal - Erzieher'!$D$1503="","",1)</f>
        <v/>
      </c>
      <c r="E56" s="700" t="str">
        <f>IF('päd.Personal - Erzieher'!$D$1507="","",'päd.Personal - Erzieher'!$D$1507)</f>
        <v/>
      </c>
      <c r="F56" s="697" t="str">
        <f>IF('päd.Personal - Erzieher'!$D$1505="","",'päd.Personal - Erzieher'!$D$1505)</f>
        <v/>
      </c>
      <c r="G56" s="701" t="str">
        <f>IF('päd.Personal - Erzieher'!$L$1508="","",'päd.Personal - Erzieher'!$L$1508)</f>
        <v/>
      </c>
      <c r="H56" s="697" t="str">
        <f>IF('päd.Personal - Erzieher'!$D$1504="","",'päd.Personal - Erzieher'!$D$1504)</f>
        <v/>
      </c>
      <c r="I56" s="702" t="str">
        <f>IF('päd.Personal - Erzieher'!$L$1502="","",'päd.Personal - Erzieher'!$L$1502)</f>
        <v/>
      </c>
      <c r="J56" s="615">
        <f>'päd.Personal - Erzieher'!$G$1534</f>
        <v>0</v>
      </c>
      <c r="K56" s="615">
        <f>'päd.Personal - Erzieher'!$H$1534</f>
        <v>0</v>
      </c>
      <c r="L56" s="615">
        <f>'päd.Personal - Erzieher'!$O$1534</f>
        <v>0</v>
      </c>
      <c r="M56" s="615">
        <f>'päd.Personal - Erzieher'!$P$1536</f>
        <v>0</v>
      </c>
      <c r="N56" s="615">
        <f>'päd.Personal - Erzieher'!$P$1537</f>
        <v>0</v>
      </c>
      <c r="O56" s="615">
        <f>'päd.Personal - Erzieher'!$P$1538</f>
        <v>0</v>
      </c>
      <c r="P56" s="616">
        <f>'päd.Personal - Erzieher'!$P$1539</f>
        <v>0</v>
      </c>
      <c r="Q56" s="617">
        <f t="shared" si="3"/>
        <v>0</v>
      </c>
    </row>
    <row r="57" spans="1:17" s="156" customFormat="1" ht="27.75" customHeight="1" thickBot="1" x14ac:dyDescent="0.25">
      <c r="A57" s="636"/>
      <c r="B57" s="703" t="s">
        <v>695</v>
      </c>
      <c r="C57" s="704">
        <f>SUM(C23:C56)</f>
        <v>0</v>
      </c>
      <c r="D57" s="705"/>
      <c r="E57" s="706">
        <f>IF(SUM(D23:D52)=0,0,SUM(D23:D56))</f>
        <v>0</v>
      </c>
      <c r="F57" s="703" t="s">
        <v>696</v>
      </c>
      <c r="G57" s="707">
        <f>IF(SUM(G22:G56)=0,0,SUM(G22:G56))</f>
        <v>0</v>
      </c>
      <c r="H57" s="708"/>
      <c r="I57" s="714"/>
      <c r="J57" s="643">
        <f t="shared" ref="J57:P57" si="4">SUM(J22:J56)</f>
        <v>0</v>
      </c>
      <c r="K57" s="643">
        <f t="shared" si="4"/>
        <v>0</v>
      </c>
      <c r="L57" s="643">
        <f t="shared" si="4"/>
        <v>0</v>
      </c>
      <c r="M57" s="643">
        <f t="shared" si="4"/>
        <v>0</v>
      </c>
      <c r="N57" s="643">
        <f t="shared" si="4"/>
        <v>0</v>
      </c>
      <c r="O57" s="643">
        <f t="shared" si="4"/>
        <v>0</v>
      </c>
      <c r="P57" s="644">
        <f t="shared" si="4"/>
        <v>0</v>
      </c>
      <c r="Q57" s="645">
        <f>SUM(Q22:Q56)</f>
        <v>0</v>
      </c>
    </row>
    <row r="58" spans="1:17" s="118" customFormat="1" ht="27.75" customHeight="1" thickBot="1" x14ac:dyDescent="0.25">
      <c r="A58" s="656"/>
      <c r="B58" s="709"/>
      <c r="C58" s="705"/>
      <c r="D58" s="705"/>
      <c r="E58" s="710"/>
      <c r="F58" s="709" t="s">
        <v>345</v>
      </c>
      <c r="G58" s="711">
        <f>IF(Grundlagen!$C$14="",0,G57/Grundlagen!$C$14)</f>
        <v>0</v>
      </c>
      <c r="H58" s="715"/>
      <c r="I58" s="716"/>
      <c r="J58" s="934">
        <f>SUM(J57:L57)</f>
        <v>0</v>
      </c>
      <c r="K58" s="940"/>
      <c r="L58" s="935"/>
      <c r="M58" s="934">
        <f>SUM(M57:N57)</f>
        <v>0</v>
      </c>
      <c r="N58" s="935"/>
      <c r="O58" s="665"/>
      <c r="P58" s="665"/>
      <c r="Q58" s="659"/>
    </row>
    <row r="59" spans="1:17" s="156" customFormat="1" ht="12.6" customHeight="1" x14ac:dyDescent="0.2">
      <c r="A59" s="636"/>
      <c r="B59" s="646"/>
      <c r="C59" s="696"/>
      <c r="D59" s="696"/>
      <c r="E59" s="648"/>
      <c r="F59" s="646"/>
      <c r="G59" s="655"/>
      <c r="H59" s="646"/>
      <c r="I59" s="667"/>
      <c r="J59" s="607"/>
      <c r="K59" s="607"/>
      <c r="L59" s="607"/>
      <c r="M59" s="607"/>
      <c r="N59" s="607"/>
      <c r="O59" s="607"/>
      <c r="P59" s="607"/>
    </row>
    <row r="60" spans="1:17" s="156" customFormat="1" ht="12.6" customHeight="1" x14ac:dyDescent="0.2">
      <c r="A60" s="654" t="s">
        <v>708</v>
      </c>
      <c r="B60" s="646"/>
      <c r="C60" s="696"/>
      <c r="D60" s="696"/>
      <c r="E60" s="648"/>
      <c r="F60" s="646"/>
      <c r="G60" s="655"/>
      <c r="H60" s="646"/>
      <c r="I60" s="667"/>
      <c r="J60" s="607"/>
      <c r="K60" s="607"/>
      <c r="L60" s="607"/>
      <c r="M60" s="607"/>
      <c r="N60" s="607"/>
      <c r="O60" s="607"/>
      <c r="P60" s="607"/>
    </row>
    <row r="61" spans="1:17" s="156" customFormat="1" ht="27.75" customHeight="1" x14ac:dyDescent="0.25">
      <c r="A61" s="609">
        <v>1</v>
      </c>
      <c r="B61" s="697" t="str">
        <f>IF('päd.Personal - Hilfskraft'!$D$7="","",'päd.Personal - Hilfskraft'!$D$7)</f>
        <v/>
      </c>
      <c r="C61" s="698" t="str">
        <f>IF('päd.Personal - Hilfskraft'!$D$7="","",'päd.Personal - Hilfskraft'!$L$11)</f>
        <v/>
      </c>
      <c r="D61" s="698" t="str">
        <f>IF('päd.Personal - Hilfskraft'!$D$7="","",1)</f>
        <v/>
      </c>
      <c r="E61" s="700" t="str">
        <f>IF('päd.Personal - Hilfskraft'!$D$11="","",'päd.Personal - Hilfskraft'!$D$11)</f>
        <v/>
      </c>
      <c r="F61" s="697" t="str">
        <f>IF('päd.Personal - Hilfskraft'!$D$9="","",'päd.Personal - Hilfskraft'!$D$9)</f>
        <v/>
      </c>
      <c r="G61" s="701" t="str">
        <f>IF('päd.Personal - Hilfskraft'!$L$12="","",'päd.Personal - Hilfskraft'!$L$12)</f>
        <v/>
      </c>
      <c r="H61" s="697" t="str">
        <f>IF('päd.Personal - Hilfskraft'!$D$8="","",'päd.Personal - Hilfskraft'!$D$8)</f>
        <v/>
      </c>
      <c r="I61" s="717" t="str">
        <f>IF('päd.Personal - Hilfskraft'!$L$6="","",'päd.Personal - Hilfskraft'!$L$6)</f>
        <v/>
      </c>
      <c r="J61" s="615">
        <f>'päd.Personal - Hilfskraft'!$G$38</f>
        <v>0</v>
      </c>
      <c r="K61" s="615">
        <f>'päd.Personal - Hilfskraft'!$H$38</f>
        <v>0</v>
      </c>
      <c r="L61" s="615">
        <f>'päd.Personal - Hilfskraft'!$O$38</f>
        <v>0</v>
      </c>
      <c r="M61" s="615">
        <f>'päd.Personal - Hilfskraft'!$P$40</f>
        <v>0</v>
      </c>
      <c r="N61" s="615">
        <f>'päd.Personal - Hilfskraft'!$P$41</f>
        <v>0</v>
      </c>
      <c r="O61" s="615">
        <f>'päd.Personal - Hilfskraft'!$P$42</f>
        <v>0</v>
      </c>
      <c r="P61" s="616">
        <f>'päd.Personal - Hilfskraft'!$P$43</f>
        <v>0</v>
      </c>
      <c r="Q61" s="617">
        <f>SUM(J61:P61)</f>
        <v>0</v>
      </c>
    </row>
    <row r="62" spans="1:17" s="156" customFormat="1" ht="27.75" customHeight="1" x14ac:dyDescent="0.25">
      <c r="A62" s="609">
        <v>2</v>
      </c>
      <c r="B62" s="697" t="str">
        <f>IF('päd.Personal - Hilfskraft'!$D$51="","",'päd.Personal - Hilfskraft'!$D$51)</f>
        <v/>
      </c>
      <c r="C62" s="698" t="str">
        <f>IF('päd.Personal - Hilfskraft'!$D$51="","",'päd.Personal - Hilfskraft'!$L$55)</f>
        <v/>
      </c>
      <c r="D62" s="698" t="str">
        <f>IF('päd.Personal - Hilfskraft'!$D$51="","",1)</f>
        <v/>
      </c>
      <c r="E62" s="700" t="str">
        <f>IF('päd.Personal - Hilfskraft'!$D$55="","",'päd.Personal - Hilfskraft'!$D$55)</f>
        <v/>
      </c>
      <c r="F62" s="697" t="str">
        <f>IF('päd.Personal - Hilfskraft'!$D$53="","",'päd.Personal - Hilfskraft'!$D$53)</f>
        <v/>
      </c>
      <c r="G62" s="701" t="str">
        <f>IF('päd.Personal - Hilfskraft'!$L$56="","",'päd.Personal - Hilfskraft'!$L$56)</f>
        <v/>
      </c>
      <c r="H62" s="697" t="str">
        <f>IF('päd.Personal - Hilfskraft'!$D$52="","",'päd.Personal - Hilfskraft'!$D$52)</f>
        <v/>
      </c>
      <c r="I62" s="717" t="str">
        <f>IF('päd.Personal - Hilfskraft'!$L$50="","",'päd.Personal - Hilfskraft'!$L$50)</f>
        <v/>
      </c>
      <c r="J62" s="615">
        <f>'päd.Personal - Hilfskraft'!$G$82</f>
        <v>0</v>
      </c>
      <c r="K62" s="615">
        <f>'päd.Personal - Hilfskraft'!$H$82</f>
        <v>0</v>
      </c>
      <c r="L62" s="615">
        <f>'päd.Personal - Hilfskraft'!$O$82</f>
        <v>0</v>
      </c>
      <c r="M62" s="615">
        <f>'päd.Personal - Hilfskraft'!$P$84</f>
        <v>0</v>
      </c>
      <c r="N62" s="615">
        <f>'päd.Personal - Hilfskraft'!$P$85</f>
        <v>0</v>
      </c>
      <c r="O62" s="615">
        <f>'päd.Personal - Hilfskraft'!$P$86</f>
        <v>0</v>
      </c>
      <c r="P62" s="616">
        <f>'päd.Personal - Hilfskraft'!$P$87</f>
        <v>0</v>
      </c>
      <c r="Q62" s="617">
        <f t="shared" ref="Q62:Q68" si="5">SUM(J62:P62)</f>
        <v>0</v>
      </c>
    </row>
    <row r="63" spans="1:17" s="156" customFormat="1" ht="27.75" customHeight="1" x14ac:dyDescent="0.25">
      <c r="A63" s="609">
        <v>3</v>
      </c>
      <c r="B63" s="697" t="str">
        <f>IF('päd.Personal - Hilfskraft'!$D$95="","",'päd.Personal - Hilfskraft'!$D$95)</f>
        <v/>
      </c>
      <c r="C63" s="698" t="str">
        <f>IF('päd.Personal - Hilfskraft'!$D$95="","",'päd.Personal - Hilfskraft'!$L$99)</f>
        <v/>
      </c>
      <c r="D63" s="698" t="str">
        <f>IF('päd.Personal - Hilfskraft'!$D$95="","",1)</f>
        <v/>
      </c>
      <c r="E63" s="700" t="str">
        <f>IF('päd.Personal - Hilfskraft'!$D$99="","",'päd.Personal - Hilfskraft'!$D$99)</f>
        <v/>
      </c>
      <c r="F63" s="697" t="str">
        <f>IF('päd.Personal - Hilfskraft'!$D$97="","",'päd.Personal - Hilfskraft'!$D$97)</f>
        <v/>
      </c>
      <c r="G63" s="701" t="str">
        <f>IF('päd.Personal - Hilfskraft'!$L$100="","",'päd.Personal - Hilfskraft'!$L$100)</f>
        <v/>
      </c>
      <c r="H63" s="697" t="str">
        <f>IF('päd.Personal - Hilfskraft'!$D$96="","",'päd.Personal - Hilfskraft'!$D$96)</f>
        <v/>
      </c>
      <c r="I63" s="717" t="str">
        <f>IF('päd.Personal - Hilfskraft'!$L$94="","",'päd.Personal - Hilfskraft'!$L$94)</f>
        <v/>
      </c>
      <c r="J63" s="615">
        <f>'päd.Personal - Hilfskraft'!$G$126</f>
        <v>0</v>
      </c>
      <c r="K63" s="615">
        <f>'päd.Personal - Hilfskraft'!$H$126</f>
        <v>0</v>
      </c>
      <c r="L63" s="615">
        <f>'päd.Personal - Hilfskraft'!$O$126</f>
        <v>0</v>
      </c>
      <c r="M63" s="615">
        <f>'päd.Personal - Hilfskraft'!$P$128</f>
        <v>0</v>
      </c>
      <c r="N63" s="615">
        <f>'päd.Personal - Hilfskraft'!$P$129</f>
        <v>0</v>
      </c>
      <c r="O63" s="615">
        <f>'päd.Personal - Hilfskraft'!$P$130</f>
        <v>0</v>
      </c>
      <c r="P63" s="616">
        <f>'päd.Personal - Hilfskraft'!$P$131</f>
        <v>0</v>
      </c>
      <c r="Q63" s="617">
        <f t="shared" si="5"/>
        <v>0</v>
      </c>
    </row>
    <row r="64" spans="1:17" s="156" customFormat="1" ht="27.75" customHeight="1" x14ac:dyDescent="0.25">
      <c r="A64" s="609">
        <v>4</v>
      </c>
      <c r="B64" s="697" t="str">
        <f>IF('päd.Personal - Hilfskraft'!$D$139="","",'päd.Personal - Hilfskraft'!$D$139)</f>
        <v/>
      </c>
      <c r="C64" s="698" t="str">
        <f>IF('päd.Personal - Hilfskraft'!$D$139="","",'päd.Personal - Hilfskraft'!$L$143)</f>
        <v/>
      </c>
      <c r="D64" s="698" t="str">
        <f>IF('päd.Personal - Hilfskraft'!$D$139="","",1)</f>
        <v/>
      </c>
      <c r="E64" s="700" t="str">
        <f>IF('päd.Personal - Hilfskraft'!$D$143="","",'päd.Personal - Hilfskraft'!$D$143)</f>
        <v/>
      </c>
      <c r="F64" s="697" t="str">
        <f>IF('päd.Personal - Hilfskraft'!$D$141="","",'päd.Personal - Hilfskraft'!$D$141)</f>
        <v/>
      </c>
      <c r="G64" s="701" t="str">
        <f>IF('päd.Personal - Hilfskraft'!$L$144="","",'päd.Personal - Hilfskraft'!$L$144)</f>
        <v/>
      </c>
      <c r="H64" s="697" t="str">
        <f>IF('päd.Personal - Hilfskraft'!$D$140="","",'päd.Personal - Hilfskraft'!$D$140)</f>
        <v/>
      </c>
      <c r="I64" s="717" t="str">
        <f>IF('päd.Personal - Hilfskraft'!$L$138="","",'päd.Personal - Hilfskraft'!$L$138)</f>
        <v/>
      </c>
      <c r="J64" s="615">
        <f>'päd.Personal - Hilfskraft'!$G$170</f>
        <v>0</v>
      </c>
      <c r="K64" s="615">
        <f>'päd.Personal - Hilfskraft'!$H$170</f>
        <v>0</v>
      </c>
      <c r="L64" s="615">
        <f>'päd.Personal - Hilfskraft'!$O$170</f>
        <v>0</v>
      </c>
      <c r="M64" s="615">
        <f>'päd.Personal - Hilfskraft'!$P$172</f>
        <v>0</v>
      </c>
      <c r="N64" s="615">
        <f>'päd.Personal - Hilfskraft'!$P$173</f>
        <v>0</v>
      </c>
      <c r="O64" s="615">
        <f>'päd.Personal - Hilfskraft'!$P$174</f>
        <v>0</v>
      </c>
      <c r="P64" s="616">
        <f>'päd.Personal - Hilfskraft'!$P$175</f>
        <v>0</v>
      </c>
      <c r="Q64" s="617">
        <f t="shared" si="5"/>
        <v>0</v>
      </c>
    </row>
    <row r="65" spans="1:17" s="156" customFormat="1" ht="27.75" customHeight="1" x14ac:dyDescent="0.25">
      <c r="A65" s="609">
        <v>5</v>
      </c>
      <c r="B65" s="697" t="str">
        <f>IF('päd.Personal - Hilfskraft'!$D$183="","",'päd.Personal - Hilfskraft'!$D$183)</f>
        <v/>
      </c>
      <c r="C65" s="698" t="str">
        <f>IF('päd.Personal - Hilfskraft'!$D$183="","",'päd.Personal - Hilfskraft'!$L$187)</f>
        <v/>
      </c>
      <c r="D65" s="698" t="str">
        <f>IF('päd.Personal - Hilfskraft'!$D$183="","",1)</f>
        <v/>
      </c>
      <c r="E65" s="700" t="str">
        <f>IF('päd.Personal - Hilfskraft'!$D$187="","",'päd.Personal - Hilfskraft'!$D$187)</f>
        <v/>
      </c>
      <c r="F65" s="697" t="str">
        <f>IF('päd.Personal - Hilfskraft'!$D$185="","",'päd.Personal - Hilfskraft'!$D$185)</f>
        <v/>
      </c>
      <c r="G65" s="701" t="str">
        <f>IF('päd.Personal - Hilfskraft'!$L$188="","",'päd.Personal - Hilfskraft'!$L$188)</f>
        <v/>
      </c>
      <c r="H65" s="697" t="str">
        <f>IF('päd.Personal - Hilfskraft'!$D$184="","",'päd.Personal - Hilfskraft'!$D$184)</f>
        <v/>
      </c>
      <c r="I65" s="717" t="str">
        <f>IF('päd.Personal - Hilfskraft'!$L$182="","",'päd.Personal - Hilfskraft'!$L$182)</f>
        <v/>
      </c>
      <c r="J65" s="615">
        <f>'päd.Personal - Hilfskraft'!$G$214</f>
        <v>0</v>
      </c>
      <c r="K65" s="615">
        <f>'päd.Personal - Hilfskraft'!$H$214</f>
        <v>0</v>
      </c>
      <c r="L65" s="615">
        <f>'päd.Personal - Hilfskraft'!$O$214</f>
        <v>0</v>
      </c>
      <c r="M65" s="615">
        <f>'päd.Personal - Hilfskraft'!$P$216</f>
        <v>0</v>
      </c>
      <c r="N65" s="615">
        <f>'päd.Personal - Hilfskraft'!$P$217</f>
        <v>0</v>
      </c>
      <c r="O65" s="615">
        <f>'päd.Personal - Hilfskraft'!$P$218</f>
        <v>0</v>
      </c>
      <c r="P65" s="616">
        <f>'päd.Personal - Hilfskraft'!$P$219</f>
        <v>0</v>
      </c>
      <c r="Q65" s="617">
        <f t="shared" si="5"/>
        <v>0</v>
      </c>
    </row>
    <row r="66" spans="1:17" s="156" customFormat="1" ht="27.75" customHeight="1" x14ac:dyDescent="0.25">
      <c r="A66" s="609">
        <v>6</v>
      </c>
      <c r="B66" s="697" t="str">
        <f>IF('päd.Personal - Hilfskraft'!$D$227="","",'päd.Personal - Hilfskraft'!$D$227)</f>
        <v/>
      </c>
      <c r="C66" s="698" t="str">
        <f>IF('päd.Personal - Hilfskraft'!$D$227="","",'päd.Personal - Hilfskraft'!$L$231)</f>
        <v/>
      </c>
      <c r="D66" s="698" t="str">
        <f>IF('päd.Personal - Hilfskraft'!$D$227="","",1)</f>
        <v/>
      </c>
      <c r="E66" s="700" t="str">
        <f>IF('päd.Personal - Hilfskraft'!$D$231="","",'päd.Personal - Hilfskraft'!$D$231)</f>
        <v/>
      </c>
      <c r="F66" s="697" t="str">
        <f>IF('päd.Personal - Hilfskraft'!$D$229="","",'päd.Personal - Hilfskraft'!$D$229)</f>
        <v/>
      </c>
      <c r="G66" s="701" t="str">
        <f>IF('päd.Personal - Hilfskraft'!$L$232="","",'päd.Personal - Hilfskraft'!$L$232)</f>
        <v/>
      </c>
      <c r="H66" s="697" t="str">
        <f>IF('päd.Personal - Hilfskraft'!$D$228="","",'päd.Personal - Hilfskraft'!$D$228)</f>
        <v/>
      </c>
      <c r="I66" s="717" t="str">
        <f>IF('päd.Personal - Hilfskraft'!$L$226="","",'päd.Personal - Hilfskraft'!$L$226)</f>
        <v/>
      </c>
      <c r="J66" s="615">
        <f>'päd.Personal - Hilfskraft'!$G$258</f>
        <v>0</v>
      </c>
      <c r="K66" s="615">
        <f>'päd.Personal - Hilfskraft'!$H$258</f>
        <v>0</v>
      </c>
      <c r="L66" s="615">
        <f>'päd.Personal - Hilfskraft'!$O$258</f>
        <v>0</v>
      </c>
      <c r="M66" s="615">
        <f>'päd.Personal - Hilfskraft'!$P$260</f>
        <v>0</v>
      </c>
      <c r="N66" s="615">
        <f>'päd.Personal - Hilfskraft'!$P$261</f>
        <v>0</v>
      </c>
      <c r="O66" s="615">
        <f>'päd.Personal - Hilfskraft'!$P$262</f>
        <v>0</v>
      </c>
      <c r="P66" s="616">
        <f>'päd.Personal - Hilfskraft'!$P$263</f>
        <v>0</v>
      </c>
      <c r="Q66" s="617">
        <f t="shared" si="5"/>
        <v>0</v>
      </c>
    </row>
    <row r="67" spans="1:17" s="156" customFormat="1" ht="27.75" customHeight="1" x14ac:dyDescent="0.25">
      <c r="A67" s="609">
        <v>7</v>
      </c>
      <c r="B67" s="697" t="str">
        <f>IF('päd.Personal - Hilfskraft'!$D$271="","",'päd.Personal - Hilfskraft'!$D$271)</f>
        <v/>
      </c>
      <c r="C67" s="698" t="str">
        <f>IF('päd.Personal - Hilfskraft'!$D$271="","",'päd.Personal - Hilfskraft'!$L$275)</f>
        <v/>
      </c>
      <c r="D67" s="698" t="str">
        <f>IF('päd.Personal - Hilfskraft'!$D$271="","",1)</f>
        <v/>
      </c>
      <c r="E67" s="700" t="str">
        <f>IF('päd.Personal - Hilfskraft'!$D$275="","",'päd.Personal - Hilfskraft'!$D$275)</f>
        <v/>
      </c>
      <c r="F67" s="697" t="str">
        <f>IF('päd.Personal - Hilfskraft'!$D$273="","",'päd.Personal - Hilfskraft'!$D$273)</f>
        <v/>
      </c>
      <c r="G67" s="701" t="str">
        <f>IF('päd.Personal - Hilfskraft'!$L$276="","",'päd.Personal - Hilfskraft'!$L$276)</f>
        <v/>
      </c>
      <c r="H67" s="697" t="str">
        <f>IF('päd.Personal - Hilfskraft'!$D$272="","",'päd.Personal - Hilfskraft'!$D$272)</f>
        <v/>
      </c>
      <c r="I67" s="717" t="str">
        <f>IF('päd.Personal - Hilfskraft'!$L$270="","",'päd.Personal - Hilfskraft'!$L$270)</f>
        <v/>
      </c>
      <c r="J67" s="615">
        <f>'päd.Personal - Hilfskraft'!$G$302</f>
        <v>0</v>
      </c>
      <c r="K67" s="615">
        <f>'päd.Personal - Hilfskraft'!$H$302</f>
        <v>0</v>
      </c>
      <c r="L67" s="615">
        <f>'päd.Personal - Hilfskraft'!$O$302</f>
        <v>0</v>
      </c>
      <c r="M67" s="615">
        <f>'päd.Personal - Hilfskraft'!$P$304</f>
        <v>0</v>
      </c>
      <c r="N67" s="615">
        <f>'päd.Personal - Hilfskraft'!$P$305</f>
        <v>0</v>
      </c>
      <c r="O67" s="615">
        <f>'päd.Personal - Hilfskraft'!$P$306</f>
        <v>0</v>
      </c>
      <c r="P67" s="616">
        <f>'päd.Personal - Hilfskraft'!$P$307</f>
        <v>0</v>
      </c>
      <c r="Q67" s="617">
        <f t="shared" si="5"/>
        <v>0</v>
      </c>
    </row>
    <row r="68" spans="1:17" s="156" customFormat="1" ht="27.75" customHeight="1" x14ac:dyDescent="0.25">
      <c r="A68" s="609">
        <v>8</v>
      </c>
      <c r="B68" s="697" t="str">
        <f>IF('päd.Personal - Hilfskraft'!$D$315="","",'päd.Personal - Hilfskraft'!$D$315)</f>
        <v/>
      </c>
      <c r="C68" s="698" t="str">
        <f>IF('päd.Personal - Hilfskraft'!$D$315="","",'päd.Personal - Hilfskraft'!$L$319)</f>
        <v/>
      </c>
      <c r="D68" s="698" t="str">
        <f>IF('päd.Personal - Hilfskraft'!$D$315="","",1)</f>
        <v/>
      </c>
      <c r="E68" s="700" t="str">
        <f>IF('päd.Personal - Hilfskraft'!$D$319="","",'päd.Personal - Hilfskraft'!$D$319)</f>
        <v/>
      </c>
      <c r="F68" s="697" t="str">
        <f>IF('päd.Personal - Hilfskraft'!$D$317="","",'päd.Personal - Hilfskraft'!$D$317)</f>
        <v/>
      </c>
      <c r="G68" s="701" t="str">
        <f>IF('päd.Personal - Hilfskraft'!$L$320="","",'päd.Personal - Hilfskraft'!$L$320)</f>
        <v/>
      </c>
      <c r="H68" s="697" t="str">
        <f>IF('päd.Personal - Hilfskraft'!$D$316="","",'päd.Personal - Hilfskraft'!$D$316)</f>
        <v/>
      </c>
      <c r="I68" s="717" t="str">
        <f>IF('päd.Personal - Hilfskraft'!$L$314="","",'päd.Personal - Hilfskraft'!$L$314)</f>
        <v/>
      </c>
      <c r="J68" s="615">
        <f>'päd.Personal - Hilfskraft'!$G$346</f>
        <v>0</v>
      </c>
      <c r="K68" s="615">
        <f>'päd.Personal - Hilfskraft'!$H$346</f>
        <v>0</v>
      </c>
      <c r="L68" s="615">
        <f>'päd.Personal - Hilfskraft'!$O$346</f>
        <v>0</v>
      </c>
      <c r="M68" s="615">
        <f>'päd.Personal - Hilfskraft'!$P$348</f>
        <v>0</v>
      </c>
      <c r="N68" s="615">
        <f>'päd.Personal - Hilfskraft'!$P$349</f>
        <v>0</v>
      </c>
      <c r="O68" s="615">
        <f>'päd.Personal - Hilfskraft'!$P$350</f>
        <v>0</v>
      </c>
      <c r="P68" s="616">
        <f>'päd.Personal - Hilfskraft'!$P$351</f>
        <v>0</v>
      </c>
      <c r="Q68" s="617">
        <f t="shared" si="5"/>
        <v>0</v>
      </c>
    </row>
    <row r="69" spans="1:17" s="156" customFormat="1" ht="27.75" customHeight="1" thickBot="1" x14ac:dyDescent="0.25">
      <c r="A69" s="636"/>
      <c r="B69" s="703" t="s">
        <v>695</v>
      </c>
      <c r="C69" s="704">
        <f>SUM(C61:C68)</f>
        <v>0</v>
      </c>
      <c r="D69" s="705"/>
      <c r="E69" s="706">
        <f>IF(SUM(D61:D68)=0,0,SUM(D61:D68))</f>
        <v>0</v>
      </c>
      <c r="F69" s="703" t="s">
        <v>696</v>
      </c>
      <c r="G69" s="707">
        <f>SUM(G61:G68)</f>
        <v>0</v>
      </c>
      <c r="H69" s="718"/>
      <c r="I69" s="714"/>
      <c r="J69" s="643">
        <f>SUM(J61:J68)</f>
        <v>0</v>
      </c>
      <c r="K69" s="643">
        <f t="shared" ref="K69:P69" si="6">SUM(K61:K68)</f>
        <v>0</v>
      </c>
      <c r="L69" s="643">
        <f t="shared" si="6"/>
        <v>0</v>
      </c>
      <c r="M69" s="643">
        <f t="shared" si="6"/>
        <v>0</v>
      </c>
      <c r="N69" s="643">
        <f t="shared" si="6"/>
        <v>0</v>
      </c>
      <c r="O69" s="643">
        <f t="shared" si="6"/>
        <v>0</v>
      </c>
      <c r="P69" s="644">
        <f t="shared" si="6"/>
        <v>0</v>
      </c>
      <c r="Q69" s="645">
        <f>SUM(Q61:Q68)</f>
        <v>0</v>
      </c>
    </row>
    <row r="70" spans="1:17" s="118" customFormat="1" ht="27.75" customHeight="1" thickBot="1" x14ac:dyDescent="0.25">
      <c r="A70" s="656"/>
      <c r="B70" s="709"/>
      <c r="C70" s="705"/>
      <c r="D70" s="705"/>
      <c r="E70" s="710"/>
      <c r="F70" s="709" t="s">
        <v>345</v>
      </c>
      <c r="G70" s="711">
        <f>IF(Grundlagen!$C$14="",0,G69/Grundlagen!$C$14)</f>
        <v>0</v>
      </c>
      <c r="H70" s="719"/>
      <c r="I70" s="716"/>
      <c r="J70" s="934">
        <f>SUM(J69:L69)</f>
        <v>0</v>
      </c>
      <c r="K70" s="940"/>
      <c r="L70" s="935"/>
      <c r="M70" s="934">
        <f>SUM(M69:N69)</f>
        <v>0</v>
      </c>
      <c r="N70" s="935"/>
      <c r="O70" s="665"/>
      <c r="P70" s="720"/>
      <c r="Q70" s="659"/>
    </row>
    <row r="71" spans="1:17" x14ac:dyDescent="0.2">
      <c r="A71" s="636"/>
      <c r="B71" s="646"/>
      <c r="C71" s="696"/>
      <c r="D71" s="696"/>
      <c r="K71" s="579"/>
      <c r="L71" s="936" t="s">
        <v>709</v>
      </c>
      <c r="M71" s="579"/>
      <c r="O71" s="941" t="s">
        <v>710</v>
      </c>
      <c r="P71" s="721"/>
    </row>
    <row r="72" spans="1:17" ht="13.5" thickBot="1" x14ac:dyDescent="0.25">
      <c r="A72" s="654" t="s">
        <v>711</v>
      </c>
      <c r="B72" s="646"/>
      <c r="C72" s="696"/>
      <c r="D72" s="696"/>
      <c r="K72" s="579"/>
      <c r="L72" s="937"/>
      <c r="M72" s="579"/>
      <c r="O72" s="942"/>
      <c r="P72" s="722"/>
    </row>
    <row r="73" spans="1:17" s="156" customFormat="1" ht="27.75" customHeight="1" x14ac:dyDescent="0.25">
      <c r="A73" s="609">
        <v>1</v>
      </c>
      <c r="B73" s="697" t="str">
        <f>IF('päd.Personal - Auszubildende'!$D$7="","",'päd.Personal - Auszubildende'!$D$7)</f>
        <v/>
      </c>
      <c r="C73" s="698" t="str">
        <f>IF('päd.Personal - Auszubildende'!$D$7="","",'päd.Personal - Auszubildende'!$L$11)</f>
        <v/>
      </c>
      <c r="D73" s="698" t="str">
        <f>IF('päd.Personal - Auszubildende'!$D$7="","",1)</f>
        <v/>
      </c>
      <c r="E73" s="700" t="str">
        <f>IF('päd.Personal - Auszubildende'!$D$11="","",'päd.Personal - Auszubildende'!$D$11)</f>
        <v/>
      </c>
      <c r="F73" s="697" t="str">
        <f>IF('päd.Personal - Auszubildende'!$D$9="","",'päd.Personal - Auszubildende'!$D$9)</f>
        <v/>
      </c>
      <c r="G73" s="701" t="str">
        <f>IF('päd.Personal - Auszubildende'!$L$12="","",'päd.Personal - Auszubildende'!$L$12)</f>
        <v/>
      </c>
      <c r="H73" s="697" t="str">
        <f>IF('päd.Personal - Auszubildende'!$D$8="","",'päd.Personal - Auszubildende'!$D$8)</f>
        <v/>
      </c>
      <c r="I73" s="723"/>
      <c r="J73" s="615">
        <f>'päd.Personal - Auszubildende'!$G$38</f>
        <v>0</v>
      </c>
      <c r="K73" s="615">
        <f>'päd.Personal - Auszubildende'!$H$38</f>
        <v>0</v>
      </c>
      <c r="L73" s="615">
        <f>'päd.Personal - Auszubildende'!$O$38</f>
        <v>0</v>
      </c>
      <c r="M73" s="615">
        <f>'päd.Personal - Auszubildende'!$P$40</f>
        <v>0</v>
      </c>
      <c r="N73" s="615">
        <f>'päd.Personal - Auszubildende'!$P$41</f>
        <v>0</v>
      </c>
      <c r="O73" s="615">
        <f>'päd.Personal - Auszubildende'!$P$42</f>
        <v>0</v>
      </c>
      <c r="P73" s="616">
        <f>'päd.Personal - Auszubildende'!$P$43</f>
        <v>0</v>
      </c>
      <c r="Q73" s="617">
        <f>SUM(J73:P73)</f>
        <v>0</v>
      </c>
    </row>
    <row r="74" spans="1:17" s="156" customFormat="1" ht="27.75" customHeight="1" x14ac:dyDescent="0.25">
      <c r="A74" s="609">
        <v>2</v>
      </c>
      <c r="B74" s="697" t="str">
        <f>IF('päd.Personal - Auszubildende'!$D$51="","",'päd.Personal - Auszubildende'!$D$51)</f>
        <v/>
      </c>
      <c r="C74" s="698" t="str">
        <f>IF('päd.Personal - Auszubildende'!$D$51="","",'päd.Personal - Auszubildende'!$L$55)</f>
        <v/>
      </c>
      <c r="D74" s="698" t="str">
        <f>IF('päd.Personal - Auszubildende'!$D$51="","",1)</f>
        <v/>
      </c>
      <c r="E74" s="700" t="str">
        <f>IF('päd.Personal - Auszubildende'!$D$55="","",'päd.Personal - Auszubildende'!$D$55)</f>
        <v/>
      </c>
      <c r="F74" s="697" t="str">
        <f>IF('päd.Personal - Auszubildende'!$D$53="","",'päd.Personal - Auszubildende'!$D$53)</f>
        <v/>
      </c>
      <c r="G74" s="701" t="str">
        <f>IF('päd.Personal - Auszubildende'!$L$56="","",'päd.Personal - Auszubildende'!$L$56)</f>
        <v/>
      </c>
      <c r="H74" s="697" t="str">
        <f>IF('päd.Personal - Auszubildende'!$D$52="","",'päd.Personal - Auszubildende'!$D$52)</f>
        <v/>
      </c>
      <c r="I74" s="724"/>
      <c r="J74" s="615">
        <f>'päd.Personal - Auszubildende'!$G$82</f>
        <v>0</v>
      </c>
      <c r="K74" s="615">
        <f>'päd.Personal - Auszubildende'!$H$82</f>
        <v>0</v>
      </c>
      <c r="L74" s="615">
        <f>'päd.Personal - Auszubildende'!$O$82</f>
        <v>0</v>
      </c>
      <c r="M74" s="615">
        <f>'päd.Personal - Auszubildende'!$P$84</f>
        <v>0</v>
      </c>
      <c r="N74" s="615">
        <f>'päd.Personal - Auszubildende'!$P$85</f>
        <v>0</v>
      </c>
      <c r="O74" s="615">
        <f>'päd.Personal - Auszubildende'!$P$86</f>
        <v>0</v>
      </c>
      <c r="P74" s="616">
        <f>'päd.Personal - Auszubildende'!$P$87</f>
        <v>0</v>
      </c>
      <c r="Q74" s="617">
        <f t="shared" ref="Q74:Q76" si="7">SUM(J74:P74)</f>
        <v>0</v>
      </c>
    </row>
    <row r="75" spans="1:17" s="156" customFormat="1" ht="27.75" customHeight="1" x14ac:dyDescent="0.25">
      <c r="A75" s="609">
        <v>3</v>
      </c>
      <c r="B75" s="697" t="str">
        <f>IF('päd.Personal - Auszubildende'!$D$95="","",'päd.Personal - Auszubildende'!$D$95)</f>
        <v/>
      </c>
      <c r="C75" s="698" t="str">
        <f>IF('päd.Personal - Auszubildende'!$D$95="","",'päd.Personal - Auszubildende'!$L$99)</f>
        <v/>
      </c>
      <c r="D75" s="698" t="str">
        <f>IF('päd.Personal - Auszubildende'!$D$95="","",1)</f>
        <v/>
      </c>
      <c r="E75" s="700" t="str">
        <f>IF('päd.Personal - Auszubildende'!$D$99="","",'päd.Personal - Auszubildende'!$D$99)</f>
        <v/>
      </c>
      <c r="F75" s="697" t="str">
        <f>IF('päd.Personal - Auszubildende'!$D$97="","",'päd.Personal - Auszubildende'!$D$97)</f>
        <v/>
      </c>
      <c r="G75" s="701" t="str">
        <f>IF('päd.Personal - Auszubildende'!$L$100="","",'päd.Personal - Auszubildende'!$L$100)</f>
        <v/>
      </c>
      <c r="H75" s="697" t="str">
        <f>IF('päd.Personal - Auszubildende'!$D$96="","",'päd.Personal - Auszubildende'!$D$96)</f>
        <v/>
      </c>
      <c r="I75" s="724"/>
      <c r="J75" s="615">
        <f>'päd.Personal - Auszubildende'!$G$126</f>
        <v>0</v>
      </c>
      <c r="K75" s="615">
        <f>'päd.Personal - Auszubildende'!$H$126</f>
        <v>0</v>
      </c>
      <c r="L75" s="615">
        <f>'päd.Personal - Auszubildende'!$O$126</f>
        <v>0</v>
      </c>
      <c r="M75" s="615">
        <f>'päd.Personal - Auszubildende'!$P$128</f>
        <v>0</v>
      </c>
      <c r="N75" s="615">
        <f>'päd.Personal - Auszubildende'!$P$129</f>
        <v>0</v>
      </c>
      <c r="O75" s="615">
        <f>'päd.Personal - Auszubildende'!$P$130</f>
        <v>0</v>
      </c>
      <c r="P75" s="616">
        <f>'päd.Personal - Auszubildende'!$P$131</f>
        <v>0</v>
      </c>
      <c r="Q75" s="617">
        <f t="shared" si="7"/>
        <v>0</v>
      </c>
    </row>
    <row r="76" spans="1:17" s="156" customFormat="1" ht="27.75" customHeight="1" thickBot="1" x14ac:dyDescent="0.3">
      <c r="A76" s="618">
        <v>4</v>
      </c>
      <c r="B76" s="725" t="str">
        <f>IF('päd.Personal - Auszubildende'!$D$139="","",'päd.Personal - Auszubildende'!$D$139)</f>
        <v/>
      </c>
      <c r="C76" s="726" t="str">
        <f>IF('päd.Personal - Auszubildende'!$D$139="","",'päd.Personal - Auszubildende'!$L$143)</f>
        <v/>
      </c>
      <c r="D76" s="726" t="str">
        <f>IF('päd.Personal - Auszubildende'!$D$139="","",1)</f>
        <v/>
      </c>
      <c r="E76" s="727" t="str">
        <f>IF('päd.Personal - Auszubildende'!$D$143="","",'päd.Personal - Auszubildende'!$D$143)</f>
        <v/>
      </c>
      <c r="F76" s="725" t="str">
        <f>IF('päd.Personal - Auszubildende'!$D$141="","",'päd.Personal - Auszubildende'!$D$141)</f>
        <v/>
      </c>
      <c r="G76" s="728" t="str">
        <f>IF('päd.Personal - Auszubildende'!$L$144="","",'päd.Personal - Auszubildende'!$L$144)</f>
        <v/>
      </c>
      <c r="H76" s="725" t="str">
        <f>IF('päd.Personal - Auszubildende'!$D$140="","",'päd.Personal - Auszubildende'!$D$140)</f>
        <v/>
      </c>
      <c r="I76" s="724"/>
      <c r="J76" s="624">
        <f>'päd.Personal - Auszubildende'!$G$170</f>
        <v>0</v>
      </c>
      <c r="K76" s="624">
        <f>'päd.Personal - Auszubildende'!$H$170</f>
        <v>0</v>
      </c>
      <c r="L76" s="624">
        <f>'päd.Personal - Auszubildende'!$O$170</f>
        <v>0</v>
      </c>
      <c r="M76" s="624">
        <f>'päd.Personal - Auszubildende'!$P$172</f>
        <v>0</v>
      </c>
      <c r="N76" s="624">
        <f>'päd.Personal - Auszubildende'!$P$173</f>
        <v>0</v>
      </c>
      <c r="O76" s="624">
        <f>'päd.Personal - Auszubildende'!$P$174</f>
        <v>0</v>
      </c>
      <c r="P76" s="625">
        <f>'päd.Personal - Auszubildende'!$P$175</f>
        <v>0</v>
      </c>
      <c r="Q76" s="729">
        <f t="shared" si="7"/>
        <v>0</v>
      </c>
    </row>
    <row r="77" spans="1:17" s="156" customFormat="1" ht="27.75" customHeight="1" x14ac:dyDescent="0.25">
      <c r="A77" s="627">
        <v>1</v>
      </c>
      <c r="B77" s="730" t="str">
        <f>IF('päd.Personal - Praktikant'!$D$7="","",'päd.Personal - Praktikant'!$D$7)</f>
        <v/>
      </c>
      <c r="C77" s="731" t="str">
        <f>IF('päd.Personal - Praktikant'!$D$7="","",'päd.Personal - Praktikant'!$L$11)</f>
        <v/>
      </c>
      <c r="D77" s="731" t="str">
        <f>IF('päd.Personal - Praktikant'!$D$7="","",1)</f>
        <v/>
      </c>
      <c r="E77" s="732" t="str">
        <f>IF('päd.Personal - Praktikant'!$D$11="","",'päd.Personal - Praktikant'!$D$11)</f>
        <v/>
      </c>
      <c r="F77" s="730" t="str">
        <f>IF('päd.Personal - Praktikant'!$D$9="","",'päd.Personal - Praktikant'!$D$9)</f>
        <v/>
      </c>
      <c r="G77" s="733" t="str">
        <f>IF('päd.Personal - Praktikant'!$L$12="","",'päd.Personal - Praktikant'!$L$12)</f>
        <v/>
      </c>
      <c r="H77" s="730" t="str">
        <f>IF('päd.Personal - Praktikant'!$D$8="","",'päd.Personal - Praktikant'!$D$8)</f>
        <v/>
      </c>
      <c r="I77" s="723"/>
      <c r="J77" s="633">
        <f>'päd.Personal - Praktikant'!$F$38</f>
        <v>0</v>
      </c>
      <c r="K77" s="633">
        <f>'päd.Personal - Praktikant'!$G$38</f>
        <v>0</v>
      </c>
      <c r="L77" s="633">
        <f>'päd.Personal - Praktikant'!$N$38</f>
        <v>0</v>
      </c>
      <c r="M77" s="633">
        <f>'päd.Personal - Praktikant'!$P$40</f>
        <v>0</v>
      </c>
      <c r="N77" s="633">
        <f>'päd.Personal - Praktikant'!$P$41</f>
        <v>0</v>
      </c>
      <c r="O77" s="734"/>
      <c r="P77" s="634">
        <f>'päd.Personal - Praktikant'!$P$43</f>
        <v>0</v>
      </c>
      <c r="Q77" s="735">
        <f>SUM(J77:P77)</f>
        <v>0</v>
      </c>
    </row>
    <row r="78" spans="1:17" s="156" customFormat="1" ht="27.75" customHeight="1" x14ac:dyDescent="0.25">
      <c r="A78" s="609">
        <v>2</v>
      </c>
      <c r="B78" s="697" t="str">
        <f>IF('päd.Personal - Praktikant'!$D$51="","",'päd.Personal - Praktikant'!$D$51)</f>
        <v/>
      </c>
      <c r="C78" s="698" t="str">
        <f>IF('päd.Personal - Praktikant'!$D$51="","",'päd.Personal - Praktikant'!$L$55)</f>
        <v/>
      </c>
      <c r="D78" s="698" t="str">
        <f>IF('päd.Personal - Praktikant'!$D$51="","",1)</f>
        <v/>
      </c>
      <c r="E78" s="700" t="str">
        <f>IF('päd.Personal - Praktikant'!$D$55="","",'päd.Personal - Praktikant'!$D$55)</f>
        <v/>
      </c>
      <c r="F78" s="697" t="str">
        <f>IF('päd.Personal - Praktikant'!$D$53="","",'päd.Personal - Praktikant'!$D$53)</f>
        <v/>
      </c>
      <c r="G78" s="701" t="str">
        <f>IF('päd.Personal - Praktikant'!$L$56="","",'päd.Personal - Praktikant'!$L$56)</f>
        <v/>
      </c>
      <c r="H78" s="697" t="str">
        <f>IF('päd.Personal - Praktikant'!$D$52="","",'päd.Personal - Praktikant'!$D$52)</f>
        <v/>
      </c>
      <c r="I78" s="724"/>
      <c r="J78" s="615">
        <f>'päd.Personal - Praktikant'!$F$82</f>
        <v>0</v>
      </c>
      <c r="K78" s="615">
        <f>'päd.Personal - Praktikant'!$G$82</f>
        <v>0</v>
      </c>
      <c r="L78" s="615">
        <f>'päd.Personal - Praktikant'!$N$82</f>
        <v>0</v>
      </c>
      <c r="M78" s="615">
        <f>'päd.Personal - Praktikant'!$P$84</f>
        <v>0</v>
      </c>
      <c r="N78" s="615">
        <f>'päd.Personal - Praktikant'!$P$85</f>
        <v>0</v>
      </c>
      <c r="O78" s="736"/>
      <c r="P78" s="616">
        <f>'päd.Personal - Praktikant'!$P$87</f>
        <v>0</v>
      </c>
      <c r="Q78" s="617">
        <f t="shared" ref="Q78:Q84" si="8">SUM(J78:P78)</f>
        <v>0</v>
      </c>
    </row>
    <row r="79" spans="1:17" s="156" customFormat="1" ht="27.75" customHeight="1" x14ac:dyDescent="0.25">
      <c r="A79" s="609">
        <v>3</v>
      </c>
      <c r="B79" s="697" t="str">
        <f>IF('päd.Personal - Praktikant'!$D$95="","",'päd.Personal - Praktikant'!$D$95)</f>
        <v/>
      </c>
      <c r="C79" s="698" t="str">
        <f>IF('päd.Personal - Praktikant'!$D$95="","",'päd.Personal - Praktikant'!$L$99)</f>
        <v/>
      </c>
      <c r="D79" s="698" t="str">
        <f>IF('päd.Personal - Praktikant'!$D$95="","",1)</f>
        <v/>
      </c>
      <c r="E79" s="700" t="str">
        <f>IF('päd.Personal - Praktikant'!$D$99="","",'päd.Personal - Praktikant'!$D$99)</f>
        <v/>
      </c>
      <c r="F79" s="697" t="str">
        <f>IF('päd.Personal - Praktikant'!$D$97="","",'päd.Personal - Praktikant'!$D$97)</f>
        <v/>
      </c>
      <c r="G79" s="701" t="str">
        <f>IF('päd.Personal - Praktikant'!$L$100="","",'päd.Personal - Praktikant'!$L$100)</f>
        <v/>
      </c>
      <c r="H79" s="697" t="str">
        <f>IF('päd.Personal - Praktikant'!$D$96="","",'päd.Personal - Praktikant'!$D$96)</f>
        <v/>
      </c>
      <c r="I79" s="724"/>
      <c r="J79" s="615">
        <f>'päd.Personal - Praktikant'!$F$126</f>
        <v>0</v>
      </c>
      <c r="K79" s="615">
        <f>'päd.Personal - Praktikant'!$G$126</f>
        <v>0</v>
      </c>
      <c r="L79" s="615">
        <f>'päd.Personal - Praktikant'!$N$126</f>
        <v>0</v>
      </c>
      <c r="M79" s="615">
        <f>'päd.Personal - Praktikant'!$P$128</f>
        <v>0</v>
      </c>
      <c r="N79" s="615">
        <f>'päd.Personal - Praktikant'!$P$129</f>
        <v>0</v>
      </c>
      <c r="O79" s="736"/>
      <c r="P79" s="616">
        <f>'päd.Personal - Praktikant'!$P$131</f>
        <v>0</v>
      </c>
      <c r="Q79" s="617">
        <f t="shared" si="8"/>
        <v>0</v>
      </c>
    </row>
    <row r="80" spans="1:17" s="156" customFormat="1" ht="27.75" customHeight="1" thickBot="1" x14ac:dyDescent="0.3">
      <c r="A80" s="618">
        <v>4</v>
      </c>
      <c r="B80" s="725" t="str">
        <f>IF('päd.Personal - Praktikant'!$D$139="","",'päd.Personal - Praktikant'!$D$139)</f>
        <v/>
      </c>
      <c r="C80" s="726" t="str">
        <f>IF('päd.Personal - Praktikant'!$D$139="","",'päd.Personal - Praktikant'!$L$143)</f>
        <v/>
      </c>
      <c r="D80" s="726" t="str">
        <f>IF('päd.Personal - Praktikant'!$D$139="","",1)</f>
        <v/>
      </c>
      <c r="E80" s="727" t="str">
        <f>IF('päd.Personal - Praktikant'!$D$143="","",'päd.Personal - Praktikant'!$D$143)</f>
        <v/>
      </c>
      <c r="F80" s="725" t="str">
        <f>IF('päd.Personal - Praktikant'!$D$141="","",'päd.Personal - Praktikant'!$D$141)</f>
        <v/>
      </c>
      <c r="G80" s="728" t="str">
        <f>IF('päd.Personal - Praktikant'!$L$144="","",'päd.Personal - Praktikant'!$L$144)</f>
        <v/>
      </c>
      <c r="H80" s="725" t="str">
        <f>IF('päd.Personal - Praktikant'!$D$140="","",'päd.Personal - Praktikant'!$D$140)</f>
        <v/>
      </c>
      <c r="I80" s="724"/>
      <c r="J80" s="624">
        <f>'päd.Personal - Praktikant'!$F$170</f>
        <v>0</v>
      </c>
      <c r="K80" s="624">
        <f>'päd.Personal - Praktikant'!$G$170</f>
        <v>0</v>
      </c>
      <c r="L80" s="624">
        <f>'päd.Personal - Praktikant'!$N$170</f>
        <v>0</v>
      </c>
      <c r="M80" s="624">
        <f>'päd.Personal - Praktikant'!$P$172</f>
        <v>0</v>
      </c>
      <c r="N80" s="624">
        <f>'päd.Personal - Praktikant'!$P$173</f>
        <v>0</v>
      </c>
      <c r="O80" s="737"/>
      <c r="P80" s="625">
        <f>'päd.Personal - Praktikant'!$P$175</f>
        <v>0</v>
      </c>
      <c r="Q80" s="738">
        <f t="shared" si="8"/>
        <v>0</v>
      </c>
    </row>
    <row r="81" spans="1:17" s="156" customFormat="1" ht="27.75" customHeight="1" x14ac:dyDescent="0.25">
      <c r="A81" s="627">
        <v>1</v>
      </c>
      <c r="B81" s="730" t="str">
        <f>IF('päd.Personal - BFD, FSJ'!$D$7="","",'päd.Personal - BFD, FSJ'!$D$7)</f>
        <v/>
      </c>
      <c r="C81" s="731" t="str">
        <f>IF('päd.Personal - BFD, FSJ'!$D$7="","",'päd.Personal - BFD, FSJ'!$L$11)</f>
        <v/>
      </c>
      <c r="D81" s="731" t="str">
        <f>IF('päd.Personal - BFD, FSJ'!$D$7="","",1)</f>
        <v/>
      </c>
      <c r="E81" s="732" t="str">
        <f>IF('päd.Personal - BFD, FSJ'!$D$11="","",'päd.Personal - BFD, FSJ'!$D$11)</f>
        <v/>
      </c>
      <c r="F81" s="730" t="str">
        <f>IF('päd.Personal - BFD, FSJ'!$D$9="","",'päd.Personal - BFD, FSJ'!$D$9)</f>
        <v/>
      </c>
      <c r="G81" s="733" t="str">
        <f>IF('päd.Personal - BFD, FSJ'!$L$12="","",'päd.Personal - BFD, FSJ'!$L$12)</f>
        <v/>
      </c>
      <c r="H81" s="730" t="str">
        <f>IF('päd.Personal - BFD, FSJ'!$D$8="","",'päd.Personal - BFD, FSJ'!$D$8)</f>
        <v/>
      </c>
      <c r="I81" s="723"/>
      <c r="J81" s="739">
        <f>'päd.Personal - BFD, FSJ'!$F$37</f>
        <v>0</v>
      </c>
      <c r="K81" s="739">
        <f>'päd.Personal - BFD, FSJ'!$G$37</f>
        <v>0</v>
      </c>
      <c r="L81" s="739">
        <f>'päd.Personal - BFD, FSJ'!$O$37</f>
        <v>0</v>
      </c>
      <c r="M81" s="633">
        <f>SUM('päd.Personal - BFD, FSJ'!$O$40)</f>
        <v>0</v>
      </c>
      <c r="N81" s="740"/>
      <c r="O81" s="739">
        <f>'päd.Personal - BFD, FSJ'!$M$37</f>
        <v>0</v>
      </c>
      <c r="P81" s="741">
        <f>'päd.Personal - BFD, FSJ'!$O$41</f>
        <v>0</v>
      </c>
      <c r="Q81" s="735">
        <f t="shared" si="8"/>
        <v>0</v>
      </c>
    </row>
    <row r="82" spans="1:17" s="156" customFormat="1" ht="27.75" customHeight="1" x14ac:dyDescent="0.25">
      <c r="A82" s="609">
        <v>2</v>
      </c>
      <c r="B82" s="730" t="str">
        <f>IF('päd.Personal - BFD, FSJ'!$D$50="","",'päd.Personal - BFD, FSJ'!$D$50)</f>
        <v/>
      </c>
      <c r="C82" s="731" t="str">
        <f>IF('päd.Personal - BFD, FSJ'!$D$50="","",'päd.Personal - BFD, FSJ'!$L$54)</f>
        <v/>
      </c>
      <c r="D82" s="731" t="str">
        <f>IF('päd.Personal - BFD, FSJ'!$D$50="","",1)</f>
        <v/>
      </c>
      <c r="E82" s="732" t="str">
        <f>IF('päd.Personal - BFD, FSJ'!$D$54="","",'päd.Personal - BFD, FSJ'!$D$54)</f>
        <v/>
      </c>
      <c r="F82" s="730" t="str">
        <f>IF('päd.Personal - BFD, FSJ'!$D$52="","",'päd.Personal - BFD, FSJ'!$D$52)</f>
        <v/>
      </c>
      <c r="G82" s="733" t="str">
        <f>IF('päd.Personal - BFD, FSJ'!$L$55="","",'päd.Personal - BFD, FSJ'!$L$55)</f>
        <v/>
      </c>
      <c r="H82" s="730" t="str">
        <f>IF('päd.Personal - BFD, FSJ'!$D$51="","",'päd.Personal - BFD, FSJ'!$D$51)</f>
        <v/>
      </c>
      <c r="I82" s="724"/>
      <c r="J82" s="633">
        <f>'päd.Personal - BFD, FSJ'!$F$80</f>
        <v>0</v>
      </c>
      <c r="K82" s="633">
        <f>'päd.Personal - BFD, FSJ'!$G$80</f>
        <v>0</v>
      </c>
      <c r="L82" s="633">
        <f>'päd.Personal - BFD, FSJ'!$O$80</f>
        <v>0</v>
      </c>
      <c r="M82" s="615">
        <f>SUM('päd.Personal - BFD, FSJ'!$O$83)</f>
        <v>0</v>
      </c>
      <c r="N82" s="734"/>
      <c r="O82" s="633">
        <f>'päd.Personal - BFD, FSJ'!$M$80</f>
        <v>0</v>
      </c>
      <c r="P82" s="616">
        <f>SUM('päd.Personal - BFD, FSJ'!$O$84)</f>
        <v>0</v>
      </c>
      <c r="Q82" s="617">
        <f t="shared" si="8"/>
        <v>0</v>
      </c>
    </row>
    <row r="83" spans="1:17" s="156" customFormat="1" ht="27.75" customHeight="1" x14ac:dyDescent="0.25">
      <c r="A83" s="609">
        <v>3</v>
      </c>
      <c r="B83" s="730" t="str">
        <f>IF('päd.Personal - BFD, FSJ'!$D$93="","",'päd.Personal - BFD, FSJ'!$D$93)</f>
        <v/>
      </c>
      <c r="C83" s="731" t="str">
        <f>IF('päd.Personal - BFD, FSJ'!$D$93="","",'päd.Personal - BFD, FSJ'!$L$97)</f>
        <v/>
      </c>
      <c r="D83" s="731" t="str">
        <f>IF('päd.Personal - BFD, FSJ'!$D$93="","",1)</f>
        <v/>
      </c>
      <c r="E83" s="732" t="str">
        <f>IF('päd.Personal - BFD, FSJ'!$D$97="","",'päd.Personal - BFD, FSJ'!$D$97)</f>
        <v/>
      </c>
      <c r="F83" s="730" t="str">
        <f>IF('päd.Personal - BFD, FSJ'!$D$95="","",'päd.Personal - BFD, FSJ'!$D$95)</f>
        <v/>
      </c>
      <c r="G83" s="733" t="str">
        <f>IF('päd.Personal - BFD, FSJ'!$L$98="","",'päd.Personal - BFD, FSJ'!$L$98)</f>
        <v/>
      </c>
      <c r="H83" s="730" t="str">
        <f>IF('päd.Personal - BFD, FSJ'!$D$94="","",'päd.Personal - BFD, FSJ'!$D$94)</f>
        <v/>
      </c>
      <c r="I83" s="724"/>
      <c r="J83" s="633">
        <f>'päd.Personal - BFD, FSJ'!$F$123</f>
        <v>0</v>
      </c>
      <c r="K83" s="633">
        <f>'päd.Personal - BFD, FSJ'!$G$123</f>
        <v>0</v>
      </c>
      <c r="L83" s="633">
        <f>'päd.Personal - BFD, FSJ'!$O$123</f>
        <v>0</v>
      </c>
      <c r="M83" s="615">
        <f>SUM('päd.Personal - BFD, FSJ'!$O$126)</f>
        <v>0</v>
      </c>
      <c r="N83" s="734"/>
      <c r="O83" s="633">
        <f>'päd.Personal - BFD, FSJ'!$M$123</f>
        <v>0</v>
      </c>
      <c r="P83" s="616">
        <f>SUM('päd.Personal - BFD, FSJ'!$O$127)</f>
        <v>0</v>
      </c>
      <c r="Q83" s="617">
        <f t="shared" si="8"/>
        <v>0</v>
      </c>
    </row>
    <row r="84" spans="1:17" s="156" customFormat="1" ht="27.75" customHeight="1" x14ac:dyDescent="0.25">
      <c r="A84" s="609">
        <v>4</v>
      </c>
      <c r="B84" s="730" t="str">
        <f>IF('päd.Personal - BFD, FSJ'!$D$136="","",'päd.Personal - BFD, FSJ'!$D$136)</f>
        <v/>
      </c>
      <c r="C84" s="731" t="str">
        <f>IF('päd.Personal - BFD, FSJ'!$D$136="","",'päd.Personal - BFD, FSJ'!$L$140)</f>
        <v/>
      </c>
      <c r="D84" s="731" t="str">
        <f>IF('päd.Personal - BFD, FSJ'!$D$136="","",1)</f>
        <v/>
      </c>
      <c r="E84" s="732" t="str">
        <f>IF('päd.Personal - BFD, FSJ'!$D$140="","",'päd.Personal - BFD, FSJ'!$D$140)</f>
        <v/>
      </c>
      <c r="F84" s="730" t="str">
        <f>IF('päd.Personal - BFD, FSJ'!$D$138="","",'päd.Personal - BFD, FSJ'!$D$138)</f>
        <v/>
      </c>
      <c r="G84" s="733" t="str">
        <f>IF('päd.Personal - BFD, FSJ'!$L$141="","",'päd.Personal - BFD, FSJ'!$L$141)</f>
        <v/>
      </c>
      <c r="H84" s="730" t="str">
        <f>IF('päd.Personal - BFD, FSJ'!$D$137="","",'päd.Personal - BFD, FSJ'!$D$137)</f>
        <v/>
      </c>
      <c r="I84" s="724"/>
      <c r="J84" s="633">
        <f>'päd.Personal - BFD, FSJ'!$F$166</f>
        <v>0</v>
      </c>
      <c r="K84" s="633">
        <f>'päd.Personal - BFD, FSJ'!$G$166</f>
        <v>0</v>
      </c>
      <c r="L84" s="633">
        <f>'päd.Personal - BFD, FSJ'!$O$166</f>
        <v>0</v>
      </c>
      <c r="M84" s="615">
        <f>SUM('päd.Personal - BFD, FSJ'!$O$169)</f>
        <v>0</v>
      </c>
      <c r="N84" s="734"/>
      <c r="O84" s="633">
        <f>'päd.Personal - BFD, FSJ'!$M$166</f>
        <v>0</v>
      </c>
      <c r="P84" s="616">
        <f>SUM('päd.Personal - BFD, FSJ'!$O$170)</f>
        <v>0</v>
      </c>
      <c r="Q84" s="617">
        <f t="shared" si="8"/>
        <v>0</v>
      </c>
    </row>
    <row r="85" spans="1:17" s="156" customFormat="1" ht="27.75" customHeight="1" x14ac:dyDescent="0.2">
      <c r="A85" s="636"/>
      <c r="B85" s="703" t="s">
        <v>695</v>
      </c>
      <c r="C85" s="704">
        <f>SUM(C73:C84)</f>
        <v>0</v>
      </c>
      <c r="D85" s="705"/>
      <c r="E85" s="706">
        <f>IF(SUM(D73:D84)=0,0,SUM(D73:D84))</f>
        <v>0</v>
      </c>
      <c r="F85" s="703" t="s">
        <v>696</v>
      </c>
      <c r="G85" s="707">
        <f>SUM(G73:G84)</f>
        <v>0</v>
      </c>
      <c r="H85" s="718"/>
      <c r="I85" s="714"/>
      <c r="J85" s="643">
        <f t="shared" ref="J85:Q85" si="9">SUM(J73:J84)</f>
        <v>0</v>
      </c>
      <c r="K85" s="643">
        <f t="shared" si="9"/>
        <v>0</v>
      </c>
      <c r="L85" s="643">
        <f t="shared" si="9"/>
        <v>0</v>
      </c>
      <c r="M85" s="674">
        <f t="shared" si="9"/>
        <v>0</v>
      </c>
      <c r="N85" s="643">
        <f t="shared" si="9"/>
        <v>0</v>
      </c>
      <c r="O85" s="643">
        <f t="shared" si="9"/>
        <v>0</v>
      </c>
      <c r="P85" s="644">
        <f t="shared" si="9"/>
        <v>0</v>
      </c>
      <c r="Q85" s="645">
        <f t="shared" si="9"/>
        <v>0</v>
      </c>
    </row>
    <row r="86" spans="1:17" s="118" customFormat="1" ht="27.75" customHeight="1" x14ac:dyDescent="0.2">
      <c r="A86" s="656"/>
      <c r="B86" s="709"/>
      <c r="C86" s="705"/>
      <c r="D86" s="705"/>
      <c r="E86" s="710"/>
      <c r="F86" s="709" t="s">
        <v>345</v>
      </c>
      <c r="G86" s="711">
        <f>IF(Grundlagen!$C$14="",0,G85/Grundlagen!$C$14)</f>
        <v>0</v>
      </c>
      <c r="H86" s="719"/>
      <c r="I86" s="716"/>
      <c r="J86" s="742"/>
      <c r="K86" s="742"/>
      <c r="L86" s="742"/>
      <c r="M86" s="742"/>
      <c r="N86" s="742"/>
      <c r="O86" s="742"/>
      <c r="P86" s="742"/>
    </row>
    <row r="87" spans="1:17" x14ac:dyDescent="0.2">
      <c r="A87" s="654" t="s">
        <v>712</v>
      </c>
      <c r="B87" s="646"/>
      <c r="C87" s="696"/>
      <c r="D87" s="696"/>
      <c r="H87" s="743" t="s">
        <v>713</v>
      </c>
      <c r="K87" s="579"/>
      <c r="L87" s="579"/>
      <c r="M87" s="579"/>
    </row>
    <row r="88" spans="1:17" s="156" customFormat="1" ht="27.75" customHeight="1" x14ac:dyDescent="0.25">
      <c r="A88" s="609">
        <v>1</v>
      </c>
      <c r="B88" s="697" t="str">
        <f>IF('päd.Personal - unentgeltlich'!$B$11="","",'päd.Personal - unentgeltlich'!$B$11)</f>
        <v/>
      </c>
      <c r="C88" s="744" t="str">
        <f>IF('päd.Personal - unentgeltlich'!$F$11="","",'päd.Personal - unentgeltlich'!$F$11)</f>
        <v/>
      </c>
      <c r="D88" s="744" t="str">
        <f>IF('päd.Personal - unentgeltlich'!$B$11="","",1)</f>
        <v/>
      </c>
      <c r="E88" s="745" t="str">
        <f>IF('päd.Personal - unentgeltlich'!$C$11="","",'päd.Personal - unentgeltlich'!$C$11)</f>
        <v/>
      </c>
      <c r="F88" s="697" t="str">
        <f>IF('päd.Personal - unentgeltlich'!$D$11="","",'päd.Personal - unentgeltlich'!$D$11)</f>
        <v/>
      </c>
      <c r="G88" s="746" t="str">
        <f>IF('päd.Personal - unentgeltlich'!$E$11="","",'päd.Personal - unentgeltlich'!$E$11)</f>
        <v/>
      </c>
      <c r="H88" s="747" t="str">
        <f>IF('päd.Personal - unentgeltlich'!$G$11="","",'päd.Personal - unentgeltlich'!$G$11)</f>
        <v/>
      </c>
      <c r="I88" s="748"/>
      <c r="J88" s="749"/>
      <c r="K88" s="749"/>
      <c r="L88" s="749"/>
      <c r="M88" s="749"/>
      <c r="N88" s="749"/>
      <c r="O88" s="749"/>
      <c r="P88" s="749"/>
    </row>
    <row r="89" spans="1:17" s="156" customFormat="1" ht="27.75" customHeight="1" x14ac:dyDescent="0.25">
      <c r="A89" s="609">
        <v>2</v>
      </c>
      <c r="B89" s="697" t="str">
        <f>IF('päd.Personal - unentgeltlich'!$B$12="","",'päd.Personal - unentgeltlich'!$B$12)</f>
        <v/>
      </c>
      <c r="C89" s="744" t="str">
        <f>IF('päd.Personal - unentgeltlich'!$F$12="","",'päd.Personal - unentgeltlich'!$F$12)</f>
        <v/>
      </c>
      <c r="D89" s="744" t="str">
        <f>IF('päd.Personal - unentgeltlich'!$B$12="","",1)</f>
        <v/>
      </c>
      <c r="E89" s="745" t="str">
        <f>IF('päd.Personal - unentgeltlich'!$C$12="","",'päd.Personal - unentgeltlich'!$C$12)</f>
        <v/>
      </c>
      <c r="F89" s="697" t="str">
        <f>IF('päd.Personal - unentgeltlich'!$D$12="","",'päd.Personal - unentgeltlich'!$D$12)</f>
        <v/>
      </c>
      <c r="G89" s="746" t="str">
        <f>IF('päd.Personal - unentgeltlich'!$E$12="","",'päd.Personal - unentgeltlich'!$E$12)</f>
        <v/>
      </c>
      <c r="H89" s="747" t="str">
        <f>IF('päd.Personal - unentgeltlich'!$G$12="","",'päd.Personal - unentgeltlich'!$G$12)</f>
        <v/>
      </c>
      <c r="I89" s="748"/>
      <c r="J89" s="749"/>
      <c r="K89" s="749"/>
      <c r="L89" s="749"/>
      <c r="M89" s="749"/>
      <c r="N89" s="749"/>
      <c r="O89" s="749"/>
      <c r="P89" s="749"/>
    </row>
    <row r="90" spans="1:17" s="156" customFormat="1" ht="27.75" customHeight="1" x14ac:dyDescent="0.25">
      <c r="A90" s="609">
        <v>3</v>
      </c>
      <c r="B90" s="697" t="str">
        <f>IF('päd.Personal - unentgeltlich'!$B$13="","",'päd.Personal - unentgeltlich'!$B$13)</f>
        <v/>
      </c>
      <c r="C90" s="744" t="str">
        <f>IF('päd.Personal - unentgeltlich'!$F$13="","",'päd.Personal - unentgeltlich'!$F$13)</f>
        <v/>
      </c>
      <c r="D90" s="744" t="str">
        <f>IF('päd.Personal - unentgeltlich'!$B$13="","",1)</f>
        <v/>
      </c>
      <c r="E90" s="745" t="str">
        <f>IF('päd.Personal - unentgeltlich'!$C$13="","",'päd.Personal - unentgeltlich'!$C$13)</f>
        <v/>
      </c>
      <c r="F90" s="697" t="str">
        <f>IF('päd.Personal - unentgeltlich'!$D$13="","",'päd.Personal - unentgeltlich'!$D$13)</f>
        <v/>
      </c>
      <c r="G90" s="746" t="str">
        <f>IF('päd.Personal - unentgeltlich'!$E$13="","",'päd.Personal - unentgeltlich'!$E$13)</f>
        <v/>
      </c>
      <c r="H90" s="747" t="str">
        <f>IF('päd.Personal - unentgeltlich'!$G$13="","",'päd.Personal - unentgeltlich'!$G$13)</f>
        <v/>
      </c>
      <c r="I90" s="748"/>
      <c r="J90" s="749"/>
      <c r="K90" s="749"/>
      <c r="L90" s="749"/>
      <c r="M90" s="749"/>
      <c r="N90" s="749"/>
      <c r="O90" s="749"/>
      <c r="P90" s="749"/>
    </row>
    <row r="91" spans="1:17" s="156" customFormat="1" ht="27.75" customHeight="1" x14ac:dyDescent="0.25">
      <c r="A91" s="609">
        <v>4</v>
      </c>
      <c r="B91" s="697" t="str">
        <f>IF('päd.Personal - unentgeltlich'!$B$14="","",'päd.Personal - unentgeltlich'!$B$14)</f>
        <v/>
      </c>
      <c r="C91" s="744" t="str">
        <f>IF('päd.Personal - unentgeltlich'!$F$14="","",'päd.Personal - unentgeltlich'!$F$14)</f>
        <v/>
      </c>
      <c r="D91" s="744" t="str">
        <f>IF('päd.Personal - unentgeltlich'!$B$14="","",1)</f>
        <v/>
      </c>
      <c r="E91" s="745" t="str">
        <f>IF('päd.Personal - unentgeltlich'!$C$14="","",'päd.Personal - unentgeltlich'!$C$14)</f>
        <v/>
      </c>
      <c r="F91" s="697" t="str">
        <f>IF('päd.Personal - unentgeltlich'!$D$14="","",'päd.Personal - unentgeltlich'!$D$14)</f>
        <v/>
      </c>
      <c r="G91" s="746" t="str">
        <f>IF('päd.Personal - unentgeltlich'!$E$14="","",'päd.Personal - unentgeltlich'!$E$14)</f>
        <v/>
      </c>
      <c r="H91" s="747" t="str">
        <f>IF('päd.Personal - unentgeltlich'!$G$14="","",'päd.Personal - unentgeltlich'!$G$14)</f>
        <v/>
      </c>
      <c r="I91" s="748"/>
      <c r="J91" s="749"/>
      <c r="K91" s="749"/>
      <c r="L91" s="749"/>
      <c r="M91" s="749"/>
      <c r="N91" s="749"/>
      <c r="O91" s="749"/>
      <c r="P91" s="749"/>
    </row>
    <row r="92" spans="1:17" s="156" customFormat="1" ht="27.75" customHeight="1" x14ac:dyDescent="0.25">
      <c r="A92" s="609">
        <v>5</v>
      </c>
      <c r="B92" s="697" t="str">
        <f>IF('päd.Personal - unentgeltlich'!$B$15="","",'päd.Personal - unentgeltlich'!$B$15)</f>
        <v/>
      </c>
      <c r="C92" s="744" t="str">
        <f>IF('päd.Personal - unentgeltlich'!$F$15="","",'päd.Personal - unentgeltlich'!$F$15)</f>
        <v/>
      </c>
      <c r="D92" s="744" t="str">
        <f>IF('päd.Personal - unentgeltlich'!$B$15="","",1)</f>
        <v/>
      </c>
      <c r="E92" s="745" t="str">
        <f>IF('päd.Personal - unentgeltlich'!$C$15="","",'päd.Personal - unentgeltlich'!$C$15)</f>
        <v/>
      </c>
      <c r="F92" s="697" t="str">
        <f>IF('päd.Personal - unentgeltlich'!$D$15="","",'päd.Personal - unentgeltlich'!$D$15)</f>
        <v/>
      </c>
      <c r="G92" s="746" t="str">
        <f>IF('päd.Personal - unentgeltlich'!$E$15="","",'päd.Personal - unentgeltlich'!$E$15)</f>
        <v/>
      </c>
      <c r="H92" s="747" t="str">
        <f>IF('päd.Personal - unentgeltlich'!$G$15="","",'päd.Personal - unentgeltlich'!$G$15)</f>
        <v/>
      </c>
      <c r="I92" s="748"/>
      <c r="J92" s="749"/>
      <c r="K92" s="749"/>
      <c r="L92" s="749"/>
      <c r="M92" s="749"/>
      <c r="N92" s="749"/>
      <c r="O92" s="749"/>
      <c r="P92" s="749"/>
    </row>
    <row r="93" spans="1:17" s="156" customFormat="1" ht="27.75" customHeight="1" x14ac:dyDescent="0.25">
      <c r="A93" s="609">
        <v>6</v>
      </c>
      <c r="B93" s="697" t="str">
        <f>IF('päd.Personal - unentgeltlich'!$B$16="","",'päd.Personal - unentgeltlich'!$B$16)</f>
        <v/>
      </c>
      <c r="C93" s="744" t="str">
        <f>IF('päd.Personal - unentgeltlich'!$F$16="","",'päd.Personal - unentgeltlich'!$F$16)</f>
        <v/>
      </c>
      <c r="D93" s="744" t="str">
        <f>IF('päd.Personal - unentgeltlich'!$B$16="","",1)</f>
        <v/>
      </c>
      <c r="E93" s="745" t="str">
        <f>IF('päd.Personal - unentgeltlich'!$C$16="","",'päd.Personal - unentgeltlich'!$C$16)</f>
        <v/>
      </c>
      <c r="F93" s="697" t="str">
        <f>IF('päd.Personal - unentgeltlich'!$D$16="","",'päd.Personal - unentgeltlich'!$D$16)</f>
        <v/>
      </c>
      <c r="G93" s="746" t="str">
        <f>IF('päd.Personal - unentgeltlich'!$E$16="","",'päd.Personal - unentgeltlich'!$E$16)</f>
        <v/>
      </c>
      <c r="H93" s="747" t="str">
        <f>IF('päd.Personal - unentgeltlich'!$G$16="","",'päd.Personal - unentgeltlich'!$G$16)</f>
        <v/>
      </c>
      <c r="I93" s="748"/>
      <c r="J93" s="749"/>
      <c r="K93" s="749"/>
      <c r="L93" s="749"/>
      <c r="M93" s="749"/>
      <c r="N93" s="749"/>
      <c r="O93" s="749"/>
      <c r="P93" s="749"/>
    </row>
    <row r="94" spans="1:17" s="156" customFormat="1" ht="27.75" customHeight="1" x14ac:dyDescent="0.25">
      <c r="A94" s="609">
        <v>7</v>
      </c>
      <c r="B94" s="697" t="str">
        <f>IF('päd.Personal - unentgeltlich'!$B$17="","",'päd.Personal - unentgeltlich'!$B$17)</f>
        <v/>
      </c>
      <c r="C94" s="744" t="str">
        <f>IF('päd.Personal - unentgeltlich'!$F$17="","",'päd.Personal - unentgeltlich'!$F$17)</f>
        <v/>
      </c>
      <c r="D94" s="744" t="str">
        <f>IF('päd.Personal - unentgeltlich'!$B$17="","",1)</f>
        <v/>
      </c>
      <c r="E94" s="745" t="str">
        <f>IF('päd.Personal - unentgeltlich'!$C$17="","",'päd.Personal - unentgeltlich'!$C$17)</f>
        <v/>
      </c>
      <c r="F94" s="697" t="str">
        <f>IF('päd.Personal - unentgeltlich'!$D$17="","",'päd.Personal - unentgeltlich'!$D$17)</f>
        <v/>
      </c>
      <c r="G94" s="746" t="str">
        <f>IF('päd.Personal - unentgeltlich'!$E$17="","",'päd.Personal - unentgeltlich'!$E$17)</f>
        <v/>
      </c>
      <c r="H94" s="747" t="str">
        <f>IF('päd.Personal - unentgeltlich'!$G$17="","",'päd.Personal - unentgeltlich'!$G$17)</f>
        <v/>
      </c>
      <c r="I94" s="748"/>
      <c r="J94" s="749"/>
      <c r="K94" s="749"/>
      <c r="L94" s="749"/>
      <c r="M94" s="749"/>
      <c r="N94" s="749"/>
      <c r="O94" s="749"/>
      <c r="P94" s="749"/>
    </row>
    <row r="95" spans="1:17" s="156" customFormat="1" ht="27.75" customHeight="1" x14ac:dyDescent="0.25">
      <c r="A95" s="609">
        <v>8</v>
      </c>
      <c r="B95" s="697" t="str">
        <f>IF('päd.Personal - unentgeltlich'!$B$18="","",'päd.Personal - unentgeltlich'!$B$18)</f>
        <v/>
      </c>
      <c r="C95" s="744" t="str">
        <f>IF('päd.Personal - unentgeltlich'!$F$18="","",'päd.Personal - unentgeltlich'!$F$18)</f>
        <v/>
      </c>
      <c r="D95" s="744" t="str">
        <f>IF('päd.Personal - unentgeltlich'!$B$18="","",1)</f>
        <v/>
      </c>
      <c r="E95" s="745" t="str">
        <f>IF('päd.Personal - unentgeltlich'!$C$18="","",'päd.Personal - unentgeltlich'!$C$18)</f>
        <v/>
      </c>
      <c r="F95" s="697" t="str">
        <f>IF('päd.Personal - unentgeltlich'!$D$18="","",'päd.Personal - unentgeltlich'!$D$18)</f>
        <v/>
      </c>
      <c r="G95" s="746" t="str">
        <f>IF('päd.Personal - unentgeltlich'!$E$18="","",'päd.Personal - unentgeltlich'!$E$18)</f>
        <v/>
      </c>
      <c r="H95" s="747" t="str">
        <f>IF('päd.Personal - unentgeltlich'!$G$18="","",'päd.Personal - unentgeltlich'!$G$18)</f>
        <v/>
      </c>
      <c r="I95" s="748"/>
      <c r="J95" s="749"/>
      <c r="K95" s="749"/>
      <c r="L95" s="749"/>
      <c r="M95" s="749"/>
      <c r="N95" s="749"/>
      <c r="O95" s="749"/>
      <c r="P95" s="749"/>
    </row>
    <row r="96" spans="1:17" s="156" customFormat="1" ht="27.75" customHeight="1" x14ac:dyDescent="0.25">
      <c r="A96" s="609">
        <v>9</v>
      </c>
      <c r="B96" s="697" t="str">
        <f>IF('päd.Personal - unentgeltlich'!$B$19="","",'päd.Personal - unentgeltlich'!$B$19)</f>
        <v/>
      </c>
      <c r="C96" s="744" t="str">
        <f>IF('päd.Personal - unentgeltlich'!$F$19="","",'päd.Personal - unentgeltlich'!$F$19)</f>
        <v/>
      </c>
      <c r="D96" s="744" t="str">
        <f>IF('päd.Personal - unentgeltlich'!$B$19="","",1)</f>
        <v/>
      </c>
      <c r="E96" s="745" t="str">
        <f>IF('päd.Personal - unentgeltlich'!$C$19="","",'päd.Personal - unentgeltlich'!$C$19)</f>
        <v/>
      </c>
      <c r="F96" s="697" t="str">
        <f>IF('päd.Personal - unentgeltlich'!$D$19="","",'päd.Personal - unentgeltlich'!$D$19)</f>
        <v/>
      </c>
      <c r="G96" s="746" t="str">
        <f>IF('päd.Personal - unentgeltlich'!$E$19="","",'päd.Personal - unentgeltlich'!$E$19)</f>
        <v/>
      </c>
      <c r="H96" s="747" t="str">
        <f>IF('päd.Personal - unentgeltlich'!$G$19="","",'päd.Personal - unentgeltlich'!$G$19)</f>
        <v/>
      </c>
      <c r="I96" s="748"/>
      <c r="J96" s="749"/>
      <c r="K96" s="749"/>
      <c r="L96" s="749"/>
      <c r="M96" s="749"/>
      <c r="N96" s="749"/>
      <c r="O96" s="749"/>
      <c r="P96" s="749"/>
    </row>
    <row r="97" spans="1:17" s="156" customFormat="1" ht="27.75" customHeight="1" x14ac:dyDescent="0.25">
      <c r="A97" s="609">
        <v>10</v>
      </c>
      <c r="B97" s="697" t="str">
        <f>IF('päd.Personal - unentgeltlich'!$B$20="","",'päd.Personal - unentgeltlich'!$B$20)</f>
        <v/>
      </c>
      <c r="C97" s="744" t="str">
        <f>IF('päd.Personal - unentgeltlich'!$F$20="","",'päd.Personal - unentgeltlich'!$F$20)</f>
        <v/>
      </c>
      <c r="D97" s="744" t="str">
        <f>IF('päd.Personal - unentgeltlich'!$B$20="","",1)</f>
        <v/>
      </c>
      <c r="E97" s="745" t="str">
        <f>IF('päd.Personal - unentgeltlich'!$C$20="","",'päd.Personal - unentgeltlich'!$C$20)</f>
        <v/>
      </c>
      <c r="F97" s="697" t="str">
        <f>IF('päd.Personal - unentgeltlich'!$D$20="","",'päd.Personal - unentgeltlich'!$D$20)</f>
        <v/>
      </c>
      <c r="G97" s="746" t="str">
        <f>IF('päd.Personal - unentgeltlich'!$E$20="","",'päd.Personal - unentgeltlich'!$E$20)</f>
        <v/>
      </c>
      <c r="H97" s="747" t="str">
        <f>IF('päd.Personal - unentgeltlich'!$G$20="","",'päd.Personal - unentgeltlich'!$G$20)</f>
        <v/>
      </c>
      <c r="I97" s="748"/>
      <c r="J97" s="749"/>
      <c r="K97" s="749"/>
      <c r="L97" s="749"/>
      <c r="M97" s="749"/>
      <c r="N97" s="749"/>
      <c r="O97" s="749"/>
      <c r="P97" s="749"/>
    </row>
    <row r="98" spans="1:17" s="156" customFormat="1" ht="27.75" customHeight="1" x14ac:dyDescent="0.25">
      <c r="A98" s="609">
        <v>11</v>
      </c>
      <c r="B98" s="697" t="str">
        <f>IF('päd.Personal - unentgeltlich'!$B$21="","",'päd.Personal - unentgeltlich'!$B$21)</f>
        <v/>
      </c>
      <c r="C98" s="744" t="str">
        <f>IF('päd.Personal - unentgeltlich'!$F$21="","",'päd.Personal - unentgeltlich'!$F$21)</f>
        <v/>
      </c>
      <c r="D98" s="744" t="str">
        <f>IF('päd.Personal - unentgeltlich'!$B$21="","",1)</f>
        <v/>
      </c>
      <c r="E98" s="745" t="str">
        <f>IF('päd.Personal - unentgeltlich'!$C$21="","",'päd.Personal - unentgeltlich'!$C$21)</f>
        <v/>
      </c>
      <c r="F98" s="697" t="str">
        <f>IF('päd.Personal - unentgeltlich'!$D$21="","",'päd.Personal - unentgeltlich'!$D$21)</f>
        <v/>
      </c>
      <c r="G98" s="746" t="str">
        <f>IF('päd.Personal - unentgeltlich'!$E$21="","",'päd.Personal - unentgeltlich'!$E$21)</f>
        <v/>
      </c>
      <c r="H98" s="747" t="str">
        <f>IF('päd.Personal - unentgeltlich'!$G$21="","",'päd.Personal - unentgeltlich'!$G$21)</f>
        <v/>
      </c>
      <c r="I98" s="748"/>
      <c r="J98" s="749"/>
      <c r="K98" s="749"/>
      <c r="L98" s="749"/>
      <c r="M98" s="749"/>
      <c r="N98" s="749"/>
      <c r="O98" s="749"/>
      <c r="P98" s="749"/>
    </row>
    <row r="99" spans="1:17" s="156" customFormat="1" ht="27.75" customHeight="1" x14ac:dyDescent="0.25">
      <c r="A99" s="609">
        <v>12</v>
      </c>
      <c r="B99" s="697" t="str">
        <f>IF('päd.Personal - unentgeltlich'!$B$22="","",'päd.Personal - unentgeltlich'!$B$22)</f>
        <v/>
      </c>
      <c r="C99" s="744" t="str">
        <f>IF('päd.Personal - unentgeltlich'!$F$22="","",'päd.Personal - unentgeltlich'!$F$22)</f>
        <v/>
      </c>
      <c r="D99" s="744" t="str">
        <f>IF('päd.Personal - unentgeltlich'!$B$22="","",1)</f>
        <v/>
      </c>
      <c r="E99" s="745" t="str">
        <f>IF('päd.Personal - unentgeltlich'!$C$22="","",'päd.Personal - unentgeltlich'!$C$22)</f>
        <v/>
      </c>
      <c r="F99" s="697" t="str">
        <f>IF('päd.Personal - unentgeltlich'!$D$22="","",'päd.Personal - unentgeltlich'!$D$22)</f>
        <v/>
      </c>
      <c r="G99" s="746" t="str">
        <f>IF('päd.Personal - unentgeltlich'!$E$22="","",'päd.Personal - unentgeltlich'!$E$22)</f>
        <v/>
      </c>
      <c r="H99" s="747" t="str">
        <f>IF('päd.Personal - unentgeltlich'!$G$22="","",'päd.Personal - unentgeltlich'!$G$22)</f>
        <v/>
      </c>
      <c r="I99" s="748"/>
      <c r="J99" s="749"/>
      <c r="K99" s="749"/>
      <c r="L99" s="749"/>
      <c r="M99" s="749"/>
      <c r="N99" s="749"/>
      <c r="O99" s="749"/>
      <c r="P99" s="749"/>
    </row>
    <row r="100" spans="1:17" s="156" customFormat="1" ht="27.75" customHeight="1" x14ac:dyDescent="0.25">
      <c r="A100" s="609">
        <v>13</v>
      </c>
      <c r="B100" s="697" t="str">
        <f>IF('päd.Personal - unentgeltlich'!$B$23="","",'päd.Personal - unentgeltlich'!$B$23)</f>
        <v/>
      </c>
      <c r="C100" s="744" t="str">
        <f>IF('päd.Personal - unentgeltlich'!$F$23="","",'päd.Personal - unentgeltlich'!$F$23)</f>
        <v/>
      </c>
      <c r="D100" s="744" t="str">
        <f>IF('päd.Personal - unentgeltlich'!$B$23="","",1)</f>
        <v/>
      </c>
      <c r="E100" s="745" t="str">
        <f>IF('päd.Personal - unentgeltlich'!$C$23="","",'päd.Personal - unentgeltlich'!$C$23)</f>
        <v/>
      </c>
      <c r="F100" s="697" t="str">
        <f>IF('päd.Personal - unentgeltlich'!$D$23="","",'päd.Personal - unentgeltlich'!$D$23)</f>
        <v/>
      </c>
      <c r="G100" s="746" t="str">
        <f>IF('päd.Personal - unentgeltlich'!$E$23="","",'päd.Personal - unentgeltlich'!$E$23)</f>
        <v/>
      </c>
      <c r="H100" s="747" t="str">
        <f>IF('päd.Personal - unentgeltlich'!$G$23="","",'päd.Personal - unentgeltlich'!$G$23)</f>
        <v/>
      </c>
      <c r="I100" s="748"/>
      <c r="J100" s="749"/>
      <c r="K100" s="749"/>
      <c r="L100" s="749"/>
      <c r="M100" s="749"/>
      <c r="N100" s="749"/>
      <c r="O100" s="749"/>
      <c r="P100" s="749"/>
    </row>
    <row r="101" spans="1:17" s="156" customFormat="1" ht="27.75" customHeight="1" x14ac:dyDescent="0.25">
      <c r="A101" s="609">
        <v>14</v>
      </c>
      <c r="B101" s="697" t="str">
        <f>IF('päd.Personal - unentgeltlich'!$B$24="","",'päd.Personal - unentgeltlich'!$B$24)</f>
        <v/>
      </c>
      <c r="C101" s="744" t="str">
        <f>IF('päd.Personal - unentgeltlich'!$F$24="","",'päd.Personal - unentgeltlich'!$F$24)</f>
        <v/>
      </c>
      <c r="D101" s="744" t="str">
        <f>IF('päd.Personal - unentgeltlich'!$B$24="","",1)</f>
        <v/>
      </c>
      <c r="E101" s="745" t="str">
        <f>IF('päd.Personal - unentgeltlich'!$C$24="","",'päd.Personal - unentgeltlich'!$C$24)</f>
        <v/>
      </c>
      <c r="F101" s="697" t="str">
        <f>IF('päd.Personal - unentgeltlich'!$D$24="","",'päd.Personal - unentgeltlich'!$D$24)</f>
        <v/>
      </c>
      <c r="G101" s="746" t="str">
        <f>IF('päd.Personal - unentgeltlich'!$E$24="","",'päd.Personal - unentgeltlich'!$E$24)</f>
        <v/>
      </c>
      <c r="H101" s="747" t="str">
        <f>IF('päd.Personal - unentgeltlich'!$G$24="","",'päd.Personal - unentgeltlich'!$G$24)</f>
        <v/>
      </c>
      <c r="I101" s="748"/>
      <c r="J101" s="749"/>
      <c r="K101" s="749"/>
      <c r="L101" s="749"/>
      <c r="M101" s="749"/>
      <c r="N101" s="749"/>
      <c r="O101" s="749"/>
      <c r="P101" s="749"/>
    </row>
    <row r="102" spans="1:17" s="156" customFormat="1" ht="27.75" customHeight="1" x14ac:dyDescent="0.25">
      <c r="A102" s="609">
        <v>15</v>
      </c>
      <c r="B102" s="697" t="str">
        <f>IF('päd.Personal - unentgeltlich'!$B$25="","",'päd.Personal - unentgeltlich'!$B$25)</f>
        <v/>
      </c>
      <c r="C102" s="744" t="str">
        <f>IF('päd.Personal - unentgeltlich'!$F$25="","",'päd.Personal - unentgeltlich'!$F$25)</f>
        <v/>
      </c>
      <c r="D102" s="744" t="str">
        <f>IF('päd.Personal - unentgeltlich'!$B$25="","",1)</f>
        <v/>
      </c>
      <c r="E102" s="745" t="str">
        <f>IF('päd.Personal - unentgeltlich'!$C$25="","",'päd.Personal - unentgeltlich'!$C$25)</f>
        <v/>
      </c>
      <c r="F102" s="697" t="str">
        <f>IF('päd.Personal - unentgeltlich'!$D$25="","",'päd.Personal - unentgeltlich'!$D$25)</f>
        <v/>
      </c>
      <c r="G102" s="746" t="str">
        <f>IF('päd.Personal - unentgeltlich'!$E$25="","",'päd.Personal - unentgeltlich'!$E$25)</f>
        <v/>
      </c>
      <c r="H102" s="747" t="str">
        <f>IF('päd.Personal - unentgeltlich'!$G$25="","",'päd.Personal - unentgeltlich'!$G$25)</f>
        <v/>
      </c>
      <c r="I102" s="748"/>
      <c r="J102" s="749"/>
      <c r="K102" s="749"/>
      <c r="L102" s="749"/>
      <c r="M102" s="749"/>
      <c r="N102" s="749"/>
      <c r="O102" s="749"/>
      <c r="P102" s="749"/>
    </row>
    <row r="103" spans="1:17" s="156" customFormat="1" ht="27.75" customHeight="1" x14ac:dyDescent="0.25">
      <c r="A103" s="750"/>
      <c r="B103" s="703" t="s">
        <v>695</v>
      </c>
      <c r="C103" s="704">
        <f>SUM(C88:C102)</f>
        <v>0</v>
      </c>
      <c r="D103" s="705"/>
      <c r="E103" s="706">
        <f>IF(SUM(D88:D102)=0,0,SUM(D88:D102))</f>
        <v>0</v>
      </c>
      <c r="F103" s="703" t="s">
        <v>696</v>
      </c>
      <c r="G103" s="707">
        <f>SUM(G88:G102)</f>
        <v>0</v>
      </c>
      <c r="J103" s="665"/>
      <c r="K103" s="665"/>
      <c r="L103" s="665"/>
      <c r="M103" s="665"/>
      <c r="N103" s="665"/>
      <c r="O103" s="665"/>
      <c r="P103" s="665"/>
    </row>
    <row r="104" spans="1:17" ht="27.75" customHeight="1" x14ac:dyDescent="0.2">
      <c r="F104" s="709" t="s">
        <v>345</v>
      </c>
      <c r="G104" s="711">
        <f>IF(Grundlagen!$C$14="",0,G103/Grundlagen!$C$14)</f>
        <v>0</v>
      </c>
      <c r="K104" s="579"/>
      <c r="L104" s="579"/>
      <c r="M104" s="579"/>
    </row>
    <row r="105" spans="1:17" s="156" customFormat="1" ht="12.6" customHeight="1" x14ac:dyDescent="0.2">
      <c r="A105" s="636"/>
      <c r="B105" s="646"/>
      <c r="C105" s="696"/>
      <c r="D105" s="696"/>
      <c r="E105" s="648"/>
      <c r="F105" s="646"/>
      <c r="G105" s="655"/>
      <c r="H105" s="646"/>
      <c r="I105" s="667"/>
      <c r="J105" s="938" t="s">
        <v>693</v>
      </c>
      <c r="K105" s="938" t="s">
        <v>694</v>
      </c>
      <c r="L105" s="607"/>
      <c r="M105" s="607"/>
      <c r="N105" s="607"/>
      <c r="O105" s="607"/>
      <c r="P105" s="607"/>
    </row>
    <row r="106" spans="1:17" s="156" customFormat="1" ht="12.6" customHeight="1" x14ac:dyDescent="0.2">
      <c r="A106" s="654" t="s">
        <v>714</v>
      </c>
      <c r="B106" s="646"/>
      <c r="C106" s="696"/>
      <c r="D106" s="696"/>
      <c r="E106" s="648"/>
      <c r="F106" s="646"/>
      <c r="G106" s="655"/>
      <c r="H106" s="646"/>
      <c r="I106" s="667"/>
      <c r="J106" s="939"/>
      <c r="K106" s="939"/>
      <c r="L106" s="752"/>
      <c r="M106" s="752"/>
      <c r="N106" s="752"/>
      <c r="O106" s="752"/>
      <c r="P106" s="752"/>
    </row>
    <row r="107" spans="1:17" s="156" customFormat="1" ht="27.75" customHeight="1" x14ac:dyDescent="0.25">
      <c r="A107" s="609">
        <v>1</v>
      </c>
      <c r="B107" s="697" t="str">
        <f>IF('päd.Personal - ATZ aktiv,passiv'!$D$7="","",'päd.Personal - ATZ aktiv,passiv'!$D$7)</f>
        <v/>
      </c>
      <c r="C107" s="744" t="str">
        <f>IF('päd.Personal - ATZ aktiv,passiv'!$D$7="","",'päd.Personal - ATZ aktiv,passiv'!$L$11)</f>
        <v/>
      </c>
      <c r="D107" s="744" t="str">
        <f>IF('päd.Personal - ATZ aktiv,passiv'!$D$7="","",1)</f>
        <v/>
      </c>
      <c r="E107" s="745" t="str">
        <f>IF('päd.Personal - ATZ aktiv,passiv'!$D$11="","",'päd.Personal - ATZ aktiv,passiv'!$D$11)</f>
        <v/>
      </c>
      <c r="F107" s="697" t="str">
        <f>IF('päd.Personal - ATZ aktiv,passiv'!$D$9="","",'päd.Personal - ATZ aktiv,passiv'!$D$9)</f>
        <v/>
      </c>
      <c r="G107" s="746" t="str">
        <f>IF('päd.Personal - ATZ aktiv,passiv'!$L$12="","",'päd.Personal - ATZ aktiv,passiv'!$L$12)</f>
        <v/>
      </c>
      <c r="H107" s="697" t="str">
        <f>IF('päd.Personal - ATZ aktiv,passiv'!$D$8="","",'päd.Personal - ATZ aktiv,passiv'!$D$8)</f>
        <v/>
      </c>
      <c r="I107" s="747" t="str">
        <f>IF('päd.Personal - ATZ aktiv,passiv'!$L$6="","",'päd.Personal - ATZ aktiv,passiv'!$L$6)</f>
        <v/>
      </c>
      <c r="J107" s="753">
        <f>IF('päd.Personal - ATZ aktiv,passiv'!$G$38="","",('päd.Personal - ATZ aktiv,passiv'!$G$38+'päd.Personal - ATZ aktiv,passiv'!$N$38))</f>
        <v>0</v>
      </c>
      <c r="K107" s="753">
        <f>IF('päd.Personal - ATZ aktiv,passiv'!$H$38="","",'päd.Personal - ATZ aktiv,passiv'!$H$38)</f>
        <v>0</v>
      </c>
      <c r="L107" s="753">
        <f>IF('päd.Personal - ATZ aktiv,passiv'!$O$38="","",'päd.Personal - ATZ aktiv,passiv'!$O$38)</f>
        <v>0</v>
      </c>
      <c r="M107" s="633">
        <f>'päd.Personal - ATZ aktiv,passiv'!$P40</f>
        <v>0</v>
      </c>
      <c r="N107" s="633">
        <f>'päd.Personal - ATZ aktiv,passiv'!$P41</f>
        <v>0</v>
      </c>
      <c r="O107" s="633">
        <f>'päd.Personal - ATZ aktiv,passiv'!$P42</f>
        <v>0</v>
      </c>
      <c r="P107" s="634">
        <f>'päd.Personal - ATZ aktiv,passiv'!$P43</f>
        <v>0</v>
      </c>
      <c r="Q107" s="617">
        <f>SUM(J107:P107)</f>
        <v>0</v>
      </c>
    </row>
    <row r="108" spans="1:17" s="156" customFormat="1" ht="27.75" customHeight="1" x14ac:dyDescent="0.25">
      <c r="A108" s="609">
        <v>2</v>
      </c>
      <c r="B108" s="697" t="str">
        <f>IF('päd.Personal - ATZ aktiv,passiv'!$D$51="","",'päd.Personal - ATZ aktiv,passiv'!$D$51)</f>
        <v/>
      </c>
      <c r="C108" s="744" t="str">
        <f>IF('päd.Personal - ATZ aktiv,passiv'!$D$51="","",'päd.Personal - ATZ aktiv,passiv'!$L$55)</f>
        <v/>
      </c>
      <c r="D108" s="744" t="str">
        <f>IF('päd.Personal - ATZ aktiv,passiv'!$D$51="","",1)</f>
        <v/>
      </c>
      <c r="E108" s="745" t="str">
        <f>IF('päd.Personal - ATZ aktiv,passiv'!$D$55="","",'päd.Personal - ATZ aktiv,passiv'!$D$55)</f>
        <v/>
      </c>
      <c r="F108" s="697" t="str">
        <f>IF('päd.Personal - ATZ aktiv,passiv'!$D$53="","",'päd.Personal - ATZ aktiv,passiv'!$D$53)</f>
        <v/>
      </c>
      <c r="G108" s="746" t="str">
        <f>IF('päd.Personal - ATZ aktiv,passiv'!$L$56="","",'päd.Personal - ATZ aktiv,passiv'!$L$56)</f>
        <v/>
      </c>
      <c r="H108" s="697" t="str">
        <f>IF('päd.Personal - ATZ aktiv,passiv'!$D$52="","",'päd.Personal - ATZ aktiv,passiv'!$D$52)</f>
        <v/>
      </c>
      <c r="I108" s="747" t="str">
        <f>IF('päd.Personal - ATZ aktiv,passiv'!$L$50="","",'päd.Personal - ATZ aktiv,passiv'!$L$50)</f>
        <v/>
      </c>
      <c r="J108" s="754">
        <f>IF('päd.Personal - ATZ aktiv,passiv'!$G$82="","",('päd.Personal - ATZ aktiv,passiv'!$G$82+'päd.Personal - ATZ aktiv,passiv'!$N$82))</f>
        <v>0</v>
      </c>
      <c r="K108" s="754">
        <f>IF('päd.Personal - ATZ aktiv,passiv'!$H$82="","",'päd.Personal - ATZ aktiv,passiv'!$H$82)</f>
        <v>0</v>
      </c>
      <c r="L108" s="754">
        <f>IF('päd.Personal - ATZ aktiv,passiv'!$O$82="","",'päd.Personal - ATZ aktiv,passiv'!$O$82)</f>
        <v>0</v>
      </c>
      <c r="M108" s="615">
        <f>'päd.Personal - ATZ aktiv,passiv'!$P84</f>
        <v>0</v>
      </c>
      <c r="N108" s="615">
        <f>'päd.Personal - ATZ aktiv,passiv'!$P85</f>
        <v>0</v>
      </c>
      <c r="O108" s="615">
        <f>'päd.Personal - ATZ aktiv,passiv'!$P86</f>
        <v>0</v>
      </c>
      <c r="P108" s="616">
        <f>'päd.Personal - ATZ aktiv,passiv'!$P87</f>
        <v>0</v>
      </c>
      <c r="Q108" s="617">
        <f t="shared" ref="Q108:Q109" si="10">SUM(J108:P108)</f>
        <v>0</v>
      </c>
    </row>
    <row r="109" spans="1:17" s="156" customFormat="1" ht="27.75" customHeight="1" x14ac:dyDescent="0.25">
      <c r="A109" s="609">
        <v>3</v>
      </c>
      <c r="B109" s="697" t="str">
        <f>IF('päd.Personal - ATZ aktiv,passiv'!$D$95="","",'päd.Personal - ATZ aktiv,passiv'!$D$95)</f>
        <v/>
      </c>
      <c r="C109" s="744" t="str">
        <f>IF('päd.Personal - ATZ aktiv,passiv'!$D$95="","",'päd.Personal - ATZ aktiv,passiv'!$L$99)</f>
        <v/>
      </c>
      <c r="D109" s="744" t="str">
        <f>IF('päd.Personal - ATZ aktiv,passiv'!$D$95="","",1)</f>
        <v/>
      </c>
      <c r="E109" s="745" t="str">
        <f>IF('päd.Personal - ATZ aktiv,passiv'!$D$99="","",'päd.Personal - ATZ aktiv,passiv'!$D$99)</f>
        <v/>
      </c>
      <c r="F109" s="697" t="str">
        <f>IF('päd.Personal - ATZ aktiv,passiv'!$D$97="","",'päd.Personal - ATZ aktiv,passiv'!$D$97)</f>
        <v/>
      </c>
      <c r="G109" s="746" t="str">
        <f>IF('päd.Personal - ATZ aktiv,passiv'!$L$100="","",'päd.Personal - ATZ aktiv,passiv'!$L$100)</f>
        <v/>
      </c>
      <c r="H109" s="697" t="str">
        <f>IF('päd.Personal - ATZ aktiv,passiv'!$D$96="","",'päd.Personal - ATZ aktiv,passiv'!$D$96)</f>
        <v/>
      </c>
      <c r="I109" s="747" t="str">
        <f>IF('päd.Personal - ATZ aktiv,passiv'!$L$94="","",'päd.Personal - ATZ aktiv,passiv'!$L$94)</f>
        <v/>
      </c>
      <c r="J109" s="754">
        <f>IF('päd.Personal - ATZ aktiv,passiv'!$G$126="","",('päd.Personal - ATZ aktiv,passiv'!$G$126+'päd.Personal - ATZ aktiv,passiv'!$N$126))</f>
        <v>0</v>
      </c>
      <c r="K109" s="754">
        <f>IF('päd.Personal - ATZ aktiv,passiv'!$H$126="","",'päd.Personal - ATZ aktiv,passiv'!$H$126)</f>
        <v>0</v>
      </c>
      <c r="L109" s="754">
        <f>IF('päd.Personal - ATZ aktiv,passiv'!$O$126="","",'päd.Personal - ATZ aktiv,passiv'!$O$126)</f>
        <v>0</v>
      </c>
      <c r="M109" s="615">
        <f>'päd.Personal - ATZ aktiv,passiv'!$P128</f>
        <v>0</v>
      </c>
      <c r="N109" s="615">
        <f>'päd.Personal - ATZ aktiv,passiv'!$P129</f>
        <v>0</v>
      </c>
      <c r="O109" s="615">
        <f>'päd.Personal - ATZ aktiv,passiv'!$P130</f>
        <v>0</v>
      </c>
      <c r="P109" s="616">
        <f>'päd.Personal - ATZ aktiv,passiv'!$P131</f>
        <v>0</v>
      </c>
      <c r="Q109" s="617">
        <f t="shared" si="10"/>
        <v>0</v>
      </c>
    </row>
    <row r="110" spans="1:17" s="156" customFormat="1" ht="27.75" customHeight="1" thickBot="1" x14ac:dyDescent="0.3">
      <c r="A110" s="750"/>
      <c r="B110" s="703" t="s">
        <v>695</v>
      </c>
      <c r="C110" s="704">
        <f>SUM(C107:C109)</f>
        <v>0</v>
      </c>
      <c r="D110" s="705"/>
      <c r="E110" s="706">
        <f>IF(SUM(D107:D109)=0,0,SUM(D107:D109))</f>
        <v>0</v>
      </c>
      <c r="F110" s="703" t="s">
        <v>696</v>
      </c>
      <c r="G110" s="707">
        <f>SUM(G107:G109)</f>
        <v>0</v>
      </c>
      <c r="H110" s="718"/>
      <c r="I110" s="755"/>
      <c r="J110" s="756">
        <f>SUM(J107:J109)</f>
        <v>0</v>
      </c>
      <c r="K110" s="756">
        <f t="shared" ref="K110:P110" si="11">SUM(K107:K109)</f>
        <v>0</v>
      </c>
      <c r="L110" s="756">
        <f t="shared" si="11"/>
        <v>0</v>
      </c>
      <c r="M110" s="756">
        <f t="shared" si="11"/>
        <v>0</v>
      </c>
      <c r="N110" s="756">
        <f t="shared" si="11"/>
        <v>0</v>
      </c>
      <c r="O110" s="756">
        <f t="shared" si="11"/>
        <v>0</v>
      </c>
      <c r="P110" s="757">
        <f t="shared" si="11"/>
        <v>0</v>
      </c>
      <c r="Q110" s="645">
        <f>SUM(Q107:Q109)</f>
        <v>0</v>
      </c>
    </row>
    <row r="111" spans="1:17" s="118" customFormat="1" ht="27.75" customHeight="1" thickBot="1" x14ac:dyDescent="0.3">
      <c r="A111" s="758"/>
      <c r="B111" s="709"/>
      <c r="C111" s="705"/>
      <c r="D111" s="705"/>
      <c r="E111" s="710"/>
      <c r="F111" s="709" t="s">
        <v>345</v>
      </c>
      <c r="G111" s="711">
        <f>IF(Grundlagen!$C$14="",0,G110/Grundlagen!$C$14)</f>
        <v>0</v>
      </c>
      <c r="H111" s="719"/>
      <c r="I111" s="759"/>
      <c r="J111" s="934">
        <f>SUM(J110:L110)</f>
        <v>0</v>
      </c>
      <c r="K111" s="940"/>
      <c r="L111" s="935"/>
      <c r="M111" s="934">
        <f>SUM(M110:N110)</f>
        <v>0</v>
      </c>
      <c r="N111" s="935"/>
      <c r="O111" s="760"/>
      <c r="P111" s="760"/>
      <c r="Q111" s="659"/>
    </row>
    <row r="112" spans="1:17" x14ac:dyDescent="0.2">
      <c r="A112" s="654"/>
      <c r="B112" s="646"/>
      <c r="C112" s="696"/>
      <c r="D112" s="696"/>
      <c r="J112" s="761"/>
      <c r="K112" s="761"/>
      <c r="L112" s="761"/>
      <c r="M112" s="761"/>
      <c r="N112" s="761"/>
      <c r="O112" s="761"/>
      <c r="P112" s="761"/>
    </row>
    <row r="113" spans="1:17" x14ac:dyDescent="0.2">
      <c r="A113" s="654" t="s">
        <v>715</v>
      </c>
      <c r="B113" s="646"/>
      <c r="C113" s="696"/>
      <c r="D113" s="696"/>
      <c r="J113" s="761"/>
      <c r="K113" s="761"/>
      <c r="L113" s="761"/>
      <c r="M113" s="761"/>
      <c r="N113" s="761"/>
      <c r="O113" s="761"/>
      <c r="P113" s="761"/>
    </row>
    <row r="114" spans="1:17" s="156" customFormat="1" ht="27.75" customHeight="1" x14ac:dyDescent="0.25">
      <c r="A114" s="609">
        <v>1</v>
      </c>
      <c r="B114" s="697" t="str">
        <f>IF('päd.Personal - ATZ aktiv,passiv'!$D$139="","",'päd.Personal - ATZ aktiv,passiv'!$D$139)</f>
        <v/>
      </c>
      <c r="C114" s="744"/>
      <c r="D114" s="744" t="str">
        <f>IF('päd.Personal - ATZ aktiv,passiv'!$D$139="","",1)</f>
        <v/>
      </c>
      <c r="E114" s="745" t="str">
        <f>IF('päd.Personal - ATZ aktiv,passiv'!$D$143="","",'päd.Personal - ATZ aktiv,passiv'!$D$143)</f>
        <v/>
      </c>
      <c r="F114" s="697" t="str">
        <f>IF('päd.Personal - ATZ aktiv,passiv'!$D$141="","",'päd.Personal - ATZ aktiv,passiv'!$D$141)</f>
        <v/>
      </c>
      <c r="G114" s="746" t="str">
        <f>IF('päd.Personal - ATZ aktiv,passiv'!$L$144=0,"",'päd.Personal - ATZ aktiv,passiv'!$L$144)</f>
        <v/>
      </c>
      <c r="H114" s="697" t="str">
        <f>IF('päd.Personal - ATZ aktiv,passiv'!$D$140="","",'päd.Personal - ATZ aktiv,passiv'!$D$140)</f>
        <v/>
      </c>
      <c r="I114" s="747" t="str">
        <f>IF('päd.Personal - ATZ aktiv,passiv'!$L$138="","",'päd.Personal - ATZ aktiv,passiv'!$L$138)</f>
        <v/>
      </c>
      <c r="J114" s="754">
        <f>IF('päd.Personal - ATZ aktiv,passiv'!$G$170="","",('päd.Personal - ATZ aktiv,passiv'!$G$170+'päd.Personal - ATZ aktiv,passiv'!$N$170))</f>
        <v>0</v>
      </c>
      <c r="K114" s="754">
        <f>IF('päd.Personal - ATZ aktiv,passiv'!$H$170="","",'päd.Personal - ATZ aktiv,passiv'!$H$170)</f>
        <v>0</v>
      </c>
      <c r="L114" s="754">
        <f>IF('päd.Personal - ATZ aktiv,passiv'!$O$170="","",'päd.Personal - ATZ aktiv,passiv'!$O$170)</f>
        <v>0</v>
      </c>
      <c r="M114" s="615">
        <f>'päd.Personal - ATZ aktiv,passiv'!$P172</f>
        <v>0</v>
      </c>
      <c r="N114" s="615">
        <f>'päd.Personal - ATZ aktiv,passiv'!$P173</f>
        <v>0</v>
      </c>
      <c r="O114" s="615">
        <f>'päd.Personal - ATZ aktiv,passiv'!$P174</f>
        <v>0</v>
      </c>
      <c r="P114" s="616">
        <f>'päd.Personal - ATZ aktiv,passiv'!$P175</f>
        <v>0</v>
      </c>
      <c r="Q114" s="617">
        <f>SUM(J114:P114)</f>
        <v>0</v>
      </c>
    </row>
    <row r="115" spans="1:17" s="156" customFormat="1" ht="27.75" customHeight="1" x14ac:dyDescent="0.25">
      <c r="A115" s="609">
        <v>2</v>
      </c>
      <c r="B115" s="697" t="str">
        <f>IF('päd.Personal - ATZ aktiv,passiv'!$D$183="","",'päd.Personal - ATZ aktiv,passiv'!$D$183)</f>
        <v/>
      </c>
      <c r="C115" s="744"/>
      <c r="D115" s="744" t="str">
        <f>IF('päd.Personal - ATZ aktiv,passiv'!$D$183="","",1)</f>
        <v/>
      </c>
      <c r="E115" s="745" t="str">
        <f>IF('päd.Personal - ATZ aktiv,passiv'!$D$187="","",'päd.Personal - ATZ aktiv,passiv'!$D$187)</f>
        <v/>
      </c>
      <c r="F115" s="697" t="str">
        <f>IF('päd.Personal - ATZ aktiv,passiv'!$D$185="","",'päd.Personal - ATZ aktiv,passiv'!$D$185)</f>
        <v/>
      </c>
      <c r="G115" s="746" t="str">
        <f>IF('päd.Personal - ATZ aktiv,passiv'!$L$188=0,"",'päd.Personal - ATZ aktiv,passiv'!$L$188)</f>
        <v/>
      </c>
      <c r="H115" s="697" t="str">
        <f>IF('päd.Personal - ATZ aktiv,passiv'!$D$184="","",'päd.Personal - ATZ aktiv,passiv'!$D$184)</f>
        <v/>
      </c>
      <c r="I115" s="747" t="str">
        <f>IF('päd.Personal - ATZ aktiv,passiv'!$L$182="","",'päd.Personal - ATZ aktiv,passiv'!$L$182)</f>
        <v/>
      </c>
      <c r="J115" s="754">
        <f>IF('päd.Personal - ATZ aktiv,passiv'!$G$214="","",('päd.Personal - ATZ aktiv,passiv'!$G$214+'päd.Personal - ATZ aktiv,passiv'!$N$214))</f>
        <v>0</v>
      </c>
      <c r="K115" s="754">
        <f>IF('päd.Personal - ATZ aktiv,passiv'!$H$214="","",'päd.Personal - ATZ aktiv,passiv'!$H$214)</f>
        <v>0</v>
      </c>
      <c r="L115" s="754">
        <f>IF('päd.Personal - ATZ aktiv,passiv'!$O$214="","",'päd.Personal - ATZ aktiv,passiv'!$O$214)</f>
        <v>0</v>
      </c>
      <c r="M115" s="615">
        <f>'päd.Personal - ATZ aktiv,passiv'!$P216</f>
        <v>0</v>
      </c>
      <c r="N115" s="615">
        <f>'päd.Personal - ATZ aktiv,passiv'!$P217</f>
        <v>0</v>
      </c>
      <c r="O115" s="615">
        <f>'päd.Personal - ATZ aktiv,passiv'!$P218</f>
        <v>0</v>
      </c>
      <c r="P115" s="616">
        <f>'päd.Personal - ATZ aktiv,passiv'!$P219</f>
        <v>0</v>
      </c>
      <c r="Q115" s="617">
        <f t="shared" ref="Q115:Q116" si="12">SUM(J115:P115)</f>
        <v>0</v>
      </c>
    </row>
    <row r="116" spans="1:17" s="156" customFormat="1" ht="27.75" customHeight="1" x14ac:dyDescent="0.25">
      <c r="A116" s="609">
        <v>3</v>
      </c>
      <c r="B116" s="697" t="str">
        <f>IF('päd.Personal - ATZ aktiv,passiv'!$D$227="","",'päd.Personal - ATZ aktiv,passiv'!$D$227)</f>
        <v/>
      </c>
      <c r="C116" s="744"/>
      <c r="D116" s="744" t="str">
        <f>IF('päd.Personal - ATZ aktiv,passiv'!$D$227="","",1)</f>
        <v/>
      </c>
      <c r="E116" s="745" t="str">
        <f>IF('päd.Personal - ATZ aktiv,passiv'!$D$231="","",'päd.Personal - ATZ aktiv,passiv'!$D$231)</f>
        <v/>
      </c>
      <c r="F116" s="697" t="str">
        <f>IF('päd.Personal - ATZ aktiv,passiv'!$D$229="","",'päd.Personal - ATZ aktiv,passiv'!$D$229)</f>
        <v/>
      </c>
      <c r="G116" s="746" t="str">
        <f>IF('päd.Personal - ATZ aktiv,passiv'!$L$232=0,"",'päd.Personal - ATZ aktiv,passiv'!$L$232)</f>
        <v/>
      </c>
      <c r="H116" s="697" t="str">
        <f>IF('päd.Personal - ATZ aktiv,passiv'!$D$228="","",'päd.Personal - ATZ aktiv,passiv'!$D$228)</f>
        <v/>
      </c>
      <c r="I116" s="747" t="str">
        <f>IF('päd.Personal - ATZ aktiv,passiv'!$L$226="","",'päd.Personal - ATZ aktiv,passiv'!$L$226)</f>
        <v/>
      </c>
      <c r="J116" s="754">
        <f>IF('päd.Personal - ATZ aktiv,passiv'!$G$258="","",('päd.Personal - ATZ aktiv,passiv'!$G$258+'päd.Personal - ATZ aktiv,passiv'!$N$258))</f>
        <v>0</v>
      </c>
      <c r="K116" s="754">
        <f>IF('päd.Personal - ATZ aktiv,passiv'!$H$258="","",'päd.Personal - ATZ aktiv,passiv'!$H$258)</f>
        <v>0</v>
      </c>
      <c r="L116" s="754">
        <f>IF('päd.Personal - ATZ aktiv,passiv'!$O$258="","",'päd.Personal - ATZ aktiv,passiv'!$O$258)</f>
        <v>0</v>
      </c>
      <c r="M116" s="615">
        <f>'päd.Personal - ATZ aktiv,passiv'!$P260</f>
        <v>0</v>
      </c>
      <c r="N116" s="615">
        <f>'päd.Personal - ATZ aktiv,passiv'!$P261</f>
        <v>0</v>
      </c>
      <c r="O116" s="615">
        <f>'päd.Personal - ATZ aktiv,passiv'!$P262</f>
        <v>0</v>
      </c>
      <c r="P116" s="616">
        <f>'päd.Personal - ATZ aktiv,passiv'!$P263</f>
        <v>0</v>
      </c>
      <c r="Q116" s="617">
        <f t="shared" si="12"/>
        <v>0</v>
      </c>
    </row>
    <row r="117" spans="1:17" s="156" customFormat="1" ht="27.75" customHeight="1" x14ac:dyDescent="0.25">
      <c r="A117" s="750"/>
      <c r="B117" s="703" t="s">
        <v>695</v>
      </c>
      <c r="C117" s="705"/>
      <c r="D117" s="705"/>
      <c r="E117" s="706">
        <f>IF(SUM(D114:D116)=0,0,SUM(D114:D116))</f>
        <v>0</v>
      </c>
      <c r="F117" s="703" t="s">
        <v>696</v>
      </c>
      <c r="G117" s="707">
        <f>SUM(G114:G116)</f>
        <v>0</v>
      </c>
      <c r="H117" s="718"/>
      <c r="I117" s="714"/>
      <c r="J117" s="762">
        <f>SUM(J114:J116)</f>
        <v>0</v>
      </c>
      <c r="K117" s="762">
        <f t="shared" ref="K117:P117" si="13">SUM(K114:K116)</f>
        <v>0</v>
      </c>
      <c r="L117" s="762">
        <f t="shared" si="13"/>
        <v>0</v>
      </c>
      <c r="M117" s="762">
        <f t="shared" si="13"/>
        <v>0</v>
      </c>
      <c r="N117" s="762">
        <f t="shared" si="13"/>
        <v>0</v>
      </c>
      <c r="O117" s="756">
        <f t="shared" si="13"/>
        <v>0</v>
      </c>
      <c r="P117" s="757">
        <f t="shared" si="13"/>
        <v>0</v>
      </c>
      <c r="Q117" s="645">
        <f>SUM(Q114:Q116)</f>
        <v>0</v>
      </c>
    </row>
    <row r="118" spans="1:17" s="118" customFormat="1" ht="27.75" customHeight="1" x14ac:dyDescent="0.25">
      <c r="A118" s="758"/>
      <c r="B118" s="709"/>
      <c r="C118" s="705"/>
      <c r="D118" s="705"/>
      <c r="E118" s="710"/>
      <c r="F118" s="709" t="s">
        <v>345</v>
      </c>
      <c r="G118" s="711">
        <f>IF(Grundlagen!$C$14="",0,G117/Grundlagen!$C$14)</f>
        <v>0</v>
      </c>
      <c r="H118" s="719"/>
      <c r="I118" s="716"/>
      <c r="J118" s="933"/>
      <c r="K118" s="933"/>
      <c r="L118" s="933"/>
      <c r="M118" s="933"/>
      <c r="N118" s="933"/>
      <c r="O118" s="742"/>
      <c r="P118" s="742"/>
    </row>
    <row r="119" spans="1:17" x14ac:dyDescent="0.2">
      <c r="A119" s="636"/>
      <c r="B119" s="646"/>
      <c r="C119" s="696"/>
      <c r="D119" s="696"/>
      <c r="K119" s="579"/>
      <c r="L119" s="579"/>
      <c r="M119" s="579"/>
    </row>
    <row r="120" spans="1:17" x14ac:dyDescent="0.2">
      <c r="A120" s="654" t="s">
        <v>716</v>
      </c>
      <c r="B120" s="646"/>
      <c r="C120" s="696"/>
      <c r="D120" s="696"/>
      <c r="K120" s="579"/>
      <c r="L120" s="579"/>
      <c r="M120" s="579"/>
    </row>
    <row r="121" spans="1:17" s="156" customFormat="1" ht="27.75" customHeight="1" x14ac:dyDescent="0.25">
      <c r="A121" s="609">
        <v>1</v>
      </c>
      <c r="B121" s="697" t="str">
        <f>IF('päd.Personal - Heilpäd.FK'!B11="","",'päd.Personal - Heilpäd.FK'!B11)</f>
        <v/>
      </c>
      <c r="C121" s="744" t="str">
        <f>IF('päd.Personal - Heilpäd.FK'!B11="","",'päd.Personal - Heilpäd.FK'!$I$11)</f>
        <v/>
      </c>
      <c r="D121" s="744" t="str">
        <f>IF('päd.Personal - Heilpäd.FK'!B11="","",1)</f>
        <v/>
      </c>
      <c r="E121" s="745" t="str">
        <f>IF('päd.Personal - Heilpäd.FK'!C11="","",'päd.Personal - Heilpäd.FK'!C11)</f>
        <v/>
      </c>
      <c r="F121" s="697" t="str">
        <f>IF('päd.Personal - Heilpäd.FK'!E11="","",'päd.Personal - Heilpäd.FK'!E11)</f>
        <v/>
      </c>
      <c r="G121" s="746" t="str">
        <f>IF('päd.Personal - Heilpäd.FK'!H11="","",'päd.Personal - Heilpäd.FK'!H11)</f>
        <v/>
      </c>
      <c r="H121" s="697" t="str">
        <f>IF('päd.Personal - Heilpäd.FK'!D11="","",'päd.Personal - Heilpäd.FK'!D11)</f>
        <v/>
      </c>
      <c r="I121" s="748"/>
      <c r="J121" s="749"/>
      <c r="K121" s="749"/>
      <c r="L121" s="749"/>
      <c r="M121" s="749"/>
      <c r="N121" s="749"/>
      <c r="O121" s="749"/>
      <c r="P121" s="749"/>
    </row>
    <row r="122" spans="1:17" s="156" customFormat="1" ht="27.75" customHeight="1" x14ac:dyDescent="0.25">
      <c r="A122" s="609">
        <v>2</v>
      </c>
      <c r="B122" s="697" t="str">
        <f>IF('päd.Personal - Heilpäd.FK'!B12="","",'päd.Personal - Heilpäd.FK'!B12)</f>
        <v/>
      </c>
      <c r="C122" s="744" t="str">
        <f>IF('päd.Personal - Heilpäd.FK'!B12="","",'päd.Personal - Heilpäd.FK'!$I$12)</f>
        <v/>
      </c>
      <c r="D122" s="744" t="str">
        <f>IF('päd.Personal - Heilpäd.FK'!B12="","",1)</f>
        <v/>
      </c>
      <c r="E122" s="745" t="str">
        <f>IF('päd.Personal - Heilpäd.FK'!C12="","",'päd.Personal - Heilpäd.FK'!C12)</f>
        <v/>
      </c>
      <c r="F122" s="697" t="str">
        <f>IF('päd.Personal - Heilpäd.FK'!E12="","",'päd.Personal - Heilpäd.FK'!E12)</f>
        <v/>
      </c>
      <c r="G122" s="746" t="str">
        <f>IF('päd.Personal - Heilpäd.FK'!H12="","",'päd.Personal - Heilpäd.FK'!H12)</f>
        <v/>
      </c>
      <c r="H122" s="697" t="str">
        <f>IF('päd.Personal - Heilpäd.FK'!D12="","",'päd.Personal - Heilpäd.FK'!D12)</f>
        <v/>
      </c>
      <c r="I122" s="748"/>
      <c r="J122" s="749"/>
      <c r="K122" s="749"/>
      <c r="L122" s="749"/>
      <c r="M122" s="749"/>
      <c r="N122" s="749"/>
      <c r="O122" s="749"/>
      <c r="P122" s="749"/>
    </row>
    <row r="123" spans="1:17" s="156" customFormat="1" ht="27.75" customHeight="1" x14ac:dyDescent="0.25">
      <c r="A123" s="609">
        <v>3</v>
      </c>
      <c r="B123" s="697" t="str">
        <f>IF('päd.Personal - Heilpäd.FK'!B13="","",'päd.Personal - Heilpäd.FK'!B13)</f>
        <v/>
      </c>
      <c r="C123" s="744" t="str">
        <f>IF('päd.Personal - Heilpäd.FK'!B13="","",'päd.Personal - Heilpäd.FK'!$I$13)</f>
        <v/>
      </c>
      <c r="D123" s="744" t="str">
        <f>IF('päd.Personal - Heilpäd.FK'!B13="","",1)</f>
        <v/>
      </c>
      <c r="E123" s="745" t="str">
        <f>IF('päd.Personal - Heilpäd.FK'!C13="","",'päd.Personal - Heilpäd.FK'!C13)</f>
        <v/>
      </c>
      <c r="F123" s="697" t="str">
        <f>IF('päd.Personal - Heilpäd.FK'!E13="","",'päd.Personal - Heilpäd.FK'!E13)</f>
        <v/>
      </c>
      <c r="G123" s="746" t="str">
        <f>IF('päd.Personal - Heilpäd.FK'!H13="","",'päd.Personal - Heilpäd.FK'!H13)</f>
        <v/>
      </c>
      <c r="H123" s="697" t="str">
        <f>IF('päd.Personal - Heilpäd.FK'!D13="","",'päd.Personal - Heilpäd.FK'!D13)</f>
        <v/>
      </c>
      <c r="I123" s="748"/>
      <c r="J123" s="749"/>
      <c r="K123" s="749"/>
      <c r="L123" s="749"/>
      <c r="M123" s="749"/>
      <c r="N123" s="749"/>
      <c r="O123" s="749"/>
      <c r="P123" s="749"/>
    </row>
    <row r="124" spans="1:17" s="156" customFormat="1" ht="27.75" customHeight="1" x14ac:dyDescent="0.25">
      <c r="A124" s="609">
        <v>4</v>
      </c>
      <c r="B124" s="697" t="str">
        <f>IF('päd.Personal - Heilpäd.FK'!B14="","",'päd.Personal - Heilpäd.FK'!B14)</f>
        <v/>
      </c>
      <c r="C124" s="744" t="str">
        <f>IF('päd.Personal - Heilpäd.FK'!B14="","",'päd.Personal - Heilpäd.FK'!$I$14)</f>
        <v/>
      </c>
      <c r="D124" s="744" t="str">
        <f>IF('päd.Personal - Heilpäd.FK'!B14="","",1)</f>
        <v/>
      </c>
      <c r="E124" s="745" t="str">
        <f>IF('päd.Personal - Heilpäd.FK'!C14="","",'päd.Personal - Heilpäd.FK'!C14)</f>
        <v/>
      </c>
      <c r="F124" s="697" t="str">
        <f>IF('päd.Personal - Heilpäd.FK'!E14="","",'päd.Personal - Heilpäd.FK'!E14)</f>
        <v/>
      </c>
      <c r="G124" s="746" t="str">
        <f>IF('päd.Personal - Heilpäd.FK'!H14="","",'päd.Personal - Heilpäd.FK'!H14)</f>
        <v/>
      </c>
      <c r="H124" s="697" t="str">
        <f>IF('päd.Personal - Heilpäd.FK'!D14="","",'päd.Personal - Heilpäd.FK'!D14)</f>
        <v/>
      </c>
      <c r="I124" s="748"/>
      <c r="J124" s="749"/>
      <c r="K124" s="749"/>
      <c r="L124" s="749"/>
      <c r="M124" s="749"/>
      <c r="N124" s="749"/>
      <c r="O124" s="749"/>
      <c r="P124" s="749"/>
    </row>
    <row r="125" spans="1:17" s="156" customFormat="1" ht="27.75" customHeight="1" x14ac:dyDescent="0.25">
      <c r="A125" s="609">
        <v>5</v>
      </c>
      <c r="B125" s="697" t="str">
        <f>IF('päd.Personal - Heilpäd.FK'!B15="","",'päd.Personal - Heilpäd.FK'!B15)</f>
        <v/>
      </c>
      <c r="C125" s="744" t="str">
        <f>IF('päd.Personal - Heilpäd.FK'!B15="","",'päd.Personal - Heilpäd.FK'!$I$15)</f>
        <v/>
      </c>
      <c r="D125" s="744" t="str">
        <f>IF('päd.Personal - Heilpäd.FK'!B15="","",1)</f>
        <v/>
      </c>
      <c r="E125" s="745" t="str">
        <f>IF('päd.Personal - Heilpäd.FK'!C15="","",'päd.Personal - Heilpäd.FK'!C15)</f>
        <v/>
      </c>
      <c r="F125" s="697" t="str">
        <f>IF('päd.Personal - Heilpäd.FK'!E15="","",'päd.Personal - Heilpäd.FK'!E15)</f>
        <v/>
      </c>
      <c r="G125" s="746" t="str">
        <f>IF('päd.Personal - Heilpäd.FK'!H15="","",'päd.Personal - Heilpäd.FK'!H15)</f>
        <v/>
      </c>
      <c r="H125" s="697" t="str">
        <f>IF('päd.Personal - Heilpäd.FK'!D15="","",'päd.Personal - Heilpäd.FK'!D15)</f>
        <v/>
      </c>
      <c r="I125" s="748"/>
      <c r="J125" s="749"/>
      <c r="K125" s="749"/>
      <c r="L125" s="749"/>
      <c r="M125" s="749"/>
      <c r="N125" s="749"/>
      <c r="O125" s="749"/>
      <c r="P125" s="749"/>
    </row>
    <row r="126" spans="1:17" s="156" customFormat="1" ht="27.75" customHeight="1" x14ac:dyDescent="0.25">
      <c r="A126" s="609">
        <v>6</v>
      </c>
      <c r="B126" s="697" t="str">
        <f>IF('päd.Personal - Heilpäd.FK'!B16="","",'päd.Personal - Heilpäd.FK'!B16)</f>
        <v/>
      </c>
      <c r="C126" s="744" t="str">
        <f>IF('päd.Personal - Heilpäd.FK'!B16="","",'päd.Personal - Heilpäd.FK'!$I$16)</f>
        <v/>
      </c>
      <c r="D126" s="744" t="str">
        <f>IF('päd.Personal - Heilpäd.FK'!B16="","",1)</f>
        <v/>
      </c>
      <c r="E126" s="745" t="str">
        <f>IF('päd.Personal - Heilpäd.FK'!C16="","",'päd.Personal - Heilpäd.FK'!C16)</f>
        <v/>
      </c>
      <c r="F126" s="697" t="str">
        <f>IF('päd.Personal - Heilpäd.FK'!E16="","",'päd.Personal - Heilpäd.FK'!E16)</f>
        <v/>
      </c>
      <c r="G126" s="746" t="str">
        <f>IF('päd.Personal - Heilpäd.FK'!H16="","",'päd.Personal - Heilpäd.FK'!H16)</f>
        <v/>
      </c>
      <c r="H126" s="697" t="str">
        <f>IF('päd.Personal - Heilpäd.FK'!D16="","",'päd.Personal - Heilpäd.FK'!D16)</f>
        <v/>
      </c>
      <c r="I126" s="748"/>
      <c r="J126" s="749"/>
      <c r="K126" s="749"/>
      <c r="L126" s="749"/>
      <c r="M126" s="749"/>
      <c r="N126" s="749"/>
      <c r="O126" s="749"/>
      <c r="P126" s="749"/>
    </row>
    <row r="127" spans="1:17" s="156" customFormat="1" ht="27.75" customHeight="1" x14ac:dyDescent="0.25">
      <c r="A127" s="609">
        <v>7</v>
      </c>
      <c r="B127" s="697" t="str">
        <f>IF('päd.Personal - Heilpäd.FK'!B17="","",'päd.Personal - Heilpäd.FK'!B17)</f>
        <v/>
      </c>
      <c r="C127" s="744" t="str">
        <f>IF('päd.Personal - Heilpäd.FK'!B17="","",'päd.Personal - Heilpäd.FK'!$I$17)</f>
        <v/>
      </c>
      <c r="D127" s="744" t="str">
        <f>IF('päd.Personal - Heilpäd.FK'!B17="","",1)</f>
        <v/>
      </c>
      <c r="E127" s="745" t="str">
        <f>IF('päd.Personal - Heilpäd.FK'!C17="","",'päd.Personal - Heilpäd.FK'!C17)</f>
        <v/>
      </c>
      <c r="F127" s="697" t="str">
        <f>IF('päd.Personal - Heilpäd.FK'!E17="","",'päd.Personal - Heilpäd.FK'!E17)</f>
        <v/>
      </c>
      <c r="G127" s="746" t="str">
        <f>IF('päd.Personal - Heilpäd.FK'!H17="","",'päd.Personal - Heilpäd.FK'!H17)</f>
        <v/>
      </c>
      <c r="H127" s="697" t="str">
        <f>IF('päd.Personal - Heilpäd.FK'!D17="","",'päd.Personal - Heilpäd.FK'!D17)</f>
        <v/>
      </c>
      <c r="I127" s="748"/>
      <c r="J127" s="749"/>
      <c r="K127" s="749"/>
      <c r="L127" s="749"/>
      <c r="M127" s="749"/>
      <c r="N127" s="749"/>
      <c r="O127" s="749"/>
      <c r="P127" s="749"/>
    </row>
    <row r="128" spans="1:17" s="156" customFormat="1" ht="27.75" customHeight="1" x14ac:dyDescent="0.25">
      <c r="A128" s="609">
        <v>8</v>
      </c>
      <c r="B128" s="697" t="str">
        <f>IF('päd.Personal - Heilpäd.FK'!B18="","",'päd.Personal - Heilpäd.FK'!B18)</f>
        <v/>
      </c>
      <c r="C128" s="744" t="str">
        <f>IF('päd.Personal - Heilpäd.FK'!B18="","",'päd.Personal - Heilpäd.FK'!$I$18)</f>
        <v/>
      </c>
      <c r="D128" s="744" t="str">
        <f>IF('päd.Personal - Heilpäd.FK'!B18="","",1)</f>
        <v/>
      </c>
      <c r="E128" s="745" t="str">
        <f>IF('päd.Personal - Heilpäd.FK'!C18="","",'päd.Personal - Heilpäd.FK'!C18)</f>
        <v/>
      </c>
      <c r="F128" s="697" t="str">
        <f>IF('päd.Personal - Heilpäd.FK'!E18="","",'päd.Personal - Heilpäd.FK'!E18)</f>
        <v/>
      </c>
      <c r="G128" s="746" t="str">
        <f>IF('päd.Personal - Heilpäd.FK'!H18="","",'päd.Personal - Heilpäd.FK'!H18)</f>
        <v/>
      </c>
      <c r="H128" s="697" t="str">
        <f>IF('päd.Personal - Heilpäd.FK'!D18="","",'päd.Personal - Heilpäd.FK'!D18)</f>
        <v/>
      </c>
      <c r="I128" s="748"/>
      <c r="J128" s="749"/>
      <c r="K128" s="749"/>
      <c r="L128" s="749"/>
      <c r="M128" s="749"/>
      <c r="N128" s="749"/>
      <c r="O128" s="749"/>
      <c r="P128" s="749"/>
    </row>
    <row r="129" spans="1:17" s="156" customFormat="1" ht="27.75" customHeight="1" x14ac:dyDescent="0.25">
      <c r="A129" s="609">
        <v>9</v>
      </c>
      <c r="B129" s="697" t="str">
        <f>IF('päd.Personal - Heilpäd.FK'!B19="","",'päd.Personal - Heilpäd.FK'!B19)</f>
        <v/>
      </c>
      <c r="C129" s="744" t="str">
        <f>IF('päd.Personal - Heilpäd.FK'!B19="","",'päd.Personal - Heilpäd.FK'!$I$19)</f>
        <v/>
      </c>
      <c r="D129" s="744" t="str">
        <f>IF('päd.Personal - Heilpäd.FK'!B19="","",1)</f>
        <v/>
      </c>
      <c r="E129" s="745" t="str">
        <f>IF('päd.Personal - Heilpäd.FK'!C19="","",'päd.Personal - Heilpäd.FK'!C19)</f>
        <v/>
      </c>
      <c r="F129" s="697" t="str">
        <f>IF('päd.Personal - Heilpäd.FK'!E19="","",'päd.Personal - Heilpäd.FK'!E19)</f>
        <v/>
      </c>
      <c r="G129" s="746" t="str">
        <f>IF('päd.Personal - Heilpäd.FK'!H19="","",'päd.Personal - Heilpäd.FK'!H19)</f>
        <v/>
      </c>
      <c r="H129" s="697" t="str">
        <f>IF('päd.Personal - Heilpäd.FK'!D19="","",'päd.Personal - Heilpäd.FK'!D19)</f>
        <v/>
      </c>
      <c r="I129" s="748"/>
      <c r="J129" s="749"/>
      <c r="K129" s="749"/>
      <c r="L129" s="749"/>
      <c r="M129" s="749"/>
      <c r="N129" s="749"/>
      <c r="O129" s="749"/>
      <c r="P129" s="749"/>
    </row>
    <row r="130" spans="1:17" s="156" customFormat="1" ht="27.75" customHeight="1" x14ac:dyDescent="0.25">
      <c r="A130" s="609">
        <v>10</v>
      </c>
      <c r="B130" s="697" t="str">
        <f>IF('päd.Personal - Heilpäd.FK'!B20="","",'päd.Personal - Heilpäd.FK'!B20)</f>
        <v/>
      </c>
      <c r="C130" s="744" t="str">
        <f>IF('päd.Personal - Heilpäd.FK'!B20="","",'päd.Personal - Heilpäd.FK'!$I$20)</f>
        <v/>
      </c>
      <c r="D130" s="744" t="str">
        <f>IF('päd.Personal - Heilpäd.FK'!B20="","",1)</f>
        <v/>
      </c>
      <c r="E130" s="745" t="str">
        <f>IF('päd.Personal - Heilpäd.FK'!C20="","",'päd.Personal - Heilpäd.FK'!C20)</f>
        <v/>
      </c>
      <c r="F130" s="697" t="str">
        <f>IF('päd.Personal - Heilpäd.FK'!E20="","",'päd.Personal - Heilpäd.FK'!E20)</f>
        <v/>
      </c>
      <c r="G130" s="746" t="str">
        <f>IF('päd.Personal - Heilpäd.FK'!H20="","",'päd.Personal - Heilpäd.FK'!H20)</f>
        <v/>
      </c>
      <c r="H130" s="697" t="str">
        <f>IF('päd.Personal - Heilpäd.FK'!D20="","",'päd.Personal - Heilpäd.FK'!D20)</f>
        <v/>
      </c>
      <c r="I130" s="748"/>
      <c r="J130" s="749"/>
      <c r="K130" s="749"/>
      <c r="L130" s="749"/>
      <c r="M130" s="749"/>
      <c r="N130" s="749"/>
      <c r="O130" s="749"/>
      <c r="P130" s="749"/>
    </row>
    <row r="131" spans="1:17" s="156" customFormat="1" ht="27.75" customHeight="1" x14ac:dyDescent="0.25">
      <c r="A131" s="609">
        <v>11</v>
      </c>
      <c r="B131" s="697" t="str">
        <f>IF('päd.Personal - Heilpäd.FK'!B21="","",'päd.Personal - Heilpäd.FK'!B21)</f>
        <v/>
      </c>
      <c r="C131" s="744" t="str">
        <f>IF('päd.Personal - Heilpäd.FK'!B21="","",'päd.Personal - Heilpäd.FK'!$I$21)</f>
        <v/>
      </c>
      <c r="D131" s="744" t="str">
        <f>IF('päd.Personal - Heilpäd.FK'!B21="","",1)</f>
        <v/>
      </c>
      <c r="E131" s="745" t="str">
        <f>IF('päd.Personal - Heilpäd.FK'!C21="","",'päd.Personal - Heilpäd.FK'!C21)</f>
        <v/>
      </c>
      <c r="F131" s="697" t="str">
        <f>IF('päd.Personal - Heilpäd.FK'!E21="","",'päd.Personal - Heilpäd.FK'!E21)</f>
        <v/>
      </c>
      <c r="G131" s="746" t="str">
        <f>IF('päd.Personal - Heilpäd.FK'!H21="","",'päd.Personal - Heilpäd.FK'!H21)</f>
        <v/>
      </c>
      <c r="H131" s="697" t="str">
        <f>IF('päd.Personal - Heilpäd.FK'!D21="","",'päd.Personal - Heilpäd.FK'!D21)</f>
        <v/>
      </c>
      <c r="I131" s="748"/>
      <c r="J131" s="749"/>
      <c r="K131" s="749"/>
      <c r="L131" s="749"/>
      <c r="M131" s="749"/>
      <c r="N131" s="749"/>
      <c r="O131" s="749"/>
      <c r="P131" s="749"/>
    </row>
    <row r="132" spans="1:17" s="156" customFormat="1" ht="27.75" customHeight="1" x14ac:dyDescent="0.25">
      <c r="A132" s="609">
        <v>12</v>
      </c>
      <c r="B132" s="697" t="str">
        <f>IF('päd.Personal - Heilpäd.FK'!B22="","",'päd.Personal - Heilpäd.FK'!B22)</f>
        <v/>
      </c>
      <c r="C132" s="744" t="str">
        <f>IF('päd.Personal - Heilpäd.FK'!B22="","",'päd.Personal - Heilpäd.FK'!$I$22)</f>
        <v/>
      </c>
      <c r="D132" s="744" t="str">
        <f>IF('päd.Personal - Heilpäd.FK'!B22="","",1)</f>
        <v/>
      </c>
      <c r="E132" s="745" t="str">
        <f>IF('päd.Personal - Heilpäd.FK'!C22="","",'päd.Personal - Heilpäd.FK'!C22)</f>
        <v/>
      </c>
      <c r="F132" s="697" t="str">
        <f>IF('päd.Personal - Heilpäd.FK'!E22="","",'päd.Personal - Heilpäd.FK'!E22)</f>
        <v/>
      </c>
      <c r="G132" s="746" t="str">
        <f>IF('päd.Personal - Heilpäd.FK'!H22="","",'päd.Personal - Heilpäd.FK'!H22)</f>
        <v/>
      </c>
      <c r="H132" s="697" t="str">
        <f>IF('päd.Personal - Heilpäd.FK'!D22="","",'päd.Personal - Heilpäd.FK'!D22)</f>
        <v/>
      </c>
      <c r="I132" s="748"/>
      <c r="J132" s="749"/>
      <c r="K132" s="749"/>
      <c r="L132" s="749"/>
      <c r="M132" s="749"/>
      <c r="N132" s="749"/>
      <c r="O132" s="749"/>
      <c r="P132" s="749"/>
    </row>
    <row r="133" spans="1:17" s="156" customFormat="1" ht="27.75" customHeight="1" x14ac:dyDescent="0.25">
      <c r="A133" s="609">
        <v>13</v>
      </c>
      <c r="B133" s="697" t="str">
        <f>IF('päd.Personal - Heilpäd.FK'!B23="","",'päd.Personal - Heilpäd.FK'!B23)</f>
        <v/>
      </c>
      <c r="C133" s="744" t="str">
        <f>IF('päd.Personal - Heilpäd.FK'!B23="","",'päd.Personal - Heilpäd.FK'!$I$23)</f>
        <v/>
      </c>
      <c r="D133" s="744" t="str">
        <f>IF('päd.Personal - Heilpäd.FK'!B23="","",1)</f>
        <v/>
      </c>
      <c r="E133" s="745" t="str">
        <f>IF('päd.Personal - Heilpäd.FK'!C23="","",'päd.Personal - Heilpäd.FK'!C23)</f>
        <v/>
      </c>
      <c r="F133" s="697" t="str">
        <f>IF('päd.Personal - Heilpäd.FK'!E23="","",'päd.Personal - Heilpäd.FK'!E23)</f>
        <v/>
      </c>
      <c r="G133" s="746" t="str">
        <f>IF('päd.Personal - Heilpäd.FK'!H23="","",'päd.Personal - Heilpäd.FK'!H23)</f>
        <v/>
      </c>
      <c r="H133" s="697" t="str">
        <f>IF('päd.Personal - Heilpäd.FK'!D23="","",'päd.Personal - Heilpäd.FK'!D23)</f>
        <v/>
      </c>
      <c r="I133" s="748"/>
      <c r="J133" s="749"/>
      <c r="K133" s="749"/>
      <c r="L133" s="749"/>
      <c r="M133" s="749"/>
      <c r="N133" s="749"/>
      <c r="O133" s="749"/>
      <c r="P133" s="749"/>
    </row>
    <row r="134" spans="1:17" s="156" customFormat="1" ht="27.75" customHeight="1" x14ac:dyDescent="0.25">
      <c r="A134" s="609">
        <v>14</v>
      </c>
      <c r="B134" s="697" t="str">
        <f>IF('päd.Personal - Heilpäd.FK'!B24="","",'päd.Personal - Heilpäd.FK'!B24)</f>
        <v/>
      </c>
      <c r="C134" s="744" t="str">
        <f>IF('päd.Personal - Heilpäd.FK'!B24="","",'päd.Personal - Heilpäd.FK'!$I$24)</f>
        <v/>
      </c>
      <c r="D134" s="744" t="str">
        <f>IF('päd.Personal - Heilpäd.FK'!B24="","",1)</f>
        <v/>
      </c>
      <c r="E134" s="745" t="str">
        <f>IF('päd.Personal - Heilpäd.FK'!C24="","",'päd.Personal - Heilpäd.FK'!C24)</f>
        <v/>
      </c>
      <c r="F134" s="697" t="str">
        <f>IF('päd.Personal - Heilpäd.FK'!E24="","",'päd.Personal - Heilpäd.FK'!E24)</f>
        <v/>
      </c>
      <c r="G134" s="746" t="str">
        <f>IF('päd.Personal - Heilpäd.FK'!H24="","",'päd.Personal - Heilpäd.FK'!H24)</f>
        <v/>
      </c>
      <c r="H134" s="697" t="str">
        <f>IF('päd.Personal - Heilpäd.FK'!D24="","",'päd.Personal - Heilpäd.FK'!D24)</f>
        <v/>
      </c>
      <c r="I134" s="748"/>
      <c r="J134" s="749"/>
      <c r="K134" s="749"/>
      <c r="L134" s="749"/>
      <c r="M134" s="749"/>
      <c r="N134" s="749"/>
      <c r="O134" s="749"/>
      <c r="P134" s="749"/>
    </row>
    <row r="135" spans="1:17" s="156" customFormat="1" ht="27.75" customHeight="1" x14ac:dyDescent="0.25">
      <c r="A135" s="609">
        <v>15</v>
      </c>
      <c r="B135" s="697" t="str">
        <f>IF('päd.Personal - Heilpäd.FK'!B25="","",'päd.Personal - Heilpäd.FK'!B25)</f>
        <v/>
      </c>
      <c r="C135" s="744" t="str">
        <f>IF('päd.Personal - Heilpäd.FK'!B25="","",'päd.Personal - Heilpäd.FK'!$I$25)</f>
        <v/>
      </c>
      <c r="D135" s="744" t="str">
        <f>IF('päd.Personal - Heilpäd.FK'!B25="","",1)</f>
        <v/>
      </c>
      <c r="E135" s="745" t="str">
        <f>IF('päd.Personal - Heilpäd.FK'!C25="","",'päd.Personal - Heilpäd.FK'!C25)</f>
        <v/>
      </c>
      <c r="F135" s="697" t="str">
        <f>IF('päd.Personal - Heilpäd.FK'!E25="","",'päd.Personal - Heilpäd.FK'!E25)</f>
        <v/>
      </c>
      <c r="G135" s="746" t="str">
        <f>IF('päd.Personal - Heilpäd.FK'!H25="","",'päd.Personal - Heilpäd.FK'!H25)</f>
        <v/>
      </c>
      <c r="H135" s="697" t="str">
        <f>IF('päd.Personal - Heilpäd.FK'!D25="","",'päd.Personal - Heilpäd.FK'!D25)</f>
        <v/>
      </c>
      <c r="I135" s="748"/>
      <c r="J135" s="749"/>
      <c r="K135" s="749"/>
      <c r="L135" s="749"/>
      <c r="M135" s="749"/>
      <c r="N135" s="749"/>
      <c r="O135" s="749"/>
      <c r="P135" s="749"/>
    </row>
    <row r="136" spans="1:17" s="156" customFormat="1" ht="27.75" customHeight="1" x14ac:dyDescent="0.25">
      <c r="A136" s="750"/>
      <c r="B136" s="703" t="s">
        <v>695</v>
      </c>
      <c r="C136" s="704">
        <f>SUM(C121:C135)</f>
        <v>0</v>
      </c>
      <c r="D136" s="705"/>
      <c r="E136" s="706">
        <f>IF(SUM(D121:D135)=0,0,SUM(D121:D135))</f>
        <v>0</v>
      </c>
      <c r="F136" s="703" t="s">
        <v>696</v>
      </c>
      <c r="G136" s="707">
        <f>SUM(G121:G135)</f>
        <v>0</v>
      </c>
      <c r="J136" s="665"/>
      <c r="K136" s="665"/>
      <c r="L136" s="665"/>
      <c r="M136" s="665"/>
      <c r="N136" s="665"/>
      <c r="O136" s="665"/>
      <c r="P136" s="665"/>
    </row>
    <row r="137" spans="1:17" ht="27.75" customHeight="1" x14ac:dyDescent="0.2">
      <c r="F137" s="709" t="s">
        <v>345</v>
      </c>
      <c r="G137" s="711">
        <f>IF(Grundlagen!$C$14="",0,G136/Grundlagen!$C$14)</f>
        <v>0</v>
      </c>
      <c r="K137" s="579"/>
      <c r="L137" s="579"/>
      <c r="M137" s="579"/>
    </row>
    <row r="138" spans="1:17" x14ac:dyDescent="0.2">
      <c r="F138" s="581"/>
      <c r="G138" s="578"/>
      <c r="K138" s="579"/>
      <c r="L138" s="579"/>
      <c r="M138" s="579"/>
    </row>
    <row r="139" spans="1:17" x14ac:dyDescent="0.2">
      <c r="A139" s="763" t="s">
        <v>717</v>
      </c>
      <c r="K139" s="579"/>
      <c r="L139" s="579"/>
      <c r="M139" s="579"/>
    </row>
    <row r="140" spans="1:17" s="156" customFormat="1" ht="27.75" customHeight="1" x14ac:dyDescent="0.25">
      <c r="A140" s="609">
        <v>1</v>
      </c>
      <c r="B140" s="697" t="str">
        <f>IF('päd.Personal - sonst.geringfüg.'!$D$7="","",'päd.Personal - sonst.geringfüg.'!$D$7)</f>
        <v/>
      </c>
      <c r="C140" s="698"/>
      <c r="D140" s="698" t="str">
        <f>IF('päd.Personal - sonst.geringfüg.'!$D$7="","",1)</f>
        <v/>
      </c>
      <c r="E140" s="700" t="str">
        <f>IF('päd.Personal - sonst.geringfüg.'!$D$11="","",'päd.Personal - sonst.geringfüg.'!$D$11)</f>
        <v/>
      </c>
      <c r="F140" s="697" t="str">
        <f>IF('päd.Personal - sonst.geringfüg.'!$D$9="","",'päd.Personal - sonst.geringfüg.'!$D$9)</f>
        <v/>
      </c>
      <c r="G140" s="701" t="str">
        <f>IF('päd.Personal - sonst.geringfüg.'!$L$12="","",'päd.Personal - sonst.geringfüg.'!$L$12)</f>
        <v/>
      </c>
      <c r="H140" s="697" t="str">
        <f>IF('päd.Personal - sonst.geringfüg.'!$D$8="","",'päd.Personal - sonst.geringfüg.'!$D$8)</f>
        <v/>
      </c>
      <c r="I140" s="764"/>
      <c r="J140" s="615">
        <f>'päd.Personal - sonst.geringfüg.'!G$38+'päd.Personal - sonst.geringfüg.'!$N$38</f>
        <v>0</v>
      </c>
      <c r="K140" s="615">
        <f>'päd.Personal - sonst.geringfüg.'!H$38</f>
        <v>0</v>
      </c>
      <c r="L140" s="615">
        <f>'päd.Personal - sonst.geringfüg.'!O$38</f>
        <v>0</v>
      </c>
      <c r="M140" s="615">
        <f>'päd.Personal - sonst.geringfüg.'!P$40</f>
        <v>0</v>
      </c>
      <c r="N140" s="615">
        <f>'päd.Personal - sonst.geringfüg.'!P$41</f>
        <v>0</v>
      </c>
      <c r="O140" s="615">
        <f>'päd.Personal - sonst.geringfüg.'!P$42</f>
        <v>0</v>
      </c>
      <c r="P140" s="616">
        <f>'päd.Personal - sonst.geringfüg.'!P$43</f>
        <v>0</v>
      </c>
      <c r="Q140" s="617">
        <f>SUM(J140:P140)</f>
        <v>0</v>
      </c>
    </row>
    <row r="141" spans="1:17" s="156" customFormat="1" ht="27.75" customHeight="1" x14ac:dyDescent="0.25">
      <c r="A141" s="609">
        <v>2</v>
      </c>
      <c r="B141" s="697" t="str">
        <f>IF('päd.Personal - sonst.geringfüg.'!$D$51="","",'päd.Personal - sonst.geringfüg.'!$D$51)</f>
        <v/>
      </c>
      <c r="C141" s="698"/>
      <c r="D141" s="698" t="str">
        <f>IF('päd.Personal - sonst.geringfüg.'!$D$51="","",1)</f>
        <v/>
      </c>
      <c r="E141" s="700" t="str">
        <f>IF('päd.Personal - sonst.geringfüg.'!$D$55="","",'päd.Personal - sonst.geringfüg.'!$D$55)</f>
        <v/>
      </c>
      <c r="F141" s="697" t="str">
        <f>IF('päd.Personal - sonst.geringfüg.'!$D$53="","",'päd.Personal - sonst.geringfüg.'!$D$53)</f>
        <v/>
      </c>
      <c r="G141" s="701" t="str">
        <f>IF('päd.Personal - sonst.geringfüg.'!$L$56="","",'päd.Personal - sonst.geringfüg.'!$L$56)</f>
        <v/>
      </c>
      <c r="H141" s="697" t="str">
        <f>IF('päd.Personal - sonst.geringfüg.'!$D$52="","",'päd.Personal - sonst.geringfüg.'!$D$52)</f>
        <v/>
      </c>
      <c r="I141" s="764"/>
      <c r="J141" s="615">
        <f>'päd.Personal - sonst.geringfüg.'!G$82+'päd.Personal - sonst.geringfüg.'!$N$82</f>
        <v>0</v>
      </c>
      <c r="K141" s="615">
        <f>'päd.Personal - sonst.geringfüg.'!H$82</f>
        <v>0</v>
      </c>
      <c r="L141" s="615">
        <f>'päd.Personal - sonst.geringfüg.'!O$82</f>
        <v>0</v>
      </c>
      <c r="M141" s="615">
        <f>'päd.Personal - sonst.geringfüg.'!P$84</f>
        <v>0</v>
      </c>
      <c r="N141" s="615">
        <f>'päd.Personal - sonst.geringfüg.'!P$85</f>
        <v>0</v>
      </c>
      <c r="O141" s="615">
        <f>'päd.Personal - sonst.geringfüg.'!P$86</f>
        <v>0</v>
      </c>
      <c r="P141" s="616">
        <f>'päd.Personal - sonst.geringfüg.'!P$87</f>
        <v>0</v>
      </c>
      <c r="Q141" s="617">
        <f t="shared" ref="Q141:Q142" si="14">SUM(J141:P141)</f>
        <v>0</v>
      </c>
    </row>
    <row r="142" spans="1:17" s="156" customFormat="1" ht="27.75" customHeight="1" x14ac:dyDescent="0.25">
      <c r="A142" s="609">
        <v>3</v>
      </c>
      <c r="B142" s="697" t="str">
        <f>IF('päd.Personal - sonst.geringfüg.'!$D$95="","",'päd.Personal - sonst.geringfüg.'!$D$95)</f>
        <v/>
      </c>
      <c r="C142" s="698"/>
      <c r="D142" s="698" t="str">
        <f>IF('päd.Personal - sonst.geringfüg.'!$D$95="","",1)</f>
        <v/>
      </c>
      <c r="E142" s="700" t="str">
        <f>IF('päd.Personal - sonst.geringfüg.'!$D$99="","",'päd.Personal - sonst.geringfüg.'!$D$99)</f>
        <v/>
      </c>
      <c r="F142" s="697" t="str">
        <f>IF('päd.Personal - sonst.geringfüg.'!$D$97="","",'päd.Personal - sonst.geringfüg.'!$D$97)</f>
        <v/>
      </c>
      <c r="G142" s="701" t="str">
        <f>IF('päd.Personal - sonst.geringfüg.'!$L$100="","",'päd.Personal - sonst.geringfüg.'!$L$100)</f>
        <v/>
      </c>
      <c r="H142" s="697" t="str">
        <f>IF('päd.Personal - sonst.geringfüg.'!$D$96="","",'päd.Personal - sonst.geringfüg.'!$D$96)</f>
        <v/>
      </c>
      <c r="I142" s="764"/>
      <c r="J142" s="615">
        <f>'päd.Personal - sonst.geringfüg.'!G$126+'päd.Personal - sonst.geringfüg.'!$N$126</f>
        <v>0</v>
      </c>
      <c r="K142" s="615">
        <f>'päd.Personal - sonst.geringfüg.'!H$126</f>
        <v>0</v>
      </c>
      <c r="L142" s="615">
        <f>'päd.Personal - sonst.geringfüg.'!O$126</f>
        <v>0</v>
      </c>
      <c r="M142" s="615">
        <f>'päd.Personal - sonst.geringfüg.'!P$128</f>
        <v>0</v>
      </c>
      <c r="N142" s="615">
        <f>'päd.Personal - sonst.geringfüg.'!P$129</f>
        <v>0</v>
      </c>
      <c r="O142" s="615">
        <f>'päd.Personal - sonst.geringfüg.'!P$130</f>
        <v>0</v>
      </c>
      <c r="P142" s="616">
        <f>'päd.Personal - sonst.geringfüg.'!P$131</f>
        <v>0</v>
      </c>
      <c r="Q142" s="617">
        <f t="shared" si="14"/>
        <v>0</v>
      </c>
    </row>
    <row r="143" spans="1:17" s="156" customFormat="1" ht="27.75" customHeight="1" x14ac:dyDescent="0.25">
      <c r="A143" s="750"/>
      <c r="B143" s="703" t="s">
        <v>695</v>
      </c>
      <c r="C143" s="705"/>
      <c r="D143" s="705"/>
      <c r="E143" s="706">
        <f>IF(SUM(D140:D142)=0,0,SUM(D140:D142))</f>
        <v>0</v>
      </c>
      <c r="F143" s="703" t="s">
        <v>696</v>
      </c>
      <c r="G143" s="707">
        <f>SUM(G140:G142)</f>
        <v>0</v>
      </c>
      <c r="H143" s="718"/>
      <c r="I143" s="714"/>
      <c r="J143" s="643">
        <f>SUM(J140:J142)</f>
        <v>0</v>
      </c>
      <c r="K143" s="643">
        <f t="shared" ref="K143:P143" si="15">SUM(K140:K142)</f>
        <v>0</v>
      </c>
      <c r="L143" s="643">
        <f t="shared" si="15"/>
        <v>0</v>
      </c>
      <c r="M143" s="643">
        <f t="shared" si="15"/>
        <v>0</v>
      </c>
      <c r="N143" s="643">
        <f t="shared" si="15"/>
        <v>0</v>
      </c>
      <c r="O143" s="643">
        <f t="shared" si="15"/>
        <v>0</v>
      </c>
      <c r="P143" s="644">
        <f t="shared" si="15"/>
        <v>0</v>
      </c>
      <c r="Q143" s="645">
        <f>SUM(Q140:Q142)</f>
        <v>0</v>
      </c>
    </row>
    <row r="144" spans="1:17" ht="27.75" customHeight="1" x14ac:dyDescent="0.2">
      <c r="F144" s="709" t="s">
        <v>345</v>
      </c>
      <c r="G144" s="711">
        <f>IF(Grundlagen!$C$14="",0,G143/Grundlagen!$C$14)</f>
        <v>0</v>
      </c>
      <c r="K144" s="579"/>
      <c r="L144" s="579"/>
      <c r="M144" s="579"/>
    </row>
    <row r="145" spans="1:17" ht="12.75" customHeight="1" x14ac:dyDescent="0.2">
      <c r="F145" s="709"/>
      <c r="G145" s="711"/>
      <c r="K145" s="579"/>
      <c r="L145" s="579"/>
      <c r="M145" s="579"/>
    </row>
    <row r="146" spans="1:17" x14ac:dyDescent="0.2">
      <c r="A146" s="763" t="s">
        <v>718</v>
      </c>
      <c r="K146" s="579"/>
      <c r="L146" s="579"/>
      <c r="M146" s="579"/>
    </row>
    <row r="147" spans="1:17" s="156" customFormat="1" ht="27.75" customHeight="1" x14ac:dyDescent="0.25">
      <c r="A147" s="609">
        <v>1</v>
      </c>
      <c r="B147" s="697" t="str">
        <f>IF('päd.Personal - § 23'!$D$7="","",'päd.Personal - § 23'!$D$7)</f>
        <v/>
      </c>
      <c r="C147" s="698" t="str">
        <f>IF('päd.Personal - § 23'!$D$7="","",'päd.Personal - § 23'!$L$11)</f>
        <v/>
      </c>
      <c r="D147" s="698" t="str">
        <f>IF('päd.Personal - § 23'!$D$7="","",1)</f>
        <v/>
      </c>
      <c r="E147" s="700" t="str">
        <f>IF('päd.Personal - § 23'!$D$11="","",'päd.Personal - § 23'!$D$11)</f>
        <v/>
      </c>
      <c r="F147" s="697" t="str">
        <f>IF('päd.Personal - § 23'!$D$9="","",'päd.Personal - § 23'!$D$9)</f>
        <v/>
      </c>
      <c r="G147" s="701" t="str">
        <f>IF('päd.Personal - § 23'!$L$12="","",'päd.Personal - § 23'!$L$12)</f>
        <v/>
      </c>
      <c r="H147" s="697" t="str">
        <f>IF('päd.Personal - § 23'!$D$8="","",'päd.Personal - § 23'!$D$8)</f>
        <v/>
      </c>
      <c r="I147" s="717" t="str">
        <f>IF('päd.Personal - § 23'!$L$6="","",'päd.Personal - § 23'!$L$6)</f>
        <v/>
      </c>
      <c r="J147" s="615">
        <f>'päd.Personal - § 23'!$G$38</f>
        <v>0</v>
      </c>
      <c r="K147" s="615">
        <f>'päd.Personal - § 23'!$H$38</f>
        <v>0</v>
      </c>
      <c r="L147" s="615">
        <f>'päd.Personal - § 23'!$O$38</f>
        <v>0</v>
      </c>
      <c r="M147" s="615">
        <f>'päd.Personal - § 23'!$P$40</f>
        <v>0</v>
      </c>
      <c r="N147" s="615">
        <f>'päd.Personal - § 23'!$P$41</f>
        <v>0</v>
      </c>
      <c r="O147" s="615">
        <f>'päd.Personal - § 23'!$P$42</f>
        <v>0</v>
      </c>
      <c r="P147" s="616">
        <f>'päd.Personal - § 23'!$P$43</f>
        <v>0</v>
      </c>
      <c r="Q147" s="617">
        <f>SUM(J147:P147)</f>
        <v>0</v>
      </c>
    </row>
    <row r="148" spans="1:17" s="156" customFormat="1" ht="27.75" customHeight="1" x14ac:dyDescent="0.25">
      <c r="A148" s="609">
        <v>2</v>
      </c>
      <c r="B148" s="697" t="str">
        <f>IF('päd.Personal - § 23'!$D$51="","",'päd.Personal - § 23'!$D$51)</f>
        <v/>
      </c>
      <c r="C148" s="698" t="str">
        <f>IF('päd.Personal - § 23'!$D$51="","",'päd.Personal - § 23'!$L$55)</f>
        <v/>
      </c>
      <c r="D148" s="698" t="str">
        <f>IF('päd.Personal - § 23'!$D$51="","",1)</f>
        <v/>
      </c>
      <c r="E148" s="700" t="str">
        <f>IF('päd.Personal - § 23'!$D$55="","",'päd.Personal - § 23'!$D$55)</f>
        <v/>
      </c>
      <c r="F148" s="697" t="str">
        <f>IF('päd.Personal - § 23'!$D$53="","",'päd.Personal - § 23'!$D$53)</f>
        <v/>
      </c>
      <c r="G148" s="701" t="str">
        <f>IF('päd.Personal - § 23'!$L$56="","",'päd.Personal - § 23'!$L$56)</f>
        <v/>
      </c>
      <c r="H148" s="697" t="str">
        <f>IF('päd.Personal - § 23'!$D$52="","",'päd.Personal - § 23'!$D$52)</f>
        <v/>
      </c>
      <c r="I148" s="717" t="str">
        <f>IF('päd.Personal - § 23'!$L$50="","",'päd.Personal - § 23'!$L$50)</f>
        <v/>
      </c>
      <c r="J148" s="615">
        <f>'päd.Personal - § 23'!$G$82</f>
        <v>0</v>
      </c>
      <c r="K148" s="615">
        <f>'päd.Personal - § 23'!$H$82</f>
        <v>0</v>
      </c>
      <c r="L148" s="615">
        <f>'päd.Personal - § 23'!$O$82</f>
        <v>0</v>
      </c>
      <c r="M148" s="615">
        <f>'päd.Personal - § 23'!$P$84</f>
        <v>0</v>
      </c>
      <c r="N148" s="615">
        <f>'päd.Personal - § 23'!$P$85</f>
        <v>0</v>
      </c>
      <c r="O148" s="615">
        <f>'päd.Personal - § 23'!$P$86</f>
        <v>0</v>
      </c>
      <c r="P148" s="616">
        <f>'päd.Personal - § 23'!$P$87</f>
        <v>0</v>
      </c>
      <c r="Q148" s="617">
        <f t="shared" ref="Q148:Q149" si="16">SUM(J148:P148)</f>
        <v>0</v>
      </c>
    </row>
    <row r="149" spans="1:17" s="156" customFormat="1" ht="27.75" customHeight="1" x14ac:dyDescent="0.25">
      <c r="A149" s="609">
        <v>3</v>
      </c>
      <c r="B149" s="697" t="str">
        <f>IF('päd.Personal - § 23'!$D$95="","",'päd.Personal - § 23'!$D$95)</f>
        <v/>
      </c>
      <c r="C149" s="698" t="str">
        <f>IF('päd.Personal - § 23'!$D$95="","",'päd.Personal - § 23'!$L$99)</f>
        <v/>
      </c>
      <c r="D149" s="698" t="str">
        <f>IF('päd.Personal - § 23'!$D$95="","",1)</f>
        <v/>
      </c>
      <c r="E149" s="700" t="str">
        <f>IF('päd.Personal - § 23'!$D$99="","",'päd.Personal - § 23'!$D$99)</f>
        <v/>
      </c>
      <c r="F149" s="697" t="str">
        <f>IF('päd.Personal - § 23'!$D$97="","",'päd.Personal - § 23'!$D$97)</f>
        <v/>
      </c>
      <c r="G149" s="701" t="str">
        <f>IF('päd.Personal - § 23'!$L$100="","",'päd.Personal - § 23'!$L$100)</f>
        <v/>
      </c>
      <c r="H149" s="697" t="str">
        <f>IF('päd.Personal - § 23'!$D$96="","",'päd.Personal - § 23'!$D$96)</f>
        <v/>
      </c>
      <c r="I149" s="717" t="str">
        <f>IF('päd.Personal - § 23'!$L$94="","",'päd.Personal - § 23'!$L$94)</f>
        <v/>
      </c>
      <c r="J149" s="615">
        <f>'päd.Personal - § 23'!$G$126</f>
        <v>0</v>
      </c>
      <c r="K149" s="615">
        <f>'päd.Personal - § 23'!$H$126</f>
        <v>0</v>
      </c>
      <c r="L149" s="615">
        <f>'päd.Personal - § 23'!$O$126</f>
        <v>0</v>
      </c>
      <c r="M149" s="615">
        <f>'päd.Personal - § 23'!$P$128</f>
        <v>0</v>
      </c>
      <c r="N149" s="615">
        <f>'päd.Personal - § 23'!$P$129</f>
        <v>0</v>
      </c>
      <c r="O149" s="615">
        <f>'päd.Personal - § 23'!$P$130</f>
        <v>0</v>
      </c>
      <c r="P149" s="616">
        <f>'päd.Personal - § 23'!$P$131</f>
        <v>0</v>
      </c>
      <c r="Q149" s="617">
        <f t="shared" si="16"/>
        <v>0</v>
      </c>
    </row>
    <row r="150" spans="1:17" s="156" customFormat="1" ht="27.75" customHeight="1" x14ac:dyDescent="0.25">
      <c r="A150" s="750"/>
      <c r="B150" s="703" t="s">
        <v>695</v>
      </c>
      <c r="C150" s="704">
        <f>SUM(C147:C149)</f>
        <v>0</v>
      </c>
      <c r="D150" s="705"/>
      <c r="E150" s="706">
        <f>IF(SUM(D147:D149)=0,0,SUM(D147:D149))</f>
        <v>0</v>
      </c>
      <c r="F150" s="703" t="s">
        <v>696</v>
      </c>
      <c r="G150" s="707">
        <f>SUM(G147:G149)</f>
        <v>0</v>
      </c>
      <c r="H150" s="718"/>
      <c r="I150" s="714"/>
      <c r="J150" s="643">
        <f>SUM(J147:J149)</f>
        <v>0</v>
      </c>
      <c r="K150" s="643">
        <f t="shared" ref="K150:P150" si="17">SUM(K147:K149)</f>
        <v>0</v>
      </c>
      <c r="L150" s="643">
        <f t="shared" si="17"/>
        <v>0</v>
      </c>
      <c r="M150" s="643">
        <f t="shared" si="17"/>
        <v>0</v>
      </c>
      <c r="N150" s="643">
        <f t="shared" si="17"/>
        <v>0</v>
      </c>
      <c r="O150" s="643">
        <f t="shared" si="17"/>
        <v>0</v>
      </c>
      <c r="P150" s="644">
        <f t="shared" si="17"/>
        <v>0</v>
      </c>
      <c r="Q150" s="645">
        <f>SUM(Q147:Q149)</f>
        <v>0</v>
      </c>
    </row>
    <row r="151" spans="1:17" ht="27.75" customHeight="1" x14ac:dyDescent="0.2">
      <c r="F151" s="709" t="s">
        <v>345</v>
      </c>
      <c r="G151" s="711">
        <f>IF(Grundlagen!$C$14="",0,G150/Grundlagen!$C$14)</f>
        <v>0</v>
      </c>
    </row>
  </sheetData>
  <sheetProtection algorithmName="SHA-512" hashValue="e54oruFrq8ea95p4fyPoTmjrMl3YdObP8issck4aJ2jhwAoP2I/HyZY4JVJqyBwKYZn7Nv5kqXHd58G888xCZg==" saltValue="oOevwc9CiqcA8CuFF51/1Q==" spinCount="100000" sheet="1" objects="1" scenarios="1"/>
  <mergeCells count="40">
    <mergeCell ref="A1:B1"/>
    <mergeCell ref="E1:F1"/>
    <mergeCell ref="A2:B2"/>
    <mergeCell ref="E2:J2"/>
    <mergeCell ref="A3:B3"/>
    <mergeCell ref="E3:J3"/>
    <mergeCell ref="A4:B4"/>
    <mergeCell ref="E4:J4"/>
    <mergeCell ref="A8:A12"/>
    <mergeCell ref="B8:B10"/>
    <mergeCell ref="E8:E12"/>
    <mergeCell ref="F8:F12"/>
    <mergeCell ref="G8:G10"/>
    <mergeCell ref="H8:H12"/>
    <mergeCell ref="I8:I12"/>
    <mergeCell ref="J8:Q8"/>
    <mergeCell ref="O71:O72"/>
    <mergeCell ref="P9:P12"/>
    <mergeCell ref="Q9:Q12"/>
    <mergeCell ref="B11:B12"/>
    <mergeCell ref="G11:G12"/>
    <mergeCell ref="J19:L19"/>
    <mergeCell ref="M19:N19"/>
    <mergeCell ref="J9:J12"/>
    <mergeCell ref="K9:K12"/>
    <mergeCell ref="L9:L12"/>
    <mergeCell ref="M9:M12"/>
    <mergeCell ref="N9:N12"/>
    <mergeCell ref="O9:O12"/>
    <mergeCell ref="J58:L58"/>
    <mergeCell ref="M58:N58"/>
    <mergeCell ref="J70:L70"/>
    <mergeCell ref="J118:L118"/>
    <mergeCell ref="M118:N118"/>
    <mergeCell ref="M70:N70"/>
    <mergeCell ref="L71:L72"/>
    <mergeCell ref="J105:J106"/>
    <mergeCell ref="K105:K106"/>
    <mergeCell ref="J111:L111"/>
    <mergeCell ref="M111:N111"/>
  </mergeCells>
  <printOptions horizontalCentered="1"/>
  <pageMargins left="0" right="0.27559055118110237" top="0.98425196850393704" bottom="0.98425196850393704" header="0.19685039370078741" footer="0.19685039370078741"/>
  <pageSetup paperSize="9" scale="75" fitToHeight="9" orientation="landscape" r:id="rId1"/>
  <headerFooter>
    <oddHeader xml:space="preserve">&amp;L&amp;"Arial,Fett"&amp;22Salzlandkreis&amp;11
&amp;12Der Landrat&amp;C&amp;"Arial,Fett"
Personalbogen - pädagogisches Personal&amp;R&amp;G
</oddHeader>
    <oddFooter>&amp;L&amp;"Arial,Standard"&amp;8&amp;ULegende:&amp;U
SV = Sozialversicherung
BAV = Betriebliche Altersvorsorge
BG = Berufsgenossenschaft / UK = Unfallkasse
AN = Arbeitnehmer
VzÄ = Vollzeitäquivalenz&amp;C&amp;"Arial,Standard"&amp;8Ausfertigung vom &amp;D &amp;T&amp;R&amp;"Arial,Standard"&amp;8&amp;P von &amp;N</oddFooter>
  </headerFooter>
  <rowBreaks count="5" manualBreakCount="5">
    <brk id="71" max="16383" man="1"/>
    <brk id="86" max="16383" man="1"/>
    <brk id="104" max="16383" man="1"/>
    <brk id="119" max="16383" man="1"/>
    <brk id="138"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82"/>
  <sheetViews>
    <sheetView showGridLines="0" view="pageLayout" zoomScale="90" zoomScaleNormal="90" zoomScalePageLayoutView="90" workbookViewId="0">
      <selection activeCell="D1" sqref="D1:E1"/>
    </sheetView>
  </sheetViews>
  <sheetFormatPr baseColWidth="10" defaultColWidth="0.140625" defaultRowHeight="12.75" x14ac:dyDescent="0.2"/>
  <cols>
    <col min="1" max="1" width="4.28515625" style="685" customWidth="1"/>
    <col min="2" max="2" width="10.5703125" style="577" customWidth="1"/>
    <col min="3" max="3" width="4.7109375" style="686" hidden="1" customWidth="1"/>
    <col min="4" max="4" width="8.42578125" style="578" bestFit="1" customWidth="1"/>
    <col min="5" max="5" width="17.42578125" style="577" customWidth="1"/>
    <col min="6" max="6" width="10.28515625" style="576" customWidth="1"/>
    <col min="7" max="7" width="26.140625" style="577" customWidth="1"/>
    <col min="8" max="8" width="8.7109375" style="578" bestFit="1" customWidth="1"/>
    <col min="9" max="9" width="13.42578125" style="579" customWidth="1"/>
    <col min="10" max="10" width="12.5703125" style="579" customWidth="1"/>
    <col min="11" max="11" width="10.85546875" style="579" customWidth="1"/>
    <col min="12" max="12" width="10.42578125" style="579" customWidth="1"/>
    <col min="13" max="13" width="11.28515625" style="579" customWidth="1"/>
    <col min="14" max="14" width="11.7109375" style="579" customWidth="1"/>
    <col min="15" max="15" width="14.28515625" style="579" customWidth="1"/>
    <col min="16" max="16" width="12.85546875" style="580" customWidth="1"/>
    <col min="17" max="17" width="2.5703125" style="581" customWidth="1"/>
    <col min="18" max="21" width="0.140625" style="581"/>
    <col min="22" max="22" width="0.140625" style="581" customWidth="1"/>
    <col min="23" max="48" width="0.140625" style="581"/>
    <col min="49" max="49" width="3.7109375" style="581" customWidth="1"/>
    <col min="50" max="16384" width="0.140625" style="581"/>
  </cols>
  <sheetData>
    <row r="1" spans="1:16" ht="15" x14ac:dyDescent="0.25">
      <c r="A1" s="951" t="s">
        <v>674</v>
      </c>
      <c r="B1" s="952"/>
      <c r="C1" s="575"/>
      <c r="D1" s="962">
        <f>IF(Grundlagen!$C$4="","",Grundlagen!$C$4)</f>
        <v>2022</v>
      </c>
      <c r="E1" s="962"/>
    </row>
    <row r="2" spans="1:16" ht="13.5" customHeight="1" x14ac:dyDescent="0.25">
      <c r="A2" s="951" t="s">
        <v>18</v>
      </c>
      <c r="B2" s="952"/>
      <c r="C2" s="575"/>
      <c r="D2" s="953" t="str">
        <f>IF(Grundlagen!$C$6="","",Grundlagen!$C$6)</f>
        <v/>
      </c>
      <c r="E2" s="968"/>
      <c r="F2" s="968"/>
      <c r="G2" s="969"/>
      <c r="H2" s="969"/>
      <c r="I2" s="969"/>
      <c r="N2" s="582"/>
    </row>
    <row r="3" spans="1:16" ht="15" customHeight="1" x14ac:dyDescent="0.25">
      <c r="A3" s="951" t="s">
        <v>17</v>
      </c>
      <c r="B3" s="952"/>
      <c r="C3" s="575"/>
      <c r="D3" s="953" t="str">
        <f>IF(Grundlagen!$C$9="","",Grundlagen!$C$9)</f>
        <v/>
      </c>
      <c r="E3" s="968"/>
      <c r="F3" s="968"/>
      <c r="G3" s="969"/>
      <c r="H3" s="969"/>
      <c r="I3" s="969"/>
      <c r="N3" s="581"/>
    </row>
    <row r="4" spans="1:16" ht="15" customHeight="1" x14ac:dyDescent="0.25">
      <c r="A4" s="951" t="s">
        <v>16</v>
      </c>
      <c r="B4" s="952"/>
      <c r="C4" s="575"/>
      <c r="D4" s="953" t="str">
        <f>IF(Grundlagen!$C$13="","",Grundlagen!$C$13)</f>
        <v/>
      </c>
      <c r="E4" s="968"/>
      <c r="F4" s="968"/>
      <c r="G4" s="969"/>
      <c r="H4" s="969"/>
      <c r="I4" s="969"/>
      <c r="N4" s="581"/>
    </row>
    <row r="5" spans="1:16" s="590" customFormat="1" ht="6.75" customHeight="1" x14ac:dyDescent="0.25">
      <c r="A5" s="583"/>
      <c r="B5" s="584"/>
      <c r="C5" s="575"/>
      <c r="D5" s="585"/>
      <c r="E5" s="586"/>
      <c r="F5" s="587"/>
      <c r="G5" s="588"/>
      <c r="H5" s="588"/>
      <c r="I5" s="588"/>
      <c r="J5" s="589"/>
      <c r="K5" s="589"/>
      <c r="L5" s="589"/>
      <c r="M5" s="589"/>
      <c r="O5" s="589"/>
      <c r="P5" s="591"/>
    </row>
    <row r="6" spans="1:16" x14ac:dyDescent="0.2">
      <c r="A6" s="842" t="s">
        <v>675</v>
      </c>
      <c r="B6" s="592"/>
      <c r="C6" s="593"/>
      <c r="D6" s="594"/>
      <c r="E6" s="592"/>
      <c r="F6" s="595"/>
      <c r="G6" s="592"/>
      <c r="H6" s="596"/>
      <c r="N6" s="581"/>
    </row>
    <row r="7" spans="1:16" s="590" customFormat="1" ht="9" customHeight="1" x14ac:dyDescent="0.25">
      <c r="A7" s="583"/>
      <c r="B7" s="584"/>
      <c r="C7" s="575"/>
      <c r="D7" s="585"/>
      <c r="E7" s="586"/>
      <c r="F7" s="587"/>
      <c r="G7" s="588"/>
      <c r="H7" s="588"/>
      <c r="I7" s="588"/>
      <c r="J7" s="589"/>
      <c r="K7" s="589"/>
      <c r="L7" s="589"/>
      <c r="M7" s="589"/>
      <c r="O7" s="589"/>
      <c r="P7" s="591"/>
    </row>
    <row r="8" spans="1:16" s="598" customFormat="1" ht="12.75" customHeight="1" x14ac:dyDescent="0.2">
      <c r="A8" s="954" t="s">
        <v>358</v>
      </c>
      <c r="B8" s="957" t="s">
        <v>676</v>
      </c>
      <c r="C8" s="597"/>
      <c r="D8" s="957" t="s">
        <v>677</v>
      </c>
      <c r="E8" s="957" t="s">
        <v>678</v>
      </c>
      <c r="F8" s="957" t="s">
        <v>679</v>
      </c>
      <c r="G8" s="957" t="s">
        <v>680</v>
      </c>
      <c r="H8" s="970" t="s">
        <v>681</v>
      </c>
      <c r="I8" s="971" t="s">
        <v>682</v>
      </c>
      <c r="J8" s="972"/>
      <c r="K8" s="972"/>
      <c r="L8" s="972"/>
      <c r="M8" s="972"/>
      <c r="N8" s="972"/>
      <c r="O8" s="972"/>
      <c r="P8" s="973"/>
    </row>
    <row r="9" spans="1:16" s="598" customFormat="1" ht="12.75" customHeight="1" x14ac:dyDescent="0.2">
      <c r="A9" s="955"/>
      <c r="B9" s="949"/>
      <c r="C9" s="599"/>
      <c r="D9" s="949"/>
      <c r="E9" s="949"/>
      <c r="F9" s="949"/>
      <c r="G9" s="949"/>
      <c r="H9" s="959"/>
      <c r="I9" s="949" t="s">
        <v>683</v>
      </c>
      <c r="J9" s="949" t="s">
        <v>684</v>
      </c>
      <c r="K9" s="949" t="s">
        <v>685</v>
      </c>
      <c r="L9" s="949" t="s">
        <v>686</v>
      </c>
      <c r="M9" s="949" t="s">
        <v>687</v>
      </c>
      <c r="N9" s="949" t="s">
        <v>688</v>
      </c>
      <c r="O9" s="943" t="s">
        <v>689</v>
      </c>
      <c r="P9" s="974" t="s">
        <v>6</v>
      </c>
    </row>
    <row r="10" spans="1:16" s="156" customFormat="1" ht="12.95" customHeight="1" x14ac:dyDescent="0.25">
      <c r="A10" s="955"/>
      <c r="B10" s="949"/>
      <c r="C10" s="599"/>
      <c r="D10" s="949"/>
      <c r="E10" s="949"/>
      <c r="F10" s="949"/>
      <c r="G10" s="949"/>
      <c r="H10" s="959"/>
      <c r="I10" s="949"/>
      <c r="J10" s="949"/>
      <c r="K10" s="949"/>
      <c r="L10" s="949"/>
      <c r="M10" s="949"/>
      <c r="N10" s="949"/>
      <c r="O10" s="944"/>
      <c r="P10" s="975"/>
    </row>
    <row r="11" spans="1:16" s="156" customFormat="1" ht="12.95" customHeight="1" x14ac:dyDescent="0.25">
      <c r="A11" s="955"/>
      <c r="B11" s="947" t="s">
        <v>690</v>
      </c>
      <c r="C11" s="599"/>
      <c r="D11" s="949"/>
      <c r="E11" s="949"/>
      <c r="F11" s="947" t="s">
        <v>691</v>
      </c>
      <c r="G11" s="949"/>
      <c r="H11" s="959"/>
      <c r="I11" s="949"/>
      <c r="J11" s="949"/>
      <c r="K11" s="949"/>
      <c r="L11" s="949"/>
      <c r="M11" s="949"/>
      <c r="N11" s="949"/>
      <c r="O11" s="944"/>
      <c r="P11" s="975"/>
    </row>
    <row r="12" spans="1:16" s="156" customFormat="1" ht="12.95" customHeight="1" x14ac:dyDescent="0.25">
      <c r="A12" s="956"/>
      <c r="B12" s="948"/>
      <c r="C12" s="600"/>
      <c r="D12" s="950"/>
      <c r="E12" s="950"/>
      <c r="F12" s="948"/>
      <c r="G12" s="950"/>
      <c r="H12" s="960"/>
      <c r="I12" s="950"/>
      <c r="J12" s="950"/>
      <c r="K12" s="950"/>
      <c r="L12" s="950"/>
      <c r="M12" s="950"/>
      <c r="N12" s="950"/>
      <c r="O12" s="945"/>
      <c r="P12" s="975"/>
    </row>
    <row r="13" spans="1:16" s="156" customFormat="1" ht="12.95" customHeight="1" x14ac:dyDescent="0.2">
      <c r="A13" s="601"/>
      <c r="B13" s="602"/>
      <c r="C13" s="603"/>
      <c r="D13" s="604"/>
      <c r="E13" s="604"/>
      <c r="F13" s="602"/>
      <c r="G13" s="604"/>
      <c r="H13" s="605"/>
      <c r="I13" s="604"/>
      <c r="J13" s="604"/>
      <c r="K13" s="312"/>
      <c r="L13" s="312"/>
      <c r="M13" s="312"/>
      <c r="N13" s="312"/>
      <c r="O13" s="312"/>
      <c r="P13" s="606"/>
    </row>
    <row r="14" spans="1:16" s="598" customFormat="1" ht="15" customHeight="1" x14ac:dyDescent="0.2">
      <c r="A14" s="966" t="s">
        <v>692</v>
      </c>
      <c r="B14" s="966"/>
      <c r="C14" s="966"/>
      <c r="D14" s="966"/>
      <c r="E14" s="966"/>
      <c r="F14" s="966"/>
      <c r="G14" s="966"/>
      <c r="H14" s="966"/>
      <c r="I14" s="938" t="s">
        <v>693</v>
      </c>
      <c r="J14" s="938" t="s">
        <v>694</v>
      </c>
      <c r="M14" s="607"/>
      <c r="N14" s="607"/>
      <c r="O14" s="607"/>
      <c r="P14" s="608"/>
    </row>
    <row r="15" spans="1:16" s="598" customFormat="1" x14ac:dyDescent="0.2">
      <c r="A15" s="967"/>
      <c r="B15" s="967"/>
      <c r="C15" s="967"/>
      <c r="D15" s="967"/>
      <c r="E15" s="967"/>
      <c r="F15" s="967"/>
      <c r="G15" s="967"/>
      <c r="H15" s="967"/>
      <c r="I15" s="939"/>
      <c r="J15" s="939"/>
      <c r="M15" s="607"/>
      <c r="N15" s="607"/>
      <c r="O15" s="607"/>
      <c r="P15" s="608"/>
    </row>
    <row r="16" spans="1:16" s="156" customFormat="1" ht="28.35" customHeight="1" x14ac:dyDescent="0.25">
      <c r="A16" s="609">
        <v>1</v>
      </c>
      <c r="B16" s="610" t="str">
        <f>IF('techn.Personal - Hausmeister'!$D$7="","",'techn.Personal - Hausmeister'!$D$7)</f>
        <v/>
      </c>
      <c r="C16" s="611" t="str">
        <f>IF('techn.Personal - Hausmeister'!$D$7="","",1)</f>
        <v/>
      </c>
      <c r="D16" s="612" t="str">
        <f>IF('techn.Personal - Hausmeister'!$D$11="","",'techn.Personal - Hausmeister'!$D$11)</f>
        <v/>
      </c>
      <c r="E16" s="610" t="str">
        <f>IF('techn.Personal - Hausmeister'!$D$9="","",'techn.Personal - Hausmeister'!$D$9)</f>
        <v/>
      </c>
      <c r="F16" s="613" t="str">
        <f>IF('techn.Personal - Hausmeister'!$L$11="","",'techn.Personal - Hausmeister'!$L$11)</f>
        <v/>
      </c>
      <c r="G16" s="610" t="str">
        <f>IF('techn.Personal - Hausmeister'!$D$8="","",'techn.Personal - Hausmeister'!$D$8)</f>
        <v/>
      </c>
      <c r="H16" s="614" t="str">
        <f>IF('techn.Personal - Hausmeister'!$L$6="","",'techn.Personal - Hausmeister'!$L$6)</f>
        <v/>
      </c>
      <c r="I16" s="615">
        <f>'techn.Personal - Hausmeister'!$G$38</f>
        <v>0</v>
      </c>
      <c r="J16" s="615">
        <f>'techn.Personal - Hausmeister'!$H$38</f>
        <v>0</v>
      </c>
      <c r="K16" s="615">
        <f>'techn.Personal - Hausmeister'!$O$38</f>
        <v>0</v>
      </c>
      <c r="L16" s="615">
        <f>'techn.Personal - Hausmeister'!$P$40</f>
        <v>0</v>
      </c>
      <c r="M16" s="615">
        <f>'techn.Personal - Hausmeister'!$P$41</f>
        <v>0</v>
      </c>
      <c r="N16" s="615">
        <f>'techn.Personal - Hausmeister'!$P$42</f>
        <v>0</v>
      </c>
      <c r="O16" s="616">
        <f>'techn.Personal - Hausmeister'!$P$43</f>
        <v>0</v>
      </c>
      <c r="P16" s="617">
        <f>SUM(I16:O16)</f>
        <v>0</v>
      </c>
    </row>
    <row r="17" spans="1:16" s="156" customFormat="1" ht="28.35" customHeight="1" x14ac:dyDescent="0.25">
      <c r="A17" s="609">
        <v>2</v>
      </c>
      <c r="B17" s="610" t="str">
        <f>IF('techn.Personal - Hausmeister'!$D$51="","",'techn.Personal - Hausmeister'!$D$51)</f>
        <v/>
      </c>
      <c r="C17" s="611" t="str">
        <f>IF('techn.Personal - Hausmeister'!$D$51="","",1)</f>
        <v/>
      </c>
      <c r="D17" s="612" t="str">
        <f>IF('techn.Personal - Hausmeister'!$D$55="","",'techn.Personal - Hausmeister'!$D$55)</f>
        <v/>
      </c>
      <c r="E17" s="610" t="str">
        <f>IF('techn.Personal - Hausmeister'!$D$53="","",'techn.Personal - Hausmeister'!$D$53)</f>
        <v/>
      </c>
      <c r="F17" s="613" t="str">
        <f>IF('techn.Personal - Hausmeister'!$L$55="","",'techn.Personal - Hausmeister'!$L$55)</f>
        <v/>
      </c>
      <c r="G17" s="610" t="str">
        <f>IF('techn.Personal - Hausmeister'!$D$52="","",'techn.Personal - Hausmeister'!$D$52)</f>
        <v/>
      </c>
      <c r="H17" s="614" t="str">
        <f>IF('techn.Personal - Hausmeister'!$L$50="","",'techn.Personal - Hausmeister'!$L$50)</f>
        <v/>
      </c>
      <c r="I17" s="615">
        <f>'techn.Personal - Hausmeister'!$G$82</f>
        <v>0</v>
      </c>
      <c r="J17" s="615">
        <f>'techn.Personal - Hausmeister'!$H$82</f>
        <v>0</v>
      </c>
      <c r="K17" s="615">
        <f>'techn.Personal - Hausmeister'!$O$82</f>
        <v>0</v>
      </c>
      <c r="L17" s="615">
        <f>'techn.Personal - Hausmeister'!$P$84</f>
        <v>0</v>
      </c>
      <c r="M17" s="615">
        <f>'techn.Personal - Hausmeister'!$P$85</f>
        <v>0</v>
      </c>
      <c r="N17" s="615">
        <f>'techn.Personal - Hausmeister'!$P$86</f>
        <v>0</v>
      </c>
      <c r="O17" s="616">
        <f>'techn.Personal - Hausmeister'!$P$87</f>
        <v>0</v>
      </c>
      <c r="P17" s="617">
        <f t="shared" ref="P17:P20" si="0">SUM(I17:O17)</f>
        <v>0</v>
      </c>
    </row>
    <row r="18" spans="1:16" s="156" customFormat="1" ht="28.35" customHeight="1" thickBot="1" x14ac:dyDescent="0.3">
      <c r="A18" s="618">
        <v>3</v>
      </c>
      <c r="B18" s="619" t="str">
        <f>IF('techn.Personal - Hausmeister'!$D$95="","",'techn.Personal - Hausmeister'!$D$95)</f>
        <v/>
      </c>
      <c r="C18" s="620" t="str">
        <f>IF('techn.Personal - Hausmeister'!$D$95="","",1)</f>
        <v/>
      </c>
      <c r="D18" s="621" t="str">
        <f>IF('techn.Personal - Hausmeister'!$D$99="","",'techn.Personal - Hausmeister'!$D$99)</f>
        <v/>
      </c>
      <c r="E18" s="619" t="str">
        <f>IF('techn.Personal - Hausmeister'!$D$97="","",'techn.Personal - Hausmeister'!$D$97)</f>
        <v/>
      </c>
      <c r="F18" s="622" t="str">
        <f>IF('techn.Personal - Hausmeister'!$L$99="","",'techn.Personal - Hausmeister'!$L$99)</f>
        <v/>
      </c>
      <c r="G18" s="619" t="str">
        <f>IF('techn.Personal - Hausmeister'!$D$96="","",'techn.Personal - Hausmeister'!$D$96)</f>
        <v/>
      </c>
      <c r="H18" s="623" t="str">
        <f>IF('techn.Personal - Hausmeister'!$L$94="","",'techn.Personal - Hausmeister'!$L$94)</f>
        <v/>
      </c>
      <c r="I18" s="624">
        <f>'techn.Personal - Hausmeister'!$G$126</f>
        <v>0</v>
      </c>
      <c r="J18" s="624">
        <f>'techn.Personal - Hausmeister'!$H$126</f>
        <v>0</v>
      </c>
      <c r="K18" s="624">
        <f>'techn.Personal - Hausmeister'!$O$126</f>
        <v>0</v>
      </c>
      <c r="L18" s="624">
        <f>'techn.Personal - Hausmeister'!$P$128</f>
        <v>0</v>
      </c>
      <c r="M18" s="624">
        <f>'techn.Personal - Hausmeister'!$P$129</f>
        <v>0</v>
      </c>
      <c r="N18" s="624">
        <f>'techn.Personal - Hausmeister'!$P$130</f>
        <v>0</v>
      </c>
      <c r="O18" s="625">
        <f>'techn.Personal - Hausmeister'!$P$131</f>
        <v>0</v>
      </c>
      <c r="P18" s="626">
        <f t="shared" si="0"/>
        <v>0</v>
      </c>
    </row>
    <row r="19" spans="1:16" s="156" customFormat="1" ht="28.35" customHeight="1" x14ac:dyDescent="0.25">
      <c r="A19" s="627">
        <v>1</v>
      </c>
      <c r="B19" s="628" t="str">
        <f>IF('techn.Personal - Hausmeister'!$D$139="","",'techn.Personal - Hausmeister'!$D$139)</f>
        <v/>
      </c>
      <c r="C19" s="629" t="str">
        <f>IF('techn.Personal - Hausmeister'!$D$139="","",1)</f>
        <v/>
      </c>
      <c r="D19" s="630" t="str">
        <f>IF('techn.Personal - Hausmeister'!$D$143="","",'techn.Personal - Hausmeister'!$D$143)</f>
        <v/>
      </c>
      <c r="E19" s="628" t="str">
        <f>IF('techn.Personal - Hausmeister'!$D$141="","",'techn.Personal - Hausmeister'!$D$141)</f>
        <v/>
      </c>
      <c r="F19" s="631" t="str">
        <f>IF('techn.Personal - Hausmeister'!$L$143="","",'techn.Personal - Hausmeister'!$L$143)</f>
        <v/>
      </c>
      <c r="G19" s="628" t="str">
        <f>IF('techn.Personal - Hausmeister'!$D$140="","",'techn.Personal - Hausmeister'!$D$140)</f>
        <v/>
      </c>
      <c r="H19" s="632" t="str">
        <f>IF('techn.Personal - Hausmeister'!$L$138="","",'techn.Personal - Hausmeister'!$L$138)</f>
        <v/>
      </c>
      <c r="I19" s="633">
        <f>'techn.Personal - Hausmeister'!$G$170+'techn.Personal - Hausmeister'!$N$170</f>
        <v>0</v>
      </c>
      <c r="J19" s="633">
        <f>'techn.Personal - Hausmeister'!$H$170</f>
        <v>0</v>
      </c>
      <c r="K19" s="633">
        <f>'techn.Personal - Hausmeister'!$O$170</f>
        <v>0</v>
      </c>
      <c r="L19" s="633">
        <f>'techn.Personal - Hausmeister'!$P$172</f>
        <v>0</v>
      </c>
      <c r="M19" s="633">
        <f>'techn.Personal - Hausmeister'!$P$173</f>
        <v>0</v>
      </c>
      <c r="N19" s="633">
        <f>'techn.Personal - Hausmeister'!$P$174</f>
        <v>0</v>
      </c>
      <c r="O19" s="634">
        <f>'techn.Personal - Hausmeister'!$P$175</f>
        <v>0</v>
      </c>
      <c r="P19" s="635">
        <f t="shared" si="0"/>
        <v>0</v>
      </c>
    </row>
    <row r="20" spans="1:16" s="156" customFormat="1" ht="28.35" customHeight="1" x14ac:dyDescent="0.25">
      <c r="A20" s="609">
        <v>2</v>
      </c>
      <c r="B20" s="628" t="str">
        <f>IF('techn.Personal - Hausmeister'!$D$183="","",'techn.Personal - Hausmeister'!$D$183)</f>
        <v/>
      </c>
      <c r="C20" s="629" t="str">
        <f>IF('techn.Personal - Hausmeister'!$D$183="","",1)</f>
        <v/>
      </c>
      <c r="D20" s="630" t="str">
        <f>IF('techn.Personal - Hausmeister'!$D$187="","",'techn.Personal - Hausmeister'!$D$187)</f>
        <v/>
      </c>
      <c r="E20" s="628" t="str">
        <f>IF('techn.Personal - Hausmeister'!$D$185="","",'techn.Personal - Hausmeister'!$D$185)</f>
        <v/>
      </c>
      <c r="F20" s="631" t="str">
        <f>IF('techn.Personal - Hausmeister'!$L$187="","",'techn.Personal - Hausmeister'!$L$187)</f>
        <v/>
      </c>
      <c r="G20" s="628" t="str">
        <f>IF('techn.Personal - Hausmeister'!$D$184="","",'techn.Personal - Hausmeister'!$D$184)</f>
        <v/>
      </c>
      <c r="H20" s="632" t="str">
        <f>IF('techn.Personal - Hausmeister'!$L$182="","",'techn.Personal - Hausmeister'!$L$182)</f>
        <v/>
      </c>
      <c r="I20" s="633">
        <f>'techn.Personal - Hausmeister'!$G$214+'techn.Personal - Hausmeister'!$N$214</f>
        <v>0</v>
      </c>
      <c r="J20" s="633">
        <f>'techn.Personal - Hausmeister'!$H$214</f>
        <v>0</v>
      </c>
      <c r="K20" s="633">
        <f>'techn.Personal - Hausmeister'!$O$214</f>
        <v>0</v>
      </c>
      <c r="L20" s="633">
        <f>'techn.Personal - Hausmeister'!$P$216</f>
        <v>0</v>
      </c>
      <c r="M20" s="633">
        <f>'techn.Personal - Hausmeister'!$P$217</f>
        <v>0</v>
      </c>
      <c r="N20" s="633">
        <f>'techn.Personal - Hausmeister'!$P$218</f>
        <v>0</v>
      </c>
      <c r="O20" s="634">
        <f>'techn.Personal - Hausmeister'!$P$219</f>
        <v>0</v>
      </c>
      <c r="P20" s="617">
        <f t="shared" si="0"/>
        <v>0</v>
      </c>
    </row>
    <row r="21" spans="1:16" s="156" customFormat="1" ht="28.35" customHeight="1" thickBot="1" x14ac:dyDescent="0.25">
      <c r="A21" s="636"/>
      <c r="B21" s="490" t="s">
        <v>695</v>
      </c>
      <c r="C21" s="637"/>
      <c r="D21" s="638">
        <f>IF(SUM(C16:C20)=0,0,SUM(C16:C20))</f>
        <v>0</v>
      </c>
      <c r="E21" s="490" t="s">
        <v>696</v>
      </c>
      <c r="F21" s="639">
        <f>SUM(F16:F20)</f>
        <v>0</v>
      </c>
      <c r="G21" s="640" t="str">
        <f>IF(IF(Grundlagen!$C$21="","",Grundlagen!$C$21*40/250)&lt;10,10,IF(Grundlagen!$C$21="","",Grundlagen!$C$21*40/250))</f>
        <v/>
      </c>
      <c r="H21" s="641" t="str">
        <f>IF(G21="","","h max.")</f>
        <v/>
      </c>
      <c r="I21" s="642">
        <f>SUM(I16:I20)</f>
        <v>0</v>
      </c>
      <c r="J21" s="642">
        <f t="shared" ref="J21:O21" si="1">SUM(J16:J20)</f>
        <v>0</v>
      </c>
      <c r="K21" s="642">
        <f t="shared" si="1"/>
        <v>0</v>
      </c>
      <c r="L21" s="643">
        <f t="shared" si="1"/>
        <v>0</v>
      </c>
      <c r="M21" s="643">
        <f t="shared" si="1"/>
        <v>0</v>
      </c>
      <c r="N21" s="643">
        <f t="shared" si="1"/>
        <v>0</v>
      </c>
      <c r="O21" s="644">
        <f t="shared" si="1"/>
        <v>0</v>
      </c>
      <c r="P21" s="645">
        <f>SUM(P16:P20)</f>
        <v>0</v>
      </c>
    </row>
    <row r="22" spans="1:16" s="156" customFormat="1" ht="27.75" customHeight="1" thickBot="1" x14ac:dyDescent="0.25">
      <c r="A22" s="636"/>
      <c r="B22" s="646"/>
      <c r="C22" s="647"/>
      <c r="D22" s="648"/>
      <c r="E22" s="649" t="s">
        <v>345</v>
      </c>
      <c r="F22" s="650">
        <f>IF(Grundlagen!$C$14="",0,F21/Grundlagen!$C$14)</f>
        <v>0</v>
      </c>
      <c r="G22" s="646"/>
      <c r="H22" s="648"/>
      <c r="I22" s="934">
        <f>I21+J21+K21</f>
        <v>0</v>
      </c>
      <c r="J22" s="940"/>
      <c r="K22" s="935"/>
      <c r="L22" s="934">
        <f>SUM(L21:M21)</f>
        <v>0</v>
      </c>
      <c r="M22" s="935"/>
      <c r="N22" s="651"/>
      <c r="O22" s="651"/>
      <c r="P22" s="652"/>
    </row>
    <row r="23" spans="1:16" s="156" customFormat="1" ht="12.75" customHeight="1" x14ac:dyDescent="0.2">
      <c r="A23" s="636"/>
      <c r="B23" s="646"/>
      <c r="C23" s="647"/>
      <c r="D23" s="648"/>
      <c r="E23" s="649"/>
      <c r="F23" s="650"/>
      <c r="G23" s="646"/>
      <c r="H23" s="648"/>
      <c r="I23" s="653"/>
      <c r="J23" s="653"/>
      <c r="K23" s="653"/>
      <c r="L23" s="653"/>
      <c r="M23" s="653"/>
      <c r="N23" s="651"/>
      <c r="O23" s="651"/>
      <c r="P23" s="652"/>
    </row>
    <row r="24" spans="1:16" s="156" customFormat="1" ht="12.6" customHeight="1" x14ac:dyDescent="0.2">
      <c r="A24" s="654" t="s">
        <v>697</v>
      </c>
      <c r="B24" s="646"/>
      <c r="C24" s="647"/>
      <c r="D24" s="648"/>
      <c r="E24" s="646"/>
      <c r="F24" s="655"/>
      <c r="G24" s="646"/>
      <c r="H24" s="648"/>
      <c r="I24" s="607"/>
      <c r="J24" s="607"/>
      <c r="K24" s="607"/>
      <c r="L24" s="607"/>
      <c r="M24" s="607"/>
      <c r="N24" s="607"/>
      <c r="O24" s="607"/>
      <c r="P24" s="652"/>
    </row>
    <row r="25" spans="1:16" s="156" customFormat="1" ht="28.35" customHeight="1" x14ac:dyDescent="0.25">
      <c r="A25" s="609">
        <v>1</v>
      </c>
      <c r="B25" s="610" t="str">
        <f>IF('techn.Personal - Hausmeister'!$D$227="","",'techn.Personal - Hausmeister'!$D$227)</f>
        <v/>
      </c>
      <c r="C25" s="611" t="str">
        <f>IF('techn.Personal - Hausmeister'!$D$227="","",1)</f>
        <v/>
      </c>
      <c r="D25" s="612" t="str">
        <f>IF('techn.Personal - Hausmeister'!$D$231="","",'techn.Personal - Hausmeister'!$D$231)</f>
        <v/>
      </c>
      <c r="E25" s="610" t="str">
        <f>IF('techn.Personal - Hausmeister'!$D$229="","",'techn.Personal - Hausmeister'!$D$229)</f>
        <v/>
      </c>
      <c r="F25" s="613" t="str">
        <f>IF('techn.Personal - Hausmeister'!$L$231="","",'techn.Personal - Hausmeister'!$L$231)</f>
        <v/>
      </c>
      <c r="G25" s="610" t="str">
        <f>IF('techn.Personal - Hausmeister'!$D$228="","",'techn.Personal - Hausmeister'!$D$228)</f>
        <v/>
      </c>
      <c r="H25" s="614" t="str">
        <f>IF('techn.Personal - Hausmeister'!$L$226="","",'techn.Personal - Hausmeister'!$L$226)</f>
        <v/>
      </c>
      <c r="I25" s="615">
        <f>'techn.Personal - Hausmeister'!$G$258+'techn.Personal - Hausmeister'!$N$258</f>
        <v>0</v>
      </c>
      <c r="J25" s="615">
        <f>'techn.Personal - Hausmeister'!$H$258</f>
        <v>0</v>
      </c>
      <c r="K25" s="615">
        <f>'techn.Personal - Hausmeister'!$O$258</f>
        <v>0</v>
      </c>
      <c r="L25" s="615">
        <f>'techn.Personal - Hausmeister'!$P$260</f>
        <v>0</v>
      </c>
      <c r="M25" s="615">
        <f>'techn.Personal - Hausmeister'!$P$261</f>
        <v>0</v>
      </c>
      <c r="N25" s="615">
        <f>'techn.Personal - Hausmeister'!$P$262</f>
        <v>0</v>
      </c>
      <c r="O25" s="616">
        <f>'techn.Personal - Hausmeister'!$P$263</f>
        <v>0</v>
      </c>
      <c r="P25" s="617">
        <f>SUM(I25:O25)</f>
        <v>0</v>
      </c>
    </row>
    <row r="26" spans="1:16" s="156" customFormat="1" ht="27.75" customHeight="1" x14ac:dyDescent="0.25">
      <c r="A26" s="609">
        <v>2</v>
      </c>
      <c r="B26" s="628" t="str">
        <f>IF('techn.Personal - Hausmeister'!$D$271="","",'techn.Personal - Hausmeister'!$D$271)</f>
        <v/>
      </c>
      <c r="C26" s="629" t="str">
        <f>IF('techn.Personal - Hausmeister'!$D$271="","",1)</f>
        <v/>
      </c>
      <c r="D26" s="630" t="str">
        <f>IF('techn.Personal - Hausmeister'!$D$275="","",'techn.Personal - Hausmeister'!$D$275)</f>
        <v/>
      </c>
      <c r="E26" s="628" t="str">
        <f>IF('techn.Personal - Hausmeister'!$D$273="","",'techn.Personal - Hausmeister'!$D$273)</f>
        <v/>
      </c>
      <c r="F26" s="631" t="str">
        <f>IF('techn.Personal - Hausmeister'!$L$275="","",'techn.Personal - Hausmeister'!$L$275)</f>
        <v/>
      </c>
      <c r="G26" s="628" t="str">
        <f>IF('techn.Personal - Hausmeister'!$D$272="","",'techn.Personal - Hausmeister'!$D$272)</f>
        <v/>
      </c>
      <c r="H26" s="632" t="str">
        <f>IF('techn.Personal - Hausmeister'!$L$270="","",'techn.Personal - Hausmeister'!$L$270)</f>
        <v/>
      </c>
      <c r="I26" s="633">
        <f>'techn.Personal - Hausmeister'!$G$302+'techn.Personal - Hausmeister'!$N$302</f>
        <v>0</v>
      </c>
      <c r="J26" s="633">
        <f>'techn.Personal - Hausmeister'!$H$302</f>
        <v>0</v>
      </c>
      <c r="K26" s="633">
        <f>'techn.Personal - Hausmeister'!$O$302</f>
        <v>0</v>
      </c>
      <c r="L26" s="633">
        <f>'techn.Personal - Hausmeister'!$P$304</f>
        <v>0</v>
      </c>
      <c r="M26" s="633">
        <f>'techn.Personal - Hausmeister'!$P$305</f>
        <v>0</v>
      </c>
      <c r="N26" s="633">
        <f>'techn.Personal - Hausmeister'!$P$306</f>
        <v>0</v>
      </c>
      <c r="O26" s="634">
        <f>'techn.Personal - Hausmeister'!$P$307</f>
        <v>0</v>
      </c>
      <c r="P26" s="617">
        <f>SUM(I26:O26)</f>
        <v>0</v>
      </c>
    </row>
    <row r="27" spans="1:16" s="156" customFormat="1" ht="27.75" customHeight="1" x14ac:dyDescent="0.2">
      <c r="A27" s="636"/>
      <c r="B27" s="490" t="s">
        <v>695</v>
      </c>
      <c r="C27" s="637"/>
      <c r="D27" s="638">
        <f>IF(SUM(C25:C26)=0,0,SUM(C25:C26))</f>
        <v>0</v>
      </c>
      <c r="E27" s="490" t="s">
        <v>696</v>
      </c>
      <c r="F27" s="639">
        <f>SUM(F25:F26)</f>
        <v>0</v>
      </c>
      <c r="G27" s="320"/>
      <c r="I27" s="643">
        <f>SUM(I25:I26)</f>
        <v>0</v>
      </c>
      <c r="J27" s="643">
        <f t="shared" ref="J27:N27" si="2">SUM(J25:J26)</f>
        <v>0</v>
      </c>
      <c r="K27" s="643">
        <f t="shared" si="2"/>
        <v>0</v>
      </c>
      <c r="L27" s="643">
        <f t="shared" si="2"/>
        <v>0</v>
      </c>
      <c r="M27" s="643">
        <f t="shared" si="2"/>
        <v>0</v>
      </c>
      <c r="N27" s="643">
        <f t="shared" si="2"/>
        <v>0</v>
      </c>
      <c r="O27" s="644">
        <f>SUM(O25:O26)</f>
        <v>0</v>
      </c>
      <c r="P27" s="645">
        <f>SUM(P25:P26)</f>
        <v>0</v>
      </c>
    </row>
    <row r="28" spans="1:16" s="118" customFormat="1" ht="27" customHeight="1" x14ac:dyDescent="0.2">
      <c r="A28" s="656"/>
      <c r="B28" s="657"/>
      <c r="C28" s="637"/>
      <c r="D28" s="358"/>
      <c r="E28" s="649" t="s">
        <v>345</v>
      </c>
      <c r="F28" s="650">
        <f>IF(Grundlagen!$C$14="",0,F27/Grundlagen!$C$14)</f>
        <v>0</v>
      </c>
      <c r="G28" s="658"/>
      <c r="I28" s="965"/>
      <c r="J28" s="965"/>
      <c r="K28" s="965"/>
      <c r="L28" s="965"/>
      <c r="M28" s="965"/>
      <c r="N28" s="965"/>
      <c r="O28" s="965"/>
      <c r="P28" s="659"/>
    </row>
    <row r="29" spans="1:16" s="598" customFormat="1" ht="15" customHeight="1" x14ac:dyDescent="0.2">
      <c r="A29" s="963" t="s">
        <v>698</v>
      </c>
      <c r="B29" s="963"/>
      <c r="C29" s="963"/>
      <c r="D29" s="963"/>
      <c r="E29" s="963"/>
      <c r="F29" s="963"/>
      <c r="G29" s="963"/>
      <c r="H29" s="963"/>
      <c r="I29" s="938" t="s">
        <v>699</v>
      </c>
      <c r="J29" s="938" t="s">
        <v>700</v>
      </c>
      <c r="M29" s="607"/>
      <c r="N29" s="607"/>
      <c r="O29" s="607"/>
      <c r="P29" s="608"/>
    </row>
    <row r="30" spans="1:16" s="598" customFormat="1" x14ac:dyDescent="0.2">
      <c r="A30" s="964"/>
      <c r="B30" s="964"/>
      <c r="C30" s="964"/>
      <c r="D30" s="964"/>
      <c r="E30" s="964"/>
      <c r="F30" s="964"/>
      <c r="G30" s="964"/>
      <c r="H30" s="964"/>
      <c r="I30" s="939"/>
      <c r="J30" s="939"/>
      <c r="M30" s="607"/>
      <c r="N30" s="607"/>
      <c r="O30" s="607"/>
      <c r="P30" s="608"/>
    </row>
    <row r="31" spans="1:16" s="156" customFormat="1" ht="27.75" customHeight="1" x14ac:dyDescent="0.25">
      <c r="A31" s="609">
        <v>1</v>
      </c>
      <c r="B31" s="610" t="str">
        <f>IF('techn.Personal - Reinigungskr.'!$D$7="","",'techn.Personal - Reinigungskr.'!$D$7)</f>
        <v/>
      </c>
      <c r="C31" s="611" t="str">
        <f>IF('techn.Personal - Reinigungskr.'!$D$7="","",1)</f>
        <v/>
      </c>
      <c r="D31" s="612" t="str">
        <f>IF('techn.Personal - Reinigungskr.'!$D$11="","",'techn.Personal - Reinigungskr.'!$D$11)</f>
        <v/>
      </c>
      <c r="E31" s="610" t="str">
        <f>IF('techn.Personal - Reinigungskr.'!$D$9="","",'techn.Personal - Reinigungskr.'!$D$9)</f>
        <v/>
      </c>
      <c r="F31" s="660" t="str">
        <f>IF('techn.Personal - Reinigungskr.'!$L$11="","",'techn.Personal - Reinigungskr.'!$L$11)</f>
        <v/>
      </c>
      <c r="G31" s="610" t="str">
        <f>IF('techn.Personal - Reinigungskr.'!$D$8="","",'techn.Personal - Reinigungskr.'!$D$8)</f>
        <v/>
      </c>
      <c r="H31" s="614" t="str">
        <f>IF('techn.Personal - Reinigungskr.'!$L$6="","",'techn.Personal - Reinigungskr.'!$L$6)</f>
        <v/>
      </c>
      <c r="I31" s="615">
        <f>'techn.Personal - Reinigungskr.'!$G$38</f>
        <v>0</v>
      </c>
      <c r="J31" s="615">
        <f>'techn.Personal - Reinigungskr.'!$H$38</f>
        <v>0</v>
      </c>
      <c r="K31" s="615">
        <f>'techn.Personal - Reinigungskr.'!$O$38</f>
        <v>0</v>
      </c>
      <c r="L31" s="615">
        <f>'techn.Personal - Reinigungskr.'!$P$40</f>
        <v>0</v>
      </c>
      <c r="M31" s="615">
        <f>'techn.Personal - Reinigungskr.'!$P$41</f>
        <v>0</v>
      </c>
      <c r="N31" s="615">
        <f>'techn.Personal - Reinigungskr.'!$P$42</f>
        <v>0</v>
      </c>
      <c r="O31" s="616">
        <f>'techn.Personal - Reinigungskr.'!$P$43</f>
        <v>0</v>
      </c>
      <c r="P31" s="617">
        <f>SUM(I31:O31)</f>
        <v>0</v>
      </c>
    </row>
    <row r="32" spans="1:16" s="156" customFormat="1" ht="27.75" customHeight="1" x14ac:dyDescent="0.25">
      <c r="A32" s="609">
        <v>2</v>
      </c>
      <c r="B32" s="610" t="str">
        <f>IF('techn.Personal - Reinigungskr.'!$D$51="","",'techn.Personal - Reinigungskr.'!$D$51)</f>
        <v/>
      </c>
      <c r="C32" s="611" t="str">
        <f>IF('techn.Personal - Reinigungskr.'!$D$51="","",1)</f>
        <v/>
      </c>
      <c r="D32" s="612" t="str">
        <f>IF('techn.Personal - Reinigungskr.'!$D$55="","",'techn.Personal - Reinigungskr.'!$D$55)</f>
        <v/>
      </c>
      <c r="E32" s="610" t="str">
        <f>IF('techn.Personal - Reinigungskr.'!$D$53="","",'techn.Personal - Reinigungskr.'!$D$53)</f>
        <v/>
      </c>
      <c r="F32" s="660" t="str">
        <f>IF('techn.Personal - Reinigungskr.'!$L$55="","",'techn.Personal - Reinigungskr.'!$L$55)</f>
        <v/>
      </c>
      <c r="G32" s="610" t="str">
        <f>IF('techn.Personal - Reinigungskr.'!$D$52="","",'techn.Personal - Reinigungskr.'!$D$52)</f>
        <v/>
      </c>
      <c r="H32" s="614" t="str">
        <f>IF('techn.Personal - Reinigungskr.'!$L$50="","",'techn.Personal - Reinigungskr.'!$L$50)</f>
        <v/>
      </c>
      <c r="I32" s="615">
        <f>'techn.Personal - Reinigungskr.'!$G$82</f>
        <v>0</v>
      </c>
      <c r="J32" s="615">
        <f>'techn.Personal - Reinigungskr.'!$H$82</f>
        <v>0</v>
      </c>
      <c r="K32" s="615">
        <f>'techn.Personal - Reinigungskr.'!$O$82</f>
        <v>0</v>
      </c>
      <c r="L32" s="615">
        <f>'techn.Personal - Reinigungskr.'!$P$84</f>
        <v>0</v>
      </c>
      <c r="M32" s="615">
        <f>'techn.Personal - Reinigungskr.'!$P$85</f>
        <v>0</v>
      </c>
      <c r="N32" s="615">
        <f>'techn.Personal - Reinigungskr.'!$P$86</f>
        <v>0</v>
      </c>
      <c r="O32" s="616">
        <f>'techn.Personal - Reinigungskr.'!$P$87</f>
        <v>0</v>
      </c>
      <c r="P32" s="617">
        <f t="shared" ref="P32:P40" si="3">SUM(I32:O32)</f>
        <v>0</v>
      </c>
    </row>
    <row r="33" spans="1:16" s="156" customFormat="1" ht="27.75" customHeight="1" x14ac:dyDescent="0.25">
      <c r="A33" s="609">
        <v>3</v>
      </c>
      <c r="B33" s="610" t="str">
        <f>IF('techn.Personal - Reinigungskr.'!$D$95="","",'techn.Personal - Reinigungskr.'!$D$95)</f>
        <v/>
      </c>
      <c r="C33" s="611" t="str">
        <f>IF('techn.Personal - Reinigungskr.'!$D$95="","",1)</f>
        <v/>
      </c>
      <c r="D33" s="612" t="str">
        <f>IF('techn.Personal - Reinigungskr.'!$D$99="","",'techn.Personal - Reinigungskr.'!$D$99)</f>
        <v/>
      </c>
      <c r="E33" s="610" t="str">
        <f>IF('techn.Personal - Reinigungskr.'!$D$97="","",'techn.Personal - Reinigungskr.'!$D$97)</f>
        <v/>
      </c>
      <c r="F33" s="660" t="str">
        <f>IF('techn.Personal - Reinigungskr.'!$L$99="","",'techn.Personal - Reinigungskr.'!$L$99)</f>
        <v/>
      </c>
      <c r="G33" s="610" t="str">
        <f>IF('techn.Personal - Reinigungskr.'!$D$96="","",'techn.Personal - Reinigungskr.'!$D$96)</f>
        <v/>
      </c>
      <c r="H33" s="614" t="str">
        <f>IF('techn.Personal - Reinigungskr.'!$L$94="","",'techn.Personal - Reinigungskr.'!$L$94)</f>
        <v/>
      </c>
      <c r="I33" s="615">
        <f>'techn.Personal - Reinigungskr.'!$G$126</f>
        <v>0</v>
      </c>
      <c r="J33" s="615">
        <f>'techn.Personal - Reinigungskr.'!$H$126</f>
        <v>0</v>
      </c>
      <c r="K33" s="615">
        <f>'techn.Personal - Reinigungskr.'!$O$126</f>
        <v>0</v>
      </c>
      <c r="L33" s="615">
        <f>'techn.Personal - Reinigungskr.'!$P$128</f>
        <v>0</v>
      </c>
      <c r="M33" s="615">
        <f>'techn.Personal - Reinigungskr.'!$P$129</f>
        <v>0</v>
      </c>
      <c r="N33" s="615">
        <f>'techn.Personal - Reinigungskr.'!$P$130</f>
        <v>0</v>
      </c>
      <c r="O33" s="616">
        <f>'techn.Personal - Reinigungskr.'!$P$131</f>
        <v>0</v>
      </c>
      <c r="P33" s="617">
        <f t="shared" si="3"/>
        <v>0</v>
      </c>
    </row>
    <row r="34" spans="1:16" s="156" customFormat="1" ht="27.75" customHeight="1" x14ac:dyDescent="0.25">
      <c r="A34" s="609">
        <v>4</v>
      </c>
      <c r="B34" s="610" t="str">
        <f>IF('techn.Personal - Reinigungskr.'!$D$139="","",'techn.Personal - Reinigungskr.'!$D$139)</f>
        <v/>
      </c>
      <c r="C34" s="611" t="str">
        <f>IF('techn.Personal - Reinigungskr.'!$D$139="","",1)</f>
        <v/>
      </c>
      <c r="D34" s="612" t="str">
        <f>IF('techn.Personal - Reinigungskr.'!$D$143="","",'techn.Personal - Reinigungskr.'!$D$143)</f>
        <v/>
      </c>
      <c r="E34" s="610" t="str">
        <f>IF('techn.Personal - Reinigungskr.'!$D$141="","",'techn.Personal - Reinigungskr.'!$D$141)</f>
        <v/>
      </c>
      <c r="F34" s="660" t="str">
        <f>IF('techn.Personal - Reinigungskr.'!$L$143="","",'techn.Personal - Reinigungskr.'!$L$143)</f>
        <v/>
      </c>
      <c r="G34" s="610" t="str">
        <f>IF('techn.Personal - Reinigungskr.'!$D$140="","",'techn.Personal - Reinigungskr.'!$D$140)</f>
        <v/>
      </c>
      <c r="H34" s="614" t="str">
        <f>IF('techn.Personal - Reinigungskr.'!$L$138="","",'techn.Personal - Reinigungskr.'!$L$138)</f>
        <v/>
      </c>
      <c r="I34" s="615">
        <f>'techn.Personal - Reinigungskr.'!$G$170</f>
        <v>0</v>
      </c>
      <c r="J34" s="615">
        <f>'techn.Personal - Reinigungskr.'!$H$170</f>
        <v>0</v>
      </c>
      <c r="K34" s="615">
        <f>'techn.Personal - Reinigungskr.'!$O$170</f>
        <v>0</v>
      </c>
      <c r="L34" s="615">
        <f>'techn.Personal - Reinigungskr.'!$P$172</f>
        <v>0</v>
      </c>
      <c r="M34" s="615">
        <f>'techn.Personal - Reinigungskr.'!$P$173</f>
        <v>0</v>
      </c>
      <c r="N34" s="615">
        <f>'techn.Personal - Reinigungskr.'!$P$174</f>
        <v>0</v>
      </c>
      <c r="O34" s="616">
        <f>'techn.Personal - Reinigungskr.'!$P$175</f>
        <v>0</v>
      </c>
      <c r="P34" s="617">
        <f t="shared" si="3"/>
        <v>0</v>
      </c>
    </row>
    <row r="35" spans="1:16" s="156" customFormat="1" ht="27.75" customHeight="1" x14ac:dyDescent="0.25">
      <c r="A35" s="609">
        <v>5</v>
      </c>
      <c r="B35" s="610" t="str">
        <f>IF('techn.Personal - Reinigungskr.'!$D$183="","",'techn.Personal - Reinigungskr.'!$D$183)</f>
        <v/>
      </c>
      <c r="C35" s="611" t="str">
        <f>IF('techn.Personal - Reinigungskr.'!$D$183="","",1)</f>
        <v/>
      </c>
      <c r="D35" s="612" t="str">
        <f>IF('techn.Personal - Reinigungskr.'!$D$187="","",'techn.Personal - Reinigungskr.'!$D$187)</f>
        <v/>
      </c>
      <c r="E35" s="610" t="str">
        <f>IF('techn.Personal - Reinigungskr.'!$D$185="","",'techn.Personal - Reinigungskr.'!$D$185)</f>
        <v/>
      </c>
      <c r="F35" s="660" t="str">
        <f>IF('techn.Personal - Reinigungskr.'!$L$187="","",'techn.Personal - Reinigungskr.'!$L$187)</f>
        <v/>
      </c>
      <c r="G35" s="610" t="str">
        <f>IF('techn.Personal - Reinigungskr.'!$D$184="","",'techn.Personal - Reinigungskr.'!$D$184)</f>
        <v/>
      </c>
      <c r="H35" s="614" t="str">
        <f>IF('techn.Personal - Reinigungskr.'!$L$182="","",'techn.Personal - Reinigungskr.'!$L$182)</f>
        <v/>
      </c>
      <c r="I35" s="615">
        <f>'techn.Personal - Reinigungskr.'!$G$214</f>
        <v>0</v>
      </c>
      <c r="J35" s="615">
        <f>'techn.Personal - Reinigungskr.'!$H$214</f>
        <v>0</v>
      </c>
      <c r="K35" s="615">
        <f>'techn.Personal - Reinigungskr.'!$O$214</f>
        <v>0</v>
      </c>
      <c r="L35" s="615">
        <f>'techn.Personal - Reinigungskr.'!$P$216</f>
        <v>0</v>
      </c>
      <c r="M35" s="615">
        <f>'techn.Personal - Reinigungskr.'!$P$217</f>
        <v>0</v>
      </c>
      <c r="N35" s="615">
        <f>'techn.Personal - Reinigungskr.'!$P$218</f>
        <v>0</v>
      </c>
      <c r="O35" s="616">
        <f>'techn.Personal - Reinigungskr.'!$P$219</f>
        <v>0</v>
      </c>
      <c r="P35" s="617">
        <f t="shared" si="3"/>
        <v>0</v>
      </c>
    </row>
    <row r="36" spans="1:16" s="156" customFormat="1" ht="27.75" customHeight="1" x14ac:dyDescent="0.25">
      <c r="A36" s="609">
        <v>6</v>
      </c>
      <c r="B36" s="610" t="str">
        <f>IF('techn.Personal - Reinigungskr.'!$D$227="","",'techn.Personal - Reinigungskr.'!$D$227)</f>
        <v/>
      </c>
      <c r="C36" s="611" t="str">
        <f>IF('techn.Personal - Reinigungskr.'!$D$227="","",1)</f>
        <v/>
      </c>
      <c r="D36" s="612" t="str">
        <f>IF('techn.Personal - Reinigungskr.'!$D$231="","",'techn.Personal - Reinigungskr.'!$D$231)</f>
        <v/>
      </c>
      <c r="E36" s="610" t="str">
        <f>IF('techn.Personal - Reinigungskr.'!$D$229="","",'techn.Personal - Reinigungskr.'!$D$229)</f>
        <v/>
      </c>
      <c r="F36" s="660" t="str">
        <f>IF('techn.Personal - Reinigungskr.'!$L$231="","",'techn.Personal - Reinigungskr.'!$L$231)</f>
        <v/>
      </c>
      <c r="G36" s="610" t="str">
        <f>IF('techn.Personal - Reinigungskr.'!$D$228="","",'techn.Personal - Reinigungskr.'!$D$228)</f>
        <v/>
      </c>
      <c r="H36" s="614" t="str">
        <f>IF('techn.Personal - Reinigungskr.'!$L$226="","",'techn.Personal - Reinigungskr.'!$L$226)</f>
        <v/>
      </c>
      <c r="I36" s="615">
        <f>'techn.Personal - Reinigungskr.'!$G$258</f>
        <v>0</v>
      </c>
      <c r="J36" s="615">
        <f>'techn.Personal - Reinigungskr.'!$H$258</f>
        <v>0</v>
      </c>
      <c r="K36" s="615">
        <f>'techn.Personal - Reinigungskr.'!$O$258</f>
        <v>0</v>
      </c>
      <c r="L36" s="615">
        <f>'techn.Personal - Reinigungskr.'!$P$260</f>
        <v>0</v>
      </c>
      <c r="M36" s="615">
        <f>'techn.Personal - Reinigungskr.'!$P$261</f>
        <v>0</v>
      </c>
      <c r="N36" s="615">
        <f>'techn.Personal - Reinigungskr.'!$P$262</f>
        <v>0</v>
      </c>
      <c r="O36" s="616">
        <f>'techn.Personal - Reinigungskr.'!$P$263</f>
        <v>0</v>
      </c>
      <c r="P36" s="617">
        <f t="shared" si="3"/>
        <v>0</v>
      </c>
    </row>
    <row r="37" spans="1:16" s="156" customFormat="1" ht="28.35" customHeight="1" x14ac:dyDescent="0.25">
      <c r="A37" s="609">
        <v>7</v>
      </c>
      <c r="B37" s="610" t="str">
        <f>IF('techn.Personal - Reinigungskr.'!$D$271="","",'techn.Personal - Reinigungskr.'!$D$271)</f>
        <v/>
      </c>
      <c r="C37" s="611" t="str">
        <f>IF('techn.Personal - Reinigungskr.'!$D$271="","",1)</f>
        <v/>
      </c>
      <c r="D37" s="612" t="str">
        <f>IF('techn.Personal - Reinigungskr.'!$D$275="","",'techn.Personal - Reinigungskr.'!$D$275)</f>
        <v/>
      </c>
      <c r="E37" s="610" t="str">
        <f>IF('techn.Personal - Reinigungskr.'!$D$273="","",'techn.Personal - Reinigungskr.'!$D$273)</f>
        <v/>
      </c>
      <c r="F37" s="660" t="str">
        <f>IF('techn.Personal - Reinigungskr.'!$L$275="","",'techn.Personal - Reinigungskr.'!$L$275)</f>
        <v/>
      </c>
      <c r="G37" s="610" t="str">
        <f>IF('techn.Personal - Reinigungskr.'!$D$272="","",'techn.Personal - Reinigungskr.'!$D$272)</f>
        <v/>
      </c>
      <c r="H37" s="614" t="str">
        <f>IF('techn.Personal - Reinigungskr.'!$L$270="","",'techn.Personal - Reinigungskr.'!$L$270)</f>
        <v/>
      </c>
      <c r="I37" s="615">
        <f>'techn.Personal - Reinigungskr.'!$G$302</f>
        <v>0</v>
      </c>
      <c r="J37" s="615">
        <f>'techn.Personal - Reinigungskr.'!$H$302</f>
        <v>0</v>
      </c>
      <c r="K37" s="615">
        <f>'techn.Personal - Reinigungskr.'!$O$302</f>
        <v>0</v>
      </c>
      <c r="L37" s="615">
        <f>'techn.Personal - Reinigungskr.'!$P$304</f>
        <v>0</v>
      </c>
      <c r="M37" s="615">
        <f>'techn.Personal - Reinigungskr.'!$P$305</f>
        <v>0</v>
      </c>
      <c r="N37" s="615">
        <f>'techn.Personal - Reinigungskr.'!$P$306</f>
        <v>0</v>
      </c>
      <c r="O37" s="616">
        <f>'techn.Personal - Reinigungskr.'!$P$307</f>
        <v>0</v>
      </c>
      <c r="P37" s="617">
        <f t="shared" si="3"/>
        <v>0</v>
      </c>
    </row>
    <row r="38" spans="1:16" s="156" customFormat="1" ht="28.35" customHeight="1" thickBot="1" x14ac:dyDescent="0.3">
      <c r="A38" s="618">
        <v>8</v>
      </c>
      <c r="B38" s="619" t="str">
        <f>IF('techn.Personal - Reinigungskr.'!$D$315="","",'techn.Personal - Reinigungskr.'!$D$315)</f>
        <v/>
      </c>
      <c r="C38" s="620" t="str">
        <f>IF('techn.Personal - Reinigungskr.'!$D$315="","",1)</f>
        <v/>
      </c>
      <c r="D38" s="621" t="str">
        <f>IF('techn.Personal - Reinigungskr.'!$D$319="","",'techn.Personal - Reinigungskr.'!$D$319)</f>
        <v/>
      </c>
      <c r="E38" s="619" t="str">
        <f>IF('techn.Personal - Reinigungskr.'!$D$317="","",'techn.Personal - Reinigungskr.'!$D$317)</f>
        <v/>
      </c>
      <c r="F38" s="661" t="str">
        <f>IF('techn.Personal - Reinigungskr.'!$L$319="","",'techn.Personal - Reinigungskr.'!$L$319)</f>
        <v/>
      </c>
      <c r="G38" s="619" t="str">
        <f>IF('techn.Personal - Reinigungskr.'!$D$316="","",'techn.Personal - Reinigungskr.'!$D$316)</f>
        <v/>
      </c>
      <c r="H38" s="623" t="str">
        <f>IF('techn.Personal - Reinigungskr.'!$L$314="","",'techn.Personal - Reinigungskr.'!$L$314)</f>
        <v/>
      </c>
      <c r="I38" s="624">
        <f>'techn.Personal - Reinigungskr.'!$G$346</f>
        <v>0</v>
      </c>
      <c r="J38" s="624">
        <f>'techn.Personal - Reinigungskr.'!$H$346</f>
        <v>0</v>
      </c>
      <c r="K38" s="624">
        <f>'techn.Personal - Reinigungskr.'!$O$346</f>
        <v>0</v>
      </c>
      <c r="L38" s="624">
        <f>'techn.Personal - Reinigungskr.'!$P$348</f>
        <v>0</v>
      </c>
      <c r="M38" s="624">
        <f>'techn.Personal - Reinigungskr.'!$P$349</f>
        <v>0</v>
      </c>
      <c r="N38" s="624">
        <f>'techn.Personal - Reinigungskr.'!$P$350</f>
        <v>0</v>
      </c>
      <c r="O38" s="625">
        <f>'techn.Personal - Reinigungskr.'!$P$351</f>
        <v>0</v>
      </c>
      <c r="P38" s="617">
        <f t="shared" si="3"/>
        <v>0</v>
      </c>
    </row>
    <row r="39" spans="1:16" s="156" customFormat="1" ht="28.35" customHeight="1" x14ac:dyDescent="0.25">
      <c r="A39" s="627">
        <v>1</v>
      </c>
      <c r="B39" s="628" t="str">
        <f>IF('techn.Personal - Reinigungskr.'!$D$359="","",'techn.Personal - Reinigungskr.'!$D$359)</f>
        <v/>
      </c>
      <c r="C39" s="629" t="str">
        <f>IF('techn.Personal - Reinigungskr.'!$D$359="","",1)</f>
        <v/>
      </c>
      <c r="D39" s="630" t="str">
        <f>IF('techn.Personal - Reinigungskr.'!$D$363="","",'techn.Personal - Reinigungskr.'!$D$363)</f>
        <v/>
      </c>
      <c r="E39" s="628" t="str">
        <f>IF('techn.Personal - Reinigungskr.'!$D$361="","",'techn.Personal - Reinigungskr.'!$D$361)</f>
        <v/>
      </c>
      <c r="F39" s="662" t="str">
        <f>IF('techn.Personal - Reinigungskr.'!$L$363="","",'techn.Personal - Reinigungskr.'!$L$363)</f>
        <v/>
      </c>
      <c r="G39" s="628" t="str">
        <f>IF('techn.Personal - Reinigungskr.'!$D$360="","",'techn.Personal - Reinigungskr.'!$D$360)</f>
        <v/>
      </c>
      <c r="H39" s="632" t="str">
        <f>IF('techn.Personal - Reinigungskr.'!$L$358="","",'techn.Personal - Reinigungskr.'!$L$358)</f>
        <v/>
      </c>
      <c r="I39" s="633">
        <f>'techn.Personal - Reinigungskr.'!$G$390+'techn.Personal - Reinigungskr.'!$N$390</f>
        <v>0</v>
      </c>
      <c r="J39" s="633">
        <f>'techn.Personal - Reinigungskr.'!$H$390</f>
        <v>0</v>
      </c>
      <c r="K39" s="633">
        <f>'techn.Personal - Reinigungskr.'!$O$390</f>
        <v>0</v>
      </c>
      <c r="L39" s="633">
        <f>'techn.Personal - Reinigungskr.'!$P$392</f>
        <v>0</v>
      </c>
      <c r="M39" s="633">
        <f>'techn.Personal - Reinigungskr.'!$P$393</f>
        <v>0</v>
      </c>
      <c r="N39" s="633">
        <f>'techn.Personal - Reinigungskr.'!$P$394</f>
        <v>0</v>
      </c>
      <c r="O39" s="634">
        <f>'techn.Personal - Reinigungskr.'!$P$395</f>
        <v>0</v>
      </c>
      <c r="P39" s="617">
        <f t="shared" si="3"/>
        <v>0</v>
      </c>
    </row>
    <row r="40" spans="1:16" s="156" customFormat="1" ht="28.35" customHeight="1" x14ac:dyDescent="0.25">
      <c r="A40" s="609">
        <v>2</v>
      </c>
      <c r="B40" s="610" t="str">
        <f>IF('techn.Personal - Reinigungskr.'!$D$403="","",'techn.Personal - Reinigungskr.'!$D$403)</f>
        <v/>
      </c>
      <c r="C40" s="611" t="str">
        <f>IF('techn.Personal - Reinigungskr.'!$D$403="","",1)</f>
        <v/>
      </c>
      <c r="D40" s="612" t="str">
        <f>IF('techn.Personal - Reinigungskr.'!$D$407="","",'techn.Personal - Reinigungskr.'!$D$407)</f>
        <v/>
      </c>
      <c r="E40" s="610" t="str">
        <f>IF('techn.Personal - Reinigungskr.'!$D$405="","",'techn.Personal - Reinigungskr.'!$D$405)</f>
        <v/>
      </c>
      <c r="F40" s="660" t="str">
        <f>IF('techn.Personal - Reinigungskr.'!$L$407="","",'techn.Personal - Reinigungskr.'!$L$407)</f>
        <v/>
      </c>
      <c r="G40" s="610" t="str">
        <f>IF('techn.Personal - Reinigungskr.'!$D$404="","",'techn.Personal - Reinigungskr.'!$D$404)</f>
        <v/>
      </c>
      <c r="H40" s="614" t="str">
        <f>IF('techn.Personal - Reinigungskr.'!$L$402="","",'techn.Personal - Reinigungskr.'!$L$402)</f>
        <v/>
      </c>
      <c r="I40" s="615">
        <f>'techn.Personal - Reinigungskr.'!$G$434+'techn.Personal - Reinigungskr.'!$N$434</f>
        <v>0</v>
      </c>
      <c r="J40" s="615">
        <f>'techn.Personal - Reinigungskr.'!$H$434</f>
        <v>0</v>
      </c>
      <c r="K40" s="615">
        <f>'techn.Personal - Reinigungskr.'!$O$434</f>
        <v>0</v>
      </c>
      <c r="L40" s="615">
        <f>'techn.Personal - Reinigungskr.'!$P$436</f>
        <v>0</v>
      </c>
      <c r="M40" s="615">
        <f>'techn.Personal - Reinigungskr.'!$P$437</f>
        <v>0</v>
      </c>
      <c r="N40" s="615">
        <f>'techn.Personal - Reinigungskr.'!$P$438</f>
        <v>0</v>
      </c>
      <c r="O40" s="616">
        <f>'techn.Personal - Reinigungskr.'!$P$439</f>
        <v>0</v>
      </c>
      <c r="P40" s="617">
        <f t="shared" si="3"/>
        <v>0</v>
      </c>
    </row>
    <row r="41" spans="1:16" s="156" customFormat="1" ht="28.35" customHeight="1" thickBot="1" x14ac:dyDescent="0.25">
      <c r="A41" s="636"/>
      <c r="B41" s="490" t="s">
        <v>695</v>
      </c>
      <c r="C41" s="637"/>
      <c r="D41" s="638">
        <f>IF(SUM(C31:C40)=0,0,SUM(C31:C40))</f>
        <v>0</v>
      </c>
      <c r="E41" s="490" t="s">
        <v>696</v>
      </c>
      <c r="F41" s="639">
        <f>SUM(F31:F40)</f>
        <v>0</v>
      </c>
      <c r="G41" s="640" t="str">
        <f>IF(Grundlagen!$C$21="","",Grundlagen!$C$21*40/100)</f>
        <v/>
      </c>
      <c r="H41" s="641" t="str">
        <f>IF(G41="","","h max.")</f>
        <v/>
      </c>
      <c r="I41" s="643">
        <f>SUM(I31:I40)</f>
        <v>0</v>
      </c>
      <c r="J41" s="643">
        <f t="shared" ref="J41:O41" si="4">SUM(J31:J40)</f>
        <v>0</v>
      </c>
      <c r="K41" s="643">
        <f t="shared" si="4"/>
        <v>0</v>
      </c>
      <c r="L41" s="643">
        <f t="shared" si="4"/>
        <v>0</v>
      </c>
      <c r="M41" s="643">
        <f t="shared" si="4"/>
        <v>0</v>
      </c>
      <c r="N41" s="643">
        <f t="shared" si="4"/>
        <v>0</v>
      </c>
      <c r="O41" s="644">
        <f t="shared" si="4"/>
        <v>0</v>
      </c>
      <c r="P41" s="645">
        <f>SUM(P31:P40)</f>
        <v>0</v>
      </c>
    </row>
    <row r="42" spans="1:16" s="118" customFormat="1" ht="28.35" customHeight="1" thickBot="1" x14ac:dyDescent="0.25">
      <c r="A42" s="656"/>
      <c r="B42" s="657"/>
      <c r="C42" s="637"/>
      <c r="D42" s="358"/>
      <c r="E42" s="649" t="s">
        <v>345</v>
      </c>
      <c r="F42" s="650">
        <f>IF(Grundlagen!$C$14="",0,F41/Grundlagen!$C$14)</f>
        <v>0</v>
      </c>
      <c r="G42" s="663"/>
      <c r="H42" s="664"/>
      <c r="I42" s="934">
        <f>I41+J41+K41</f>
        <v>0</v>
      </c>
      <c r="J42" s="940"/>
      <c r="K42" s="935"/>
      <c r="L42" s="934">
        <f>SUM(L41:M41)</f>
        <v>0</v>
      </c>
      <c r="M42" s="935"/>
      <c r="N42" s="665"/>
      <c r="O42" s="665"/>
      <c r="P42" s="659"/>
    </row>
    <row r="43" spans="1:16" s="598" customFormat="1" x14ac:dyDescent="0.2">
      <c r="A43" s="654" t="s">
        <v>701</v>
      </c>
      <c r="B43" s="646"/>
      <c r="C43" s="666"/>
      <c r="D43" s="648"/>
      <c r="E43" s="646"/>
      <c r="F43" s="655"/>
      <c r="G43" s="646"/>
      <c r="H43" s="667"/>
      <c r="I43" s="668"/>
      <c r="J43" s="668"/>
      <c r="M43" s="607"/>
      <c r="N43" s="607"/>
      <c r="O43" s="607"/>
      <c r="P43" s="608"/>
    </row>
    <row r="44" spans="1:16" s="156" customFormat="1" ht="27.75" customHeight="1" x14ac:dyDescent="0.25">
      <c r="A44" s="609">
        <v>1</v>
      </c>
      <c r="B44" s="610" t="str">
        <f>IF('techn.Personal - Reinigungskr.'!$D$447="","",'techn.Personal - Reinigungskr.'!$D$447)</f>
        <v/>
      </c>
      <c r="C44" s="611" t="str">
        <f>IF('techn.Personal - Reinigungskr.'!$D$447="","",1)</f>
        <v/>
      </c>
      <c r="D44" s="612" t="str">
        <f>IF('techn.Personal - Reinigungskr.'!$D$451="","",'techn.Personal - Reinigungskr.'!$D$451)</f>
        <v/>
      </c>
      <c r="E44" s="610" t="str">
        <f>IF('techn.Personal - Reinigungskr.'!$D$449="","",'techn.Personal - Reinigungskr.'!$D$449)</f>
        <v/>
      </c>
      <c r="F44" s="660" t="str">
        <f>IF('techn.Personal - Reinigungskr.'!$L$451="","",'techn.Personal - Reinigungskr.'!$L$451)</f>
        <v/>
      </c>
      <c r="G44" s="610" t="str">
        <f>IF('techn.Personal - Reinigungskr.'!$D$448="","",'techn.Personal - Reinigungskr.'!$D$448)</f>
        <v/>
      </c>
      <c r="H44" s="614" t="str">
        <f>IF('techn.Personal - Reinigungskr.'!$L$446="","",'techn.Personal - Reinigungskr.'!$L$446)</f>
        <v/>
      </c>
      <c r="I44" s="615">
        <f>'techn.Personal - Reinigungskr.'!$G$478+'techn.Personal - Reinigungskr.'!$N$478</f>
        <v>0</v>
      </c>
      <c r="J44" s="615">
        <f>'techn.Personal - Reinigungskr.'!$H$478</f>
        <v>0</v>
      </c>
      <c r="K44" s="615">
        <f>'techn.Personal - Reinigungskr.'!$O$478</f>
        <v>0</v>
      </c>
      <c r="L44" s="615">
        <f>'techn.Personal - Reinigungskr.'!$P$480</f>
        <v>0</v>
      </c>
      <c r="M44" s="615">
        <f>'techn.Personal - Reinigungskr.'!$P$481</f>
        <v>0</v>
      </c>
      <c r="N44" s="615">
        <f>'techn.Personal - Reinigungskr.'!$P$482</f>
        <v>0</v>
      </c>
      <c r="O44" s="616">
        <f>'techn.Personal - Reinigungskr.'!$P$483</f>
        <v>0</v>
      </c>
      <c r="P44" s="617">
        <f>SUM(I44:O44)</f>
        <v>0</v>
      </c>
    </row>
    <row r="45" spans="1:16" s="156" customFormat="1" ht="27.75" customHeight="1" x14ac:dyDescent="0.25">
      <c r="A45" s="609">
        <v>2</v>
      </c>
      <c r="B45" s="610" t="str">
        <f>IF('techn.Personal - Reinigungskr.'!$D$491="","",'techn.Personal - Reinigungskr.'!$D$491)</f>
        <v/>
      </c>
      <c r="C45" s="611" t="str">
        <f>IF('techn.Personal - Reinigungskr.'!$D$491="","",1)</f>
        <v/>
      </c>
      <c r="D45" s="612" t="str">
        <f>IF('techn.Personal - Reinigungskr.'!$D$495="","",'techn.Personal - Reinigungskr.'!$D$495)</f>
        <v/>
      </c>
      <c r="E45" s="610" t="str">
        <f>IF('techn.Personal - Reinigungskr.'!$D$493="","",'techn.Personal - Reinigungskr.'!$D$493)</f>
        <v/>
      </c>
      <c r="F45" s="660" t="str">
        <f>IF('techn.Personal - Reinigungskr.'!$L$495="","",'techn.Personal - Reinigungskr.'!$L$495)</f>
        <v/>
      </c>
      <c r="G45" s="610" t="str">
        <f>IF('techn.Personal - Reinigungskr.'!$D$492="","",'techn.Personal - Reinigungskr.'!$D$492)</f>
        <v/>
      </c>
      <c r="H45" s="614" t="str">
        <f>IF('techn.Personal - Reinigungskr.'!$L$490="","",'techn.Personal - Reinigungskr.'!$L$490)</f>
        <v/>
      </c>
      <c r="I45" s="615">
        <f>'techn.Personal - Reinigungskr.'!$G$522+'techn.Personal - Reinigungskr.'!$N$522</f>
        <v>0</v>
      </c>
      <c r="J45" s="615">
        <f>'techn.Personal - Reinigungskr.'!$H$522</f>
        <v>0</v>
      </c>
      <c r="K45" s="615">
        <f>'techn.Personal - Reinigungskr.'!$O$522</f>
        <v>0</v>
      </c>
      <c r="L45" s="615">
        <f>'techn.Personal - Reinigungskr.'!$P$524</f>
        <v>0</v>
      </c>
      <c r="M45" s="615">
        <f>'techn.Personal - Reinigungskr.'!$P$525</f>
        <v>0</v>
      </c>
      <c r="N45" s="615">
        <f>'techn.Personal - Reinigungskr.'!$P$526</f>
        <v>0</v>
      </c>
      <c r="O45" s="616">
        <f>'techn.Personal - Reinigungskr.'!$P$527</f>
        <v>0</v>
      </c>
      <c r="P45" s="617">
        <f t="shared" ref="P45" si="5">SUM(I45:O45)</f>
        <v>0</v>
      </c>
    </row>
    <row r="46" spans="1:16" s="156" customFormat="1" ht="27.75" customHeight="1" x14ac:dyDescent="0.2">
      <c r="A46" s="636"/>
      <c r="B46" s="490" t="s">
        <v>695</v>
      </c>
      <c r="C46" s="637"/>
      <c r="D46" s="638">
        <f>IF(SUM(C44:C45)=0,0,SUM(C44:C45))</f>
        <v>0</v>
      </c>
      <c r="E46" s="490" t="s">
        <v>696</v>
      </c>
      <c r="F46" s="639">
        <f>SUM(F44:F45)</f>
        <v>0</v>
      </c>
      <c r="G46" s="320"/>
      <c r="I46" s="669">
        <f t="shared" ref="I46:L46" si="6">SUM(I44:I45)</f>
        <v>0</v>
      </c>
      <c r="J46" s="669">
        <f t="shared" si="6"/>
        <v>0</v>
      </c>
      <c r="K46" s="669">
        <f t="shared" si="6"/>
        <v>0</v>
      </c>
      <c r="L46" s="669">
        <f t="shared" si="6"/>
        <v>0</v>
      </c>
      <c r="M46" s="669">
        <f>SUM(M44:M45)</f>
        <v>0</v>
      </c>
      <c r="N46" s="669">
        <f>SUM(N44:N45)</f>
        <v>0</v>
      </c>
      <c r="O46" s="670">
        <f>SUM(O44:O45)</f>
        <v>0</v>
      </c>
      <c r="P46" s="645">
        <f>SUM(P44:P45)</f>
        <v>0</v>
      </c>
    </row>
    <row r="47" spans="1:16" s="118" customFormat="1" ht="27.75" customHeight="1" x14ac:dyDescent="0.2">
      <c r="A47" s="656"/>
      <c r="B47" s="657"/>
      <c r="C47" s="637"/>
      <c r="D47" s="358"/>
      <c r="E47" s="649" t="s">
        <v>345</v>
      </c>
      <c r="F47" s="650">
        <f>IF(Grundlagen!$C$14="",0,F46/Grundlagen!$C$14)</f>
        <v>0</v>
      </c>
      <c r="G47" s="658"/>
      <c r="I47" s="933"/>
      <c r="J47" s="933"/>
      <c r="K47" s="933"/>
      <c r="L47" s="933"/>
      <c r="M47" s="933"/>
      <c r="N47" s="933"/>
      <c r="O47" s="933"/>
      <c r="P47" s="659"/>
    </row>
    <row r="48" spans="1:16" s="598" customFormat="1" ht="15" customHeight="1" x14ac:dyDescent="0.2">
      <c r="A48" s="963" t="s">
        <v>702</v>
      </c>
      <c r="B48" s="963"/>
      <c r="C48" s="963"/>
      <c r="D48" s="963"/>
      <c r="E48" s="963"/>
      <c r="F48" s="963"/>
      <c r="G48" s="963"/>
      <c r="H48" s="963"/>
      <c r="I48" s="938" t="s">
        <v>699</v>
      </c>
      <c r="J48" s="938" t="s">
        <v>700</v>
      </c>
      <c r="M48" s="607"/>
      <c r="N48" s="607"/>
      <c r="O48" s="607"/>
      <c r="P48" s="608"/>
    </row>
    <row r="49" spans="1:16" s="598" customFormat="1" x14ac:dyDescent="0.2">
      <c r="A49" s="964"/>
      <c r="B49" s="964"/>
      <c r="C49" s="964"/>
      <c r="D49" s="964"/>
      <c r="E49" s="964"/>
      <c r="F49" s="964"/>
      <c r="G49" s="964"/>
      <c r="H49" s="964"/>
      <c r="I49" s="939"/>
      <c r="J49" s="939"/>
      <c r="M49" s="607"/>
      <c r="N49" s="607"/>
      <c r="O49" s="607"/>
      <c r="P49" s="608"/>
    </row>
    <row r="50" spans="1:16" s="156" customFormat="1" ht="27.75" customHeight="1" x14ac:dyDescent="0.25">
      <c r="A50" s="609">
        <v>1</v>
      </c>
      <c r="B50" s="610" t="str">
        <f>IF('techn.Personal - Wirtschaftskr.'!$D$7="","",'techn.Personal - Wirtschaftskr.'!$D$7)</f>
        <v/>
      </c>
      <c r="C50" s="611" t="str">
        <f>IF('techn.Personal - Wirtschaftskr.'!$D$7="","",1)</f>
        <v/>
      </c>
      <c r="D50" s="671" t="str">
        <f>IF('techn.Personal - Wirtschaftskr.'!$D$11="","",'techn.Personal - Wirtschaftskr.'!$D$11)</f>
        <v/>
      </c>
      <c r="E50" s="610" t="str">
        <f>IF('techn.Personal - Wirtschaftskr.'!$D$9="","",'techn.Personal - Wirtschaftskr.'!$D$9)</f>
        <v/>
      </c>
      <c r="F50" s="613" t="str">
        <f>IF('techn.Personal - Wirtschaftskr.'!$L$11="","",'techn.Personal - Wirtschaftskr.'!$L$11)</f>
        <v/>
      </c>
      <c r="G50" s="610" t="str">
        <f>IF('techn.Personal - Wirtschaftskr.'!$D$8="","",'techn.Personal - Wirtschaftskr.'!$D$8)</f>
        <v/>
      </c>
      <c r="H50" s="614" t="str">
        <f>IF('techn.Personal - Wirtschaftskr.'!$L$6="","",'techn.Personal - Wirtschaftskr.'!$L$6)</f>
        <v/>
      </c>
      <c r="I50" s="615">
        <f>'techn.Personal - Wirtschaftskr.'!$G$38</f>
        <v>0</v>
      </c>
      <c r="J50" s="615">
        <f>'techn.Personal - Wirtschaftskr.'!$H$38</f>
        <v>0</v>
      </c>
      <c r="K50" s="615">
        <f>'techn.Personal - Wirtschaftskr.'!$O$38</f>
        <v>0</v>
      </c>
      <c r="L50" s="615">
        <f>'techn.Personal - Wirtschaftskr.'!$P$40</f>
        <v>0</v>
      </c>
      <c r="M50" s="615">
        <f>'techn.Personal - Wirtschaftskr.'!$P$41</f>
        <v>0</v>
      </c>
      <c r="N50" s="615">
        <f>'techn.Personal - Wirtschaftskr.'!$P$42</f>
        <v>0</v>
      </c>
      <c r="O50" s="616">
        <f>'techn.Personal - Wirtschaftskr.'!$P$43</f>
        <v>0</v>
      </c>
      <c r="P50" s="617">
        <f>SUM(I50:O50)</f>
        <v>0</v>
      </c>
    </row>
    <row r="51" spans="1:16" s="156" customFormat="1" ht="27.75" customHeight="1" x14ac:dyDescent="0.25">
      <c r="A51" s="609">
        <v>2</v>
      </c>
      <c r="B51" s="610" t="str">
        <f>IF('techn.Personal - Wirtschaftskr.'!$D$51="","",'techn.Personal - Wirtschaftskr.'!$D$51)</f>
        <v/>
      </c>
      <c r="C51" s="611" t="str">
        <f>IF('techn.Personal - Wirtschaftskr.'!$D$51="","",1)</f>
        <v/>
      </c>
      <c r="D51" s="671" t="str">
        <f>IF('techn.Personal - Wirtschaftskr.'!$D$55="","",'techn.Personal - Wirtschaftskr.'!$D$55)</f>
        <v/>
      </c>
      <c r="E51" s="610" t="str">
        <f>IF('techn.Personal - Wirtschaftskr.'!$D$53="","",'techn.Personal - Wirtschaftskr.'!$D$53)</f>
        <v/>
      </c>
      <c r="F51" s="613" t="str">
        <f>IF('techn.Personal - Wirtschaftskr.'!$L$55="","",'techn.Personal - Wirtschaftskr.'!$L$55)</f>
        <v/>
      </c>
      <c r="G51" s="610" t="str">
        <f>IF('techn.Personal - Wirtschaftskr.'!$D$52="","",'techn.Personal - Wirtschaftskr.'!$D$52)</f>
        <v/>
      </c>
      <c r="H51" s="614" t="str">
        <f>IF('techn.Personal - Wirtschaftskr.'!$L$50="","",'techn.Personal - Wirtschaftskr.'!$L$50)</f>
        <v/>
      </c>
      <c r="I51" s="615">
        <f>'techn.Personal - Wirtschaftskr.'!$G$82</f>
        <v>0</v>
      </c>
      <c r="J51" s="615">
        <f>'techn.Personal - Wirtschaftskr.'!$H$82</f>
        <v>0</v>
      </c>
      <c r="K51" s="615">
        <f>'techn.Personal - Wirtschaftskr.'!$O$82</f>
        <v>0</v>
      </c>
      <c r="L51" s="615">
        <f>'techn.Personal - Wirtschaftskr.'!$P$84</f>
        <v>0</v>
      </c>
      <c r="M51" s="615">
        <f>'techn.Personal - Wirtschaftskr.'!$P$85</f>
        <v>0</v>
      </c>
      <c r="N51" s="615">
        <f>'techn.Personal - Wirtschaftskr.'!$P$86</f>
        <v>0</v>
      </c>
      <c r="O51" s="616">
        <f>'techn.Personal - Wirtschaftskr.'!$P$87</f>
        <v>0</v>
      </c>
      <c r="P51" s="617">
        <f t="shared" ref="P51:P63" si="7">SUM(I51:O51)</f>
        <v>0</v>
      </c>
    </row>
    <row r="52" spans="1:16" s="156" customFormat="1" ht="27.75" customHeight="1" x14ac:dyDescent="0.25">
      <c r="A52" s="609">
        <v>3</v>
      </c>
      <c r="B52" s="610" t="str">
        <f>IF('techn.Personal - Wirtschaftskr.'!$D$95="","",'techn.Personal - Wirtschaftskr.'!$D$95)</f>
        <v/>
      </c>
      <c r="C52" s="611" t="str">
        <f>IF('techn.Personal - Wirtschaftskr.'!$D$95="","",1)</f>
        <v/>
      </c>
      <c r="D52" s="671" t="str">
        <f>IF('techn.Personal - Wirtschaftskr.'!$D$99="","",'techn.Personal - Wirtschaftskr.'!$D$99)</f>
        <v/>
      </c>
      <c r="E52" s="610" t="str">
        <f>IF('techn.Personal - Wirtschaftskr.'!$D$97="","",'techn.Personal - Wirtschaftskr.'!$D$97)</f>
        <v/>
      </c>
      <c r="F52" s="613" t="str">
        <f>IF('techn.Personal - Wirtschaftskr.'!$L$99="","",'techn.Personal - Wirtschaftskr.'!$L$99)</f>
        <v/>
      </c>
      <c r="G52" s="610" t="str">
        <f>IF('techn.Personal - Wirtschaftskr.'!$D$96="","",'techn.Personal - Wirtschaftskr.'!$D$96)</f>
        <v/>
      </c>
      <c r="H52" s="614" t="str">
        <f>IF('techn.Personal - Wirtschaftskr.'!$L$94="","",'techn.Personal - Wirtschaftskr.'!$L$94)</f>
        <v/>
      </c>
      <c r="I52" s="615">
        <f>'techn.Personal - Wirtschaftskr.'!$G$126</f>
        <v>0</v>
      </c>
      <c r="J52" s="615">
        <f>'techn.Personal - Wirtschaftskr.'!$H$126</f>
        <v>0</v>
      </c>
      <c r="K52" s="615">
        <f>'techn.Personal - Wirtschaftskr.'!$O$126</f>
        <v>0</v>
      </c>
      <c r="L52" s="615">
        <f>'techn.Personal - Wirtschaftskr.'!$P$128</f>
        <v>0</v>
      </c>
      <c r="M52" s="615">
        <f>'techn.Personal - Wirtschaftskr.'!$P$129</f>
        <v>0</v>
      </c>
      <c r="N52" s="615">
        <f>'techn.Personal - Wirtschaftskr.'!$P$130</f>
        <v>0</v>
      </c>
      <c r="O52" s="616">
        <f>'techn.Personal - Wirtschaftskr.'!$P$131</f>
        <v>0</v>
      </c>
      <c r="P52" s="617">
        <f t="shared" si="7"/>
        <v>0</v>
      </c>
    </row>
    <row r="53" spans="1:16" s="156" customFormat="1" ht="27.75" customHeight="1" x14ac:dyDescent="0.25">
      <c r="A53" s="609">
        <v>4</v>
      </c>
      <c r="B53" s="610" t="str">
        <f>IF('techn.Personal - Wirtschaftskr.'!$D$139="","",'techn.Personal - Wirtschaftskr.'!$D$139)</f>
        <v/>
      </c>
      <c r="C53" s="611" t="str">
        <f>IF('techn.Personal - Wirtschaftskr.'!$D$139="","",1)</f>
        <v/>
      </c>
      <c r="D53" s="671" t="str">
        <f>IF('techn.Personal - Wirtschaftskr.'!$D$143="","",'techn.Personal - Wirtschaftskr.'!$D$143)</f>
        <v/>
      </c>
      <c r="E53" s="610" t="str">
        <f>IF('techn.Personal - Wirtschaftskr.'!$D$141="","",'techn.Personal - Wirtschaftskr.'!$D$141)</f>
        <v/>
      </c>
      <c r="F53" s="613" t="str">
        <f>IF('techn.Personal - Wirtschaftskr.'!$L$143="","",'techn.Personal - Wirtschaftskr.'!$L$143)</f>
        <v/>
      </c>
      <c r="G53" s="610" t="str">
        <f>IF('techn.Personal - Wirtschaftskr.'!$D$140="","",'techn.Personal - Wirtschaftskr.'!$D$140)</f>
        <v/>
      </c>
      <c r="H53" s="614" t="str">
        <f>IF('techn.Personal - Wirtschaftskr.'!$L$138="","",'techn.Personal - Wirtschaftskr.'!$L$138)</f>
        <v/>
      </c>
      <c r="I53" s="615">
        <f>'techn.Personal - Wirtschaftskr.'!$G$170</f>
        <v>0</v>
      </c>
      <c r="J53" s="615">
        <f>'techn.Personal - Wirtschaftskr.'!$H$170</f>
        <v>0</v>
      </c>
      <c r="K53" s="615">
        <f>'techn.Personal - Wirtschaftskr.'!$O$170</f>
        <v>0</v>
      </c>
      <c r="L53" s="615">
        <f>'techn.Personal - Wirtschaftskr.'!$P$172</f>
        <v>0</v>
      </c>
      <c r="M53" s="615">
        <f>'techn.Personal - Wirtschaftskr.'!$P$173</f>
        <v>0</v>
      </c>
      <c r="N53" s="615">
        <f>'techn.Personal - Wirtschaftskr.'!$P$174</f>
        <v>0</v>
      </c>
      <c r="O53" s="616">
        <f>'techn.Personal - Wirtschaftskr.'!$P$175</f>
        <v>0</v>
      </c>
      <c r="P53" s="617">
        <f t="shared" si="7"/>
        <v>0</v>
      </c>
    </row>
    <row r="54" spans="1:16" s="156" customFormat="1" ht="27.75" customHeight="1" thickBot="1" x14ac:dyDescent="0.3">
      <c r="A54" s="618">
        <v>5</v>
      </c>
      <c r="B54" s="619" t="str">
        <f>IF('techn.Personal - Wirtschaftskr.'!$D$183="","",'techn.Personal - Wirtschaftskr.'!$D$183)</f>
        <v/>
      </c>
      <c r="C54" s="620" t="str">
        <f>IF('techn.Personal - Wirtschaftskr.'!$D$183="","",1)</f>
        <v/>
      </c>
      <c r="D54" s="672" t="str">
        <f>IF('techn.Personal - Wirtschaftskr.'!$D$187="","",'techn.Personal - Wirtschaftskr.'!$D$187)</f>
        <v/>
      </c>
      <c r="E54" s="619" t="str">
        <f>IF('techn.Personal - Wirtschaftskr.'!$D$185="","",'techn.Personal - Wirtschaftskr.'!$D$185)</f>
        <v/>
      </c>
      <c r="F54" s="622" t="str">
        <f>IF('techn.Personal - Wirtschaftskr.'!$L$187="","",'techn.Personal - Wirtschaftskr.'!$L$187)</f>
        <v/>
      </c>
      <c r="G54" s="619" t="str">
        <f>IF('techn.Personal - Wirtschaftskr.'!$D$184="","",'techn.Personal - Wirtschaftskr.'!$D$184)</f>
        <v/>
      </c>
      <c r="H54" s="623" t="str">
        <f>IF('techn.Personal - Wirtschaftskr.'!$L$182="","",'techn.Personal - Wirtschaftskr.'!$L$182)</f>
        <v/>
      </c>
      <c r="I54" s="624">
        <f>'techn.Personal - Wirtschaftskr.'!$G$214</f>
        <v>0</v>
      </c>
      <c r="J54" s="624">
        <f>'techn.Personal - Wirtschaftskr.'!$H$214</f>
        <v>0</v>
      </c>
      <c r="K54" s="624">
        <f>'techn.Personal - Wirtschaftskr.'!$O$214</f>
        <v>0</v>
      </c>
      <c r="L54" s="624">
        <f>'techn.Personal - Wirtschaftskr.'!$P$216</f>
        <v>0</v>
      </c>
      <c r="M54" s="624">
        <f>'techn.Personal - Wirtschaftskr.'!$P$217</f>
        <v>0</v>
      </c>
      <c r="N54" s="624">
        <f>'techn.Personal - Wirtschaftskr.'!$P$218</f>
        <v>0</v>
      </c>
      <c r="O54" s="625">
        <f>'techn.Personal - Wirtschaftskr.'!$P$219</f>
        <v>0</v>
      </c>
      <c r="P54" s="617">
        <f t="shared" si="7"/>
        <v>0</v>
      </c>
    </row>
    <row r="55" spans="1:16" s="156" customFormat="1" ht="27.75" customHeight="1" x14ac:dyDescent="0.25">
      <c r="A55" s="627">
        <v>1</v>
      </c>
      <c r="B55" s="628" t="str">
        <f>IF('techn.Personal - Wirtschaftskr.'!$D$227="","",'techn.Personal - Wirtschaftskr.'!$D$227)</f>
        <v/>
      </c>
      <c r="C55" s="629" t="str">
        <f>IF('techn.Personal - Wirtschaftskr.'!$D$227="","",1)</f>
        <v/>
      </c>
      <c r="D55" s="673" t="str">
        <f>IF('techn.Personal - Wirtschaftskr.'!$D$231="","",'techn.Personal - Wirtschaftskr.'!$D$231)</f>
        <v/>
      </c>
      <c r="E55" s="628" t="str">
        <f>IF('techn.Personal - Wirtschaftskr.'!$D$229="","",'techn.Personal - Wirtschaftskr.'!$D$229)</f>
        <v/>
      </c>
      <c r="F55" s="631" t="str">
        <f>IF('techn.Personal - Wirtschaftskr.'!$L$231="","",'techn.Personal - Wirtschaftskr.'!$L$231)</f>
        <v/>
      </c>
      <c r="G55" s="628" t="str">
        <f>IF('techn.Personal - Wirtschaftskr.'!$D$228="","",'techn.Personal - Wirtschaftskr.'!$D$228)</f>
        <v/>
      </c>
      <c r="H55" s="632" t="str">
        <f>IF('techn.Personal - Wirtschaftskr.'!$L$226="","",'techn.Personal - Wirtschaftskr.'!$L$226)</f>
        <v/>
      </c>
      <c r="I55" s="633">
        <f>'techn.Personal - Wirtschaftskr.'!$G$258+'techn.Personal - Wirtschaftskr.'!$N$258</f>
        <v>0</v>
      </c>
      <c r="J55" s="633">
        <f>'techn.Personal - Wirtschaftskr.'!$H$258</f>
        <v>0</v>
      </c>
      <c r="K55" s="633">
        <f>'techn.Personal - Wirtschaftskr.'!$O$258</f>
        <v>0</v>
      </c>
      <c r="L55" s="633">
        <f>'techn.Personal - Wirtschaftskr.'!$P$260</f>
        <v>0</v>
      </c>
      <c r="M55" s="633">
        <f>'techn.Personal - Wirtschaftskr.'!$P$261</f>
        <v>0</v>
      </c>
      <c r="N55" s="633">
        <f>'techn.Personal - Wirtschaftskr.'!$P$262</f>
        <v>0</v>
      </c>
      <c r="O55" s="634">
        <f>'techn.Personal - Wirtschaftskr.'!$P$263</f>
        <v>0</v>
      </c>
      <c r="P55" s="617">
        <f t="shared" si="7"/>
        <v>0</v>
      </c>
    </row>
    <row r="56" spans="1:16" s="156" customFormat="1" ht="27.75" customHeight="1" x14ac:dyDescent="0.25">
      <c r="A56" s="609">
        <v>2</v>
      </c>
      <c r="B56" s="628" t="str">
        <f>IF('techn.Personal - Wirtschaftskr.'!$D$271="","",'techn.Personal - Wirtschaftskr.'!$D$271)</f>
        <v/>
      </c>
      <c r="C56" s="629" t="str">
        <f>IF('techn.Personal - Wirtschaftskr.'!$D$271="","",1)</f>
        <v/>
      </c>
      <c r="D56" s="673" t="str">
        <f>IF('techn.Personal - Wirtschaftskr.'!$D$275="","",'techn.Personal - Wirtschaftskr.'!$D$275)</f>
        <v/>
      </c>
      <c r="E56" s="628" t="str">
        <f>IF('techn.Personal - Wirtschaftskr.'!$D$273="","",'techn.Personal - Wirtschaftskr.'!$D$273)</f>
        <v/>
      </c>
      <c r="F56" s="631" t="str">
        <f>IF('techn.Personal - Wirtschaftskr.'!$L$275="","",'techn.Personal - Wirtschaftskr.'!$L$275)</f>
        <v/>
      </c>
      <c r="G56" s="628" t="str">
        <f>IF('techn.Personal - Wirtschaftskr.'!$D$272="","",'techn.Personal - Wirtschaftskr.'!$D$272)</f>
        <v/>
      </c>
      <c r="H56" s="632" t="str">
        <f>IF('techn.Personal - Wirtschaftskr.'!$L$270="","",'techn.Personal - Wirtschaftskr.'!$L$270)</f>
        <v/>
      </c>
      <c r="I56" s="633">
        <f>'techn.Personal - Wirtschaftskr.'!$G$302+'techn.Personal - Wirtschaftskr.'!$N$302</f>
        <v>0</v>
      </c>
      <c r="J56" s="633">
        <f>'techn.Personal - Wirtschaftskr.'!$H$302</f>
        <v>0</v>
      </c>
      <c r="K56" s="633">
        <f>'techn.Personal - Wirtschaftskr.'!$O$302</f>
        <v>0</v>
      </c>
      <c r="L56" s="633">
        <f>'techn.Personal - Wirtschaftskr.'!$P$304</f>
        <v>0</v>
      </c>
      <c r="M56" s="633">
        <f>'techn.Personal - Wirtschaftskr.'!$P$305</f>
        <v>0</v>
      </c>
      <c r="N56" s="633">
        <f>'techn.Personal - Wirtschaftskr.'!$P$306</f>
        <v>0</v>
      </c>
      <c r="O56" s="634">
        <f>'techn.Personal - Wirtschaftskr.'!$P$307</f>
        <v>0</v>
      </c>
      <c r="P56" s="617">
        <f t="shared" si="7"/>
        <v>0</v>
      </c>
    </row>
    <row r="57" spans="1:16" s="156" customFormat="1" ht="27.75" customHeight="1" thickBot="1" x14ac:dyDescent="0.25">
      <c r="A57" s="636"/>
      <c r="B57" s="490" t="s">
        <v>695</v>
      </c>
      <c r="C57" s="637"/>
      <c r="D57" s="638">
        <f>IF(SUM(C50:C56)=0,0,SUM(C50:C56))</f>
        <v>0</v>
      </c>
      <c r="E57" s="490" t="s">
        <v>696</v>
      </c>
      <c r="F57" s="639">
        <f>SUM(F50:F56)</f>
        <v>0</v>
      </c>
      <c r="G57" s="640" t="str">
        <f>IF(Grundlagen!$C$21="","",Grundlagen!$C$21*25/100)</f>
        <v/>
      </c>
      <c r="H57" s="641" t="str">
        <f>IF(G57="","","h max.")</f>
        <v/>
      </c>
      <c r="I57" s="674">
        <f>SUM(I50:I56)</f>
        <v>0</v>
      </c>
      <c r="J57" s="674">
        <f t="shared" ref="J57:O57" si="8">SUM(J50:J56)</f>
        <v>0</v>
      </c>
      <c r="K57" s="674">
        <f t="shared" si="8"/>
        <v>0</v>
      </c>
      <c r="L57" s="669">
        <f t="shared" si="8"/>
        <v>0</v>
      </c>
      <c r="M57" s="669">
        <f t="shared" si="8"/>
        <v>0</v>
      </c>
      <c r="N57" s="674">
        <f t="shared" si="8"/>
        <v>0</v>
      </c>
      <c r="O57" s="675">
        <f t="shared" si="8"/>
        <v>0</v>
      </c>
      <c r="P57" s="645">
        <f>SUM(P50:P56)</f>
        <v>0</v>
      </c>
    </row>
    <row r="58" spans="1:16" s="118" customFormat="1" ht="27.75" customHeight="1" thickBot="1" x14ac:dyDescent="0.25">
      <c r="A58" s="656"/>
      <c r="B58" s="657"/>
      <c r="C58" s="637"/>
      <c r="D58" s="358"/>
      <c r="E58" s="649" t="s">
        <v>345</v>
      </c>
      <c r="F58" s="650">
        <f>IF(Grundlagen!$C$14="",0,F57/Grundlagen!$C$14)</f>
        <v>0</v>
      </c>
      <c r="G58" s="663"/>
      <c r="H58" s="664"/>
      <c r="I58" s="934">
        <f>I57+J57+K57</f>
        <v>0</v>
      </c>
      <c r="J58" s="940"/>
      <c r="K58" s="935"/>
      <c r="L58" s="934">
        <f>SUM(L57:M57)</f>
        <v>0</v>
      </c>
      <c r="M58" s="935"/>
      <c r="N58" s="665"/>
      <c r="O58" s="665"/>
      <c r="P58" s="676"/>
    </row>
    <row r="59" spans="1:16" s="598" customFormat="1" x14ac:dyDescent="0.2">
      <c r="A59" s="636"/>
      <c r="B59" s="646"/>
      <c r="C59" s="666"/>
      <c r="D59" s="648"/>
      <c r="E59" s="646"/>
      <c r="F59" s="655"/>
      <c r="G59" s="646"/>
      <c r="H59" s="667"/>
      <c r="I59" s="677"/>
      <c r="J59" s="677"/>
      <c r="M59" s="607"/>
      <c r="N59" s="607"/>
      <c r="O59" s="607"/>
      <c r="P59" s="676"/>
    </row>
    <row r="60" spans="1:16" s="598" customFormat="1" x14ac:dyDescent="0.2">
      <c r="A60" s="654" t="s">
        <v>703</v>
      </c>
      <c r="B60" s="646"/>
      <c r="C60" s="666"/>
      <c r="D60" s="648"/>
      <c r="E60" s="646"/>
      <c r="F60" s="655"/>
      <c r="G60" s="646"/>
      <c r="H60" s="667"/>
      <c r="I60" s="678"/>
      <c r="J60" s="678"/>
      <c r="M60" s="607"/>
      <c r="N60" s="607"/>
      <c r="O60" s="607"/>
      <c r="P60" s="676"/>
    </row>
    <row r="61" spans="1:16" s="156" customFormat="1" ht="27.75" customHeight="1" x14ac:dyDescent="0.25">
      <c r="A61" s="609">
        <v>1</v>
      </c>
      <c r="B61" s="610" t="str">
        <f>IF('techn.Personal - Wirtschaftskr.'!$D$315="","",'techn.Personal - Wirtschaftskr.'!$D$315)</f>
        <v/>
      </c>
      <c r="C61" s="611" t="str">
        <f>IF('techn.Personal - Wirtschaftskr.'!$D$315="","",1)</f>
        <v/>
      </c>
      <c r="D61" s="671" t="str">
        <f>IF('techn.Personal - Wirtschaftskr.'!$D$319="","",'techn.Personal - Wirtschaftskr.'!$D$319)</f>
        <v/>
      </c>
      <c r="E61" s="610" t="str">
        <f>IF('techn.Personal - Wirtschaftskr.'!$D$317="","",'techn.Personal - Wirtschaftskr.'!$D$317)</f>
        <v/>
      </c>
      <c r="F61" s="613" t="str">
        <f>IF('techn.Personal - Wirtschaftskr.'!$L$319="","",'techn.Personal - Wirtschaftskr.'!$L$319)</f>
        <v/>
      </c>
      <c r="G61" s="610" t="str">
        <f>IF('techn.Personal - Wirtschaftskr.'!$D$316="","",'techn.Personal - Wirtschaftskr.'!$D$316)</f>
        <v/>
      </c>
      <c r="H61" s="614" t="str">
        <f>IF('techn.Personal - Wirtschaftskr.'!$L$314="","",'techn.Personal - Wirtschaftskr.'!$L$314)</f>
        <v/>
      </c>
      <c r="I61" s="615">
        <f>'techn.Personal - Wirtschaftskr.'!$G$346+'techn.Personal - Wirtschaftskr.'!$N$346</f>
        <v>0</v>
      </c>
      <c r="J61" s="615">
        <f>'techn.Personal - Wirtschaftskr.'!$H$346</f>
        <v>0</v>
      </c>
      <c r="K61" s="615">
        <f>'techn.Personal - Wirtschaftskr.'!$O$346</f>
        <v>0</v>
      </c>
      <c r="L61" s="615">
        <f>'techn.Personal - Wirtschaftskr.'!$P$348</f>
        <v>0</v>
      </c>
      <c r="M61" s="615">
        <f>'techn.Personal - Wirtschaftskr.'!$P$349</f>
        <v>0</v>
      </c>
      <c r="N61" s="615">
        <f>'techn.Personal - Wirtschaftskr.'!$P$350</f>
        <v>0</v>
      </c>
      <c r="O61" s="616">
        <f>'techn.Personal - Wirtschaftskr.'!$P$351</f>
        <v>0</v>
      </c>
      <c r="P61" s="617">
        <f t="shared" si="7"/>
        <v>0</v>
      </c>
    </row>
    <row r="62" spans="1:16" s="156" customFormat="1" ht="27.75" customHeight="1" x14ac:dyDescent="0.25">
      <c r="A62" s="609">
        <v>2</v>
      </c>
      <c r="B62" s="628" t="str">
        <f>IF('techn.Personal - Wirtschaftskr.'!$D$359="","",'techn.Personal - Wirtschaftskr.'!$D$359)</f>
        <v/>
      </c>
      <c r="C62" s="629" t="str">
        <f>IF('techn.Personal - Wirtschaftskr.'!$D$359="","",1)</f>
        <v/>
      </c>
      <c r="D62" s="673" t="str">
        <f>IF('techn.Personal - Wirtschaftskr.'!$D$363="","",'techn.Personal - Wirtschaftskr.'!$D$363)</f>
        <v/>
      </c>
      <c r="E62" s="628" t="str">
        <f>IF('techn.Personal - Wirtschaftskr.'!$D$361="","",'techn.Personal - Wirtschaftskr.'!$D$361)</f>
        <v/>
      </c>
      <c r="F62" s="631" t="str">
        <f>IF('techn.Personal - Wirtschaftskr.'!$L$363="","",'techn.Personal - Wirtschaftskr.'!$L$363)</f>
        <v/>
      </c>
      <c r="G62" s="628" t="str">
        <f>IF('techn.Personal - Wirtschaftskr.'!$D$360="","",'techn.Personal - Wirtschaftskr.'!$D$360)</f>
        <v/>
      </c>
      <c r="H62" s="632" t="str">
        <f>IF('techn.Personal - Wirtschaftskr.'!$L$358="","",'techn.Personal - Wirtschaftskr.'!$L$358)</f>
        <v/>
      </c>
      <c r="I62" s="633">
        <f>'techn.Personal - Wirtschaftskr.'!$G$390+'techn.Personal - Wirtschaftskr.'!$N$390</f>
        <v>0</v>
      </c>
      <c r="J62" s="633">
        <f>'techn.Personal - Wirtschaftskr.'!$H$390</f>
        <v>0</v>
      </c>
      <c r="K62" s="633">
        <f>'techn.Personal - Wirtschaftskr.'!$O$390</f>
        <v>0</v>
      </c>
      <c r="L62" s="633">
        <f>'techn.Personal - Wirtschaftskr.'!$P$392</f>
        <v>0</v>
      </c>
      <c r="M62" s="633">
        <f>'techn.Personal - Wirtschaftskr.'!$P$393</f>
        <v>0</v>
      </c>
      <c r="N62" s="633">
        <f>'techn.Personal - Wirtschaftskr.'!$P$394</f>
        <v>0</v>
      </c>
      <c r="O62" s="634">
        <f>'techn.Personal - Wirtschaftskr.'!$P$395</f>
        <v>0</v>
      </c>
      <c r="P62" s="617">
        <f t="shared" si="7"/>
        <v>0</v>
      </c>
    </row>
    <row r="63" spans="1:16" s="156" customFormat="1" ht="27.75" customHeight="1" x14ac:dyDescent="0.2">
      <c r="A63" s="636"/>
      <c r="B63" s="649" t="s">
        <v>695</v>
      </c>
      <c r="C63" s="679"/>
      <c r="D63" s="638">
        <f>IF(SUM(C61:C62)=0,0,SUM(C61:C62))</f>
        <v>0</v>
      </c>
      <c r="E63" s="649" t="s">
        <v>696</v>
      </c>
      <c r="F63" s="639">
        <f>SUM(F61:F62)</f>
        <v>0</v>
      </c>
      <c r="G63" s="313"/>
      <c r="H63" s="269"/>
      <c r="I63" s="669">
        <f t="shared" ref="I63:L63" si="9">SUM(I61:I62)</f>
        <v>0</v>
      </c>
      <c r="J63" s="669">
        <f t="shared" si="9"/>
        <v>0</v>
      </c>
      <c r="K63" s="669">
        <f t="shared" si="9"/>
        <v>0</v>
      </c>
      <c r="L63" s="669">
        <f t="shared" si="9"/>
        <v>0</v>
      </c>
      <c r="M63" s="669">
        <f>SUM(M61:M62)</f>
        <v>0</v>
      </c>
      <c r="N63" s="669">
        <f>SUM(N61:N62)</f>
        <v>0</v>
      </c>
      <c r="O63" s="670">
        <f>SUM(O61:O62)</f>
        <v>0</v>
      </c>
      <c r="P63" s="680">
        <f t="shared" si="7"/>
        <v>0</v>
      </c>
    </row>
    <row r="64" spans="1:16" s="118" customFormat="1" ht="27.75" customHeight="1" x14ac:dyDescent="0.2">
      <c r="A64" s="656"/>
      <c r="B64" s="357"/>
      <c r="C64" s="679"/>
      <c r="D64" s="358"/>
      <c r="E64" s="649" t="s">
        <v>345</v>
      </c>
      <c r="F64" s="650">
        <f>IF(Grundlagen!$C$14="",0,F63/Grundlagen!$C$14)</f>
        <v>0</v>
      </c>
      <c r="G64" s="681"/>
      <c r="H64" s="116"/>
      <c r="I64" s="933"/>
      <c r="J64" s="933"/>
      <c r="K64" s="933"/>
      <c r="L64" s="933"/>
      <c r="M64" s="933"/>
      <c r="N64" s="933"/>
      <c r="O64" s="933"/>
      <c r="P64" s="682"/>
    </row>
    <row r="65" spans="1:16" s="598" customFormat="1" x14ac:dyDescent="0.2">
      <c r="A65" s="636"/>
      <c r="B65" s="646"/>
      <c r="C65" s="666"/>
      <c r="D65" s="648"/>
      <c r="E65" s="646"/>
      <c r="F65" s="655"/>
      <c r="G65" s="646"/>
      <c r="H65" s="667"/>
      <c r="I65" s="678"/>
      <c r="J65" s="678"/>
      <c r="K65" s="648"/>
      <c r="L65" s="648"/>
      <c r="M65" s="607"/>
      <c r="N65" s="607"/>
      <c r="O65" s="607"/>
      <c r="P65" s="608"/>
    </row>
    <row r="66" spans="1:16" s="598" customFormat="1" x14ac:dyDescent="0.2">
      <c r="A66" s="654" t="s">
        <v>704</v>
      </c>
      <c r="B66" s="646"/>
      <c r="C66" s="666"/>
      <c r="D66" s="648"/>
      <c r="E66" s="646"/>
      <c r="F66" s="655"/>
      <c r="G66" s="646"/>
      <c r="H66" s="667"/>
      <c r="I66" s="683"/>
      <c r="J66" s="683"/>
      <c r="M66" s="607"/>
      <c r="N66" s="607"/>
      <c r="O66" s="607"/>
      <c r="P66" s="608"/>
    </row>
    <row r="67" spans="1:16" s="156" customFormat="1" ht="27.75" customHeight="1" x14ac:dyDescent="0.25">
      <c r="A67" s="609">
        <v>1</v>
      </c>
      <c r="B67" s="610" t="str">
        <f>IF('techn.Personal - sonst.gering'!$D$7="","",'techn.Personal - sonst.gering'!$D$7)</f>
        <v/>
      </c>
      <c r="C67" s="611" t="str">
        <f>IF('techn.Personal - sonst.gering'!$D$7="","",1)</f>
        <v/>
      </c>
      <c r="D67" s="671" t="str">
        <f>IF('techn.Personal - sonst.gering'!$D$11="","",'techn.Personal - sonst.gering'!$D$11)</f>
        <v/>
      </c>
      <c r="E67" s="610" t="str">
        <f>IF('techn.Personal - sonst.gering'!$D$9="","",'techn.Personal - sonst.gering'!$D$9)</f>
        <v/>
      </c>
      <c r="F67" s="660" t="str">
        <f>IF('techn.Personal - sonst.gering'!$L$11="","",'techn.Personal - sonst.gering'!$L$11)</f>
        <v/>
      </c>
      <c r="G67" s="610" t="str">
        <f>IF('techn.Personal - sonst.gering'!$D$8="","",'techn.Personal - sonst.gering'!$D$8)</f>
        <v/>
      </c>
      <c r="H67" s="684"/>
      <c r="I67" s="615">
        <f>'techn.Personal - sonst.gering'!$G$38+'techn.Personal - sonst.gering'!$N$38</f>
        <v>0</v>
      </c>
      <c r="J67" s="615">
        <f>'techn.Personal - sonst.gering'!$H$38</f>
        <v>0</v>
      </c>
      <c r="K67" s="615">
        <f>'techn.Personal - sonst.gering'!$O$38</f>
        <v>0</v>
      </c>
      <c r="L67" s="615">
        <f>'techn.Personal - sonst.gering'!$P$40</f>
        <v>0</v>
      </c>
      <c r="M67" s="615">
        <f>'techn.Personal - sonst.gering'!$P$41</f>
        <v>0</v>
      </c>
      <c r="N67" s="615">
        <f>'techn.Personal - sonst.gering'!$P$42</f>
        <v>0</v>
      </c>
      <c r="O67" s="616">
        <f>'techn.Personal - sonst.gering'!$P$43</f>
        <v>0</v>
      </c>
      <c r="P67" s="617">
        <f>SUM(I67:O67)</f>
        <v>0</v>
      </c>
    </row>
    <row r="68" spans="1:16" s="156" customFormat="1" ht="27.75" customHeight="1" x14ac:dyDescent="0.25">
      <c r="A68" s="609">
        <v>2</v>
      </c>
      <c r="B68" s="610" t="str">
        <f>IF('techn.Personal - sonst.gering'!$D$51="","",'techn.Personal - sonst.gering'!$D$51)</f>
        <v/>
      </c>
      <c r="C68" s="611" t="str">
        <f>IF('techn.Personal - sonst.gering'!$D$51="","",1)</f>
        <v/>
      </c>
      <c r="D68" s="671" t="str">
        <f>IF('techn.Personal - sonst.gering'!$D$55="","",'techn.Personal - sonst.gering'!$D$55)</f>
        <v/>
      </c>
      <c r="E68" s="610" t="str">
        <f>IF('techn.Personal - sonst.gering'!$D$53="","",'techn.Personal - sonst.gering'!$D$53)</f>
        <v/>
      </c>
      <c r="F68" s="660" t="str">
        <f>IF('techn.Personal - sonst.gering'!$L$55="","",'techn.Personal - sonst.gering'!$L$55)</f>
        <v/>
      </c>
      <c r="G68" s="610" t="str">
        <f>IF('techn.Personal - sonst.gering'!$D$52="","",'techn.Personal - sonst.gering'!$D$52)</f>
        <v/>
      </c>
      <c r="H68" s="684"/>
      <c r="I68" s="615">
        <f>'techn.Personal - sonst.gering'!$G$82+'techn.Personal - sonst.gering'!$N$82</f>
        <v>0</v>
      </c>
      <c r="J68" s="615">
        <f>'techn.Personal - sonst.gering'!$H$82</f>
        <v>0</v>
      </c>
      <c r="K68" s="615">
        <f>'techn.Personal - sonst.gering'!$O$82</f>
        <v>0</v>
      </c>
      <c r="L68" s="615">
        <f>'techn.Personal - sonst.gering'!$P$84</f>
        <v>0</v>
      </c>
      <c r="M68" s="615">
        <f>'techn.Personal - sonst.gering'!$P$85</f>
        <v>0</v>
      </c>
      <c r="N68" s="615">
        <f>'techn.Personal - sonst.gering'!$P$86</f>
        <v>0</v>
      </c>
      <c r="O68" s="616">
        <f>'techn.Personal - sonst.gering'!$P$87</f>
        <v>0</v>
      </c>
      <c r="P68" s="617">
        <f>SUM(I68:O68)</f>
        <v>0</v>
      </c>
    </row>
    <row r="69" spans="1:16" s="156" customFormat="1" ht="27.75" customHeight="1" x14ac:dyDescent="0.25">
      <c r="A69" s="609">
        <v>3</v>
      </c>
      <c r="B69" s="610" t="str">
        <f>IF('techn.Personal - sonst.gering'!$D$95="","",'techn.Personal - sonst.gering'!$D$95)</f>
        <v/>
      </c>
      <c r="C69" s="611" t="str">
        <f>IF('techn.Personal - sonst.gering'!$D$95="","",1)</f>
        <v/>
      </c>
      <c r="D69" s="671" t="str">
        <f>IF('techn.Personal - sonst.gering'!$D$99="","",'techn.Personal - sonst.gering'!$D$99)</f>
        <v/>
      </c>
      <c r="E69" s="610" t="str">
        <f>IF('techn.Personal - sonst.gering'!$D$97="","",'techn.Personal - sonst.gering'!$D$97)</f>
        <v/>
      </c>
      <c r="F69" s="660" t="str">
        <f>IF('techn.Personal - sonst.gering'!$L$99="","",'techn.Personal - sonst.gering'!$L$99)</f>
        <v/>
      </c>
      <c r="G69" s="610" t="str">
        <f>IF('techn.Personal - sonst.gering'!$D$96="","",'techn.Personal - sonst.gering'!$D$96)</f>
        <v/>
      </c>
      <c r="H69" s="684"/>
      <c r="I69" s="615">
        <f>'techn.Personal - sonst.gering'!$G$126+'techn.Personal - sonst.gering'!$N$126</f>
        <v>0</v>
      </c>
      <c r="J69" s="615">
        <f>'techn.Personal - sonst.gering'!$H$126</f>
        <v>0</v>
      </c>
      <c r="K69" s="615">
        <f>'techn.Personal - sonst.gering'!$O$126</f>
        <v>0</v>
      </c>
      <c r="L69" s="615">
        <f>'techn.Personal - sonst.gering'!$P$128</f>
        <v>0</v>
      </c>
      <c r="M69" s="615">
        <f>'techn.Personal - sonst.gering'!$P$129</f>
        <v>0</v>
      </c>
      <c r="N69" s="615">
        <f>'techn.Personal - sonst.gering'!$P$130</f>
        <v>0</v>
      </c>
      <c r="O69" s="616">
        <f>'techn.Personal - sonst.gering'!$P$131</f>
        <v>0</v>
      </c>
      <c r="P69" s="617">
        <f>SUM(I69:O69)</f>
        <v>0</v>
      </c>
    </row>
    <row r="70" spans="1:16" s="156" customFormat="1" ht="27.75" customHeight="1" x14ac:dyDescent="0.2">
      <c r="A70" s="636"/>
      <c r="B70" s="490" t="s">
        <v>695</v>
      </c>
      <c r="C70" s="637"/>
      <c r="D70" s="638">
        <f>IF(SUM(C67:C69)=0,0,SUM(C67:C69))</f>
        <v>0</v>
      </c>
      <c r="E70" s="490" t="s">
        <v>696</v>
      </c>
      <c r="F70" s="639">
        <f>SUM(F67:F69)</f>
        <v>0</v>
      </c>
      <c r="G70" s="320"/>
      <c r="I70" s="669">
        <f t="shared" ref="I70:L70" si="10">SUM(I67:I69)</f>
        <v>0</v>
      </c>
      <c r="J70" s="669">
        <f t="shared" si="10"/>
        <v>0</v>
      </c>
      <c r="K70" s="669">
        <f t="shared" si="10"/>
        <v>0</v>
      </c>
      <c r="L70" s="669">
        <f t="shared" si="10"/>
        <v>0</v>
      </c>
      <c r="M70" s="669">
        <f>SUM(M67:M69)</f>
        <v>0</v>
      </c>
      <c r="N70" s="669">
        <f>SUM(N67:N69)</f>
        <v>0</v>
      </c>
      <c r="O70" s="670">
        <f>SUM(O67:O69)</f>
        <v>0</v>
      </c>
      <c r="P70" s="645">
        <f>SUM(P67:P69)</f>
        <v>0</v>
      </c>
    </row>
    <row r="71" spans="1:16" s="118" customFormat="1" ht="27.75" customHeight="1" x14ac:dyDescent="0.2">
      <c r="A71" s="656"/>
      <c r="B71" s="657"/>
      <c r="C71" s="637"/>
      <c r="D71" s="358"/>
      <c r="E71" s="649" t="s">
        <v>345</v>
      </c>
      <c r="F71" s="650">
        <f>IF(Grundlagen!$C$14="",0,F70/Grundlagen!$C$14)</f>
        <v>0</v>
      </c>
      <c r="G71" s="658"/>
      <c r="I71" s="933"/>
      <c r="J71" s="933"/>
      <c r="K71" s="933"/>
      <c r="L71" s="933"/>
      <c r="M71" s="933"/>
      <c r="N71" s="933"/>
      <c r="O71" s="933"/>
      <c r="P71" s="659"/>
    </row>
    <row r="72" spans="1:16" x14ac:dyDescent="0.2">
      <c r="I72" s="687"/>
      <c r="J72" s="687"/>
      <c r="K72" s="687"/>
      <c r="L72" s="687"/>
      <c r="M72" s="687"/>
      <c r="N72" s="687"/>
      <c r="O72" s="687"/>
    </row>
    <row r="73" spans="1:16" x14ac:dyDescent="0.2">
      <c r="I73" s="687"/>
      <c r="J73" s="687"/>
      <c r="K73" s="687"/>
      <c r="L73" s="687"/>
      <c r="M73" s="687"/>
      <c r="N73" s="687"/>
      <c r="O73" s="687"/>
    </row>
    <row r="74" spans="1:16" x14ac:dyDescent="0.2">
      <c r="I74" s="687"/>
      <c r="J74" s="687"/>
      <c r="K74" s="687"/>
      <c r="L74" s="687"/>
      <c r="M74" s="687"/>
      <c r="N74" s="687"/>
      <c r="O74" s="687"/>
    </row>
    <row r="75" spans="1:16" x14ac:dyDescent="0.2">
      <c r="I75" s="687"/>
      <c r="J75" s="687"/>
      <c r="K75" s="687"/>
      <c r="L75" s="687"/>
      <c r="M75" s="687"/>
      <c r="N75" s="687"/>
      <c r="O75" s="687"/>
    </row>
    <row r="76" spans="1:16" x14ac:dyDescent="0.2">
      <c r="I76" s="687"/>
      <c r="J76" s="687"/>
      <c r="K76" s="687"/>
      <c r="L76" s="687"/>
      <c r="M76" s="687"/>
      <c r="N76" s="687"/>
      <c r="O76" s="687"/>
    </row>
    <row r="77" spans="1:16" x14ac:dyDescent="0.2">
      <c r="I77" s="687"/>
      <c r="J77" s="687"/>
      <c r="K77" s="687"/>
      <c r="L77" s="687"/>
      <c r="M77" s="687"/>
      <c r="N77" s="687"/>
      <c r="O77" s="687"/>
    </row>
    <row r="78" spans="1:16" x14ac:dyDescent="0.2">
      <c r="I78" s="687"/>
      <c r="J78" s="687"/>
      <c r="K78" s="687"/>
      <c r="L78" s="687"/>
      <c r="M78" s="687"/>
      <c r="N78" s="687"/>
      <c r="O78" s="687"/>
    </row>
    <row r="79" spans="1:16" x14ac:dyDescent="0.2">
      <c r="I79" s="687"/>
      <c r="J79" s="687"/>
      <c r="K79" s="687"/>
      <c r="L79" s="687"/>
      <c r="M79" s="687"/>
      <c r="N79" s="687"/>
      <c r="O79" s="687"/>
    </row>
    <row r="80" spans="1:16" x14ac:dyDescent="0.2">
      <c r="I80" s="687"/>
      <c r="J80" s="687"/>
      <c r="K80" s="687"/>
      <c r="L80" s="687"/>
      <c r="M80" s="687"/>
      <c r="N80" s="687"/>
      <c r="O80" s="687"/>
    </row>
    <row r="81" spans="9:15" x14ac:dyDescent="0.2">
      <c r="I81" s="687"/>
      <c r="J81" s="687"/>
      <c r="K81" s="687"/>
      <c r="L81" s="687"/>
      <c r="M81" s="687"/>
      <c r="N81" s="687"/>
      <c r="O81" s="687"/>
    </row>
    <row r="82" spans="9:15" x14ac:dyDescent="0.2">
      <c r="I82" s="687"/>
      <c r="J82" s="687"/>
      <c r="K82" s="687"/>
      <c r="L82" s="687"/>
      <c r="M82" s="687"/>
      <c r="N82" s="687"/>
      <c r="O82" s="687"/>
    </row>
  </sheetData>
  <sheetProtection algorithmName="SHA-512" hashValue="AuIh16WzcwKVOLd9FNxQBCOLdBXEQlgiHGFkK/Xniniz6uTe2CekB/eTQS/k9enoCMhQ2kftLMuc67qhgr9MMQ==" saltValue="w7WAYa1USlSJZQMe5JnTvA==" spinCount="100000" sheet="1" objects="1" scenarios="1"/>
  <mergeCells count="45">
    <mergeCell ref="A1:B1"/>
    <mergeCell ref="D1:E1"/>
    <mergeCell ref="A2:B2"/>
    <mergeCell ref="D2:I2"/>
    <mergeCell ref="A3:B3"/>
    <mergeCell ref="D3:I3"/>
    <mergeCell ref="A4:B4"/>
    <mergeCell ref="D4:I4"/>
    <mergeCell ref="A8:A12"/>
    <mergeCell ref="B8:B10"/>
    <mergeCell ref="D8:D12"/>
    <mergeCell ref="E8:E12"/>
    <mergeCell ref="F8:F10"/>
    <mergeCell ref="G8:G12"/>
    <mergeCell ref="H8:H12"/>
    <mergeCell ref="I8:P8"/>
    <mergeCell ref="O9:O12"/>
    <mergeCell ref="P9:P12"/>
    <mergeCell ref="B11:B12"/>
    <mergeCell ref="F11:F12"/>
    <mergeCell ref="K9:K12"/>
    <mergeCell ref="L9:L12"/>
    <mergeCell ref="M9:M12"/>
    <mergeCell ref="N9:N12"/>
    <mergeCell ref="A48:H49"/>
    <mergeCell ref="I48:I49"/>
    <mergeCell ref="J48:J49"/>
    <mergeCell ref="I22:K22"/>
    <mergeCell ref="L22:M22"/>
    <mergeCell ref="I28:O28"/>
    <mergeCell ref="A29:H30"/>
    <mergeCell ref="I29:I30"/>
    <mergeCell ref="J29:J30"/>
    <mergeCell ref="A14:H15"/>
    <mergeCell ref="I14:I15"/>
    <mergeCell ref="J14:J15"/>
    <mergeCell ref="I9:I12"/>
    <mergeCell ref="J9:J12"/>
    <mergeCell ref="I58:K58"/>
    <mergeCell ref="L58:M58"/>
    <mergeCell ref="I64:O64"/>
    <mergeCell ref="I71:O71"/>
    <mergeCell ref="I42:K42"/>
    <mergeCell ref="L42:M42"/>
    <mergeCell ref="I47:O47"/>
  </mergeCells>
  <printOptions horizontalCentered="1"/>
  <pageMargins left="0" right="0.27559055118110237" top="0.98425196850393704" bottom="0.78740157480314965" header="0.19685039370078741" footer="0.19685039370078741"/>
  <pageSetup paperSize="9" scale="75" fitToHeight="0" orientation="landscape" r:id="rId1"/>
  <headerFooter>
    <oddHeader xml:space="preserve">&amp;L&amp;"Arial,Fett"&amp;22Salzlandkreis&amp;11
&amp;12Der Landrat&amp;C&amp;"Arial,Fett"
Personalbogen - technisches Personal&amp;R&amp;G
</oddHeader>
    <oddFooter>&amp;L&amp;"Arial,Standard"&amp;8&amp;ULegende:&amp;U
SV = Sozialversicherung
BAV = Betriebliche Altersvorsorge
BG = Berufsgenossenschaft / UK = Unfallkasse
AN = Arbeitnehmer
VzÄ = Vollzeitäquivalenz&amp;C&amp;"Arial,Standard"&amp;8Ausfertigung vom &amp;D &amp;T&amp;R&amp;"Arial,Standard"&amp;8&amp;P von &amp;N</oddFooter>
  </headerFooter>
  <rowBreaks count="3" manualBreakCount="3">
    <brk id="28" max="16383" man="1"/>
    <brk id="47" max="16383" man="1"/>
    <brk id="65"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65"/>
  <sheetViews>
    <sheetView showGridLines="0" view="pageLayout" zoomScaleNormal="100" workbookViewId="0">
      <selection activeCell="C1" sqref="C1"/>
    </sheetView>
  </sheetViews>
  <sheetFormatPr baseColWidth="10" defaultColWidth="11.42578125" defaultRowHeight="12.75" x14ac:dyDescent="0.25"/>
  <cols>
    <col min="1" max="1" width="5" style="494" customWidth="1"/>
    <col min="2" max="2" width="35.85546875" style="365" customWidth="1"/>
    <col min="3" max="3" width="14.140625" style="495" customWidth="1"/>
    <col min="4" max="4" width="15" style="473" customWidth="1"/>
    <col min="5" max="7" width="12" style="473" customWidth="1"/>
    <col min="8" max="10" width="9.42578125" style="156" customWidth="1"/>
    <col min="11" max="11" width="9.42578125" style="570" customWidth="1"/>
    <col min="12" max="16384" width="11.42578125" style="156"/>
  </cols>
  <sheetData>
    <row r="1" spans="1:11" x14ac:dyDescent="0.25">
      <c r="A1" s="489"/>
      <c r="B1" s="490" t="s">
        <v>280</v>
      </c>
      <c r="C1" s="491">
        <f>IF(Grundlagen!C4="","",Grundlagen!C4)</f>
        <v>2022</v>
      </c>
      <c r="D1" s="492"/>
      <c r="E1" s="492"/>
      <c r="F1" s="492"/>
      <c r="I1" s="1063" t="s">
        <v>406</v>
      </c>
      <c r="J1" s="1063"/>
      <c r="K1" s="328" t="s">
        <v>407</v>
      </c>
    </row>
    <row r="2" spans="1:11" x14ac:dyDescent="0.25">
      <c r="A2" s="493"/>
      <c r="B2" s="402" t="s">
        <v>18</v>
      </c>
      <c r="C2" s="1064" t="str">
        <f>IF(Grundlagen!$C$6="","",Grundlagen!$C$6)</f>
        <v/>
      </c>
      <c r="D2" s="1064"/>
      <c r="E2" s="1064"/>
      <c r="F2" s="1064"/>
      <c r="G2" s="1058" t="s">
        <v>493</v>
      </c>
      <c r="H2" s="1058"/>
      <c r="I2" s="1059" t="str">
        <f>IF(Belegung!$N$74=0,"",Belegung!$N$74)</f>
        <v/>
      </c>
      <c r="J2" s="1059"/>
      <c r="K2" s="368" t="str">
        <f>IF(Grundlagen!$C$40=0,"",Grundlagen!$C$40)</f>
        <v/>
      </c>
    </row>
    <row r="3" spans="1:11" x14ac:dyDescent="0.25">
      <c r="A3" s="493"/>
      <c r="B3" s="402" t="s">
        <v>17</v>
      </c>
      <c r="C3" s="1064" t="str">
        <f>IF(Grundlagen!$C$9="","",Grundlagen!$C$9)</f>
        <v/>
      </c>
      <c r="D3" s="1064"/>
      <c r="E3" s="1064"/>
      <c r="F3" s="1064"/>
      <c r="G3" s="1058" t="s">
        <v>494</v>
      </c>
      <c r="H3" s="1058"/>
      <c r="I3" s="1059" t="str">
        <f>IF(Belegung!$N$86=0,"",Belegung!$N$86)</f>
        <v/>
      </c>
      <c r="J3" s="1059"/>
      <c r="K3" s="368" t="str">
        <f>IF(Grundlagen!$C$41=0,"",Grundlagen!$C$41)</f>
        <v/>
      </c>
    </row>
    <row r="4" spans="1:11" ht="12.75" customHeight="1" x14ac:dyDescent="0.25">
      <c r="G4" s="1058" t="s">
        <v>410</v>
      </c>
      <c r="H4" s="1058"/>
      <c r="I4" s="1059" t="str">
        <f>IF(Belegung!$N$100=0,"",Belegung!$N$100)</f>
        <v/>
      </c>
      <c r="J4" s="1059"/>
      <c r="K4" s="368" t="str">
        <f>IF(Grundlagen!$C$42=0,"",Grundlagen!$C$42)</f>
        <v/>
      </c>
    </row>
    <row r="5" spans="1:11" ht="12.75" customHeight="1" x14ac:dyDescent="0.25">
      <c r="A5" s="1060" t="s">
        <v>11</v>
      </c>
      <c r="B5" s="1060"/>
      <c r="C5" s="1060"/>
      <c r="D5" s="1060"/>
      <c r="E5" s="1061" t="s">
        <v>495</v>
      </c>
      <c r="F5" s="1061"/>
      <c r="G5" s="1044" t="s">
        <v>6</v>
      </c>
      <c r="H5" s="1044"/>
      <c r="I5" s="1062" t="str">
        <f>IF(SUM(I2:I4)=0,"",SUM(I2:I4))</f>
        <v/>
      </c>
      <c r="J5" s="1062"/>
      <c r="K5" s="372" t="str">
        <f>IF(SUM(K2:K4)=0,"",SUM(K2:K4))</f>
        <v/>
      </c>
    </row>
    <row r="6" spans="1:11" ht="12.75" customHeight="1" x14ac:dyDescent="0.25">
      <c r="A6" s="496"/>
      <c r="B6" s="496"/>
      <c r="C6" s="497"/>
      <c r="D6" s="498"/>
      <c r="E6" s="499"/>
      <c r="G6" s="1044" t="str">
        <f>'INTERN Kostenrechnung'!F1</f>
        <v>Erzieher/h</v>
      </c>
      <c r="H6" s="1044"/>
      <c r="I6" s="1045" t="str">
        <f>IF(I5="","",D23/I5)</f>
        <v/>
      </c>
      <c r="J6" s="1045"/>
      <c r="K6" s="500"/>
    </row>
    <row r="7" spans="1:11" ht="8.4499999999999993" customHeight="1" x14ac:dyDescent="0.25">
      <c r="A7" s="496"/>
      <c r="B7" s="496"/>
      <c r="E7" s="499"/>
      <c r="K7" s="156"/>
    </row>
    <row r="8" spans="1:11" ht="15" customHeight="1" x14ac:dyDescent="0.25">
      <c r="A8" s="954" t="s">
        <v>358</v>
      </c>
      <c r="B8" s="1046" t="s">
        <v>413</v>
      </c>
      <c r="C8" s="501" t="s">
        <v>447</v>
      </c>
      <c r="D8" s="502" t="s">
        <v>496</v>
      </c>
      <c r="E8" s="1047" t="s">
        <v>497</v>
      </c>
      <c r="F8" s="1048"/>
      <c r="G8" s="1048"/>
      <c r="H8" s="970" t="s">
        <v>498</v>
      </c>
      <c r="I8" s="1049"/>
      <c r="J8" s="1049"/>
      <c r="K8" s="1050"/>
    </row>
    <row r="9" spans="1:11" ht="12.75" customHeight="1" x14ac:dyDescent="0.25">
      <c r="A9" s="955"/>
      <c r="B9" s="1046"/>
      <c r="C9" s="503" t="s">
        <v>499</v>
      </c>
      <c r="D9" s="504" t="s">
        <v>499</v>
      </c>
      <c r="E9" s="1051"/>
      <c r="F9" s="1052"/>
      <c r="G9" s="1052"/>
      <c r="H9" s="1053" t="s">
        <v>500</v>
      </c>
      <c r="I9" s="1054"/>
      <c r="J9" s="1054"/>
      <c r="K9" s="1055"/>
    </row>
    <row r="10" spans="1:11" ht="15" customHeight="1" x14ac:dyDescent="0.25">
      <c r="A10" s="955"/>
      <c r="B10" s="1046"/>
      <c r="C10" s="1056" t="s">
        <v>501</v>
      </c>
      <c r="D10" s="505" t="s">
        <v>502</v>
      </c>
      <c r="E10" s="506" t="s">
        <v>367</v>
      </c>
      <c r="F10" s="506" t="s">
        <v>370</v>
      </c>
      <c r="G10" s="507" t="s">
        <v>372</v>
      </c>
      <c r="H10" s="1053" t="s">
        <v>503</v>
      </c>
      <c r="I10" s="1054"/>
      <c r="J10" s="1054"/>
      <c r="K10" s="1055"/>
    </row>
    <row r="11" spans="1:11" ht="12.75" customHeight="1" x14ac:dyDescent="0.25">
      <c r="A11" s="956"/>
      <c r="B11" s="1046"/>
      <c r="C11" s="1057"/>
      <c r="D11" s="508" t="s">
        <v>504</v>
      </c>
      <c r="E11" s="1033" t="s">
        <v>505</v>
      </c>
      <c r="F11" s="1033"/>
      <c r="G11" s="1034"/>
      <c r="H11" s="1035"/>
      <c r="I11" s="1036"/>
      <c r="J11" s="1036"/>
      <c r="K11" s="1037"/>
    </row>
    <row r="12" spans="1:11" s="269" customFormat="1" ht="15" customHeight="1" x14ac:dyDescent="0.25">
      <c r="A12" s="509"/>
      <c r="B12" s="312"/>
      <c r="C12" s="510"/>
      <c r="D12" s="511"/>
      <c r="E12" s="512"/>
      <c r="F12" s="512"/>
      <c r="G12" s="512"/>
      <c r="H12" s="513"/>
      <c r="I12" s="513"/>
      <c r="J12" s="513"/>
      <c r="K12" s="514"/>
    </row>
    <row r="13" spans="1:11" ht="21.75" customHeight="1" x14ac:dyDescent="0.25">
      <c r="A13" s="435" t="s">
        <v>398</v>
      </c>
      <c r="B13" s="515" t="s">
        <v>353</v>
      </c>
      <c r="C13" s="516"/>
      <c r="D13" s="517"/>
      <c r="E13" s="517"/>
      <c r="F13" s="517"/>
      <c r="G13" s="517"/>
      <c r="H13" s="978"/>
      <c r="I13" s="979"/>
      <c r="J13" s="979"/>
      <c r="K13" s="980"/>
    </row>
    <row r="14" spans="1:11" ht="15" x14ac:dyDescent="0.25">
      <c r="A14" s="435" t="s">
        <v>506</v>
      </c>
      <c r="B14" s="518" t="s">
        <v>507</v>
      </c>
      <c r="C14" s="519"/>
      <c r="D14" s="520"/>
      <c r="E14" s="517"/>
      <c r="F14" s="517"/>
      <c r="G14" s="517"/>
      <c r="H14" s="978"/>
      <c r="I14" s="979"/>
      <c r="J14" s="979"/>
      <c r="K14" s="980"/>
    </row>
    <row r="15" spans="1:11" ht="39.75" customHeight="1" x14ac:dyDescent="0.25">
      <c r="A15" s="438" t="s">
        <v>508</v>
      </c>
      <c r="B15" s="521" t="s">
        <v>758</v>
      </c>
      <c r="C15" s="522"/>
      <c r="D15" s="523">
        <f>'päd Personal'!J58+'päd Personal'!J70</f>
        <v>0</v>
      </c>
      <c r="E15" s="524" t="str">
        <f>IF($D15="","",(IF($K$2="","",$D15/$I$5*$I2)))</f>
        <v/>
      </c>
      <c r="F15" s="524" t="str">
        <f t="shared" ref="F15:F22" si="0">IF($D15="","",(IF($K$3="","",$D15/$I$5*$I$3)))</f>
        <v/>
      </c>
      <c r="G15" s="524" t="str">
        <f t="shared" ref="G15:G22" si="1">IF($D15="","",(IF($K$4="","",$D15/$I$5*$I$4)))</f>
        <v/>
      </c>
      <c r="H15" s="1038"/>
      <c r="I15" s="1039"/>
      <c r="J15" s="1039"/>
      <c r="K15" s="1040"/>
    </row>
    <row r="16" spans="1:11" ht="26.25" customHeight="1" x14ac:dyDescent="0.25">
      <c r="A16" s="438" t="s">
        <v>509</v>
      </c>
      <c r="B16" s="521" t="s">
        <v>759</v>
      </c>
      <c r="C16" s="522"/>
      <c r="D16" s="523">
        <f>'päd Personal'!J19</f>
        <v>0</v>
      </c>
      <c r="E16" s="524" t="str">
        <f t="shared" ref="E16:E22" si="2">IF($D16="","",(IF($K$2="","",$D16/$I$5*$I$2)))</f>
        <v/>
      </c>
      <c r="F16" s="524" t="str">
        <f t="shared" si="0"/>
        <v/>
      </c>
      <c r="G16" s="524" t="str">
        <f t="shared" si="1"/>
        <v/>
      </c>
      <c r="H16" s="1041"/>
      <c r="I16" s="1042"/>
      <c r="J16" s="1042"/>
      <c r="K16" s="1043"/>
    </row>
    <row r="17" spans="1:11" ht="15" customHeight="1" x14ac:dyDescent="0.25">
      <c r="A17" s="438" t="s">
        <v>510</v>
      </c>
      <c r="B17" s="521" t="s">
        <v>511</v>
      </c>
      <c r="C17" s="522"/>
      <c r="D17" s="523">
        <f>'päd Personal'!O18+'päd Personal'!O57+'päd Personal'!O69+'päd Personal'!O110</f>
        <v>0</v>
      </c>
      <c r="E17" s="524" t="str">
        <f t="shared" si="2"/>
        <v/>
      </c>
      <c r="F17" s="524" t="str">
        <f t="shared" si="0"/>
        <v/>
      </c>
      <c r="G17" s="524" t="str">
        <f t="shared" si="1"/>
        <v/>
      </c>
      <c r="H17" s="981"/>
      <c r="I17" s="1001"/>
      <c r="J17" s="1001"/>
      <c r="K17" s="1002"/>
    </row>
    <row r="18" spans="1:11" ht="25.5" x14ac:dyDescent="0.25">
      <c r="A18" s="438" t="s">
        <v>512</v>
      </c>
      <c r="B18" s="521" t="s">
        <v>513</v>
      </c>
      <c r="C18" s="522"/>
      <c r="D18" s="523">
        <f>'päd Personal'!M18+'päd Personal'!N18+'päd Personal'!M57+'päd Personal'!N57+'päd Personal'!M69+'päd Personal'!N69+'päd Personal'!M110+'päd Personal'!N110</f>
        <v>0</v>
      </c>
      <c r="E18" s="524" t="str">
        <f t="shared" si="2"/>
        <v/>
      </c>
      <c r="F18" s="524" t="str">
        <f t="shared" si="0"/>
        <v/>
      </c>
      <c r="G18" s="524" t="str">
        <f t="shared" si="1"/>
        <v/>
      </c>
      <c r="H18" s="981"/>
      <c r="I18" s="1001"/>
      <c r="J18" s="1001"/>
      <c r="K18" s="1002"/>
    </row>
    <row r="19" spans="1:11" ht="15" customHeight="1" x14ac:dyDescent="0.25">
      <c r="A19" s="438" t="s">
        <v>514</v>
      </c>
      <c r="B19" s="525" t="s">
        <v>515</v>
      </c>
      <c r="C19" s="522"/>
      <c r="D19" s="523">
        <f>'päd Personal'!P18+'päd Personal'!P57+'päd Personal'!P69+'päd Personal'!P110</f>
        <v>0</v>
      </c>
      <c r="E19" s="524" t="str">
        <f t="shared" si="2"/>
        <v/>
      </c>
      <c r="F19" s="524" t="str">
        <f t="shared" si="0"/>
        <v/>
      </c>
      <c r="G19" s="524" t="str">
        <f t="shared" si="1"/>
        <v/>
      </c>
      <c r="H19" s="981"/>
      <c r="I19" s="982"/>
      <c r="J19" s="982"/>
      <c r="K19" s="983"/>
    </row>
    <row r="20" spans="1:11" ht="15" customHeight="1" x14ac:dyDescent="0.25">
      <c r="A20" s="438" t="s">
        <v>516</v>
      </c>
      <c r="B20" s="521" t="s">
        <v>517</v>
      </c>
      <c r="C20" s="522"/>
      <c r="D20" s="522"/>
      <c r="E20" s="524" t="str">
        <f t="shared" si="2"/>
        <v/>
      </c>
      <c r="F20" s="524" t="str">
        <f t="shared" si="0"/>
        <v/>
      </c>
      <c r="G20" s="524" t="str">
        <f t="shared" si="1"/>
        <v/>
      </c>
      <c r="H20" s="981"/>
      <c r="I20" s="1001"/>
      <c r="J20" s="1001"/>
      <c r="K20" s="1002"/>
    </row>
    <row r="21" spans="1:11" ht="15" customHeight="1" x14ac:dyDescent="0.25">
      <c r="A21" s="438" t="s">
        <v>518</v>
      </c>
      <c r="B21" s="521" t="s">
        <v>519</v>
      </c>
      <c r="C21" s="522"/>
      <c r="D21" s="523">
        <f>'päd Personal'!$J$111</f>
        <v>0</v>
      </c>
      <c r="E21" s="524" t="str">
        <f t="shared" si="2"/>
        <v/>
      </c>
      <c r="F21" s="524" t="str">
        <f t="shared" si="0"/>
        <v/>
      </c>
      <c r="G21" s="524" t="str">
        <f t="shared" si="1"/>
        <v/>
      </c>
      <c r="H21" s="1030"/>
      <c r="I21" s="1031"/>
      <c r="J21" s="1031"/>
      <c r="K21" s="1032"/>
    </row>
    <row r="22" spans="1:11" ht="15" customHeight="1" x14ac:dyDescent="0.25">
      <c r="A22" s="438" t="s">
        <v>520</v>
      </c>
      <c r="B22" s="525" t="str">
        <f>('INTERN Personalstunden'!$D$58)</f>
        <v>abzüglich/zuzüglich Personalkostenüberhang/-defizit</v>
      </c>
      <c r="C22" s="522"/>
      <c r="D22" s="526">
        <f>'INTERN Personalstunden'!$E$58</f>
        <v>0</v>
      </c>
      <c r="E22" s="524" t="str">
        <f t="shared" si="2"/>
        <v/>
      </c>
      <c r="F22" s="524" t="str">
        <f t="shared" si="0"/>
        <v/>
      </c>
      <c r="G22" s="524" t="str">
        <f t="shared" si="1"/>
        <v/>
      </c>
      <c r="H22" s="981"/>
      <c r="I22" s="1001"/>
      <c r="J22" s="1001"/>
      <c r="K22" s="1002"/>
    </row>
    <row r="23" spans="1:11" ht="15" customHeight="1" x14ac:dyDescent="0.25">
      <c r="A23" s="527"/>
      <c r="B23" s="528" t="s">
        <v>2</v>
      </c>
      <c r="C23" s="529">
        <f>SUM(C15:C22)</f>
        <v>0</v>
      </c>
      <c r="D23" s="529">
        <f>SUM(D15:D22)</f>
        <v>0</v>
      </c>
      <c r="E23" s="530">
        <f>SUM(E15:E22)</f>
        <v>0</v>
      </c>
      <c r="F23" s="530">
        <f>SUM(F15:F22)</f>
        <v>0</v>
      </c>
      <c r="G23" s="530">
        <f>SUM(G15:G22)</f>
        <v>0</v>
      </c>
      <c r="H23" s="984"/>
      <c r="I23" s="979"/>
      <c r="J23" s="979"/>
      <c r="K23" s="980"/>
    </row>
    <row r="24" spans="1:11" s="269" customFormat="1" ht="15" customHeight="1" x14ac:dyDescent="0.25">
      <c r="A24" s="531"/>
      <c r="B24" s="532"/>
      <c r="C24" s="533"/>
      <c r="D24" s="534"/>
      <c r="E24" s="534"/>
      <c r="F24" s="535"/>
      <c r="G24" s="535"/>
      <c r="H24" s="536"/>
      <c r="I24" s="536"/>
      <c r="J24" s="536"/>
      <c r="K24" s="514"/>
    </row>
    <row r="25" spans="1:11" ht="21.75" customHeight="1" x14ac:dyDescent="0.25">
      <c r="A25" s="435" t="s">
        <v>382</v>
      </c>
      <c r="B25" s="515" t="s">
        <v>395</v>
      </c>
      <c r="C25" s="516"/>
      <c r="D25" s="517"/>
      <c r="E25" s="517"/>
      <c r="F25" s="517"/>
      <c r="G25" s="517"/>
      <c r="H25" s="978"/>
      <c r="I25" s="979"/>
      <c r="J25" s="979"/>
      <c r="K25" s="980"/>
    </row>
    <row r="26" spans="1:11" ht="15" x14ac:dyDescent="0.25">
      <c r="A26" s="435" t="s">
        <v>521</v>
      </c>
      <c r="B26" s="518" t="s">
        <v>395</v>
      </c>
      <c r="C26" s="519"/>
      <c r="D26" s="520"/>
      <c r="E26" s="537"/>
      <c r="F26" s="537"/>
      <c r="G26" s="537"/>
      <c r="H26" s="978"/>
      <c r="I26" s="979"/>
      <c r="J26" s="979"/>
      <c r="K26" s="980"/>
    </row>
    <row r="27" spans="1:11" ht="12.75" customHeight="1" x14ac:dyDescent="0.25">
      <c r="A27" s="1008" t="s">
        <v>522</v>
      </c>
      <c r="B27" s="1026" t="s">
        <v>523</v>
      </c>
      <c r="C27" s="1014"/>
      <c r="D27" s="995">
        <f>SUM(E27:G28)</f>
        <v>0</v>
      </c>
      <c r="E27" s="1028" t="str">
        <f>IF($K$2="","",H28*$K$2)</f>
        <v/>
      </c>
      <c r="F27" s="1028" t="str">
        <f>IF($K$3="","",I28*$K$3)</f>
        <v/>
      </c>
      <c r="G27" s="1028" t="str">
        <f>IF($K$4="","",J28*$K$4)</f>
        <v/>
      </c>
      <c r="H27" s="538" t="s">
        <v>367</v>
      </c>
      <c r="I27" s="538" t="s">
        <v>370</v>
      </c>
      <c r="J27" s="538" t="s">
        <v>372</v>
      </c>
      <c r="K27" s="1006"/>
    </row>
    <row r="28" spans="1:11" ht="12.75" customHeight="1" x14ac:dyDescent="0.25">
      <c r="A28" s="1010"/>
      <c r="B28" s="1027"/>
      <c r="C28" s="1016"/>
      <c r="D28" s="996"/>
      <c r="E28" s="1029"/>
      <c r="F28" s="1029"/>
      <c r="G28" s="1029"/>
      <c r="H28" s="539">
        <f>54/12*Grundlagen!C24</f>
        <v>0</v>
      </c>
      <c r="I28" s="539">
        <f>54/12*Grundlagen!C24</f>
        <v>0</v>
      </c>
      <c r="J28" s="539">
        <f>37/12*Grundlagen!C24</f>
        <v>0</v>
      </c>
      <c r="K28" s="1007"/>
    </row>
    <row r="29" spans="1:11" s="540" customFormat="1" ht="12.75" customHeight="1" x14ac:dyDescent="0.25">
      <c r="A29" s="1008" t="s">
        <v>524</v>
      </c>
      <c r="B29" s="1011" t="s">
        <v>525</v>
      </c>
      <c r="C29" s="1014"/>
      <c r="D29" s="1017">
        <f>IF(SUM(K2:K4)=0,0,IF(K4=K5,IF(K4&lt;100.999,J31,K31),IF(K5&lt;100.999,H31,I31)))</f>
        <v>0</v>
      </c>
      <c r="E29" s="1020" t="str">
        <f>IF($K$2="","",$D$29/$K$5*$K$2)</f>
        <v/>
      </c>
      <c r="F29" s="1020" t="str">
        <f>IF($K$3="","",$D$29/$K$5*$K$3)</f>
        <v/>
      </c>
      <c r="G29" s="1020" t="str">
        <f>IF($K$4="","",$D$29/$K$5*$K$4)</f>
        <v/>
      </c>
      <c r="H29" s="1023" t="s">
        <v>526</v>
      </c>
      <c r="I29" s="1024"/>
      <c r="J29" s="1025" t="s">
        <v>527</v>
      </c>
      <c r="K29" s="1024"/>
    </row>
    <row r="30" spans="1:11" s="540" customFormat="1" ht="12.75" customHeight="1" x14ac:dyDescent="0.25">
      <c r="A30" s="1009"/>
      <c r="B30" s="1012"/>
      <c r="C30" s="1015"/>
      <c r="D30" s="1018"/>
      <c r="E30" s="1021"/>
      <c r="F30" s="1021"/>
      <c r="G30" s="1021"/>
      <c r="H30" s="541" t="s">
        <v>528</v>
      </c>
      <c r="I30" s="541" t="s">
        <v>529</v>
      </c>
      <c r="J30" s="541" t="s">
        <v>528</v>
      </c>
      <c r="K30" s="542" t="s">
        <v>529</v>
      </c>
    </row>
    <row r="31" spans="1:11" s="540" customFormat="1" ht="12.75" customHeight="1" x14ac:dyDescent="0.25">
      <c r="A31" s="1010"/>
      <c r="B31" s="1013"/>
      <c r="C31" s="1016"/>
      <c r="D31" s="1019"/>
      <c r="E31" s="1022"/>
      <c r="F31" s="1022"/>
      <c r="G31" s="1022"/>
      <c r="H31" s="543">
        <f>1500/12*Grundlagen!C24</f>
        <v>0</v>
      </c>
      <c r="I31" s="543">
        <f>2000/12*Grundlagen!C24</f>
        <v>0</v>
      </c>
      <c r="J31" s="543">
        <f>1250/12*Grundlagen!C24</f>
        <v>0</v>
      </c>
      <c r="K31" s="544">
        <f>1500/12*Grundlagen!C24</f>
        <v>0</v>
      </c>
    </row>
    <row r="32" spans="1:11" ht="15" customHeight="1" x14ac:dyDescent="0.25">
      <c r="A32" s="527"/>
      <c r="B32" s="528" t="s">
        <v>2</v>
      </c>
      <c r="C32" s="529">
        <f>SUM(C27:C31)</f>
        <v>0</v>
      </c>
      <c r="D32" s="529">
        <f>SUM(D27:D31)</f>
        <v>0</v>
      </c>
      <c r="E32" s="530">
        <f>SUM(E27:E31)</f>
        <v>0</v>
      </c>
      <c r="F32" s="530">
        <f>SUM(F27:F31)</f>
        <v>0</v>
      </c>
      <c r="G32" s="530">
        <f>SUM(G27:G31)</f>
        <v>0</v>
      </c>
      <c r="H32" s="1003"/>
      <c r="I32" s="988"/>
      <c r="J32" s="988"/>
      <c r="K32" s="989"/>
    </row>
    <row r="33" spans="1:11" s="269" customFormat="1" ht="15" customHeight="1" x14ac:dyDescent="0.25">
      <c r="A33" s="531"/>
      <c r="B33" s="532"/>
      <c r="C33" s="533"/>
      <c r="D33" s="534"/>
      <c r="E33" s="534"/>
      <c r="F33" s="535"/>
      <c r="G33" s="535"/>
      <c r="H33" s="536"/>
      <c r="I33" s="536"/>
      <c r="J33" s="536"/>
      <c r="K33" s="514"/>
    </row>
    <row r="34" spans="1:11" ht="15" x14ac:dyDescent="0.25">
      <c r="A34" s="435" t="s">
        <v>530</v>
      </c>
      <c r="B34" s="518" t="s">
        <v>531</v>
      </c>
      <c r="C34" s="519"/>
      <c r="D34" s="520"/>
      <c r="E34" s="517"/>
      <c r="F34" s="517"/>
      <c r="G34" s="517"/>
      <c r="H34" s="987"/>
      <c r="I34" s="988"/>
      <c r="J34" s="988"/>
      <c r="K34" s="989"/>
    </row>
    <row r="35" spans="1:11" ht="24" customHeight="1" x14ac:dyDescent="0.25">
      <c r="A35" s="438" t="s">
        <v>532</v>
      </c>
      <c r="B35" s="545" t="s">
        <v>533</v>
      </c>
      <c r="C35" s="546"/>
      <c r="D35" s="547"/>
      <c r="E35" s="524" t="str">
        <f>IF($K$2="","",$D$35/$K$5*$K$2)</f>
        <v/>
      </c>
      <c r="F35" s="524" t="str">
        <f>IF($K$3="","",$D$35/$K$5*$K$3)</f>
        <v/>
      </c>
      <c r="G35" s="524" t="str">
        <f>IF($K$4="","",$D$35/$K$5*$K$4)</f>
        <v/>
      </c>
      <c r="H35" s="981"/>
      <c r="I35" s="1001"/>
      <c r="J35" s="1001"/>
      <c r="K35" s="1002"/>
    </row>
    <row r="36" spans="1:11" ht="15" customHeight="1" x14ac:dyDescent="0.25">
      <c r="A36" s="438" t="s">
        <v>534</v>
      </c>
      <c r="B36" s="545" t="s">
        <v>535</v>
      </c>
      <c r="C36" s="546"/>
      <c r="D36" s="547"/>
      <c r="E36" s="524" t="str">
        <f>IF($K$2="","",$D$36/$K$5*$K$2)</f>
        <v/>
      </c>
      <c r="F36" s="524" t="str">
        <f>IF($K$3="","",$D$36/$K$5*$K$3)</f>
        <v/>
      </c>
      <c r="G36" s="524" t="str">
        <f>IF($K$4="","",$D$36/$K$5*$K$4)</f>
        <v/>
      </c>
      <c r="H36" s="981"/>
      <c r="I36" s="982"/>
      <c r="J36" s="982"/>
      <c r="K36" s="983"/>
    </row>
    <row r="37" spans="1:11" ht="15" customHeight="1" x14ac:dyDescent="0.25">
      <c r="A37" s="527"/>
      <c r="B37" s="528" t="s">
        <v>2</v>
      </c>
      <c r="C37" s="529">
        <f>SUM(C35:C35)</f>
        <v>0</v>
      </c>
      <c r="D37" s="529">
        <f>SUM(D35:D36)</f>
        <v>0</v>
      </c>
      <c r="E37" s="530">
        <f>SUM(E35:E36)</f>
        <v>0</v>
      </c>
      <c r="F37" s="530">
        <f>SUM(F35:F36)</f>
        <v>0</v>
      </c>
      <c r="G37" s="530">
        <f>SUM(G35:G36)</f>
        <v>0</v>
      </c>
      <c r="H37" s="1003"/>
      <c r="I37" s="1004"/>
      <c r="J37" s="1004"/>
      <c r="K37" s="1005"/>
    </row>
    <row r="38" spans="1:11" s="269" customFormat="1" ht="15" customHeight="1" x14ac:dyDescent="0.25">
      <c r="A38" s="531"/>
      <c r="B38" s="532"/>
      <c r="C38" s="533"/>
      <c r="D38" s="534"/>
      <c r="E38" s="534"/>
      <c r="F38" s="535"/>
      <c r="G38" s="535"/>
      <c r="H38" s="536"/>
      <c r="I38" s="536"/>
      <c r="J38" s="536"/>
      <c r="K38" s="514"/>
    </row>
    <row r="39" spans="1:11" ht="21.75" customHeight="1" x14ac:dyDescent="0.25">
      <c r="A39" s="435" t="s">
        <v>383</v>
      </c>
      <c r="B39" s="515" t="s">
        <v>536</v>
      </c>
      <c r="C39" s="516"/>
      <c r="D39" s="517"/>
      <c r="E39" s="517"/>
      <c r="F39" s="517"/>
      <c r="G39" s="517"/>
      <c r="H39" s="978"/>
      <c r="I39" s="979"/>
      <c r="J39" s="979"/>
      <c r="K39" s="980"/>
    </row>
    <row r="40" spans="1:11" ht="25.5" x14ac:dyDescent="0.25">
      <c r="A40" s="435" t="s">
        <v>537</v>
      </c>
      <c r="B40" s="518" t="s">
        <v>538</v>
      </c>
      <c r="C40" s="519"/>
      <c r="D40" s="520"/>
      <c r="E40" s="517"/>
      <c r="F40" s="517"/>
      <c r="G40" s="517"/>
      <c r="H40" s="998"/>
      <c r="I40" s="999"/>
      <c r="J40" s="999"/>
      <c r="K40" s="1000"/>
    </row>
    <row r="41" spans="1:11" ht="26.25" customHeight="1" x14ac:dyDescent="0.25">
      <c r="A41" s="438" t="s">
        <v>539</v>
      </c>
      <c r="B41" s="521" t="s">
        <v>760</v>
      </c>
      <c r="C41" s="522"/>
      <c r="D41" s="523">
        <f>'techn Personal'!I22</f>
        <v>0</v>
      </c>
      <c r="E41" s="524" t="str">
        <f>IF($K$2="","",D41/$K$5*$K$2)</f>
        <v/>
      </c>
      <c r="F41" s="524" t="str">
        <f t="shared" ref="F41:F47" si="3">IF($K$3="","",D41/$K$5*$K$3)</f>
        <v/>
      </c>
      <c r="G41" s="524" t="str">
        <f t="shared" ref="G41:G47" si="4">IF($K$4="","",D41/$K$5*$K$4)</f>
        <v/>
      </c>
      <c r="H41" s="981"/>
      <c r="I41" s="1001"/>
      <c r="J41" s="1001"/>
      <c r="K41" s="1002"/>
    </row>
    <row r="42" spans="1:11" ht="15" customHeight="1" x14ac:dyDescent="0.25">
      <c r="A42" s="438" t="s">
        <v>540</v>
      </c>
      <c r="B42" s="545" t="s">
        <v>511</v>
      </c>
      <c r="C42" s="546"/>
      <c r="D42" s="524">
        <f>'techn Personal'!N21</f>
        <v>0</v>
      </c>
      <c r="E42" s="524" t="str">
        <f t="shared" ref="E42:E47" si="5">IF($K$2="","",D42/$K$5*$K$2)</f>
        <v/>
      </c>
      <c r="F42" s="524" t="str">
        <f t="shared" si="3"/>
        <v/>
      </c>
      <c r="G42" s="524" t="str">
        <f t="shared" si="4"/>
        <v/>
      </c>
      <c r="H42" s="981"/>
      <c r="I42" s="982"/>
      <c r="J42" s="982"/>
      <c r="K42" s="983"/>
    </row>
    <row r="43" spans="1:11" ht="25.5" x14ac:dyDescent="0.25">
      <c r="A43" s="438" t="s">
        <v>541</v>
      </c>
      <c r="B43" s="521" t="s">
        <v>513</v>
      </c>
      <c r="C43" s="522"/>
      <c r="D43" s="523">
        <f>'techn Personal'!L21+'techn Personal'!M21</f>
        <v>0</v>
      </c>
      <c r="E43" s="524" t="str">
        <f t="shared" si="5"/>
        <v/>
      </c>
      <c r="F43" s="524" t="str">
        <f t="shared" si="3"/>
        <v/>
      </c>
      <c r="G43" s="524" t="str">
        <f t="shared" si="4"/>
        <v/>
      </c>
      <c r="H43" s="981"/>
      <c r="I43" s="1001"/>
      <c r="J43" s="1001"/>
      <c r="K43" s="1002"/>
    </row>
    <row r="44" spans="1:11" ht="15" customHeight="1" x14ac:dyDescent="0.25">
      <c r="A44" s="438" t="s">
        <v>542</v>
      </c>
      <c r="B44" s="525" t="s">
        <v>515</v>
      </c>
      <c r="C44" s="522"/>
      <c r="D44" s="523">
        <f>'techn Personal'!O21</f>
        <v>0</v>
      </c>
      <c r="E44" s="524" t="str">
        <f t="shared" si="5"/>
        <v/>
      </c>
      <c r="F44" s="524" t="str">
        <f t="shared" si="3"/>
        <v/>
      </c>
      <c r="G44" s="524" t="str">
        <f t="shared" si="4"/>
        <v/>
      </c>
      <c r="H44" s="981"/>
      <c r="I44" s="982"/>
      <c r="J44" s="982"/>
      <c r="K44" s="983"/>
    </row>
    <row r="45" spans="1:11" ht="15" customHeight="1" x14ac:dyDescent="0.25">
      <c r="A45" s="438" t="s">
        <v>543</v>
      </c>
      <c r="B45" s="545" t="s">
        <v>544</v>
      </c>
      <c r="C45" s="546"/>
      <c r="D45" s="548"/>
      <c r="E45" s="524" t="str">
        <f t="shared" si="5"/>
        <v/>
      </c>
      <c r="F45" s="524" t="str">
        <f t="shared" si="3"/>
        <v/>
      </c>
      <c r="G45" s="524" t="str">
        <f t="shared" si="4"/>
        <v/>
      </c>
      <c r="H45" s="981"/>
      <c r="I45" s="982"/>
      <c r="J45" s="982"/>
      <c r="K45" s="983"/>
    </row>
    <row r="46" spans="1:11" ht="15" customHeight="1" x14ac:dyDescent="0.25">
      <c r="A46" s="438" t="s">
        <v>545</v>
      </c>
      <c r="B46" s="545" t="s">
        <v>546</v>
      </c>
      <c r="C46" s="546"/>
      <c r="D46" s="524">
        <f>'techn Personal'!P27</f>
        <v>0</v>
      </c>
      <c r="E46" s="524" t="str">
        <f t="shared" si="5"/>
        <v/>
      </c>
      <c r="F46" s="524" t="str">
        <f t="shared" si="3"/>
        <v/>
      </c>
      <c r="G46" s="524" t="str">
        <f t="shared" si="4"/>
        <v/>
      </c>
      <c r="H46" s="981"/>
      <c r="I46" s="982"/>
      <c r="J46" s="982"/>
      <c r="K46" s="983"/>
    </row>
    <row r="47" spans="1:11" ht="15" customHeight="1" x14ac:dyDescent="0.25">
      <c r="A47" s="438" t="s">
        <v>547</v>
      </c>
      <c r="B47" s="545" t="s">
        <v>548</v>
      </c>
      <c r="C47" s="546"/>
      <c r="D47" s="548"/>
      <c r="E47" s="524" t="str">
        <f t="shared" si="5"/>
        <v/>
      </c>
      <c r="F47" s="524" t="str">
        <f t="shared" si="3"/>
        <v/>
      </c>
      <c r="G47" s="524" t="str">
        <f t="shared" si="4"/>
        <v/>
      </c>
      <c r="H47" s="981"/>
      <c r="I47" s="982"/>
      <c r="J47" s="982"/>
      <c r="K47" s="983"/>
    </row>
    <row r="48" spans="1:11" ht="15" customHeight="1" x14ac:dyDescent="0.25">
      <c r="A48" s="527"/>
      <c r="B48" s="528" t="s">
        <v>549</v>
      </c>
      <c r="C48" s="529">
        <f>SUM(C41:C47)</f>
        <v>0</v>
      </c>
      <c r="D48" s="529">
        <f>SUM(D41:D47)</f>
        <v>0</v>
      </c>
      <c r="E48" s="530">
        <f>SUM(E41:E47)</f>
        <v>0</v>
      </c>
      <c r="F48" s="530">
        <f>SUM(F41:F47)</f>
        <v>0</v>
      </c>
      <c r="G48" s="530">
        <f>SUM(G41:G47)</f>
        <v>0</v>
      </c>
      <c r="H48" s="984"/>
      <c r="I48" s="985"/>
      <c r="J48" s="985"/>
      <c r="K48" s="986"/>
    </row>
    <row r="49" spans="1:11" s="269" customFormat="1" ht="15" customHeight="1" x14ac:dyDescent="0.25">
      <c r="A49" s="549"/>
      <c r="B49" s="550"/>
      <c r="C49" s="551"/>
      <c r="D49" s="552"/>
      <c r="E49" s="552"/>
      <c r="F49" s="552"/>
      <c r="G49" s="552"/>
      <c r="H49" s="553"/>
      <c r="I49" s="553"/>
      <c r="J49" s="553"/>
      <c r="K49" s="554"/>
    </row>
    <row r="50" spans="1:11" ht="25.5" x14ac:dyDescent="0.25">
      <c r="A50" s="435" t="s">
        <v>550</v>
      </c>
      <c r="B50" s="518" t="s">
        <v>551</v>
      </c>
      <c r="C50" s="555"/>
      <c r="D50" s="556"/>
      <c r="E50" s="557"/>
      <c r="F50" s="557"/>
      <c r="G50" s="557"/>
      <c r="H50" s="998"/>
      <c r="I50" s="999"/>
      <c r="J50" s="999"/>
      <c r="K50" s="1000"/>
    </row>
    <row r="51" spans="1:11" ht="27" customHeight="1" x14ac:dyDescent="0.25">
      <c r="A51" s="438" t="s">
        <v>552</v>
      </c>
      <c r="B51" s="521" t="s">
        <v>761</v>
      </c>
      <c r="C51" s="522"/>
      <c r="D51" s="523">
        <f>'techn Personal'!I42</f>
        <v>0</v>
      </c>
      <c r="E51" s="524" t="str">
        <f t="shared" ref="E51:E57" si="6">IF($K$2="","",D51/$K$5*$K$2)</f>
        <v/>
      </c>
      <c r="F51" s="524" t="str">
        <f t="shared" ref="F51:F58" si="7">IF($K$3="","",D51/$K$5*$K$3)</f>
        <v/>
      </c>
      <c r="G51" s="524" t="str">
        <f t="shared" ref="G51:G58" si="8">IF($K$4="","",D51/$K$5*$K$4)</f>
        <v/>
      </c>
      <c r="H51" s="981"/>
      <c r="I51" s="982"/>
      <c r="J51" s="982"/>
      <c r="K51" s="983"/>
    </row>
    <row r="52" spans="1:11" ht="15" customHeight="1" x14ac:dyDescent="0.25">
      <c r="A52" s="438" t="s">
        <v>553</v>
      </c>
      <c r="B52" s="545" t="s">
        <v>511</v>
      </c>
      <c r="C52" s="546"/>
      <c r="D52" s="524">
        <f>'techn Personal'!N41</f>
        <v>0</v>
      </c>
      <c r="E52" s="524" t="str">
        <f t="shared" si="6"/>
        <v/>
      </c>
      <c r="F52" s="524" t="str">
        <f t="shared" si="7"/>
        <v/>
      </c>
      <c r="G52" s="524" t="str">
        <f t="shared" si="8"/>
        <v/>
      </c>
      <c r="H52" s="981"/>
      <c r="I52" s="982"/>
      <c r="J52" s="982"/>
      <c r="K52" s="983"/>
    </row>
    <row r="53" spans="1:11" ht="25.5" x14ac:dyDescent="0.25">
      <c r="A53" s="438" t="s">
        <v>554</v>
      </c>
      <c r="B53" s="521" t="s">
        <v>513</v>
      </c>
      <c r="C53" s="522"/>
      <c r="D53" s="523">
        <f>'techn Personal'!L41+'techn Personal'!M41</f>
        <v>0</v>
      </c>
      <c r="E53" s="524" t="str">
        <f t="shared" si="6"/>
        <v/>
      </c>
      <c r="F53" s="524" t="str">
        <f t="shared" si="7"/>
        <v/>
      </c>
      <c r="G53" s="524" t="str">
        <f t="shared" si="8"/>
        <v/>
      </c>
      <c r="H53" s="981"/>
      <c r="I53" s="982"/>
      <c r="J53" s="982"/>
      <c r="K53" s="983"/>
    </row>
    <row r="54" spans="1:11" ht="15" customHeight="1" x14ac:dyDescent="0.25">
      <c r="A54" s="438" t="s">
        <v>555</v>
      </c>
      <c r="B54" s="525" t="s">
        <v>515</v>
      </c>
      <c r="C54" s="522"/>
      <c r="D54" s="523">
        <f>'techn Personal'!O41</f>
        <v>0</v>
      </c>
      <c r="E54" s="524" t="str">
        <f t="shared" si="6"/>
        <v/>
      </c>
      <c r="F54" s="524" t="str">
        <f t="shared" si="7"/>
        <v/>
      </c>
      <c r="G54" s="524" t="str">
        <f t="shared" si="8"/>
        <v/>
      </c>
      <c r="H54" s="981"/>
      <c r="I54" s="982"/>
      <c r="J54" s="982"/>
      <c r="K54" s="983"/>
    </row>
    <row r="55" spans="1:11" ht="15" customHeight="1" x14ac:dyDescent="0.25">
      <c r="A55" s="438" t="s">
        <v>556</v>
      </c>
      <c r="B55" s="545" t="s">
        <v>544</v>
      </c>
      <c r="C55" s="546"/>
      <c r="D55" s="548"/>
      <c r="E55" s="524" t="str">
        <f t="shared" si="6"/>
        <v/>
      </c>
      <c r="F55" s="524" t="str">
        <f t="shared" si="7"/>
        <v/>
      </c>
      <c r="G55" s="524" t="str">
        <f t="shared" si="8"/>
        <v/>
      </c>
      <c r="H55" s="981"/>
      <c r="I55" s="982"/>
      <c r="J55" s="982"/>
      <c r="K55" s="983"/>
    </row>
    <row r="56" spans="1:11" ht="15" customHeight="1" x14ac:dyDescent="0.25">
      <c r="A56" s="438" t="s">
        <v>557</v>
      </c>
      <c r="B56" s="545" t="s">
        <v>546</v>
      </c>
      <c r="C56" s="546"/>
      <c r="D56" s="524">
        <f>'techn Personal'!P46</f>
        <v>0</v>
      </c>
      <c r="E56" s="524" t="str">
        <f t="shared" si="6"/>
        <v/>
      </c>
      <c r="F56" s="524" t="str">
        <f t="shared" si="7"/>
        <v/>
      </c>
      <c r="G56" s="524" t="str">
        <f t="shared" si="8"/>
        <v/>
      </c>
      <c r="H56" s="981"/>
      <c r="I56" s="982"/>
      <c r="J56" s="982"/>
      <c r="K56" s="983"/>
    </row>
    <row r="57" spans="1:11" ht="15" customHeight="1" x14ac:dyDescent="0.25">
      <c r="A57" s="438" t="s">
        <v>558</v>
      </c>
      <c r="B57" s="545" t="s">
        <v>559</v>
      </c>
      <c r="C57" s="546"/>
      <c r="D57" s="548"/>
      <c r="E57" s="524" t="str">
        <f t="shared" si="6"/>
        <v/>
      </c>
      <c r="F57" s="524" t="str">
        <f t="shared" si="7"/>
        <v/>
      </c>
      <c r="G57" s="524" t="str">
        <f t="shared" si="8"/>
        <v/>
      </c>
      <c r="H57" s="981"/>
      <c r="I57" s="982"/>
      <c r="J57" s="982"/>
      <c r="K57" s="983"/>
    </row>
    <row r="58" spans="1:11" ht="15" customHeight="1" x14ac:dyDescent="0.25">
      <c r="A58" s="438" t="s">
        <v>560</v>
      </c>
      <c r="B58" s="545" t="s">
        <v>561</v>
      </c>
      <c r="C58" s="546"/>
      <c r="D58" s="548"/>
      <c r="E58" s="524" t="str">
        <f>IF($K$2="","",D58/$K$5*$K$2)</f>
        <v/>
      </c>
      <c r="F58" s="524" t="str">
        <f t="shared" si="7"/>
        <v/>
      </c>
      <c r="G58" s="524" t="str">
        <f t="shared" si="8"/>
        <v/>
      </c>
      <c r="H58" s="981"/>
      <c r="I58" s="982"/>
      <c r="J58" s="982"/>
      <c r="K58" s="983"/>
    </row>
    <row r="59" spans="1:11" ht="15" customHeight="1" x14ac:dyDescent="0.25">
      <c r="A59" s="527"/>
      <c r="B59" s="528" t="s">
        <v>549</v>
      </c>
      <c r="C59" s="529">
        <f>SUM(C51:C58)</f>
        <v>0</v>
      </c>
      <c r="D59" s="529">
        <f>SUM(D51:D58)</f>
        <v>0</v>
      </c>
      <c r="E59" s="530">
        <f>SUM(E51:E58)</f>
        <v>0</v>
      </c>
      <c r="F59" s="530">
        <f>SUM(F51:F58)</f>
        <v>0</v>
      </c>
      <c r="G59" s="530">
        <f>SUM(G51:G58)</f>
        <v>0</v>
      </c>
      <c r="H59" s="984"/>
      <c r="I59" s="985"/>
      <c r="J59" s="985"/>
      <c r="K59" s="986"/>
    </row>
    <row r="60" spans="1:11" s="269" customFormat="1" ht="15" customHeight="1" x14ac:dyDescent="0.25">
      <c r="A60" s="549"/>
      <c r="B60" s="550"/>
      <c r="C60" s="551"/>
      <c r="D60" s="552"/>
      <c r="E60" s="552"/>
      <c r="F60" s="552"/>
      <c r="G60" s="552"/>
      <c r="H60" s="553"/>
      <c r="I60" s="553"/>
      <c r="J60" s="553"/>
      <c r="K60" s="554"/>
    </row>
    <row r="61" spans="1:11" ht="25.5" x14ac:dyDescent="0.25">
      <c r="A61" s="435" t="s">
        <v>562</v>
      </c>
      <c r="B61" s="518" t="s">
        <v>563</v>
      </c>
      <c r="C61" s="519"/>
      <c r="D61" s="520"/>
      <c r="E61" s="517"/>
      <c r="F61" s="517"/>
      <c r="G61" s="517"/>
      <c r="H61" s="998"/>
      <c r="I61" s="999"/>
      <c r="J61" s="999"/>
      <c r="K61" s="1000"/>
    </row>
    <row r="62" spans="1:11" ht="26.25" customHeight="1" x14ac:dyDescent="0.25">
      <c r="A62" s="558" t="s">
        <v>564</v>
      </c>
      <c r="B62" s="521" t="s">
        <v>762</v>
      </c>
      <c r="C62" s="522"/>
      <c r="D62" s="523">
        <f>'techn Personal'!I58</f>
        <v>0</v>
      </c>
      <c r="E62" s="524" t="str">
        <f t="shared" ref="E62:E68" si="9">IF($K$2="","",D62/$K$5*$K$2)</f>
        <v/>
      </c>
      <c r="F62" s="524" t="str">
        <f t="shared" ref="F62:F68" si="10">IF($K$3="","",D62/$K$5*$K$3)</f>
        <v/>
      </c>
      <c r="G62" s="524" t="str">
        <f t="shared" ref="G62:G68" si="11">IF($K$4="","",D62/$K$5*$K$4)</f>
        <v/>
      </c>
      <c r="H62" s="981"/>
      <c r="I62" s="982"/>
      <c r="J62" s="982"/>
      <c r="K62" s="983"/>
    </row>
    <row r="63" spans="1:11" ht="15" customHeight="1" x14ac:dyDescent="0.25">
      <c r="A63" s="558" t="s">
        <v>565</v>
      </c>
      <c r="B63" s="545" t="s">
        <v>511</v>
      </c>
      <c r="C63" s="546"/>
      <c r="D63" s="524">
        <f>'techn Personal'!N57</f>
        <v>0</v>
      </c>
      <c r="E63" s="524" t="str">
        <f t="shared" si="9"/>
        <v/>
      </c>
      <c r="F63" s="524" t="str">
        <f t="shared" si="10"/>
        <v/>
      </c>
      <c r="G63" s="524" t="str">
        <f t="shared" si="11"/>
        <v/>
      </c>
      <c r="H63" s="981"/>
      <c r="I63" s="982"/>
      <c r="J63" s="982"/>
      <c r="K63" s="983"/>
    </row>
    <row r="64" spans="1:11" ht="25.5" x14ac:dyDescent="0.25">
      <c r="A64" s="558" t="s">
        <v>566</v>
      </c>
      <c r="B64" s="521" t="s">
        <v>513</v>
      </c>
      <c r="C64" s="522"/>
      <c r="D64" s="523">
        <f>'techn Personal'!L57+'techn Personal'!M57</f>
        <v>0</v>
      </c>
      <c r="E64" s="524" t="str">
        <f t="shared" si="9"/>
        <v/>
      </c>
      <c r="F64" s="524" t="str">
        <f t="shared" si="10"/>
        <v/>
      </c>
      <c r="G64" s="524" t="str">
        <f t="shared" si="11"/>
        <v/>
      </c>
      <c r="H64" s="981"/>
      <c r="I64" s="982"/>
      <c r="J64" s="982"/>
      <c r="K64" s="983"/>
    </row>
    <row r="65" spans="1:11" ht="15" customHeight="1" x14ac:dyDescent="0.25">
      <c r="A65" s="558" t="s">
        <v>567</v>
      </c>
      <c r="B65" s="525" t="s">
        <v>515</v>
      </c>
      <c r="C65" s="522"/>
      <c r="D65" s="523">
        <f>'techn Personal'!O57</f>
        <v>0</v>
      </c>
      <c r="E65" s="524" t="str">
        <f t="shared" si="9"/>
        <v/>
      </c>
      <c r="F65" s="524" t="str">
        <f t="shared" si="10"/>
        <v/>
      </c>
      <c r="G65" s="524" t="str">
        <f t="shared" si="11"/>
        <v/>
      </c>
      <c r="H65" s="981"/>
      <c r="I65" s="982"/>
      <c r="J65" s="982"/>
      <c r="K65" s="983"/>
    </row>
    <row r="66" spans="1:11" ht="15" customHeight="1" x14ac:dyDescent="0.25">
      <c r="A66" s="558" t="s">
        <v>568</v>
      </c>
      <c r="B66" s="545" t="s">
        <v>544</v>
      </c>
      <c r="C66" s="546"/>
      <c r="D66" s="548"/>
      <c r="E66" s="524" t="str">
        <f t="shared" si="9"/>
        <v/>
      </c>
      <c r="F66" s="524" t="str">
        <f t="shared" si="10"/>
        <v/>
      </c>
      <c r="G66" s="524" t="str">
        <f t="shared" si="11"/>
        <v/>
      </c>
      <c r="H66" s="981"/>
      <c r="I66" s="982"/>
      <c r="J66" s="982"/>
      <c r="K66" s="983"/>
    </row>
    <row r="67" spans="1:11" ht="15" customHeight="1" x14ac:dyDescent="0.25">
      <c r="A67" s="558" t="s">
        <v>569</v>
      </c>
      <c r="B67" s="545" t="s">
        <v>546</v>
      </c>
      <c r="C67" s="546"/>
      <c r="D67" s="524">
        <f>'techn Personal'!P63</f>
        <v>0</v>
      </c>
      <c r="E67" s="524" t="str">
        <f t="shared" si="9"/>
        <v/>
      </c>
      <c r="F67" s="524" t="str">
        <f t="shared" si="10"/>
        <v/>
      </c>
      <c r="G67" s="524" t="str">
        <f t="shared" si="11"/>
        <v/>
      </c>
      <c r="H67" s="981"/>
      <c r="I67" s="982"/>
      <c r="J67" s="982"/>
      <c r="K67" s="983"/>
    </row>
    <row r="68" spans="1:11" ht="15" customHeight="1" x14ac:dyDescent="0.25">
      <c r="A68" s="558" t="s">
        <v>570</v>
      </c>
      <c r="B68" s="545" t="s">
        <v>571</v>
      </c>
      <c r="C68" s="546"/>
      <c r="D68" s="548"/>
      <c r="E68" s="524" t="str">
        <f t="shared" si="9"/>
        <v/>
      </c>
      <c r="F68" s="524" t="str">
        <f t="shared" si="10"/>
        <v/>
      </c>
      <c r="G68" s="524" t="str">
        <f t="shared" si="11"/>
        <v/>
      </c>
      <c r="H68" s="981"/>
      <c r="I68" s="982"/>
      <c r="J68" s="982"/>
      <c r="K68" s="983"/>
    </row>
    <row r="69" spans="1:11" ht="15" customHeight="1" x14ac:dyDescent="0.25">
      <c r="A69" s="527"/>
      <c r="B69" s="528" t="s">
        <v>549</v>
      </c>
      <c r="C69" s="529">
        <f>SUM(C62:C68)</f>
        <v>0</v>
      </c>
      <c r="D69" s="529">
        <f>SUM(D62:D68)</f>
        <v>0</v>
      </c>
      <c r="E69" s="530">
        <f>SUM(E62:E68)</f>
        <v>0</v>
      </c>
      <c r="F69" s="530">
        <f>SUM(F62:F68)</f>
        <v>0</v>
      </c>
      <c r="G69" s="530">
        <f>SUM(G62:G68)</f>
        <v>0</v>
      </c>
      <c r="H69" s="984"/>
      <c r="I69" s="985"/>
      <c r="J69" s="985"/>
      <c r="K69" s="986"/>
    </row>
    <row r="70" spans="1:11" s="269" customFormat="1" ht="15" customHeight="1" x14ac:dyDescent="0.25">
      <c r="A70" s="549"/>
      <c r="B70" s="550"/>
      <c r="C70" s="551"/>
      <c r="D70" s="552"/>
      <c r="E70" s="552"/>
      <c r="F70" s="552"/>
      <c r="G70" s="552"/>
      <c r="H70" s="553"/>
      <c r="I70" s="553"/>
      <c r="J70" s="553"/>
      <c r="K70" s="554"/>
    </row>
    <row r="71" spans="1:11" ht="15" x14ac:dyDescent="0.25">
      <c r="A71" s="435" t="s">
        <v>572</v>
      </c>
      <c r="B71" s="518" t="s">
        <v>573</v>
      </c>
      <c r="C71" s="555"/>
      <c r="D71" s="556"/>
      <c r="E71" s="557"/>
      <c r="F71" s="557"/>
      <c r="G71" s="557"/>
      <c r="H71" s="998"/>
      <c r="I71" s="999"/>
      <c r="J71" s="999"/>
      <c r="K71" s="1000"/>
    </row>
    <row r="72" spans="1:11" ht="15" customHeight="1" x14ac:dyDescent="0.25">
      <c r="A72" s="438" t="s">
        <v>574</v>
      </c>
      <c r="B72" s="545" t="s">
        <v>575</v>
      </c>
      <c r="C72" s="546"/>
      <c r="D72" s="548"/>
      <c r="E72" s="524" t="str">
        <f t="shared" ref="E72:E84" si="12">IF($K$2="","",D72/$K$5*$K$2)</f>
        <v/>
      </c>
      <c r="F72" s="524" t="str">
        <f t="shared" ref="F72:F84" si="13">IF($K$3="","",D72/$K$5*$K$3)</f>
        <v/>
      </c>
      <c r="G72" s="524" t="str">
        <f t="shared" ref="G72:G84" si="14">IF($K$4="","",D72/$K$5*$K$4)</f>
        <v/>
      </c>
      <c r="H72" s="981"/>
      <c r="I72" s="982"/>
      <c r="J72" s="982"/>
      <c r="K72" s="983"/>
    </row>
    <row r="73" spans="1:11" ht="15" customHeight="1" x14ac:dyDescent="0.25">
      <c r="A73" s="438" t="s">
        <v>576</v>
      </c>
      <c r="B73" s="545" t="s">
        <v>577</v>
      </c>
      <c r="C73" s="546"/>
      <c r="D73" s="548"/>
      <c r="E73" s="524" t="str">
        <f t="shared" si="12"/>
        <v/>
      </c>
      <c r="F73" s="524" t="str">
        <f t="shared" si="13"/>
        <v/>
      </c>
      <c r="G73" s="524" t="str">
        <f t="shared" si="14"/>
        <v/>
      </c>
      <c r="H73" s="981"/>
      <c r="I73" s="982"/>
      <c r="J73" s="982"/>
      <c r="K73" s="983"/>
    </row>
    <row r="74" spans="1:11" ht="15" customHeight="1" x14ac:dyDescent="0.25">
      <c r="A74" s="438" t="s">
        <v>578</v>
      </c>
      <c r="B74" s="545" t="s">
        <v>579</v>
      </c>
      <c r="C74" s="546"/>
      <c r="D74" s="548"/>
      <c r="E74" s="524" t="str">
        <f t="shared" si="12"/>
        <v/>
      </c>
      <c r="F74" s="524" t="str">
        <f t="shared" si="13"/>
        <v/>
      </c>
      <c r="G74" s="524" t="str">
        <f t="shared" si="14"/>
        <v/>
      </c>
      <c r="H74" s="981"/>
      <c r="I74" s="982"/>
      <c r="J74" s="982"/>
      <c r="K74" s="983"/>
    </row>
    <row r="75" spans="1:11" ht="15" customHeight="1" x14ac:dyDescent="0.25">
      <c r="A75" s="438" t="s">
        <v>580</v>
      </c>
      <c r="B75" s="559" t="s">
        <v>581</v>
      </c>
      <c r="C75" s="546"/>
      <c r="D75" s="548"/>
      <c r="E75" s="524" t="str">
        <f t="shared" si="12"/>
        <v/>
      </c>
      <c r="F75" s="524" t="str">
        <f t="shared" si="13"/>
        <v/>
      </c>
      <c r="G75" s="524" t="str">
        <f t="shared" si="14"/>
        <v/>
      </c>
      <c r="H75" s="981"/>
      <c r="I75" s="982"/>
      <c r="J75" s="982"/>
      <c r="K75" s="983"/>
    </row>
    <row r="76" spans="1:11" ht="15" customHeight="1" x14ac:dyDescent="0.25">
      <c r="A76" s="438" t="s">
        <v>582</v>
      </c>
      <c r="B76" s="559" t="s">
        <v>583</v>
      </c>
      <c r="C76" s="546"/>
      <c r="D76" s="548"/>
      <c r="E76" s="524" t="str">
        <f t="shared" si="12"/>
        <v/>
      </c>
      <c r="F76" s="524" t="str">
        <f t="shared" si="13"/>
        <v/>
      </c>
      <c r="G76" s="524" t="str">
        <f t="shared" si="14"/>
        <v/>
      </c>
      <c r="H76" s="981"/>
      <c r="I76" s="982"/>
      <c r="J76" s="982"/>
      <c r="K76" s="983"/>
    </row>
    <row r="77" spans="1:11" ht="15" customHeight="1" x14ac:dyDescent="0.25">
      <c r="A77" s="438" t="s">
        <v>584</v>
      </c>
      <c r="B77" s="559" t="s">
        <v>585</v>
      </c>
      <c r="C77" s="546"/>
      <c r="D77" s="548"/>
      <c r="E77" s="524" t="str">
        <f t="shared" si="12"/>
        <v/>
      </c>
      <c r="F77" s="524" t="str">
        <f t="shared" si="13"/>
        <v/>
      </c>
      <c r="G77" s="524" t="str">
        <f t="shared" si="14"/>
        <v/>
      </c>
      <c r="H77" s="981"/>
      <c r="I77" s="982"/>
      <c r="J77" s="982"/>
      <c r="K77" s="983"/>
    </row>
    <row r="78" spans="1:11" ht="15" customHeight="1" x14ac:dyDescent="0.25">
      <c r="A78" s="438" t="s">
        <v>586</v>
      </c>
      <c r="B78" s="545" t="s">
        <v>587</v>
      </c>
      <c r="C78" s="546"/>
      <c r="D78" s="548"/>
      <c r="E78" s="524" t="str">
        <f t="shared" si="12"/>
        <v/>
      </c>
      <c r="F78" s="524" t="str">
        <f t="shared" si="13"/>
        <v/>
      </c>
      <c r="G78" s="524" t="str">
        <f t="shared" si="14"/>
        <v/>
      </c>
      <c r="H78" s="981"/>
      <c r="I78" s="982"/>
      <c r="J78" s="982"/>
      <c r="K78" s="983"/>
    </row>
    <row r="79" spans="1:11" ht="15" customHeight="1" x14ac:dyDescent="0.25">
      <c r="A79" s="438" t="s">
        <v>588</v>
      </c>
      <c r="B79" s="545" t="s">
        <v>589</v>
      </c>
      <c r="C79" s="546"/>
      <c r="D79" s="548"/>
      <c r="E79" s="524" t="str">
        <f t="shared" si="12"/>
        <v/>
      </c>
      <c r="F79" s="524" t="str">
        <f t="shared" si="13"/>
        <v/>
      </c>
      <c r="G79" s="524" t="str">
        <f t="shared" si="14"/>
        <v/>
      </c>
      <c r="H79" s="981"/>
      <c r="I79" s="982"/>
      <c r="J79" s="982"/>
      <c r="K79" s="983"/>
    </row>
    <row r="80" spans="1:11" ht="15" customHeight="1" x14ac:dyDescent="0.25">
      <c r="A80" s="438" t="s">
        <v>590</v>
      </c>
      <c r="B80" s="545" t="s">
        <v>591</v>
      </c>
      <c r="C80" s="546"/>
      <c r="D80" s="548"/>
      <c r="E80" s="524" t="str">
        <f t="shared" si="12"/>
        <v/>
      </c>
      <c r="F80" s="524" t="str">
        <f t="shared" si="13"/>
        <v/>
      </c>
      <c r="G80" s="524" t="str">
        <f t="shared" si="14"/>
        <v/>
      </c>
      <c r="H80" s="981"/>
      <c r="I80" s="982"/>
      <c r="J80" s="982"/>
      <c r="K80" s="983"/>
    </row>
    <row r="81" spans="1:11" ht="15" customHeight="1" x14ac:dyDescent="0.25">
      <c r="A81" s="560" t="s">
        <v>592</v>
      </c>
      <c r="B81" s="559" t="s">
        <v>593</v>
      </c>
      <c r="C81" s="546"/>
      <c r="D81" s="548"/>
      <c r="E81" s="524" t="str">
        <f t="shared" si="12"/>
        <v/>
      </c>
      <c r="F81" s="524" t="str">
        <f t="shared" si="13"/>
        <v/>
      </c>
      <c r="G81" s="524" t="str">
        <f t="shared" si="14"/>
        <v/>
      </c>
      <c r="H81" s="981"/>
      <c r="I81" s="982"/>
      <c r="J81" s="982"/>
      <c r="K81" s="983"/>
    </row>
    <row r="82" spans="1:11" ht="15" customHeight="1" x14ac:dyDescent="0.25">
      <c r="A82" s="560" t="s">
        <v>594</v>
      </c>
      <c r="B82" s="559" t="s">
        <v>595</v>
      </c>
      <c r="C82" s="546"/>
      <c r="D82" s="548"/>
      <c r="E82" s="524" t="str">
        <f t="shared" si="12"/>
        <v/>
      </c>
      <c r="F82" s="524" t="str">
        <f t="shared" si="13"/>
        <v/>
      </c>
      <c r="G82" s="524" t="str">
        <f t="shared" si="14"/>
        <v/>
      </c>
      <c r="H82" s="981"/>
      <c r="I82" s="982"/>
      <c r="J82" s="982"/>
      <c r="K82" s="983"/>
    </row>
    <row r="83" spans="1:11" ht="15" customHeight="1" x14ac:dyDescent="0.25">
      <c r="A83" s="560" t="s">
        <v>596</v>
      </c>
      <c r="B83" s="559" t="s">
        <v>597</v>
      </c>
      <c r="C83" s="546"/>
      <c r="D83" s="548"/>
      <c r="E83" s="524" t="str">
        <f t="shared" si="12"/>
        <v/>
      </c>
      <c r="F83" s="524" t="str">
        <f t="shared" si="13"/>
        <v/>
      </c>
      <c r="G83" s="524" t="str">
        <f t="shared" si="14"/>
        <v/>
      </c>
      <c r="H83" s="981"/>
      <c r="I83" s="982"/>
      <c r="J83" s="982"/>
      <c r="K83" s="983"/>
    </row>
    <row r="84" spans="1:11" ht="15" customHeight="1" x14ac:dyDescent="0.25">
      <c r="A84" s="560" t="s">
        <v>598</v>
      </c>
      <c r="B84" s="559" t="s">
        <v>599</v>
      </c>
      <c r="C84" s="546"/>
      <c r="D84" s="548"/>
      <c r="E84" s="524" t="str">
        <f t="shared" si="12"/>
        <v/>
      </c>
      <c r="F84" s="524" t="str">
        <f t="shared" si="13"/>
        <v/>
      </c>
      <c r="G84" s="524" t="str">
        <f t="shared" si="14"/>
        <v/>
      </c>
      <c r="H84" s="981"/>
      <c r="I84" s="982"/>
      <c r="J84" s="982"/>
      <c r="K84" s="983"/>
    </row>
    <row r="85" spans="1:11" ht="15" customHeight="1" x14ac:dyDescent="0.25">
      <c r="A85" s="527"/>
      <c r="B85" s="528" t="s">
        <v>549</v>
      </c>
      <c r="C85" s="529">
        <f>SUM(C72:C83)-C84</f>
        <v>0</v>
      </c>
      <c r="D85" s="529">
        <f>SUM(D72:D83)-D84</f>
        <v>0</v>
      </c>
      <c r="E85" s="530">
        <f>SUM(E72:E83)-SUM(E84:E84)</f>
        <v>0</v>
      </c>
      <c r="F85" s="530">
        <f t="shared" ref="F85:G85" si="15">SUM(F72:F83)-SUM(F84:F84)</f>
        <v>0</v>
      </c>
      <c r="G85" s="530">
        <f t="shared" si="15"/>
        <v>0</v>
      </c>
      <c r="H85" s="984"/>
      <c r="I85" s="985"/>
      <c r="J85" s="985"/>
      <c r="K85" s="986"/>
    </row>
    <row r="86" spans="1:11" s="269" customFormat="1" ht="15" customHeight="1" x14ac:dyDescent="0.25">
      <c r="A86" s="549"/>
      <c r="B86" s="550"/>
      <c r="C86" s="551"/>
      <c r="D86" s="552"/>
      <c r="E86" s="552"/>
      <c r="F86" s="552"/>
      <c r="G86" s="552"/>
      <c r="H86" s="553"/>
      <c r="I86" s="553"/>
      <c r="J86" s="553"/>
      <c r="K86" s="554"/>
    </row>
    <row r="87" spans="1:11" ht="15" x14ac:dyDescent="0.25">
      <c r="A87" s="435" t="s">
        <v>600</v>
      </c>
      <c r="B87" s="518" t="s">
        <v>601</v>
      </c>
      <c r="C87" s="519"/>
      <c r="D87" s="520"/>
      <c r="E87" s="517"/>
      <c r="F87" s="517"/>
      <c r="G87" s="517"/>
      <c r="H87" s="998"/>
      <c r="I87" s="999"/>
      <c r="J87" s="999"/>
      <c r="K87" s="1000"/>
    </row>
    <row r="88" spans="1:11" ht="15" customHeight="1" x14ac:dyDescent="0.25">
      <c r="A88" s="438" t="s">
        <v>602</v>
      </c>
      <c r="B88" s="545" t="s">
        <v>603</v>
      </c>
      <c r="C88" s="546"/>
      <c r="D88" s="548"/>
      <c r="E88" s="524" t="str">
        <f>IF($K$2="","",D88/$K$5*$K$2)</f>
        <v/>
      </c>
      <c r="F88" s="524" t="str">
        <f>IF($K$3="","",D88/$K$5*$K$3)</f>
        <v/>
      </c>
      <c r="G88" s="524" t="str">
        <f>IF($K$4="","",D88/$K$5*$K$4)</f>
        <v/>
      </c>
      <c r="H88" s="981"/>
      <c r="I88" s="982"/>
      <c r="J88" s="982"/>
      <c r="K88" s="983"/>
    </row>
    <row r="89" spans="1:11" ht="15" customHeight="1" x14ac:dyDescent="0.25">
      <c r="A89" s="438" t="s">
        <v>604</v>
      </c>
      <c r="B89" s="559" t="s">
        <v>605</v>
      </c>
      <c r="C89" s="546"/>
      <c r="D89" s="548"/>
      <c r="E89" s="524" t="str">
        <f t="shared" ref="E89:E90" si="16">IF($K$2="","",D89/$K$5*$K$2)</f>
        <v/>
      </c>
      <c r="F89" s="524" t="str">
        <f t="shared" ref="F89:F90" si="17">IF($K$3="","",D89/$K$5*$K$3)</f>
        <v/>
      </c>
      <c r="G89" s="524" t="str">
        <f t="shared" ref="G89:G90" si="18">IF($K$4="","",D89/$K$5*$K$4)</f>
        <v/>
      </c>
      <c r="H89" s="981"/>
      <c r="I89" s="982"/>
      <c r="J89" s="982"/>
      <c r="K89" s="983"/>
    </row>
    <row r="90" spans="1:11" ht="15" customHeight="1" x14ac:dyDescent="0.25">
      <c r="A90" s="438" t="s">
        <v>606</v>
      </c>
      <c r="B90" s="545" t="s">
        <v>607</v>
      </c>
      <c r="C90" s="546"/>
      <c r="D90" s="548"/>
      <c r="E90" s="524" t="str">
        <f t="shared" si="16"/>
        <v/>
      </c>
      <c r="F90" s="524" t="str">
        <f t="shared" si="17"/>
        <v/>
      </c>
      <c r="G90" s="524" t="str">
        <f t="shared" si="18"/>
        <v/>
      </c>
      <c r="H90" s="981"/>
      <c r="I90" s="982"/>
      <c r="J90" s="982"/>
      <c r="K90" s="983"/>
    </row>
    <row r="91" spans="1:11" ht="15" customHeight="1" x14ac:dyDescent="0.25">
      <c r="A91" s="527"/>
      <c r="B91" s="528" t="s">
        <v>549</v>
      </c>
      <c r="C91" s="529">
        <f>SUM(C88:C90)</f>
        <v>0</v>
      </c>
      <c r="D91" s="529">
        <f>SUM(D88:D90)</f>
        <v>0</v>
      </c>
      <c r="E91" s="530">
        <f>SUM(E88:E90)</f>
        <v>0</v>
      </c>
      <c r="F91" s="530">
        <f t="shared" ref="F91:G91" si="19">SUM(F88:F90)</f>
        <v>0</v>
      </c>
      <c r="G91" s="530">
        <f t="shared" si="19"/>
        <v>0</v>
      </c>
      <c r="H91" s="984"/>
      <c r="I91" s="985"/>
      <c r="J91" s="985"/>
      <c r="K91" s="986"/>
    </row>
    <row r="92" spans="1:11" s="269" customFormat="1" ht="15" customHeight="1" x14ac:dyDescent="0.25">
      <c r="A92" s="549"/>
      <c r="B92" s="550"/>
      <c r="C92" s="551"/>
      <c r="D92" s="552"/>
      <c r="E92" s="552"/>
      <c r="F92" s="552"/>
      <c r="G92" s="552"/>
      <c r="H92" s="553"/>
      <c r="I92" s="553"/>
      <c r="J92" s="553"/>
      <c r="K92" s="554"/>
    </row>
    <row r="93" spans="1:11" ht="15" x14ac:dyDescent="0.25">
      <c r="A93" s="435" t="s">
        <v>608</v>
      </c>
      <c r="B93" s="518" t="s">
        <v>609</v>
      </c>
      <c r="C93" s="519"/>
      <c r="D93" s="520"/>
      <c r="E93" s="517"/>
      <c r="F93" s="517"/>
      <c r="G93" s="517"/>
      <c r="H93" s="998"/>
      <c r="I93" s="999"/>
      <c r="J93" s="999"/>
      <c r="K93" s="1000"/>
    </row>
    <row r="94" spans="1:11" ht="15" customHeight="1" x14ac:dyDescent="0.25">
      <c r="A94" s="438" t="s">
        <v>610</v>
      </c>
      <c r="B94" s="545" t="s">
        <v>611</v>
      </c>
      <c r="C94" s="546"/>
      <c r="D94" s="548"/>
      <c r="E94" s="524" t="str">
        <f t="shared" ref="E94:E100" si="20">IF($K$2="","",D94/$K$5*$K$2)</f>
        <v/>
      </c>
      <c r="F94" s="524" t="str">
        <f t="shared" ref="F94:F100" si="21">IF($K$3="","",D94/$K$5*$K$3)</f>
        <v/>
      </c>
      <c r="G94" s="524" t="str">
        <f t="shared" ref="G94:G100" si="22">IF($K$4="","",D94/$K$5*$K$4)</f>
        <v/>
      </c>
      <c r="H94" s="981"/>
      <c r="I94" s="982"/>
      <c r="J94" s="982"/>
      <c r="K94" s="983"/>
    </row>
    <row r="95" spans="1:11" ht="15" customHeight="1" x14ac:dyDescent="0.25">
      <c r="A95" s="438" t="s">
        <v>612</v>
      </c>
      <c r="B95" s="545" t="s">
        <v>613</v>
      </c>
      <c r="C95" s="546"/>
      <c r="D95" s="548"/>
      <c r="E95" s="524" t="str">
        <f t="shared" si="20"/>
        <v/>
      </c>
      <c r="F95" s="524" t="str">
        <f t="shared" si="21"/>
        <v/>
      </c>
      <c r="G95" s="524" t="str">
        <f t="shared" si="22"/>
        <v/>
      </c>
      <c r="H95" s="981"/>
      <c r="I95" s="982"/>
      <c r="J95" s="982"/>
      <c r="K95" s="983"/>
    </row>
    <row r="96" spans="1:11" ht="15" customHeight="1" x14ac:dyDescent="0.25">
      <c r="A96" s="438" t="s">
        <v>614</v>
      </c>
      <c r="B96" s="545" t="s">
        <v>615</v>
      </c>
      <c r="C96" s="546"/>
      <c r="D96" s="548"/>
      <c r="E96" s="524" t="str">
        <f t="shared" si="20"/>
        <v/>
      </c>
      <c r="F96" s="524" t="str">
        <f t="shared" si="21"/>
        <v/>
      </c>
      <c r="G96" s="524" t="str">
        <f t="shared" si="22"/>
        <v/>
      </c>
      <c r="H96" s="981"/>
      <c r="I96" s="982"/>
      <c r="J96" s="982"/>
      <c r="K96" s="983"/>
    </row>
    <row r="97" spans="1:11" ht="15" customHeight="1" x14ac:dyDescent="0.25">
      <c r="A97" s="438" t="s">
        <v>616</v>
      </c>
      <c r="B97" s="545" t="s">
        <v>617</v>
      </c>
      <c r="C97" s="546"/>
      <c r="D97" s="548"/>
      <c r="E97" s="524" t="str">
        <f t="shared" si="20"/>
        <v/>
      </c>
      <c r="F97" s="524" t="str">
        <f t="shared" si="21"/>
        <v/>
      </c>
      <c r="G97" s="524" t="str">
        <f t="shared" si="22"/>
        <v/>
      </c>
      <c r="H97" s="981"/>
      <c r="I97" s="982"/>
      <c r="J97" s="982"/>
      <c r="K97" s="983"/>
    </row>
    <row r="98" spans="1:11" ht="15" customHeight="1" x14ac:dyDescent="0.25">
      <c r="A98" s="438" t="s">
        <v>618</v>
      </c>
      <c r="B98" s="545" t="s">
        <v>619</v>
      </c>
      <c r="C98" s="546"/>
      <c r="D98" s="548"/>
      <c r="E98" s="524" t="str">
        <f t="shared" si="20"/>
        <v/>
      </c>
      <c r="F98" s="524" t="str">
        <f t="shared" si="21"/>
        <v/>
      </c>
      <c r="G98" s="524" t="str">
        <f t="shared" si="22"/>
        <v/>
      </c>
      <c r="H98" s="981"/>
      <c r="I98" s="982"/>
      <c r="J98" s="982"/>
      <c r="K98" s="983"/>
    </row>
    <row r="99" spans="1:11" ht="15" customHeight="1" x14ac:dyDescent="0.25">
      <c r="A99" s="438" t="s">
        <v>620</v>
      </c>
      <c r="B99" s="545" t="s">
        <v>621</v>
      </c>
      <c r="C99" s="546"/>
      <c r="D99" s="548"/>
      <c r="E99" s="524" t="str">
        <f t="shared" si="20"/>
        <v/>
      </c>
      <c r="F99" s="524" t="str">
        <f t="shared" si="21"/>
        <v/>
      </c>
      <c r="G99" s="524" t="str">
        <f t="shared" si="22"/>
        <v/>
      </c>
      <c r="H99" s="981"/>
      <c r="I99" s="982"/>
      <c r="J99" s="982"/>
      <c r="K99" s="983"/>
    </row>
    <row r="100" spans="1:11" ht="15" customHeight="1" x14ac:dyDescent="0.25">
      <c r="A100" s="438" t="s">
        <v>622</v>
      </c>
      <c r="B100" s="545" t="s">
        <v>623</v>
      </c>
      <c r="C100" s="546"/>
      <c r="D100" s="548"/>
      <c r="E100" s="524" t="str">
        <f t="shared" si="20"/>
        <v/>
      </c>
      <c r="F100" s="524" t="str">
        <f t="shared" si="21"/>
        <v/>
      </c>
      <c r="G100" s="524" t="str">
        <f t="shared" si="22"/>
        <v/>
      </c>
      <c r="H100" s="981"/>
      <c r="I100" s="982"/>
      <c r="J100" s="982"/>
      <c r="K100" s="983"/>
    </row>
    <row r="101" spans="1:11" ht="15" customHeight="1" x14ac:dyDescent="0.25">
      <c r="A101" s="527"/>
      <c r="B101" s="528" t="s">
        <v>549</v>
      </c>
      <c r="C101" s="529">
        <f>SUM(C94:C100)</f>
        <v>0</v>
      </c>
      <c r="D101" s="529">
        <f>SUM(D94:D100)</f>
        <v>0</v>
      </c>
      <c r="E101" s="530">
        <f>SUM(E94:E100)</f>
        <v>0</v>
      </c>
      <c r="F101" s="530">
        <f>SUM(F94:F100)</f>
        <v>0</v>
      </c>
      <c r="G101" s="530">
        <f>SUM(G94:G100)</f>
        <v>0</v>
      </c>
      <c r="H101" s="984"/>
      <c r="I101" s="985"/>
      <c r="J101" s="985"/>
      <c r="K101" s="986"/>
    </row>
    <row r="102" spans="1:11" s="269" customFormat="1" ht="15" customHeight="1" x14ac:dyDescent="0.25">
      <c r="A102" s="549"/>
      <c r="B102" s="550"/>
      <c r="C102" s="551"/>
      <c r="D102" s="552"/>
      <c r="E102" s="552"/>
      <c r="F102" s="552"/>
      <c r="G102" s="552"/>
      <c r="H102" s="553"/>
      <c r="I102" s="553"/>
      <c r="J102" s="553"/>
      <c r="K102" s="554"/>
    </row>
    <row r="103" spans="1:11" ht="21.75" customHeight="1" x14ac:dyDescent="0.25">
      <c r="A103" s="435" t="s">
        <v>384</v>
      </c>
      <c r="B103" s="515" t="s">
        <v>425</v>
      </c>
      <c r="C103" s="516"/>
      <c r="D103" s="517"/>
      <c r="E103" s="517"/>
      <c r="F103" s="517"/>
      <c r="G103" s="517"/>
      <c r="H103" s="987"/>
      <c r="I103" s="988"/>
      <c r="J103" s="988"/>
      <c r="K103" s="989"/>
    </row>
    <row r="104" spans="1:11" ht="15" customHeight="1" x14ac:dyDescent="0.25">
      <c r="A104" s="990" t="s">
        <v>624</v>
      </c>
      <c r="B104" s="992" t="s">
        <v>625</v>
      </c>
      <c r="C104" s="993"/>
      <c r="D104" s="995">
        <f>SUM(E104:G105)</f>
        <v>0</v>
      </c>
      <c r="E104" s="995" t="str">
        <f>IF($K$2="","",H105*$K$2)</f>
        <v/>
      </c>
      <c r="F104" s="995" t="str">
        <f>IF($K$3="","",I105*$K$3)</f>
        <v/>
      </c>
      <c r="G104" s="995" t="str">
        <f>IF($K$4="","",J105*$K$4)</f>
        <v/>
      </c>
      <c r="H104" s="538" t="s">
        <v>367</v>
      </c>
      <c r="I104" s="538" t="s">
        <v>370</v>
      </c>
      <c r="J104" s="538" t="s">
        <v>372</v>
      </c>
      <c r="K104" s="561"/>
    </row>
    <row r="105" spans="1:11" ht="15" customHeight="1" x14ac:dyDescent="0.25">
      <c r="A105" s="991"/>
      <c r="B105" s="991"/>
      <c r="C105" s="994"/>
      <c r="D105" s="996"/>
      <c r="E105" s="997"/>
      <c r="F105" s="997"/>
      <c r="G105" s="997"/>
      <c r="H105" s="562">
        <f>230/12*Grundlagen!C24</f>
        <v>0</v>
      </c>
      <c r="I105" s="562">
        <f>230/12*Grundlagen!C24</f>
        <v>0</v>
      </c>
      <c r="J105" s="562">
        <f>100/12*Grundlagen!C24</f>
        <v>0</v>
      </c>
      <c r="K105" s="563"/>
    </row>
    <row r="106" spans="1:11" ht="15" customHeight="1" x14ac:dyDescent="0.25">
      <c r="A106" s="438" t="s">
        <v>626</v>
      </c>
      <c r="B106" s="390" t="s">
        <v>355</v>
      </c>
      <c r="C106" s="564"/>
      <c r="D106" s="565"/>
      <c r="E106" s="524" t="str">
        <f>IF($K$2="","",H106*$K$2)</f>
        <v/>
      </c>
      <c r="F106" s="524" t="str">
        <f>IF($K$3="","",I106*$K$3)</f>
        <v/>
      </c>
      <c r="G106" s="524" t="str">
        <f>IF($K$4="","",J106*$K$4)</f>
        <v/>
      </c>
      <c r="H106" s="562">
        <f>IF($D$106=0,0,IF(K2="","",(($D$106-((IF($K$2="",0,$K$2*$H$105))+(IF($K$3="",0,$K$3*$I$105))+(IF($K$4="",0,$K$4*$J$105))))/$K$5)+H105))</f>
        <v>0</v>
      </c>
      <c r="I106" s="562">
        <f>IF($D$106=0,0,IF(K3="","",(($D$106-((IF($K$2="",0,$K$2*$H$105))+(IF($K$3="",0,$K$3*$I$105))+(IF($K$4="",0,$K$4*$J$105))))/$K$5)+I105))</f>
        <v>0</v>
      </c>
      <c r="J106" s="562">
        <f>IF($D$106=0,0,IF(K4="","",(($D$106-((IF($K$2="",0,$K$2*$H$105))+(IF($K$3="",0,$K$3*$I$105))+(IF($K$4="",0,$K$4*$J$105))))/$K$5)+J105))</f>
        <v>0</v>
      </c>
      <c r="K106" s="563"/>
    </row>
    <row r="107" spans="1:11" ht="15" customHeight="1" x14ac:dyDescent="0.25">
      <c r="A107" s="527"/>
      <c r="B107" s="528" t="s">
        <v>549</v>
      </c>
      <c r="C107" s="529">
        <f>IF(C106&gt;C104,C106,C104)</f>
        <v>0</v>
      </c>
      <c r="D107" s="529">
        <f>IF(D106&gt;D104,D106,D104)</f>
        <v>0</v>
      </c>
      <c r="E107" s="529">
        <f>IF(D106&gt;D104,SUM(E106),SUM(E104))</f>
        <v>0</v>
      </c>
      <c r="F107" s="529">
        <f>IF(D106&gt;D104,SUM(F106),SUM(F104))</f>
        <v>0</v>
      </c>
      <c r="G107" s="529">
        <f>IF(D106&gt;D104,SUM(G106),SUM(G104))</f>
        <v>0</v>
      </c>
      <c r="H107" s="984"/>
      <c r="I107" s="985"/>
      <c r="J107" s="985"/>
      <c r="K107" s="986"/>
    </row>
    <row r="108" spans="1:11" s="269" customFormat="1" ht="15" customHeight="1" x14ac:dyDescent="0.25">
      <c r="A108" s="549"/>
      <c r="B108" s="550"/>
      <c r="C108" s="551"/>
      <c r="D108" s="552"/>
      <c r="E108" s="552"/>
      <c r="F108" s="552"/>
      <c r="G108" s="552"/>
      <c r="H108" s="553"/>
      <c r="I108" s="553"/>
      <c r="J108" s="553"/>
      <c r="K108" s="554"/>
    </row>
    <row r="109" spans="1:11" ht="21.75" customHeight="1" x14ac:dyDescent="0.25">
      <c r="A109" s="435" t="s">
        <v>385</v>
      </c>
      <c r="B109" s="515" t="s">
        <v>426</v>
      </c>
      <c r="C109" s="516"/>
      <c r="D109" s="517"/>
      <c r="E109" s="517"/>
      <c r="F109" s="517"/>
      <c r="G109" s="517"/>
      <c r="H109" s="978"/>
      <c r="I109" s="979"/>
      <c r="J109" s="979"/>
      <c r="K109" s="980"/>
    </row>
    <row r="110" spans="1:11" ht="15" customHeight="1" x14ac:dyDescent="0.25">
      <c r="A110" s="438" t="s">
        <v>627</v>
      </c>
      <c r="B110" s="521" t="s">
        <v>628</v>
      </c>
      <c r="C110" s="546"/>
      <c r="D110" s="548"/>
      <c r="E110" s="524" t="str">
        <f>IF($K$2="","",D110/$K$5*$K$2)</f>
        <v/>
      </c>
      <c r="F110" s="524" t="str">
        <f>IF($K$3="","",D110/$K$5*$K$3)</f>
        <v/>
      </c>
      <c r="G110" s="524" t="str">
        <f>IF($K$4="","",D110/$K$5*$K$4)</f>
        <v/>
      </c>
      <c r="H110" s="981"/>
      <c r="I110" s="982"/>
      <c r="J110" s="982"/>
      <c r="K110" s="983"/>
    </row>
    <row r="111" spans="1:11" ht="15" customHeight="1" x14ac:dyDescent="0.25">
      <c r="A111" s="527"/>
      <c r="B111" s="528" t="s">
        <v>549</v>
      </c>
      <c r="C111" s="529">
        <f>SUM(C110:C110)</f>
        <v>0</v>
      </c>
      <c r="D111" s="529">
        <f>SUM(D110:D110)</f>
        <v>0</v>
      </c>
      <c r="E111" s="530">
        <f>IF(K2="",0,$D$111/$K$5*K2)</f>
        <v>0</v>
      </c>
      <c r="F111" s="530">
        <f>IF(K3="",0,$D$111/$K$5*K3)</f>
        <v>0</v>
      </c>
      <c r="G111" s="530">
        <f>IF(K4="",0,$D$111/$K$5*K4)</f>
        <v>0</v>
      </c>
      <c r="H111" s="984"/>
      <c r="I111" s="985"/>
      <c r="J111" s="985"/>
      <c r="K111" s="986"/>
    </row>
    <row r="112" spans="1:11" s="269" customFormat="1" ht="15" customHeight="1" x14ac:dyDescent="0.25">
      <c r="A112" s="549"/>
      <c r="B112" s="550"/>
      <c r="C112" s="551"/>
      <c r="D112" s="552"/>
      <c r="E112" s="552"/>
      <c r="F112" s="552"/>
      <c r="G112" s="552"/>
      <c r="H112" s="553"/>
      <c r="I112" s="553"/>
      <c r="J112" s="553"/>
      <c r="K112" s="554"/>
    </row>
    <row r="113" spans="1:11" ht="21.75" customHeight="1" x14ac:dyDescent="0.25">
      <c r="A113" s="435" t="s">
        <v>386</v>
      </c>
      <c r="B113" s="515" t="s">
        <v>427</v>
      </c>
      <c r="C113" s="516"/>
      <c r="D113" s="517"/>
      <c r="E113" s="517"/>
      <c r="F113" s="517"/>
      <c r="G113" s="517"/>
      <c r="H113" s="978"/>
      <c r="I113" s="979"/>
      <c r="J113" s="979"/>
      <c r="K113" s="980"/>
    </row>
    <row r="114" spans="1:11" ht="25.5" x14ac:dyDescent="0.25">
      <c r="A114" s="438" t="s">
        <v>629</v>
      </c>
      <c r="B114" s="521" t="s">
        <v>630</v>
      </c>
      <c r="C114" s="546"/>
      <c r="D114" s="567"/>
      <c r="E114" s="524" t="str">
        <f>IF($K$2="","",D114/$K$5*$K$2)</f>
        <v/>
      </c>
      <c r="F114" s="524" t="str">
        <f>IF($K$3="","",D114/$K$5*$K$3)</f>
        <v/>
      </c>
      <c r="G114" s="524" t="str">
        <f>IF($K$4="","",D114/$K$5*$K$4)</f>
        <v/>
      </c>
      <c r="H114" s="981"/>
      <c r="I114" s="982"/>
      <c r="J114" s="982"/>
      <c r="K114" s="983"/>
    </row>
    <row r="115" spans="1:11" ht="15" customHeight="1" x14ac:dyDescent="0.25">
      <c r="A115" s="438" t="s">
        <v>631</v>
      </c>
      <c r="B115" s="521" t="s">
        <v>632</v>
      </c>
      <c r="C115" s="546"/>
      <c r="D115" s="568">
        <f>'päd Personal'!Q85</f>
        <v>0</v>
      </c>
      <c r="E115" s="524" t="str">
        <f>IF($K$2="","",D115/$K$5*$K$2)</f>
        <v/>
      </c>
      <c r="F115" s="524" t="str">
        <f>IF($K$3="","",D115/$K$5*$K$3)</f>
        <v/>
      </c>
      <c r="G115" s="524" t="str">
        <f>IF($K$4="","",D115/$K$5*$K$4)</f>
        <v/>
      </c>
      <c r="H115" s="981"/>
      <c r="I115" s="982"/>
      <c r="J115" s="982"/>
      <c r="K115" s="983"/>
    </row>
    <row r="116" spans="1:11" ht="15" customHeight="1" x14ac:dyDescent="0.25">
      <c r="A116" s="438" t="s">
        <v>633</v>
      </c>
      <c r="B116" s="521" t="s">
        <v>634</v>
      </c>
      <c r="C116" s="546"/>
      <c r="D116" s="568">
        <f>'päd Personal'!Q117</f>
        <v>0</v>
      </c>
      <c r="E116" s="524" t="str">
        <f>IF($K$2="","",D116/$K$5*$K$2)</f>
        <v/>
      </c>
      <c r="F116" s="524" t="str">
        <f>IF($K$3="","",D116/$K$5*$K$3)</f>
        <v/>
      </c>
      <c r="G116" s="524" t="str">
        <f>IF($K$4="","",D116/$K$5*$K$4)</f>
        <v/>
      </c>
      <c r="H116" s="981"/>
      <c r="I116" s="982"/>
      <c r="J116" s="982"/>
      <c r="K116" s="983"/>
    </row>
    <row r="117" spans="1:11" ht="15" customHeight="1" x14ac:dyDescent="0.25">
      <c r="A117" s="527"/>
      <c r="B117" s="528" t="s">
        <v>549</v>
      </c>
      <c r="C117" s="529">
        <f>SUM(C114:C116)</f>
        <v>0</v>
      </c>
      <c r="D117" s="529">
        <f>SUM(D114:D116)</f>
        <v>0</v>
      </c>
      <c r="E117" s="530">
        <f>SUM(E114:E116)</f>
        <v>0</v>
      </c>
      <c r="F117" s="530">
        <f>SUM(F114:F116)</f>
        <v>0</v>
      </c>
      <c r="G117" s="530">
        <f>SUM(G114:G116)</f>
        <v>0</v>
      </c>
      <c r="H117" s="984"/>
      <c r="I117" s="985"/>
      <c r="J117" s="985"/>
      <c r="K117" s="986"/>
    </row>
    <row r="118" spans="1:11" s="269" customFormat="1" ht="15" customHeight="1" x14ac:dyDescent="0.25">
      <c r="A118" s="549"/>
      <c r="B118" s="550"/>
      <c r="C118" s="551"/>
      <c r="D118" s="552"/>
      <c r="E118" s="552"/>
      <c r="F118" s="552"/>
      <c r="G118" s="552"/>
      <c r="H118" s="553"/>
      <c r="I118" s="553"/>
      <c r="J118" s="553"/>
      <c r="K118" s="554"/>
    </row>
    <row r="119" spans="1:11" ht="21.75" customHeight="1" x14ac:dyDescent="0.25">
      <c r="A119" s="435" t="s">
        <v>387</v>
      </c>
      <c r="B119" s="515" t="s">
        <v>635</v>
      </c>
      <c r="C119" s="516"/>
      <c r="D119" s="517"/>
      <c r="E119" s="517"/>
      <c r="F119" s="517"/>
      <c r="G119" s="517"/>
      <c r="H119" s="978"/>
      <c r="I119" s="979"/>
      <c r="J119" s="979"/>
      <c r="K119" s="980"/>
    </row>
    <row r="120" spans="1:11" ht="15" customHeight="1" x14ac:dyDescent="0.25">
      <c r="A120" s="438" t="s">
        <v>636</v>
      </c>
      <c r="B120" s="521" t="s">
        <v>356</v>
      </c>
      <c r="C120" s="546"/>
      <c r="D120" s="566"/>
      <c r="E120" s="524" t="str">
        <f>IF($K$2="","",D120/$K$5*$K$2)</f>
        <v/>
      </c>
      <c r="F120" s="524" t="str">
        <f>IF($K$3="","",D120/$K$5*$K$3)</f>
        <v/>
      </c>
      <c r="G120" s="524" t="str">
        <f>IF($K$4="","",D120/$K$5*$K$4)</f>
        <v/>
      </c>
      <c r="H120" s="981"/>
      <c r="I120" s="982"/>
      <c r="J120" s="982"/>
      <c r="K120" s="983"/>
    </row>
    <row r="121" spans="1:11" ht="15" customHeight="1" x14ac:dyDescent="0.25">
      <c r="A121" s="438" t="s">
        <v>637</v>
      </c>
      <c r="B121" s="521" t="s">
        <v>638</v>
      </c>
      <c r="C121" s="546"/>
      <c r="D121" s="566"/>
      <c r="E121" s="524" t="str">
        <f>IF($K$2="","",D121/$K$5*$K$2)</f>
        <v/>
      </c>
      <c r="F121" s="524" t="str">
        <f>IF($K$3="","",D121/$K$5*$K$3)</f>
        <v/>
      </c>
      <c r="G121" s="524" t="str">
        <f>IF($K$4="","",D121/$K$5*$K$4)</f>
        <v/>
      </c>
      <c r="H121" s="981"/>
      <c r="I121" s="982"/>
      <c r="J121" s="982"/>
      <c r="K121" s="983"/>
    </row>
    <row r="122" spans="1:11" ht="15" customHeight="1" x14ac:dyDescent="0.25">
      <c r="A122" s="527"/>
      <c r="B122" s="528" t="s">
        <v>549</v>
      </c>
      <c r="C122" s="529">
        <f>SUM(C120:C121)</f>
        <v>0</v>
      </c>
      <c r="D122" s="529">
        <f>SUM(D120:D121)</f>
        <v>0</v>
      </c>
      <c r="E122" s="530">
        <f>SUM(E120:E121)</f>
        <v>0</v>
      </c>
      <c r="F122" s="530">
        <f>SUM(F120:F121)</f>
        <v>0</v>
      </c>
      <c r="G122" s="530">
        <f>SUM(G120:G121)</f>
        <v>0</v>
      </c>
      <c r="H122" s="984"/>
      <c r="I122" s="985"/>
      <c r="J122" s="985"/>
      <c r="K122" s="986"/>
    </row>
    <row r="123" spans="1:11" s="269" customFormat="1" ht="15" customHeight="1" x14ac:dyDescent="0.25">
      <c r="A123" s="549"/>
      <c r="B123" s="550"/>
      <c r="C123" s="551"/>
      <c r="D123" s="552"/>
      <c r="E123" s="552"/>
      <c r="F123" s="552"/>
      <c r="G123" s="552"/>
      <c r="H123" s="553"/>
      <c r="I123" s="553"/>
      <c r="J123" s="553"/>
      <c r="K123" s="554"/>
    </row>
    <row r="124" spans="1:11" ht="21.75" customHeight="1" x14ac:dyDescent="0.25">
      <c r="A124" s="435" t="s">
        <v>388</v>
      </c>
      <c r="B124" s="515" t="s">
        <v>639</v>
      </c>
      <c r="C124" s="516"/>
      <c r="D124" s="517"/>
      <c r="E124" s="517"/>
      <c r="F124" s="517"/>
      <c r="G124" s="517"/>
      <c r="H124" s="978"/>
      <c r="I124" s="979"/>
      <c r="J124" s="979"/>
      <c r="K124" s="980"/>
    </row>
    <row r="125" spans="1:11" ht="15" customHeight="1" x14ac:dyDescent="0.25">
      <c r="A125" s="438" t="s">
        <v>640</v>
      </c>
      <c r="B125" s="521" t="s">
        <v>639</v>
      </c>
      <c r="C125" s="546"/>
      <c r="D125" s="566"/>
      <c r="E125" s="524" t="str">
        <f>IF($K$2="","",D125/$K$5*$K$2)</f>
        <v/>
      </c>
      <c r="F125" s="524" t="str">
        <f>IF($K$3="","",D125/$K$5*$K$3)</f>
        <v/>
      </c>
      <c r="G125" s="524" t="str">
        <f>IF($K$4="","",D125/$K$5*$K$4)</f>
        <v/>
      </c>
      <c r="H125" s="981"/>
      <c r="I125" s="982"/>
      <c r="J125" s="982"/>
      <c r="K125" s="983"/>
    </row>
    <row r="126" spans="1:11" ht="15" customHeight="1" x14ac:dyDescent="0.25">
      <c r="A126" s="438" t="s">
        <v>641</v>
      </c>
      <c r="B126" s="521" t="s">
        <v>642</v>
      </c>
      <c r="C126" s="546"/>
      <c r="D126" s="568">
        <f>'päd Personal'!Q143+'techn Personal'!P70</f>
        <v>0</v>
      </c>
      <c r="E126" s="524" t="str">
        <f>IF($K$2="","",D126/$K$5*$K$2)</f>
        <v/>
      </c>
      <c r="F126" s="524" t="str">
        <f>IF($K$3="","",D126/$K$5*$K$3)</f>
        <v/>
      </c>
      <c r="G126" s="524" t="str">
        <f>IF($K$4="","",D126/$K$5*$K$4)</f>
        <v/>
      </c>
      <c r="H126" s="981"/>
      <c r="I126" s="982"/>
      <c r="J126" s="982"/>
      <c r="K126" s="983"/>
    </row>
    <row r="127" spans="1:11" ht="15" customHeight="1" x14ac:dyDescent="0.25">
      <c r="A127" s="527"/>
      <c r="B127" s="528" t="s">
        <v>549</v>
      </c>
      <c r="C127" s="529">
        <f>SUM(C125:C126)</f>
        <v>0</v>
      </c>
      <c r="D127" s="529">
        <f>SUM(D125:D126)</f>
        <v>0</v>
      </c>
      <c r="E127" s="530">
        <f>SUM(E125:E126)</f>
        <v>0</v>
      </c>
      <c r="F127" s="530">
        <f t="shared" ref="F127:G127" si="23">SUM(F125:F126)</f>
        <v>0</v>
      </c>
      <c r="G127" s="530">
        <f t="shared" si="23"/>
        <v>0</v>
      </c>
      <c r="H127" s="984"/>
      <c r="I127" s="985"/>
      <c r="J127" s="985"/>
      <c r="K127" s="986"/>
    </row>
    <row r="128" spans="1:11" s="269" customFormat="1" ht="15" customHeight="1" x14ac:dyDescent="0.25">
      <c r="A128" s="549"/>
      <c r="B128" s="550"/>
      <c r="C128" s="551"/>
      <c r="D128" s="552"/>
      <c r="E128" s="552"/>
      <c r="F128" s="552"/>
      <c r="G128" s="552"/>
      <c r="H128" s="553"/>
      <c r="I128" s="553"/>
      <c r="J128" s="553"/>
      <c r="K128" s="554"/>
    </row>
    <row r="129" spans="1:11" ht="15" customHeight="1" x14ac:dyDescent="0.25">
      <c r="A129" s="527"/>
      <c r="B129" s="528" t="s">
        <v>643</v>
      </c>
      <c r="C129" s="529">
        <f>SUM(C23+C32+C37+C48+C59+C69+C85+C91+C101+C107+C111+C117+C122+C127)</f>
        <v>0</v>
      </c>
      <c r="D129" s="529">
        <f>SUM(D23+D32+D37+D48+D59+D69+D85+D91+D101+D107+D111+D117+D122+D127)</f>
        <v>0</v>
      </c>
      <c r="E129" s="529">
        <f>SUM(E23+E32+E37+E48+E59+E69+E85+E91+E101+E107+E111+E117+E122+E127)</f>
        <v>0</v>
      </c>
      <c r="F129" s="529">
        <f>SUM(F23+F32+F37+F48+F59+F69+F85+F91+F101+F107+F111+F117+F122+F127)</f>
        <v>0</v>
      </c>
      <c r="G129" s="529">
        <f>SUM(G23+G32+G37+G48+G59+G69+G85+G91+G101+G107+G111+G117+G122+G127)</f>
        <v>0</v>
      </c>
      <c r="H129" s="984"/>
      <c r="I129" s="985"/>
      <c r="J129" s="985"/>
      <c r="K129" s="986"/>
    </row>
    <row r="130" spans="1:11" s="269" customFormat="1" ht="15" customHeight="1" x14ac:dyDescent="0.25">
      <c r="A130" s="549"/>
      <c r="B130" s="550"/>
      <c r="C130" s="551"/>
      <c r="D130" s="552"/>
      <c r="E130" s="552"/>
      <c r="F130" s="552"/>
      <c r="G130" s="552"/>
      <c r="H130" s="553"/>
      <c r="I130" s="553"/>
      <c r="J130" s="553"/>
      <c r="K130" s="554"/>
    </row>
    <row r="131" spans="1:11" ht="21.75" customHeight="1" x14ac:dyDescent="0.25">
      <c r="A131" s="435" t="s">
        <v>389</v>
      </c>
      <c r="B131" s="515" t="s">
        <v>644</v>
      </c>
      <c r="C131" s="516"/>
      <c r="D131" s="517"/>
      <c r="E131" s="517"/>
      <c r="F131" s="517"/>
      <c r="G131" s="517"/>
      <c r="H131" s="978"/>
      <c r="I131" s="979"/>
      <c r="J131" s="979"/>
      <c r="K131" s="980"/>
    </row>
    <row r="132" spans="1:11" ht="15" customHeight="1" x14ac:dyDescent="0.25">
      <c r="A132" s="438" t="s">
        <v>645</v>
      </c>
      <c r="B132" s="569" t="s">
        <v>646</v>
      </c>
      <c r="C132" s="546"/>
      <c r="D132" s="566"/>
      <c r="E132" s="524" t="str">
        <f>IF($K$2="","",D132/$K$5*$K$2)</f>
        <v/>
      </c>
      <c r="F132" s="524" t="str">
        <f>IF($K$3="","",D132/$K$5*$K$3)</f>
        <v/>
      </c>
      <c r="G132" s="524" t="str">
        <f>IF($K$4="","",D132/$K$5*$K$4)</f>
        <v/>
      </c>
      <c r="H132" s="981"/>
      <c r="I132" s="982"/>
      <c r="J132" s="982"/>
      <c r="K132" s="983"/>
    </row>
    <row r="133" spans="1:11" ht="15" customHeight="1" x14ac:dyDescent="0.25">
      <c r="A133" s="438" t="s">
        <v>647</v>
      </c>
      <c r="B133" s="569" t="s">
        <v>648</v>
      </c>
      <c r="C133" s="546"/>
      <c r="D133" s="566"/>
      <c r="E133" s="524" t="str">
        <f t="shared" ref="E133:E139" si="24">IF($K$2="","",D133/$K$5*$K$2)</f>
        <v/>
      </c>
      <c r="F133" s="524" t="str">
        <f t="shared" ref="F133:F139" si="25">IF($K$3="","",D133/$K$5*$K$3)</f>
        <v/>
      </c>
      <c r="G133" s="524" t="str">
        <f t="shared" ref="G133:G139" si="26">IF($K$4="","",D133/$K$5*$K$4)</f>
        <v/>
      </c>
      <c r="H133" s="981"/>
      <c r="I133" s="982"/>
      <c r="J133" s="982"/>
      <c r="K133" s="983"/>
    </row>
    <row r="134" spans="1:11" ht="15" customHeight="1" x14ac:dyDescent="0.25">
      <c r="A134" s="438" t="s">
        <v>649</v>
      </c>
      <c r="B134" s="521" t="s">
        <v>650</v>
      </c>
      <c r="C134" s="546"/>
      <c r="D134" s="566"/>
      <c r="E134" s="524" t="str">
        <f t="shared" si="24"/>
        <v/>
      </c>
      <c r="F134" s="524" t="str">
        <f t="shared" si="25"/>
        <v/>
      </c>
      <c r="G134" s="524" t="str">
        <f t="shared" si="26"/>
        <v/>
      </c>
      <c r="H134" s="981"/>
      <c r="I134" s="982"/>
      <c r="J134" s="982"/>
      <c r="K134" s="983"/>
    </row>
    <row r="135" spans="1:11" ht="24" x14ac:dyDescent="0.25">
      <c r="A135" s="438" t="s">
        <v>651</v>
      </c>
      <c r="B135" s="521" t="s">
        <v>652</v>
      </c>
      <c r="C135" s="546"/>
      <c r="D135" s="566"/>
      <c r="E135" s="524" t="str">
        <f t="shared" si="24"/>
        <v/>
      </c>
      <c r="F135" s="524" t="str">
        <f t="shared" si="25"/>
        <v/>
      </c>
      <c r="G135" s="524" t="str">
        <f t="shared" si="26"/>
        <v/>
      </c>
      <c r="H135" s="981"/>
      <c r="I135" s="982"/>
      <c r="J135" s="982"/>
      <c r="K135" s="983"/>
    </row>
    <row r="136" spans="1:11" ht="15" customHeight="1" x14ac:dyDescent="0.25">
      <c r="A136" s="438" t="s">
        <v>653</v>
      </c>
      <c r="B136" s="521" t="s">
        <v>654</v>
      </c>
      <c r="C136" s="546"/>
      <c r="D136" s="566"/>
      <c r="E136" s="524" t="str">
        <f t="shared" si="24"/>
        <v/>
      </c>
      <c r="F136" s="524" t="str">
        <f t="shared" si="25"/>
        <v/>
      </c>
      <c r="G136" s="524" t="str">
        <f t="shared" si="26"/>
        <v/>
      </c>
      <c r="H136" s="981"/>
      <c r="I136" s="982"/>
      <c r="J136" s="982"/>
      <c r="K136" s="983"/>
    </row>
    <row r="137" spans="1:11" ht="15" customHeight="1" x14ac:dyDescent="0.25">
      <c r="A137" s="438" t="s">
        <v>655</v>
      </c>
      <c r="B137" s="521" t="s">
        <v>656</v>
      </c>
      <c r="C137" s="546"/>
      <c r="D137" s="566"/>
      <c r="E137" s="524" t="str">
        <f t="shared" si="24"/>
        <v/>
      </c>
      <c r="F137" s="524" t="str">
        <f t="shared" si="25"/>
        <v/>
      </c>
      <c r="G137" s="524" t="str">
        <f t="shared" si="26"/>
        <v/>
      </c>
      <c r="H137" s="981"/>
      <c r="I137" s="982"/>
      <c r="J137" s="982"/>
      <c r="K137" s="983"/>
    </row>
    <row r="138" spans="1:11" ht="15" customHeight="1" x14ac:dyDescent="0.25">
      <c r="A138" s="438" t="s">
        <v>657</v>
      </c>
      <c r="B138" s="521" t="s">
        <v>658</v>
      </c>
      <c r="C138" s="546"/>
      <c r="D138" s="566"/>
      <c r="E138" s="524" t="str">
        <f t="shared" si="24"/>
        <v/>
      </c>
      <c r="F138" s="524" t="str">
        <f t="shared" si="25"/>
        <v/>
      </c>
      <c r="G138" s="524" t="str">
        <f t="shared" si="26"/>
        <v/>
      </c>
      <c r="H138" s="981"/>
      <c r="I138" s="982"/>
      <c r="J138" s="982"/>
      <c r="K138" s="983"/>
    </row>
    <row r="139" spans="1:11" ht="15" customHeight="1" x14ac:dyDescent="0.25">
      <c r="A139" s="438" t="s">
        <v>659</v>
      </c>
      <c r="B139" s="521" t="s">
        <v>660</v>
      </c>
      <c r="C139" s="546"/>
      <c r="D139" s="566"/>
      <c r="E139" s="524" t="str">
        <f t="shared" si="24"/>
        <v/>
      </c>
      <c r="F139" s="524" t="str">
        <f t="shared" si="25"/>
        <v/>
      </c>
      <c r="G139" s="524" t="str">
        <f t="shared" si="26"/>
        <v/>
      </c>
      <c r="H139" s="981"/>
      <c r="I139" s="982"/>
      <c r="J139" s="982"/>
      <c r="K139" s="983"/>
    </row>
    <row r="140" spans="1:11" ht="15" customHeight="1" x14ac:dyDescent="0.25">
      <c r="A140" s="527"/>
      <c r="B140" s="528" t="s">
        <v>549</v>
      </c>
      <c r="C140" s="529">
        <f>SUM(C132:C139)</f>
        <v>0</v>
      </c>
      <c r="D140" s="529">
        <f>SUM(D132:D139)</f>
        <v>0</v>
      </c>
      <c r="E140" s="530">
        <f>SUM(E132:E139)</f>
        <v>0</v>
      </c>
      <c r="F140" s="530">
        <f>SUM(F132:F139)</f>
        <v>0</v>
      </c>
      <c r="G140" s="530">
        <f>SUM(G132:G139)</f>
        <v>0</v>
      </c>
      <c r="H140" s="984"/>
      <c r="I140" s="985"/>
      <c r="J140" s="985"/>
      <c r="K140" s="986"/>
    </row>
    <row r="141" spans="1:11" s="269" customFormat="1" ht="15" customHeight="1" x14ac:dyDescent="0.25">
      <c r="A141" s="549"/>
      <c r="B141" s="550"/>
      <c r="C141" s="551"/>
      <c r="D141" s="552"/>
      <c r="E141" s="552"/>
      <c r="F141" s="552"/>
      <c r="G141" s="552"/>
      <c r="H141" s="553"/>
      <c r="I141" s="553"/>
      <c r="J141" s="553"/>
      <c r="K141" s="554"/>
    </row>
    <row r="142" spans="1:11" ht="15" customHeight="1" x14ac:dyDescent="0.25">
      <c r="A142" s="527"/>
      <c r="B142" s="528" t="s">
        <v>661</v>
      </c>
      <c r="C142" s="529">
        <f>C140</f>
        <v>0</v>
      </c>
      <c r="D142" s="529">
        <f t="shared" ref="D142:G142" si="27">D140</f>
        <v>0</v>
      </c>
      <c r="E142" s="529">
        <f t="shared" si="27"/>
        <v>0</v>
      </c>
      <c r="F142" s="529">
        <f t="shared" si="27"/>
        <v>0</v>
      </c>
      <c r="G142" s="529">
        <f t="shared" si="27"/>
        <v>0</v>
      </c>
      <c r="H142" s="984"/>
      <c r="I142" s="985"/>
      <c r="J142" s="985"/>
      <c r="K142" s="986"/>
    </row>
    <row r="143" spans="1:11" x14ac:dyDescent="0.25">
      <c r="C143" s="533"/>
    </row>
    <row r="144" spans="1:11" ht="15" customHeight="1" x14ac:dyDescent="0.25">
      <c r="C144" s="533"/>
    </row>
    <row r="145" spans="1:11" ht="21.75" customHeight="1" x14ac:dyDescent="0.25">
      <c r="A145" s="435" t="s">
        <v>390</v>
      </c>
      <c r="B145" s="515" t="s">
        <v>662</v>
      </c>
      <c r="C145" s="976"/>
      <c r="D145" s="977"/>
      <c r="E145" s="517"/>
      <c r="F145" s="517"/>
      <c r="G145" s="517"/>
      <c r="H145" s="978"/>
      <c r="I145" s="979"/>
      <c r="J145" s="979"/>
      <c r="K145" s="980"/>
    </row>
    <row r="146" spans="1:11" ht="15" customHeight="1" x14ac:dyDescent="0.25">
      <c r="A146" s="438" t="s">
        <v>663</v>
      </c>
      <c r="B146" s="569" t="s">
        <v>664</v>
      </c>
      <c r="C146" s="546"/>
      <c r="D146" s="566"/>
      <c r="E146" s="524" t="str">
        <f>IF($K$2="","",D146/$K$5*$K$2)</f>
        <v/>
      </c>
      <c r="F146" s="524" t="str">
        <f>IF($K$3="","",D146/$K$5*$K$3)</f>
        <v/>
      </c>
      <c r="G146" s="524" t="str">
        <f>IF($K$4="","",D146/$K$5*$K$4)</f>
        <v/>
      </c>
      <c r="H146" s="981"/>
      <c r="I146" s="982"/>
      <c r="J146" s="982"/>
      <c r="K146" s="983"/>
    </row>
    <row r="147" spans="1:11" ht="24" x14ac:dyDescent="0.25">
      <c r="A147" s="438" t="s">
        <v>665</v>
      </c>
      <c r="B147" s="521" t="s">
        <v>666</v>
      </c>
      <c r="C147" s="546"/>
      <c r="D147" s="566"/>
      <c r="E147" s="524" t="str">
        <f>IF($K$2="","",D147/$K$5*$K$2)</f>
        <v/>
      </c>
      <c r="F147" s="524" t="str">
        <f>IF($K$3="","",D147/$K$5*$K$3)</f>
        <v/>
      </c>
      <c r="G147" s="524" t="str">
        <f>IF($K$4="","",D147/$K$5*$K$4)</f>
        <v/>
      </c>
      <c r="H147" s="981"/>
      <c r="I147" s="982"/>
      <c r="J147" s="982"/>
      <c r="K147" s="983"/>
    </row>
    <row r="148" spans="1:11" ht="24" x14ac:dyDescent="0.25">
      <c r="A148" s="438" t="s">
        <v>667</v>
      </c>
      <c r="B148" s="521" t="s">
        <v>668</v>
      </c>
      <c r="C148" s="546"/>
      <c r="D148" s="566"/>
      <c r="E148" s="524" t="str">
        <f>IF($K$2="","",D148/$K$5*$K$2)</f>
        <v/>
      </c>
      <c r="F148" s="524" t="str">
        <f>IF($K$3="","",D148/$K$5*$K$3)</f>
        <v/>
      </c>
      <c r="G148" s="524" t="str">
        <f>IF($K$4="","",D148/$K$5*$K$4)</f>
        <v/>
      </c>
      <c r="H148" s="981"/>
      <c r="I148" s="982"/>
      <c r="J148" s="982"/>
      <c r="K148" s="983"/>
    </row>
    <row r="149" spans="1:11" ht="15" customHeight="1" x14ac:dyDescent="0.25">
      <c r="A149" s="527"/>
      <c r="B149" s="528" t="s">
        <v>549</v>
      </c>
      <c r="C149" s="529">
        <f>C146-SUM(C147:C148)</f>
        <v>0</v>
      </c>
      <c r="D149" s="529">
        <f>D146-SUM(D147:D148)</f>
        <v>0</v>
      </c>
      <c r="E149" s="530">
        <f>SUM(E139:E148)</f>
        <v>0</v>
      </c>
      <c r="F149" s="530">
        <f>SUM(F139:F148)</f>
        <v>0</v>
      </c>
      <c r="G149" s="530">
        <f>SUM(G139:G148)</f>
        <v>0</v>
      </c>
      <c r="H149" s="984"/>
      <c r="I149" s="985"/>
      <c r="J149" s="985"/>
      <c r="K149" s="986"/>
    </row>
    <row r="150" spans="1:11" ht="15" customHeight="1" x14ac:dyDescent="0.25">
      <c r="C150" s="533"/>
    </row>
    <row r="151" spans="1:11" ht="21.75" customHeight="1" x14ac:dyDescent="0.25">
      <c r="A151" s="435" t="s">
        <v>391</v>
      </c>
      <c r="B151" s="515" t="s">
        <v>669</v>
      </c>
      <c r="C151" s="976"/>
      <c r="D151" s="977"/>
      <c r="E151" s="517"/>
      <c r="F151" s="517"/>
      <c r="G151" s="517"/>
      <c r="H151" s="978"/>
      <c r="I151" s="979"/>
      <c r="J151" s="979"/>
      <c r="K151" s="980"/>
    </row>
    <row r="152" spans="1:11" ht="15" customHeight="1" x14ac:dyDescent="0.25">
      <c r="A152" s="438" t="s">
        <v>670</v>
      </c>
      <c r="B152" s="569" t="s">
        <v>671</v>
      </c>
      <c r="C152" s="546"/>
      <c r="D152" s="568">
        <f>'päd Personal'!Q150</f>
        <v>0</v>
      </c>
      <c r="E152" s="524" t="str">
        <f>IF($K$2="","",D152/$K$5*$K$2)</f>
        <v/>
      </c>
      <c r="F152" s="524" t="str">
        <f>IF($K$3="","",D152/$K$5*$K$3)</f>
        <v/>
      </c>
      <c r="G152" s="524" t="str">
        <f>IF($K$4="","",D152/$K$5*$K$4)</f>
        <v/>
      </c>
      <c r="H152" s="981"/>
      <c r="I152" s="982"/>
      <c r="J152" s="982"/>
      <c r="K152" s="983"/>
    </row>
    <row r="153" spans="1:11" ht="15" customHeight="1" x14ac:dyDescent="0.25">
      <c r="A153" s="527"/>
      <c r="B153" s="528" t="s">
        <v>549</v>
      </c>
      <c r="C153" s="529">
        <f>SUM(C152)</f>
        <v>0</v>
      </c>
      <c r="D153" s="529">
        <f>SUM(D152)</f>
        <v>0</v>
      </c>
      <c r="E153" s="529">
        <f t="shared" ref="E153:G153" si="28">SUM(E152)</f>
        <v>0</v>
      </c>
      <c r="F153" s="529">
        <f t="shared" si="28"/>
        <v>0</v>
      </c>
      <c r="G153" s="529">
        <f t="shared" si="28"/>
        <v>0</v>
      </c>
      <c r="H153" s="984"/>
      <c r="I153" s="985"/>
      <c r="J153" s="985"/>
      <c r="K153" s="986"/>
    </row>
    <row r="154" spans="1:11" ht="12" customHeight="1" x14ac:dyDescent="0.25"/>
    <row r="155" spans="1:11" ht="12" customHeight="1" x14ac:dyDescent="0.25"/>
    <row r="156" spans="1:11" ht="12" customHeight="1" x14ac:dyDescent="0.25"/>
    <row r="157" spans="1:11" ht="12" customHeight="1" x14ac:dyDescent="0.25"/>
    <row r="158" spans="1:11" ht="12" customHeight="1" x14ac:dyDescent="0.25"/>
    <row r="159" spans="1:11" ht="12" customHeight="1" x14ac:dyDescent="0.25"/>
    <row r="160" spans="1:11" ht="12" customHeight="1" x14ac:dyDescent="0.25"/>
    <row r="161" spans="2:7" ht="12" customHeight="1" x14ac:dyDescent="0.25"/>
    <row r="162" spans="2:7" ht="12" customHeight="1" x14ac:dyDescent="0.25"/>
    <row r="164" spans="2:7" x14ac:dyDescent="0.25">
      <c r="B164" s="571"/>
      <c r="C164" s="533"/>
      <c r="E164" s="572"/>
      <c r="F164" s="572"/>
      <c r="G164" s="572"/>
    </row>
    <row r="165" spans="2:7" x14ac:dyDescent="0.25">
      <c r="B165" s="573" t="s">
        <v>672</v>
      </c>
      <c r="E165" s="574" t="s">
        <v>673</v>
      </c>
    </row>
  </sheetData>
  <sheetProtection algorithmName="SHA-512" hashValue="L+gBIkGER0nGVSUggDES7n8puoFtT2B6r/uP9Wy510WakQugVSVBDoo4B/lWQA+11MNiD+Am8UDjxlL4eZxi+Q==" saltValue="grZxpAtjXh1YNFBD5i86DQ==" spinCount="100000" sheet="1" objects="1" scenarios="1"/>
  <mergeCells count="165">
    <mergeCell ref="G4:H4"/>
    <mergeCell ref="I4:J4"/>
    <mergeCell ref="A5:D5"/>
    <mergeCell ref="E5:F5"/>
    <mergeCell ref="G5:H5"/>
    <mergeCell ref="I5:J5"/>
    <mergeCell ref="I1:J1"/>
    <mergeCell ref="C2:F2"/>
    <mergeCell ref="G2:H2"/>
    <mergeCell ref="I2:J2"/>
    <mergeCell ref="C3:F3"/>
    <mergeCell ref="G3:H3"/>
    <mergeCell ref="I3:J3"/>
    <mergeCell ref="G6:H6"/>
    <mergeCell ref="I6:J6"/>
    <mergeCell ref="A8:A11"/>
    <mergeCell ref="B8:B11"/>
    <mergeCell ref="E8:G8"/>
    <mergeCell ref="H8:K8"/>
    <mergeCell ref="E9:G9"/>
    <mergeCell ref="H9:K9"/>
    <mergeCell ref="C10:C11"/>
    <mergeCell ref="H10:K10"/>
    <mergeCell ref="H17:K17"/>
    <mergeCell ref="H18:K18"/>
    <mergeCell ref="H19:K19"/>
    <mergeCell ref="H20:K20"/>
    <mergeCell ref="H21:K21"/>
    <mergeCell ref="H22:K22"/>
    <mergeCell ref="E11:G11"/>
    <mergeCell ref="H11:K11"/>
    <mergeCell ref="H13:K13"/>
    <mergeCell ref="H14:K14"/>
    <mergeCell ref="H15:K15"/>
    <mergeCell ref="H16:K16"/>
    <mergeCell ref="H23:K23"/>
    <mergeCell ref="H25:K25"/>
    <mergeCell ref="H26:K26"/>
    <mergeCell ref="A27:A28"/>
    <mergeCell ref="B27:B28"/>
    <mergeCell ref="C27:C28"/>
    <mergeCell ref="D27:D28"/>
    <mergeCell ref="E27:E28"/>
    <mergeCell ref="F27:F28"/>
    <mergeCell ref="G27:G28"/>
    <mergeCell ref="H32:K32"/>
    <mergeCell ref="H34:K34"/>
    <mergeCell ref="H35:K35"/>
    <mergeCell ref="H36:K36"/>
    <mergeCell ref="H37:K37"/>
    <mergeCell ref="H39:K39"/>
    <mergeCell ref="K27:K28"/>
    <mergeCell ref="A29:A31"/>
    <mergeCell ref="B29:B31"/>
    <mergeCell ref="C29:C31"/>
    <mergeCell ref="D29:D31"/>
    <mergeCell ref="E29:E31"/>
    <mergeCell ref="F29:F31"/>
    <mergeCell ref="G29:G31"/>
    <mergeCell ref="H29:I29"/>
    <mergeCell ref="J29:K29"/>
    <mergeCell ref="H46:K46"/>
    <mergeCell ref="H47:K47"/>
    <mergeCell ref="H48:K48"/>
    <mergeCell ref="H50:K50"/>
    <mergeCell ref="H51:K51"/>
    <mergeCell ref="H52:K52"/>
    <mergeCell ref="H40:K40"/>
    <mergeCell ref="H41:K41"/>
    <mergeCell ref="H42:K42"/>
    <mergeCell ref="H43:K43"/>
    <mergeCell ref="H44:K44"/>
    <mergeCell ref="H45:K45"/>
    <mergeCell ref="H59:K59"/>
    <mergeCell ref="H61:K61"/>
    <mergeCell ref="H62:K62"/>
    <mergeCell ref="H63:K63"/>
    <mergeCell ref="H64:K64"/>
    <mergeCell ref="H65:K65"/>
    <mergeCell ref="H53:K53"/>
    <mergeCell ref="H54:K54"/>
    <mergeCell ref="H55:K55"/>
    <mergeCell ref="H56:K56"/>
    <mergeCell ref="H57:K57"/>
    <mergeCell ref="H58:K58"/>
    <mergeCell ref="H73:K73"/>
    <mergeCell ref="H74:K74"/>
    <mergeCell ref="H75:K75"/>
    <mergeCell ref="H76:K76"/>
    <mergeCell ref="H77:K77"/>
    <mergeCell ref="H78:K78"/>
    <mergeCell ref="H66:K66"/>
    <mergeCell ref="H67:K67"/>
    <mergeCell ref="H68:K68"/>
    <mergeCell ref="H69:K69"/>
    <mergeCell ref="H71:K71"/>
    <mergeCell ref="H72:K72"/>
    <mergeCell ref="H85:K85"/>
    <mergeCell ref="H87:K87"/>
    <mergeCell ref="H88:K88"/>
    <mergeCell ref="H89:K89"/>
    <mergeCell ref="H90:K90"/>
    <mergeCell ref="H91:K91"/>
    <mergeCell ref="H79:K79"/>
    <mergeCell ref="H80:K80"/>
    <mergeCell ref="H81:K81"/>
    <mergeCell ref="H82:K82"/>
    <mergeCell ref="H83:K83"/>
    <mergeCell ref="H84:K84"/>
    <mergeCell ref="A104:A105"/>
    <mergeCell ref="B104:B105"/>
    <mergeCell ref="C104:C105"/>
    <mergeCell ref="D104:D105"/>
    <mergeCell ref="E104:E105"/>
    <mergeCell ref="F104:F105"/>
    <mergeCell ref="H93:K93"/>
    <mergeCell ref="H94:K94"/>
    <mergeCell ref="H95:K95"/>
    <mergeCell ref="H96:K96"/>
    <mergeCell ref="H97:K97"/>
    <mergeCell ref="H98:K98"/>
    <mergeCell ref="G104:G105"/>
    <mergeCell ref="H107:K107"/>
    <mergeCell ref="H109:K109"/>
    <mergeCell ref="H110:K110"/>
    <mergeCell ref="H111:K111"/>
    <mergeCell ref="H113:K113"/>
    <mergeCell ref="H99:K99"/>
    <mergeCell ref="H100:K100"/>
    <mergeCell ref="H101:K101"/>
    <mergeCell ref="H103:K103"/>
    <mergeCell ref="H121:K121"/>
    <mergeCell ref="H122:K122"/>
    <mergeCell ref="H124:K124"/>
    <mergeCell ref="H125:K125"/>
    <mergeCell ref="H126:K126"/>
    <mergeCell ref="H127:K127"/>
    <mergeCell ref="H114:K114"/>
    <mergeCell ref="H115:K115"/>
    <mergeCell ref="H116:K116"/>
    <mergeCell ref="H117:K117"/>
    <mergeCell ref="H119:K119"/>
    <mergeCell ref="H120:K120"/>
    <mergeCell ref="H136:K136"/>
    <mergeCell ref="H137:K137"/>
    <mergeCell ref="H138:K138"/>
    <mergeCell ref="H139:K139"/>
    <mergeCell ref="H140:K140"/>
    <mergeCell ref="H142:K142"/>
    <mergeCell ref="H129:K129"/>
    <mergeCell ref="H131:K131"/>
    <mergeCell ref="H132:K132"/>
    <mergeCell ref="H133:K133"/>
    <mergeCell ref="H134:K134"/>
    <mergeCell ref="H135:K135"/>
    <mergeCell ref="C151:D151"/>
    <mergeCell ref="H151:K151"/>
    <mergeCell ref="H152:K152"/>
    <mergeCell ref="H153:K153"/>
    <mergeCell ref="C145:D145"/>
    <mergeCell ref="H145:K145"/>
    <mergeCell ref="H146:K146"/>
    <mergeCell ref="H147:K147"/>
    <mergeCell ref="H148:K148"/>
    <mergeCell ref="H149:K149"/>
  </mergeCells>
  <dataValidations count="3">
    <dataValidation type="decimal" errorStyle="information" operator="lessThan" allowBlank="1" showInputMessage="1" showErrorMessage="1" errorTitle="Ausstattung/Pflege Grünanlagen" error="lt. RL max. 500,00 € - höhere Kosten bitte begründen und nachweisen" sqref="D90">
      <formula1>500.001</formula1>
    </dataValidation>
    <dataValidation type="decimal" errorStyle="information" operator="lessThan" allowBlank="1" showInputMessage="1" showErrorMessage="1" errorTitle="Instandhaltungskosten" error="lt. RL max. 3.000,00 € - höhere Kosten bitte begründen und nachweisen" sqref="D88">
      <formula1>3000.001</formula1>
    </dataValidation>
    <dataValidation type="decimal" errorStyle="information" operator="lessThan" allowBlank="1" showInputMessage="1" showErrorMessage="1" errorTitle="Qualitätsentwicklung" error="lt. RL max. 3.000,00 € - höhere Kosten bitte begründen und nachweisen" sqref="D110">
      <formula1>3000.001</formula1>
    </dataValidation>
  </dataValidations>
  <printOptions horizontalCentered="1"/>
  <pageMargins left="0.19685039370078741" right="0.19685039370078741" top="1.1811023622047245" bottom="0.39370078740157483" header="0.19685039370078741" footer="0.19685039370078741"/>
  <pageSetup paperSize="9" fitToHeight="6" orientation="landscape" r:id="rId1"/>
  <headerFooter>
    <oddHeader xml:space="preserve">&amp;L&amp;"Arial,Fett"&amp;22Salzlandkreis&amp;11
&amp;12Der Landrat&amp;C&amp;"Arial,Fett"
&amp;12Kostenplan&amp;R&amp;G
</oddHeader>
    <oddFooter>&amp;C&amp;"Arial,Standard"&amp;8Ausfertigung vom &amp;D &amp;T&amp;R&amp;"Arial,Standard"&amp;8&amp;P von &amp;N</oddFooter>
  </headerFooter>
  <rowBreaks count="6" manualBreakCount="6">
    <brk id="24" max="16383" man="1"/>
    <brk id="49" max="16383" man="1"/>
    <brk id="70" max="16383" man="1"/>
    <brk id="92" max="16383" man="1"/>
    <brk id="118" max="16383" man="1"/>
    <brk id="144"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76"/>
  <sheetViews>
    <sheetView view="pageLayout" zoomScaleNormal="100" workbookViewId="0">
      <selection activeCell="B1" sqref="B1"/>
    </sheetView>
  </sheetViews>
  <sheetFormatPr baseColWidth="10" defaultColWidth="11.42578125" defaultRowHeight="14.25" x14ac:dyDescent="0.25"/>
  <cols>
    <col min="1" max="1" width="13.28515625" style="846" bestFit="1" customWidth="1"/>
    <col min="2" max="2" width="24.42578125" style="846" customWidth="1"/>
    <col min="3" max="3" width="12.42578125" style="845" customWidth="1"/>
    <col min="4" max="4" width="9.5703125" style="846" customWidth="1"/>
    <col min="5" max="6" width="15" style="846" customWidth="1"/>
    <col min="7" max="7" width="13.28515625" style="846" bestFit="1" customWidth="1"/>
    <col min="8" max="8" width="24.42578125" style="846" customWidth="1"/>
    <col min="9" max="9" width="12.42578125" style="845" customWidth="1"/>
    <col min="10" max="10" width="9.5703125" style="846" customWidth="1"/>
    <col min="11" max="12" width="15" style="846" customWidth="1"/>
    <col min="13" max="16384" width="11.42578125" style="846"/>
  </cols>
  <sheetData>
    <row r="1" spans="1:12" ht="15" x14ac:dyDescent="0.25">
      <c r="A1" s="843" t="s">
        <v>357</v>
      </c>
      <c r="B1" s="844">
        <f>IF(Grundlagen!C4="","",Grundlagen!C4)</f>
        <v>2022</v>
      </c>
      <c r="G1" s="843" t="s">
        <v>357</v>
      </c>
      <c r="H1" s="844">
        <f>IF(Grundlagen!$C$4="","",Grundlagen!$C$4)</f>
        <v>2022</v>
      </c>
    </row>
    <row r="2" spans="1:12" ht="15" x14ac:dyDescent="0.25">
      <c r="A2" s="843" t="s">
        <v>18</v>
      </c>
      <c r="B2" s="1074" t="str">
        <f>IF(Grundlagen!$C$6="","",Grundlagen!$C$6)</f>
        <v/>
      </c>
      <c r="C2" s="1075"/>
      <c r="D2" s="1075"/>
      <c r="E2" s="1075"/>
      <c r="G2" s="843" t="s">
        <v>18</v>
      </c>
      <c r="H2" s="1074" t="str">
        <f>IF(Grundlagen!$C$6="","",Grundlagen!$C$6)</f>
        <v/>
      </c>
      <c r="I2" s="1075"/>
      <c r="J2" s="1075"/>
      <c r="K2" s="1075"/>
      <c r="L2" s="1076" t="s">
        <v>459</v>
      </c>
    </row>
    <row r="3" spans="1:12" ht="15" x14ac:dyDescent="0.25">
      <c r="A3" s="843" t="s">
        <v>17</v>
      </c>
      <c r="B3" s="1077" t="str">
        <f>IF(Grundlagen!$C$9="","",Grundlagen!$C$9)</f>
        <v/>
      </c>
      <c r="C3" s="1078"/>
      <c r="D3" s="1078"/>
      <c r="E3" s="1078"/>
      <c r="G3" s="843" t="s">
        <v>17</v>
      </c>
      <c r="H3" s="1077" t="str">
        <f>IF(Grundlagen!$C$9="","",Grundlagen!$C$9)</f>
        <v/>
      </c>
      <c r="I3" s="1078"/>
      <c r="J3" s="1078"/>
      <c r="K3" s="1078"/>
      <c r="L3" s="1076"/>
    </row>
    <row r="4" spans="1:12" s="847" customFormat="1" ht="11.25" x14ac:dyDescent="0.25">
      <c r="C4" s="848"/>
      <c r="I4" s="848"/>
    </row>
    <row r="5" spans="1:12" ht="15" x14ac:dyDescent="0.25">
      <c r="A5" s="849" t="s">
        <v>460</v>
      </c>
      <c r="C5" s="850" t="s">
        <v>406</v>
      </c>
      <c r="D5" s="850" t="s">
        <v>407</v>
      </c>
      <c r="E5" s="1072" t="s">
        <v>452</v>
      </c>
      <c r="F5" s="1072"/>
      <c r="G5" s="849" t="s">
        <v>460</v>
      </c>
      <c r="I5" s="850" t="s">
        <v>406</v>
      </c>
      <c r="J5" s="850" t="s">
        <v>407</v>
      </c>
      <c r="K5" s="1073" t="s">
        <v>461</v>
      </c>
      <c r="L5" s="1073"/>
    </row>
    <row r="6" spans="1:12" x14ac:dyDescent="0.25">
      <c r="A6" s="846" t="s">
        <v>462</v>
      </c>
      <c r="C6" s="851">
        <f>IF(Grundlagen!C24="",0,IF('päd Personal'!G18="FEHLER",0,'päd Personal'!G18+'päd Personal'!G57))</f>
        <v>0</v>
      </c>
      <c r="D6" s="852">
        <f>(IF('päd Personal'!E18&gt;=1,1,'päd Personal'!E18))+'päd Personal'!E57</f>
        <v>0</v>
      </c>
      <c r="E6" s="1066"/>
      <c r="F6" s="1066"/>
      <c r="G6" s="846" t="s">
        <v>462</v>
      </c>
      <c r="I6" s="853">
        <f>IF(C6=0,0,C6)</f>
        <v>0</v>
      </c>
      <c r="J6" s="854">
        <f>IF(D6=0,0,D6)</f>
        <v>0</v>
      </c>
      <c r="K6" s="1067"/>
      <c r="L6" s="1067"/>
    </row>
    <row r="7" spans="1:12" x14ac:dyDescent="0.25">
      <c r="A7" s="846" t="s">
        <v>463</v>
      </c>
      <c r="C7" s="851">
        <f>IF(Grundlagen!C24="",0,'päd Personal'!$G$69)</f>
        <v>0</v>
      </c>
      <c r="D7" s="852">
        <f>'päd Personal'!$E$69</f>
        <v>0</v>
      </c>
      <c r="E7" s="1066"/>
      <c r="F7" s="1066"/>
      <c r="G7" s="846" t="s">
        <v>463</v>
      </c>
      <c r="I7" s="853">
        <f>IF(C7=0,0,C7)</f>
        <v>0</v>
      </c>
      <c r="J7" s="854">
        <f t="shared" ref="J7:J12" si="0">IF(D7=0,0,D7)</f>
        <v>0</v>
      </c>
      <c r="K7" s="1067"/>
      <c r="L7" s="1067"/>
    </row>
    <row r="8" spans="1:12" x14ac:dyDescent="0.25">
      <c r="A8" s="846" t="s">
        <v>464</v>
      </c>
      <c r="D8" s="852">
        <f>IF('päd Personal'!$E$18&gt;=1,1,'päd Personal'!$E$18)</f>
        <v>0</v>
      </c>
      <c r="E8" s="1066"/>
      <c r="F8" s="1066"/>
      <c r="G8" s="846" t="s">
        <v>464</v>
      </c>
      <c r="J8" s="854">
        <f t="shared" si="0"/>
        <v>0</v>
      </c>
      <c r="K8" s="1067"/>
      <c r="L8" s="1067"/>
    </row>
    <row r="9" spans="1:12" x14ac:dyDescent="0.25">
      <c r="A9" s="846" t="s">
        <v>465</v>
      </c>
      <c r="D9" s="852">
        <f>'päd Personal'!$E$85</f>
        <v>0</v>
      </c>
      <c r="E9" s="1066"/>
      <c r="F9" s="1066"/>
      <c r="G9" s="846" t="s">
        <v>465</v>
      </c>
      <c r="J9" s="854">
        <f t="shared" si="0"/>
        <v>0</v>
      </c>
      <c r="K9" s="1067"/>
      <c r="L9" s="1067"/>
    </row>
    <row r="10" spans="1:12" x14ac:dyDescent="0.25">
      <c r="A10" s="846" t="s">
        <v>466</v>
      </c>
      <c r="C10" s="851">
        <f>IF(Grundlagen!C24="",0,'päd Personal'!G110)</f>
        <v>0</v>
      </c>
      <c r="D10" s="852">
        <f>'päd Personal'!$E$110</f>
        <v>0</v>
      </c>
      <c r="E10" s="1066"/>
      <c r="F10" s="1066"/>
      <c r="G10" s="846" t="s">
        <v>466</v>
      </c>
      <c r="I10" s="853">
        <f>IF(C10=0,0,C10)</f>
        <v>0</v>
      </c>
      <c r="J10" s="854">
        <f t="shared" si="0"/>
        <v>0</v>
      </c>
      <c r="K10" s="1067"/>
      <c r="L10" s="1067"/>
    </row>
    <row r="11" spans="1:12" x14ac:dyDescent="0.25">
      <c r="A11" s="846" t="s">
        <v>467</v>
      </c>
      <c r="D11" s="852">
        <f>'päd Personal'!$E$136</f>
        <v>0</v>
      </c>
      <c r="E11" s="1066"/>
      <c r="F11" s="1066"/>
      <c r="G11" s="846" t="s">
        <v>467</v>
      </c>
      <c r="J11" s="854">
        <f t="shared" si="0"/>
        <v>0</v>
      </c>
      <c r="K11" s="1067"/>
      <c r="L11" s="1067"/>
    </row>
    <row r="12" spans="1:12" x14ac:dyDescent="0.25">
      <c r="A12" s="846" t="s">
        <v>468</v>
      </c>
      <c r="C12" s="855"/>
      <c r="D12" s="852">
        <f>'päd Personal'!$E$143</f>
        <v>0</v>
      </c>
      <c r="E12" s="1066"/>
      <c r="F12" s="1066"/>
      <c r="G12" s="846" t="s">
        <v>468</v>
      </c>
      <c r="I12" s="855"/>
      <c r="J12" s="854">
        <f t="shared" si="0"/>
        <v>0</v>
      </c>
      <c r="K12" s="1067"/>
      <c r="L12" s="1067"/>
    </row>
    <row r="13" spans="1:12" ht="15" x14ac:dyDescent="0.25">
      <c r="B13" s="843" t="s">
        <v>344</v>
      </c>
      <c r="C13" s="856">
        <f>SUM(C6:C7)+C10</f>
        <v>0</v>
      </c>
      <c r="D13" s="857">
        <f>SUM(D6:D7)+SUM(D9:D12)</f>
        <v>0</v>
      </c>
      <c r="H13" s="843" t="s">
        <v>344</v>
      </c>
      <c r="I13" s="856">
        <f>SUM(I6:I7)+I10</f>
        <v>0</v>
      </c>
      <c r="J13" s="857">
        <f>SUM(J6:J7)+SUM(J9:J12)</f>
        <v>0</v>
      </c>
      <c r="K13" s="1067"/>
      <c r="L13" s="1067"/>
    </row>
    <row r="14" spans="1:12" s="847" customFormat="1" ht="11.25" x14ac:dyDescent="0.25">
      <c r="C14" s="848"/>
      <c r="I14" s="848"/>
    </row>
    <row r="15" spans="1:12" ht="15" x14ac:dyDescent="0.2">
      <c r="A15" s="849" t="s">
        <v>338</v>
      </c>
      <c r="G15" s="849" t="s">
        <v>338</v>
      </c>
      <c r="J15" s="858" t="s">
        <v>376</v>
      </c>
    </row>
    <row r="16" spans="1:12" x14ac:dyDescent="0.25">
      <c r="A16" s="846" t="s">
        <v>469</v>
      </c>
      <c r="C16" s="851">
        <f>IF(Grundlagen!C24="",0,IF('päd Personal'!B15="",('päd Personal'!C57/Grundlagen!C24),'päd Personal'!C57/Grundlagen!C24))</f>
        <v>0</v>
      </c>
      <c r="D16" s="859" t="str">
        <f>IF('päd Personal'!C57=0,"",'päd Personal'!C57)</f>
        <v/>
      </c>
      <c r="E16" s="859" t="str">
        <f>IF(D16="","","Monate Beschäftigung / Betriebsmonate")</f>
        <v/>
      </c>
      <c r="F16" s="860"/>
      <c r="G16" s="846" t="s">
        <v>469</v>
      </c>
      <c r="I16" s="851">
        <f>IF(J16="",0,J16/Grundlagen!C24)</f>
        <v>0</v>
      </c>
      <c r="J16" s="861" t="str">
        <f t="shared" ref="J16:J22" si="1">D16</f>
        <v/>
      </c>
    </row>
    <row r="17" spans="1:12" x14ac:dyDescent="0.25">
      <c r="A17" s="846" t="s">
        <v>463</v>
      </c>
      <c r="C17" s="851">
        <f>IF(Grundlagen!C24="",0,'päd Personal'!C69/Grundlagen!C24)</f>
        <v>0</v>
      </c>
      <c r="D17" s="859" t="str">
        <f>IF('päd Personal'!C69=0,"",'päd Personal'!C69)</f>
        <v/>
      </c>
      <c r="E17" s="859" t="str">
        <f t="shared" ref="E17:E22" si="2">IF(D17="","","Monate Beschäftigung / Betriebsmonate")</f>
        <v/>
      </c>
      <c r="F17" s="860"/>
      <c r="G17" s="846" t="s">
        <v>463</v>
      </c>
      <c r="I17" s="851">
        <f>IF(J17="",0,J17/Grundlagen!C24)</f>
        <v>0</v>
      </c>
      <c r="J17" s="861" t="str">
        <f t="shared" si="1"/>
        <v/>
      </c>
    </row>
    <row r="18" spans="1:12" x14ac:dyDescent="0.25">
      <c r="A18" s="846" t="s">
        <v>338</v>
      </c>
      <c r="C18" s="851">
        <f>IF(D8=0,0,5)</f>
        <v>0</v>
      </c>
      <c r="D18" s="859" t="str">
        <f>IF('päd Personal'!C15=0,"",'päd Personal'!C15)</f>
        <v/>
      </c>
      <c r="E18" s="859" t="str">
        <f t="shared" si="2"/>
        <v/>
      </c>
      <c r="F18" s="860"/>
      <c r="G18" s="846" t="s">
        <v>338</v>
      </c>
      <c r="I18" s="851">
        <f>IF(J8=0,0,5)</f>
        <v>0</v>
      </c>
      <c r="J18" s="861" t="str">
        <f t="shared" si="1"/>
        <v/>
      </c>
    </row>
    <row r="19" spans="1:12" x14ac:dyDescent="0.25">
      <c r="A19" s="846" t="s">
        <v>470</v>
      </c>
      <c r="C19" s="851">
        <f>IF(Grundlagen!C24="",0,('päd Personal'!C85/Grundlagen!C24)+('päd.Personal - unentgeltlich'!$F$26/Grundlagen!C24))</f>
        <v>0</v>
      </c>
      <c r="D19" s="859" t="str">
        <f>IF(('päd Personal'!C85+'päd Personal'!C103)=0,"",('päd Personal'!C85+'päd Personal'!C103))</f>
        <v/>
      </c>
      <c r="E19" s="859" t="str">
        <f t="shared" si="2"/>
        <v/>
      </c>
      <c r="F19" s="860"/>
      <c r="G19" s="846" t="s">
        <v>470</v>
      </c>
      <c r="I19" s="851">
        <f>IF(J19="",0,J19/Grundlagen!C24)</f>
        <v>0</v>
      </c>
      <c r="J19" s="861" t="str">
        <f t="shared" si="1"/>
        <v/>
      </c>
    </row>
    <row r="20" spans="1:12" x14ac:dyDescent="0.25">
      <c r="A20" s="846" t="s">
        <v>466</v>
      </c>
      <c r="C20" s="851">
        <f>IF(Grundlagen!C24="",0,'päd Personal'!C110/Grundlagen!C24)</f>
        <v>0</v>
      </c>
      <c r="D20" s="859" t="str">
        <f>IF('päd Personal'!C110=0,"",'päd Personal'!C110)</f>
        <v/>
      </c>
      <c r="E20" s="859" t="str">
        <f t="shared" si="2"/>
        <v/>
      </c>
      <c r="F20" s="860"/>
      <c r="G20" s="846" t="s">
        <v>466</v>
      </c>
      <c r="I20" s="851">
        <f>IF(J20="",0,J20/Grundlagen!C24)</f>
        <v>0</v>
      </c>
      <c r="J20" s="861" t="str">
        <f t="shared" si="1"/>
        <v/>
      </c>
    </row>
    <row r="21" spans="1:12" x14ac:dyDescent="0.25">
      <c r="A21" s="846" t="s">
        <v>467</v>
      </c>
      <c r="C21" s="851">
        <f>IF(Grundlagen!C24="",0,'päd Personal'!C136/Grundlagen!C24)</f>
        <v>0</v>
      </c>
      <c r="D21" s="859" t="str">
        <f>IF('päd Personal'!C136=0,"",'päd Personal'!C136)</f>
        <v/>
      </c>
      <c r="E21" s="859" t="str">
        <f t="shared" si="2"/>
        <v/>
      </c>
      <c r="F21" s="860"/>
      <c r="G21" s="846" t="s">
        <v>467</v>
      </c>
      <c r="I21" s="851">
        <f>IF(J21="",0,J21/Grundlagen!C24)</f>
        <v>0</v>
      </c>
      <c r="J21" s="861" t="str">
        <f t="shared" si="1"/>
        <v/>
      </c>
    </row>
    <row r="22" spans="1:12" x14ac:dyDescent="0.25">
      <c r="A22" s="846" t="s">
        <v>468</v>
      </c>
      <c r="C22" s="851">
        <f>IF(Grundlagen!C24="",0,'päd Personal'!C150/Grundlagen!C24)</f>
        <v>0</v>
      </c>
      <c r="D22" s="859" t="str">
        <f>IF('päd Personal'!C150=0,"",'päd Personal'!C150)</f>
        <v/>
      </c>
      <c r="E22" s="859" t="str">
        <f t="shared" si="2"/>
        <v/>
      </c>
      <c r="F22" s="860"/>
      <c r="G22" s="846" t="s">
        <v>468</v>
      </c>
      <c r="I22" s="851">
        <f>IF(J22="",0,J22/Grundlagen!C24)</f>
        <v>0</v>
      </c>
      <c r="J22" s="861" t="str">
        <f t="shared" si="1"/>
        <v/>
      </c>
    </row>
    <row r="23" spans="1:12" ht="15" x14ac:dyDescent="0.25">
      <c r="B23" s="843" t="s">
        <v>346</v>
      </c>
      <c r="C23" s="856">
        <f>SUM(C16:C22)</f>
        <v>0</v>
      </c>
      <c r="D23" s="863"/>
      <c r="H23" s="843" t="s">
        <v>346</v>
      </c>
      <c r="I23" s="856">
        <f>SUM(I16:I22)</f>
        <v>0</v>
      </c>
      <c r="J23" s="863"/>
    </row>
    <row r="24" spans="1:12" s="847" customFormat="1" ht="11.25" x14ac:dyDescent="0.25">
      <c r="C24" s="848"/>
      <c r="I24" s="848"/>
    </row>
    <row r="25" spans="1:12" x14ac:dyDescent="0.25">
      <c r="A25" s="846" t="s">
        <v>338</v>
      </c>
      <c r="C25" s="851">
        <f>ROUNDUP(IF(C23=0,0,IF(Grundlagen!$C$57=0,Grundlagen!C56,Grundlagen!C57)),0)</f>
        <v>0</v>
      </c>
      <c r="G25" s="846" t="s">
        <v>338</v>
      </c>
      <c r="I25" s="853">
        <f>C25</f>
        <v>0</v>
      </c>
      <c r="J25" s="1067"/>
      <c r="K25" s="1067"/>
      <c r="L25" s="1067"/>
    </row>
    <row r="26" spans="1:12" s="847" customFormat="1" ht="11.25" x14ac:dyDescent="0.25">
      <c r="C26" s="848"/>
      <c r="I26" s="848"/>
    </row>
    <row r="27" spans="1:12" x14ac:dyDescent="0.25">
      <c r="A27" s="846" t="s">
        <v>471</v>
      </c>
      <c r="C27" s="851">
        <f>IF(D13=0,0,24/52)</f>
        <v>0</v>
      </c>
      <c r="G27" s="846" t="s">
        <v>471</v>
      </c>
      <c r="I27" s="851">
        <f>IF(J13=0,0,24/52)</f>
        <v>0</v>
      </c>
    </row>
    <row r="28" spans="1:12" x14ac:dyDescent="0.25">
      <c r="A28" s="846" t="s">
        <v>327</v>
      </c>
      <c r="C28" s="851">
        <f>IF(D13=0,0,16/52*(D6+D7+D10+D11+D12))</f>
        <v>0</v>
      </c>
      <c r="G28" s="846" t="s">
        <v>327</v>
      </c>
      <c r="I28" s="851">
        <f>IF(J13=0,0,16/52*(J6+J7+J10+J11+J12))</f>
        <v>0</v>
      </c>
    </row>
    <row r="29" spans="1:12" ht="15" x14ac:dyDescent="0.25">
      <c r="B29" s="843" t="s">
        <v>346</v>
      </c>
      <c r="C29" s="856">
        <f>SUM(C27:C28)</f>
        <v>0</v>
      </c>
      <c r="D29" s="863"/>
      <c r="H29" s="843" t="s">
        <v>346</v>
      </c>
      <c r="I29" s="856">
        <f>SUM(I27:I28)</f>
        <v>0</v>
      </c>
      <c r="J29" s="863"/>
    </row>
    <row r="30" spans="1:12" s="847" customFormat="1" ht="11.25" x14ac:dyDescent="0.25">
      <c r="A30" s="864"/>
      <c r="C30" s="848"/>
      <c r="G30" s="864"/>
      <c r="I30" s="848"/>
    </row>
    <row r="31" spans="1:12" ht="15" x14ac:dyDescent="0.25">
      <c r="A31" s="865" t="s">
        <v>472</v>
      </c>
      <c r="G31" s="865" t="s">
        <v>472</v>
      </c>
    </row>
    <row r="32" spans="1:12" x14ac:dyDescent="0.25">
      <c r="A32" s="866" t="s">
        <v>473</v>
      </c>
      <c r="B32" s="866" t="s">
        <v>367</v>
      </c>
      <c r="C32" s="851">
        <f>Belegung!$N$73</f>
        <v>0</v>
      </c>
      <c r="G32" s="866" t="s">
        <v>473</v>
      </c>
      <c r="H32" s="866" t="s">
        <v>367</v>
      </c>
      <c r="I32" s="851">
        <f>IF(C32=0,0,C32)</f>
        <v>0</v>
      </c>
    </row>
    <row r="33" spans="1:12" x14ac:dyDescent="0.25">
      <c r="B33" s="866" t="s">
        <v>370</v>
      </c>
      <c r="C33" s="851">
        <f>Belegung!$N$85</f>
        <v>0</v>
      </c>
      <c r="H33" s="866" t="s">
        <v>370</v>
      </c>
      <c r="I33" s="851">
        <f t="shared" ref="I33:I34" si="3">IF(C33=0,0,C33)</f>
        <v>0</v>
      </c>
    </row>
    <row r="34" spans="1:12" x14ac:dyDescent="0.25">
      <c r="B34" s="866" t="s">
        <v>372</v>
      </c>
      <c r="C34" s="851">
        <f>Belegung!$N$99</f>
        <v>0</v>
      </c>
      <c r="H34" s="866" t="s">
        <v>372</v>
      </c>
      <c r="I34" s="851">
        <f t="shared" si="3"/>
        <v>0</v>
      </c>
    </row>
    <row r="35" spans="1:12" x14ac:dyDescent="0.25">
      <c r="A35" s="866" t="s">
        <v>474</v>
      </c>
      <c r="C35" s="851">
        <f>C25</f>
        <v>0</v>
      </c>
      <c r="G35" s="866" t="s">
        <v>474</v>
      </c>
      <c r="I35" s="851">
        <f>IF(I25=I23,I23,I25)</f>
        <v>0</v>
      </c>
    </row>
    <row r="36" spans="1:12" x14ac:dyDescent="0.25">
      <c r="A36" s="866" t="s">
        <v>475</v>
      </c>
      <c r="C36" s="851">
        <f>C29</f>
        <v>0</v>
      </c>
      <c r="G36" s="866" t="s">
        <v>475</v>
      </c>
      <c r="I36" s="851">
        <f>I29</f>
        <v>0</v>
      </c>
    </row>
    <row r="37" spans="1:12" x14ac:dyDescent="0.25">
      <c r="A37" s="866" t="s">
        <v>476</v>
      </c>
      <c r="C37" s="867">
        <f>Grundlagen!C66</f>
        <v>0</v>
      </c>
      <c r="G37" s="866" t="s">
        <v>476</v>
      </c>
      <c r="I37" s="853">
        <f>IF(C37=0,0,C37)</f>
        <v>0</v>
      </c>
      <c r="J37" s="1071"/>
      <c r="K37" s="1071"/>
      <c r="L37" s="1071"/>
    </row>
    <row r="38" spans="1:12" ht="15" x14ac:dyDescent="0.25">
      <c r="B38" s="843" t="s">
        <v>477</v>
      </c>
      <c r="C38" s="856">
        <f>SUM(C32:C37)</f>
        <v>0</v>
      </c>
      <c r="D38" s="863"/>
      <c r="H38" s="843" t="s">
        <v>477</v>
      </c>
      <c r="I38" s="856">
        <f>SUM(I32:I37)</f>
        <v>0</v>
      </c>
      <c r="J38" s="1071"/>
      <c r="K38" s="1071"/>
      <c r="L38" s="1071"/>
    </row>
    <row r="39" spans="1:12" s="847" customFormat="1" ht="11.25" x14ac:dyDescent="0.25">
      <c r="C39" s="848"/>
      <c r="I39" s="848"/>
    </row>
    <row r="40" spans="1:12" ht="15" x14ac:dyDescent="0.25">
      <c r="A40" s="849" t="s">
        <v>478</v>
      </c>
      <c r="G40" s="849" t="s">
        <v>478</v>
      </c>
    </row>
    <row r="41" spans="1:12" x14ac:dyDescent="0.25">
      <c r="A41" s="846" t="s">
        <v>479</v>
      </c>
      <c r="C41" s="851">
        <f>C13</f>
        <v>0</v>
      </c>
      <c r="G41" s="846" t="s">
        <v>479</v>
      </c>
      <c r="I41" s="851">
        <f>I13</f>
        <v>0</v>
      </c>
    </row>
    <row r="42" spans="1:12" x14ac:dyDescent="0.25">
      <c r="A42" s="846" t="s">
        <v>480</v>
      </c>
      <c r="C42" s="851">
        <f>IF(C38=5.46,0,C38)</f>
        <v>0</v>
      </c>
      <c r="G42" s="846" t="s">
        <v>480</v>
      </c>
      <c r="I42" s="851">
        <f>IF(I38=5.46,0,I38)</f>
        <v>0</v>
      </c>
    </row>
    <row r="43" spans="1:12" ht="15" x14ac:dyDescent="0.25">
      <c r="B43" s="843" t="s">
        <v>481</v>
      </c>
      <c r="C43" s="856">
        <f>IF(C41-C42=0,0,C41-C42)</f>
        <v>0</v>
      </c>
      <c r="D43" s="863" t="str">
        <f>IF(C43&gt;0,"PLUS",(IF(C43=0,"","MINUS ist umgehend auszugleichen!")))</f>
        <v/>
      </c>
      <c r="H43" s="843" t="s">
        <v>481</v>
      </c>
      <c r="I43" s="856">
        <f>IF(I41-I42=0,0,I41-I42)</f>
        <v>0</v>
      </c>
      <c r="J43" s="863" t="str">
        <f>IF(I43&gt;0,"PLUS",(IF(I43=0,"","MINUS ist umgehend auszugleichen!")))</f>
        <v/>
      </c>
    </row>
    <row r="44" spans="1:12" s="868" customFormat="1" ht="11.25" x14ac:dyDescent="0.25">
      <c r="B44" s="869"/>
      <c r="C44" s="870"/>
      <c r="D44" s="871"/>
      <c r="H44" s="869"/>
      <c r="I44" s="870"/>
      <c r="J44" s="871"/>
    </row>
    <row r="45" spans="1:12" ht="15" x14ac:dyDescent="0.25">
      <c r="B45" s="843" t="s">
        <v>482</v>
      </c>
      <c r="C45" s="856">
        <f>IF(C43&lt;0,0,(IF(C43&gt;5,5,(IF(C43&lt;5,C43,0)))))</f>
        <v>0</v>
      </c>
      <c r="D45" s="863" t="str">
        <f>IF(C45=0,"","PLUS")</f>
        <v/>
      </c>
      <c r="E45" s="1068" t="str">
        <f>IF(C45=0,"","(bis zu 5 h werden vom FD mitgetragen)")</f>
        <v/>
      </c>
      <c r="F45" s="1068"/>
      <c r="H45" s="843" t="s">
        <v>482</v>
      </c>
      <c r="I45" s="856">
        <f>IF(I43&lt;0,0,(IF(I43&gt;5,5,(IF(I43&lt;5,I43,0)))))</f>
        <v>0</v>
      </c>
      <c r="J45" s="863" t="str">
        <f>IF(I45=0,"","PLUS")</f>
        <v/>
      </c>
      <c r="K45" s="1068" t="str">
        <f>IF(I45=0,"","(bis zu 5 h werden vom FD mitgetragen)")</f>
        <v/>
      </c>
      <c r="L45" s="1068"/>
    </row>
    <row r="46" spans="1:12" s="868" customFormat="1" ht="11.25" x14ac:dyDescent="0.25">
      <c r="B46" s="869"/>
      <c r="C46" s="870"/>
      <c r="D46" s="871"/>
      <c r="E46" s="872"/>
      <c r="F46" s="872"/>
      <c r="H46" s="869"/>
      <c r="I46" s="870"/>
      <c r="J46" s="871"/>
      <c r="K46" s="872"/>
      <c r="L46" s="872"/>
    </row>
    <row r="47" spans="1:12" ht="15" x14ac:dyDescent="0.25">
      <c r="B47" s="843" t="s">
        <v>483</v>
      </c>
      <c r="C47" s="873"/>
      <c r="E47" s="845"/>
      <c r="F47" s="845"/>
      <c r="H47" s="843" t="s">
        <v>483</v>
      </c>
      <c r="I47" s="873"/>
      <c r="J47" s="1067"/>
      <c r="K47" s="1067"/>
      <c r="L47" s="1067"/>
    </row>
    <row r="48" spans="1:12" s="868" customFormat="1" ht="11.25" x14ac:dyDescent="0.25">
      <c r="B48" s="869"/>
      <c r="C48" s="874"/>
      <c r="E48" s="862"/>
      <c r="F48" s="862"/>
      <c r="H48" s="869"/>
      <c r="I48" s="874"/>
      <c r="K48" s="862"/>
      <c r="L48" s="862"/>
    </row>
    <row r="49" spans="1:12" ht="15" x14ac:dyDescent="0.25">
      <c r="B49" s="843" t="s">
        <v>484</v>
      </c>
      <c r="C49" s="856">
        <f>IF(C45=5,C43-C45-C47,0)</f>
        <v>0</v>
      </c>
      <c r="D49" s="863" t="str">
        <f>IF(C49=0,"","PLUS")</f>
        <v/>
      </c>
      <c r="E49" s="1068" t="str">
        <f>IF(C49=0,"","(über 5 h werden vom FD nicht mitgetragen)")</f>
        <v/>
      </c>
      <c r="F49" s="1068"/>
      <c r="H49" s="843" t="s">
        <v>484</v>
      </c>
      <c r="I49" s="856">
        <f>IF(I45=5,I43-I45-I47,0)</f>
        <v>0</v>
      </c>
      <c r="J49" s="863" t="str">
        <f>IF(I49=0,"","PLUS")</f>
        <v/>
      </c>
      <c r="K49" s="1068" t="str">
        <f>IF(I49=0,"","(über 5 h werden vom FD nicht mitgetragen)")</f>
        <v/>
      </c>
      <c r="L49" s="1068"/>
    </row>
    <row r="50" spans="1:12" ht="15" x14ac:dyDescent="0.25">
      <c r="B50" s="843"/>
      <c r="C50" s="875"/>
      <c r="D50" s="863"/>
      <c r="E50" s="876"/>
      <c r="F50" s="876"/>
      <c r="H50" s="843"/>
      <c r="I50" s="875"/>
      <c r="J50" s="863"/>
      <c r="K50" s="876"/>
      <c r="L50" s="876"/>
    </row>
    <row r="51" spans="1:12" ht="15" x14ac:dyDescent="0.25">
      <c r="B51" s="843"/>
      <c r="C51" s="875"/>
      <c r="D51" s="863"/>
      <c r="E51" s="876"/>
      <c r="F51" s="876"/>
      <c r="H51" s="843"/>
      <c r="I51" s="875"/>
      <c r="J51" s="863"/>
      <c r="K51" s="876"/>
      <c r="L51" s="876"/>
    </row>
    <row r="52" spans="1:12" ht="15" x14ac:dyDescent="0.25">
      <c r="A52" s="877"/>
      <c r="B52" s="878"/>
      <c r="C52" s="879"/>
      <c r="D52" s="880"/>
      <c r="E52" s="881"/>
      <c r="F52" s="882"/>
      <c r="G52" s="877"/>
      <c r="H52" s="878"/>
      <c r="I52" s="879"/>
      <c r="J52" s="880"/>
      <c r="K52" s="881"/>
      <c r="L52" s="882"/>
    </row>
    <row r="53" spans="1:12" ht="15" x14ac:dyDescent="0.25">
      <c r="A53" s="1069" t="s">
        <v>485</v>
      </c>
      <c r="B53" s="1070"/>
      <c r="C53" s="883"/>
      <c r="D53" s="884"/>
      <c r="E53" s="883" t="s">
        <v>486</v>
      </c>
      <c r="F53" s="885" t="s">
        <v>487</v>
      </c>
      <c r="G53" s="1069" t="s">
        <v>488</v>
      </c>
      <c r="H53" s="1070"/>
      <c r="I53" s="883"/>
      <c r="J53" s="884"/>
      <c r="K53" s="883" t="s">
        <v>486</v>
      </c>
      <c r="L53" s="885" t="s">
        <v>487</v>
      </c>
    </row>
    <row r="54" spans="1:12" x14ac:dyDescent="0.25">
      <c r="A54" s="886"/>
      <c r="B54" s="884"/>
      <c r="C54" s="883"/>
      <c r="D54" s="887" t="s">
        <v>489</v>
      </c>
      <c r="E54" s="888">
        <f>SUM(Kostenplan!D15:D21)</f>
        <v>0</v>
      </c>
      <c r="F54" s="889">
        <f>IF(E54="",0,E54/52)</f>
        <v>0</v>
      </c>
      <c r="G54" s="886"/>
      <c r="H54" s="884"/>
      <c r="I54" s="883"/>
      <c r="J54" s="887" t="s">
        <v>489</v>
      </c>
      <c r="K54" s="890">
        <f>IF(E54=0,0,E54)</f>
        <v>0</v>
      </c>
      <c r="L54" s="889">
        <f>IF(K54="",0,K54/52)</f>
        <v>0</v>
      </c>
    </row>
    <row r="55" spans="1:12" x14ac:dyDescent="0.25">
      <c r="A55" s="886"/>
      <c r="B55" s="884"/>
      <c r="C55" s="883"/>
      <c r="D55" s="887" t="s">
        <v>490</v>
      </c>
      <c r="E55" s="888">
        <f>IF(E54=0,0,E54/C41)</f>
        <v>0</v>
      </c>
      <c r="F55" s="889">
        <f>IF(F54=0,0,F54/C41)</f>
        <v>0</v>
      </c>
      <c r="G55" s="886"/>
      <c r="H55" s="884"/>
      <c r="I55" s="883"/>
      <c r="J55" s="887" t="s">
        <v>490</v>
      </c>
      <c r="K55" s="888">
        <f>IF(K54=0,0,K54/I41)</f>
        <v>0</v>
      </c>
      <c r="L55" s="889">
        <f>IF(L54=0,0,L54/I41)</f>
        <v>0</v>
      </c>
    </row>
    <row r="56" spans="1:12" x14ac:dyDescent="0.25">
      <c r="A56" s="886"/>
      <c r="B56" s="884"/>
      <c r="C56" s="887" t="s">
        <v>491</v>
      </c>
      <c r="D56" s="891">
        <f>IF(D43="MINUS ist umgehend auszugleichen!",C43,IF(C49="",0,C49))</f>
        <v>0</v>
      </c>
      <c r="E56" s="888">
        <f>IF(D56=0,0,-(D56*E55))</f>
        <v>0</v>
      </c>
      <c r="F56" s="889">
        <f>IF(D56=0,0,-(D56*F55))</f>
        <v>0</v>
      </c>
      <c r="G56" s="886"/>
      <c r="H56" s="884"/>
      <c r="I56" s="887" t="s">
        <v>491</v>
      </c>
      <c r="J56" s="891">
        <f>IF(J43="MINUS ist umgehend auszugleichen!",I43,IF(I49="",0,I49))</f>
        <v>0</v>
      </c>
      <c r="K56" s="888">
        <f>IF(J56=0,0,-(J56*K55))</f>
        <v>0</v>
      </c>
      <c r="L56" s="889">
        <f>IF(J56=0,0,-(J56*L55))</f>
        <v>0</v>
      </c>
    </row>
    <row r="57" spans="1:12" s="847" customFormat="1" ht="11.25" x14ac:dyDescent="0.25">
      <c r="A57" s="892"/>
      <c r="B57" s="893"/>
      <c r="C57" s="894"/>
      <c r="D57" s="893"/>
      <c r="E57" s="895"/>
      <c r="F57" s="896"/>
      <c r="G57" s="892"/>
      <c r="H57" s="893"/>
      <c r="I57" s="894"/>
      <c r="J57" s="893"/>
      <c r="K57" s="895"/>
      <c r="L57" s="896"/>
    </row>
    <row r="58" spans="1:12" ht="19.5" x14ac:dyDescent="0.25">
      <c r="A58" s="886"/>
      <c r="B58" s="884"/>
      <c r="C58" s="883"/>
      <c r="D58" s="897" t="str">
        <f>IF(E58=0,"abzüglich/zuzüglich Personalkostenüberhang/-defizit",(IF(D56&lt;0,"zuzüglich Personalkostendefizit","abzüglich Personalkostenüberhang")))</f>
        <v>abzüglich/zuzüglich Personalkostenüberhang/-defizit</v>
      </c>
      <c r="E58" s="898">
        <f>IF(E56=0,0,E56)</f>
        <v>0</v>
      </c>
      <c r="F58" s="899"/>
      <c r="G58" s="886"/>
      <c r="H58" s="884"/>
      <c r="I58" s="883"/>
      <c r="J58" s="897" t="str">
        <f>IF(K58=0,"abzüglich/zuzüglich Personalkostenüberhang/-defizit",(IF(J56&lt;0,"zuzüglich Personalkostendefizit","abzüglich Personalkostenüberhang")))</f>
        <v>abzüglich/zuzüglich Personalkostenüberhang/-defizit</v>
      </c>
      <c r="K58" s="898">
        <f>IF(K56=0,0,K56)</f>
        <v>0</v>
      </c>
      <c r="L58" s="899"/>
    </row>
    <row r="59" spans="1:12" ht="19.5" x14ac:dyDescent="0.25">
      <c r="A59" s="900"/>
      <c r="B59" s="1065" t="s">
        <v>492</v>
      </c>
      <c r="C59" s="1065"/>
      <c r="D59" s="1065"/>
      <c r="E59" s="901">
        <f>IF(E58=0,E54,E54+E58)</f>
        <v>0</v>
      </c>
      <c r="F59" s="902"/>
      <c r="G59" s="900"/>
      <c r="H59" s="1065" t="s">
        <v>492</v>
      </c>
      <c r="I59" s="1065"/>
      <c r="J59" s="1065"/>
      <c r="K59" s="901">
        <f>IF(K58=0,K54,K54+K58)</f>
        <v>0</v>
      </c>
      <c r="L59" s="902"/>
    </row>
    <row r="67" spans="3:9" x14ac:dyDescent="0.25">
      <c r="C67" s="846"/>
      <c r="I67" s="846"/>
    </row>
    <row r="68" spans="3:9" x14ac:dyDescent="0.25">
      <c r="C68" s="846"/>
      <c r="I68" s="846"/>
    </row>
    <row r="176" spans="3:9" x14ac:dyDescent="0.25">
      <c r="C176" s="846"/>
      <c r="I176" s="846"/>
    </row>
  </sheetData>
  <mergeCells count="34">
    <mergeCell ref="E5:F5"/>
    <mergeCell ref="K5:L5"/>
    <mergeCell ref="B2:E2"/>
    <mergeCell ref="H2:K2"/>
    <mergeCell ref="L2:L3"/>
    <mergeCell ref="B3:E3"/>
    <mergeCell ref="H3:K3"/>
    <mergeCell ref="E6:F6"/>
    <mergeCell ref="K6:L6"/>
    <mergeCell ref="E7:F7"/>
    <mergeCell ref="K7:L7"/>
    <mergeCell ref="E8:F8"/>
    <mergeCell ref="K8:L8"/>
    <mergeCell ref="E9:F9"/>
    <mergeCell ref="K9:L9"/>
    <mergeCell ref="E10:F10"/>
    <mergeCell ref="K10:L10"/>
    <mergeCell ref="E11:F11"/>
    <mergeCell ref="K11:L11"/>
    <mergeCell ref="B59:D59"/>
    <mergeCell ref="H59:J59"/>
    <mergeCell ref="E12:F12"/>
    <mergeCell ref="K12:L12"/>
    <mergeCell ref="K13:L13"/>
    <mergeCell ref="J25:L25"/>
    <mergeCell ref="E45:F45"/>
    <mergeCell ref="K45:L45"/>
    <mergeCell ref="J47:L47"/>
    <mergeCell ref="E49:F49"/>
    <mergeCell ref="K49:L49"/>
    <mergeCell ref="A53:B53"/>
    <mergeCell ref="G53:H53"/>
    <mergeCell ref="J37:L37"/>
    <mergeCell ref="J38:L38"/>
  </mergeCells>
  <hyperlinks>
    <hyperlink ref="E5" location="'päd Personal'!A1" tooltip="Weiterleitung zum Personalbogen" display="zum Personalbogen"/>
  </hyperlinks>
  <printOptions horizontalCentered="1"/>
  <pageMargins left="0.19685039370078741" right="0.19685039370078741" top="1.1811023622047245" bottom="0.78740157480314965" header="0.19685039370078741" footer="0.19685039370078741"/>
  <pageSetup paperSize="9" orientation="portrait" r:id="rId1"/>
  <headerFooter>
    <oddHeader xml:space="preserve">&amp;L&amp;"Arial,Fett"&amp;22Salzlandkreis&amp;11
&amp;12Der Landrat&amp;C&amp;"Arial,Fett"
Personalstunden&amp;R&amp;G
</oddHeader>
    <oddFooter>&amp;L&amp;"Arial,Standard"&amp;8Ausfertigung vom &amp;D &amp;T&amp;R&amp;"Arial,Standard"&amp;8&amp;P von &amp;N</oddFooter>
  </headerFooter>
  <rowBreaks count="1" manualBreakCount="1">
    <brk id="51" max="1638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70"/>
  <sheetViews>
    <sheetView showGridLines="0" view="pageLayout" zoomScale="90" zoomScaleNormal="80" zoomScalePageLayoutView="90" workbookViewId="0">
      <selection activeCell="B1" sqref="B1"/>
    </sheetView>
  </sheetViews>
  <sheetFormatPr baseColWidth="10" defaultColWidth="11.42578125" defaultRowHeight="12.75" x14ac:dyDescent="0.25"/>
  <cols>
    <col min="1" max="1" width="12.7109375" style="423" bestFit="1" customWidth="1"/>
    <col min="2" max="2" width="58.28515625" style="365" customWidth="1"/>
    <col min="3" max="3" width="20.7109375" style="156" customWidth="1"/>
    <col min="4" max="4" width="18.5703125" style="156" bestFit="1" customWidth="1"/>
    <col min="5" max="5" width="20.7109375" style="156" customWidth="1"/>
    <col min="6" max="6" width="18.5703125" style="156" customWidth="1"/>
    <col min="7" max="7" width="14.42578125" style="156" bestFit="1" customWidth="1"/>
    <col min="8" max="8" width="11.140625" style="156" bestFit="1" customWidth="1"/>
    <col min="9" max="9" width="23.28515625" style="156" bestFit="1" customWidth="1"/>
    <col min="10" max="11" width="14.5703125" style="156" customWidth="1"/>
    <col min="12" max="12" width="13.42578125" style="156" customWidth="1"/>
    <col min="13" max="13" width="11.42578125" style="156" customWidth="1"/>
    <col min="14" max="16384" width="11.42578125" style="156"/>
  </cols>
  <sheetData>
    <row r="1" spans="1:12" x14ac:dyDescent="0.25">
      <c r="A1" s="402" t="s">
        <v>435</v>
      </c>
      <c r="B1" s="366">
        <f>IF(Grundlagen!$C$4=0,"",Grundlagen!$C$4)</f>
        <v>2022</v>
      </c>
      <c r="D1" s="403"/>
      <c r="F1" s="404" t="s">
        <v>412</v>
      </c>
      <c r="G1" s="405" t="str">
        <f>IF(G2="","",E20/G2)</f>
        <v/>
      </c>
      <c r="H1" s="406" t="s">
        <v>436</v>
      </c>
      <c r="I1" s="407" t="str">
        <f>IF(Belegung!$N$74=0,"",Belegung!$N$74)</f>
        <v/>
      </c>
      <c r="J1" s="406" t="s">
        <v>437</v>
      </c>
      <c r="K1" s="408" t="str">
        <f>IF(Belegung!$N$13=0,"",Belegung!$N$13)</f>
        <v/>
      </c>
      <c r="L1" s="409" t="s">
        <v>438</v>
      </c>
    </row>
    <row r="2" spans="1:12" x14ac:dyDescent="0.25">
      <c r="A2" s="402" t="s">
        <v>439</v>
      </c>
      <c r="B2" s="369" t="str">
        <f>IF(Grundlagen!$C$6=0,"",Grundlagen!$C$6)</f>
        <v/>
      </c>
      <c r="D2" s="410"/>
      <c r="F2" s="411" t="s">
        <v>440</v>
      </c>
      <c r="G2" s="412" t="str">
        <f>IF(SUM(I1:I3)+G3=0,"",SUM(I1:I3)+G3)</f>
        <v/>
      </c>
      <c r="H2" s="413" t="s">
        <v>441</v>
      </c>
      <c r="I2" s="412" t="str">
        <f>IF(Belegung!$N$86=0,"",Belegung!$N$86)</f>
        <v/>
      </c>
      <c r="J2" s="413" t="s">
        <v>442</v>
      </c>
      <c r="K2" s="414" t="str">
        <f>IF(Belegung!$N$23=0,"",Belegung!$N$23)</f>
        <v/>
      </c>
      <c r="L2" s="415" t="str">
        <f>IF(SUM(K1:K3)=0,"",SUM(K1:K3))</f>
        <v/>
      </c>
    </row>
    <row r="3" spans="1:12" ht="13.5" thickBot="1" x14ac:dyDescent="0.3">
      <c r="A3" s="402" t="s">
        <v>443</v>
      </c>
      <c r="B3" s="370" t="str">
        <f>IF(Grundlagen!$C$9=0,"",Grundlagen!$C$9)</f>
        <v/>
      </c>
      <c r="D3" s="416"/>
      <c r="F3" s="417" t="s">
        <v>444</v>
      </c>
      <c r="G3" s="418"/>
      <c r="H3" s="419" t="s">
        <v>445</v>
      </c>
      <c r="I3" s="420" t="str">
        <f>IF(Belegung!$N$100=0,"",Belegung!$N$100)</f>
        <v/>
      </c>
      <c r="J3" s="419" t="s">
        <v>446</v>
      </c>
      <c r="K3" s="421" t="str">
        <f>IF(Belegung!$N$33=0,"",Belegung!$N$33)</f>
        <v/>
      </c>
      <c r="L3" s="422"/>
    </row>
    <row r="4" spans="1:12" x14ac:dyDescent="0.25">
      <c r="F4" s="424"/>
      <c r="G4" s="425"/>
      <c r="H4" s="426"/>
      <c r="I4" s="427"/>
      <c r="J4" s="426"/>
      <c r="K4" s="428"/>
      <c r="L4" s="429"/>
    </row>
    <row r="5" spans="1:12" s="376" customFormat="1" x14ac:dyDescent="0.25">
      <c r="A5" s="1085" t="s">
        <v>358</v>
      </c>
      <c r="B5" s="1087" t="s">
        <v>413</v>
      </c>
      <c r="C5" s="430" t="s">
        <v>447</v>
      </c>
      <c r="D5" s="1079" t="s">
        <v>448</v>
      </c>
      <c r="E5" s="1079" t="s">
        <v>414</v>
      </c>
      <c r="F5" s="1079" t="s">
        <v>448</v>
      </c>
      <c r="G5" s="430" t="s">
        <v>449</v>
      </c>
      <c r="H5" s="430" t="s">
        <v>450</v>
      </c>
      <c r="I5" s="431" t="s">
        <v>451</v>
      </c>
      <c r="J5" s="1081" t="s">
        <v>415</v>
      </c>
      <c r="K5" s="1082"/>
      <c r="L5" s="1083"/>
    </row>
    <row r="6" spans="1:12" s="376" customFormat="1" x14ac:dyDescent="0.25">
      <c r="A6" s="1086"/>
      <c r="B6" s="1088"/>
      <c r="C6" s="432" t="s">
        <v>452</v>
      </c>
      <c r="D6" s="1080"/>
      <c r="E6" s="1080"/>
      <c r="F6" s="1080"/>
      <c r="G6" s="432" t="s">
        <v>453</v>
      </c>
      <c r="H6" s="432" t="s">
        <v>454</v>
      </c>
      <c r="I6" s="433" t="s">
        <v>454</v>
      </c>
      <c r="J6" s="377" t="s">
        <v>416</v>
      </c>
      <c r="K6" s="377" t="s">
        <v>417</v>
      </c>
      <c r="L6" s="377" t="s">
        <v>418</v>
      </c>
    </row>
    <row r="7" spans="1:12" s="270" customFormat="1" x14ac:dyDescent="0.25">
      <c r="A7" s="434"/>
      <c r="B7" s="378"/>
      <c r="C7" s="311"/>
      <c r="D7" s="379"/>
      <c r="E7" s="379"/>
      <c r="F7" s="379"/>
      <c r="G7" s="311"/>
      <c r="H7" s="311"/>
      <c r="I7" s="311"/>
      <c r="J7" s="356"/>
      <c r="K7" s="356"/>
      <c r="L7" s="356"/>
    </row>
    <row r="8" spans="1:12" x14ac:dyDescent="0.25">
      <c r="A8" s="435" t="str">
        <f>Kostenplan!A13</f>
        <v>1</v>
      </c>
      <c r="B8" s="488" t="str">
        <f>Kostenplan!B13</f>
        <v>Personalkosten</v>
      </c>
      <c r="C8" s="381"/>
      <c r="D8" s="390"/>
      <c r="E8" s="381"/>
      <c r="F8" s="390"/>
      <c r="G8" s="436"/>
      <c r="H8" s="390"/>
      <c r="I8" s="390"/>
      <c r="J8" s="381"/>
      <c r="K8" s="381"/>
      <c r="L8" s="381"/>
    </row>
    <row r="9" spans="1:12" x14ac:dyDescent="0.25">
      <c r="A9" s="435" t="str">
        <f>Kostenplan!A14</f>
        <v>1.1</v>
      </c>
      <c r="B9" s="488" t="str">
        <f>Kostenplan!B14</f>
        <v>Kosten päd. Personal und Leitung</v>
      </c>
      <c r="C9" s="437"/>
      <c r="D9" s="269"/>
      <c r="E9" s="437"/>
      <c r="F9" s="390"/>
      <c r="G9" s="436"/>
      <c r="H9" s="390"/>
      <c r="I9" s="390"/>
      <c r="J9" s="437"/>
      <c r="K9" s="437"/>
      <c r="L9" s="437"/>
    </row>
    <row r="10" spans="1:12" ht="39" customHeight="1" x14ac:dyDescent="0.25">
      <c r="A10" s="438" t="str">
        <f>Kostenplan!A15</f>
        <v>1.1.1</v>
      </c>
      <c r="B10" s="447" t="str">
        <f>Kostenplan!B15</f>
        <v xml:space="preserve">Kosten der päd. Fach-/Hilfskräfte, einschl. Erziehertätigkeit der Leiter/innen                                                                                                       (inkl. AG-Anteile zur SV und BAV SV-frei)  </v>
      </c>
      <c r="C10" s="383">
        <f>Kostenplan!C15</f>
        <v>0</v>
      </c>
      <c r="D10" s="439"/>
      <c r="E10" s="440">
        <f>Kostenplan!D15</f>
        <v>0</v>
      </c>
      <c r="F10" s="441"/>
      <c r="G10" s="442">
        <f t="shared" ref="G10:G17" si="0">E10-C10</f>
        <v>0</v>
      </c>
      <c r="H10" s="443">
        <f t="shared" ref="H10:H17" si="1">IF(C10=0,0,E10*100/C10)</f>
        <v>0</v>
      </c>
      <c r="I10" s="444">
        <f>IF(H10=0,0,H10-100)</f>
        <v>0</v>
      </c>
      <c r="J10" s="383" t="str">
        <f>IF($K$1="","",((E10/$G$2)*$I$1)/$K$1)</f>
        <v/>
      </c>
      <c r="K10" s="383" t="str">
        <f>IF($K$2="","",((E10/$G$2)*$I$2)/$K$2)</f>
        <v/>
      </c>
      <c r="L10" s="383" t="str">
        <f>IF($K$3="","",((E10/$G$2)*$I$3)/$K$3)</f>
        <v/>
      </c>
    </row>
    <row r="11" spans="1:12" ht="26.25" customHeight="1" x14ac:dyDescent="0.25">
      <c r="A11" s="438" t="str">
        <f>Kostenplan!A16</f>
        <v>1.1.2</v>
      </c>
      <c r="B11" s="447" t="str">
        <f>Kostenplan!B16</f>
        <v xml:space="preserve">Leitungsstunden                                                                                                                                                                                                     (inkl. AG-Anteile zur SV und BAV SV-frei) </v>
      </c>
      <c r="C11" s="383">
        <f>Kostenplan!C16</f>
        <v>0</v>
      </c>
      <c r="D11" s="439"/>
      <c r="E11" s="440">
        <f>Kostenplan!D16</f>
        <v>0</v>
      </c>
      <c r="F11" s="441"/>
      <c r="G11" s="442">
        <f t="shared" si="0"/>
        <v>0</v>
      </c>
      <c r="H11" s="443">
        <f t="shared" si="1"/>
        <v>0</v>
      </c>
      <c r="I11" s="444">
        <f t="shared" ref="I11:I17" si="2">IF(H11=0,0,H11-100)</f>
        <v>0</v>
      </c>
      <c r="J11" s="383" t="str">
        <f t="shared" ref="J11:J17" si="3">IF($K$1="","",((E11/$G$2)*$I$1)/$K$1)</f>
        <v/>
      </c>
      <c r="K11" s="383" t="str">
        <f t="shared" ref="K11:K17" si="4">IF($K$2="","",((E11/$G$2)*$I$2)/$K$2)</f>
        <v/>
      </c>
      <c r="L11" s="383" t="str">
        <f t="shared" ref="L11:L17" si="5">IF($K$3="","",((E11/$G$2)*$I$3)/$K$3)</f>
        <v/>
      </c>
    </row>
    <row r="12" spans="1:12" x14ac:dyDescent="0.25">
      <c r="A12" s="438" t="str">
        <f>Kostenplan!A17</f>
        <v>1.1.3</v>
      </c>
      <c r="B12" s="447" t="str">
        <f>Kostenplan!B17</f>
        <v>Schwerbehindertenausgleichsabgabe</v>
      </c>
      <c r="C12" s="383">
        <f>Kostenplan!C17</f>
        <v>0</v>
      </c>
      <c r="D12" s="439"/>
      <c r="E12" s="440">
        <f>Kostenplan!D17</f>
        <v>0</v>
      </c>
      <c r="F12" s="441"/>
      <c r="G12" s="442">
        <f t="shared" si="0"/>
        <v>0</v>
      </c>
      <c r="H12" s="443">
        <f t="shared" si="1"/>
        <v>0</v>
      </c>
      <c r="I12" s="444">
        <f t="shared" si="2"/>
        <v>0</v>
      </c>
      <c r="J12" s="383" t="str">
        <f t="shared" si="3"/>
        <v/>
      </c>
      <c r="K12" s="383" t="str">
        <f t="shared" si="4"/>
        <v/>
      </c>
      <c r="L12" s="383" t="str">
        <f t="shared" si="5"/>
        <v/>
      </c>
    </row>
    <row r="13" spans="1:12" ht="25.5" x14ac:dyDescent="0.25">
      <c r="A13" s="438" t="str">
        <f>Kostenplan!A18</f>
        <v>1.1.4</v>
      </c>
      <c r="B13" s="447" t="str">
        <f>Kostenplan!B18</f>
        <v>Berufsgenossenschaft (inkl. etwaig Wohlfahrtspflege) bzw. Unfallkasse</v>
      </c>
      <c r="C13" s="383">
        <f>Kostenplan!C18</f>
        <v>0</v>
      </c>
      <c r="D13" s="439"/>
      <c r="E13" s="440">
        <f>Kostenplan!D18</f>
        <v>0</v>
      </c>
      <c r="F13" s="441"/>
      <c r="G13" s="442">
        <f t="shared" si="0"/>
        <v>0</v>
      </c>
      <c r="H13" s="443">
        <f t="shared" si="1"/>
        <v>0</v>
      </c>
      <c r="I13" s="444">
        <f t="shared" si="2"/>
        <v>0</v>
      </c>
      <c r="J13" s="383" t="str">
        <f t="shared" si="3"/>
        <v/>
      </c>
      <c r="K13" s="383" t="str">
        <f t="shared" si="4"/>
        <v/>
      </c>
      <c r="L13" s="383" t="str">
        <f t="shared" si="5"/>
        <v/>
      </c>
    </row>
    <row r="14" spans="1:12" x14ac:dyDescent="0.25">
      <c r="A14" s="438" t="str">
        <f>Kostenplan!A19</f>
        <v>1.1.5</v>
      </c>
      <c r="B14" s="447" t="str">
        <f>Kostenplan!B19</f>
        <v>Finanzierungsbeitrag / Sanierungsgeld / Sonstiges</v>
      </c>
      <c r="C14" s="383">
        <f>Kostenplan!C19</f>
        <v>0</v>
      </c>
      <c r="D14" s="439"/>
      <c r="E14" s="440">
        <f>Kostenplan!D19</f>
        <v>0</v>
      </c>
      <c r="F14" s="445"/>
      <c r="G14" s="442">
        <f t="shared" si="0"/>
        <v>0</v>
      </c>
      <c r="H14" s="443">
        <f t="shared" si="1"/>
        <v>0</v>
      </c>
      <c r="I14" s="444">
        <f t="shared" si="2"/>
        <v>0</v>
      </c>
      <c r="J14" s="383" t="str">
        <f t="shared" si="3"/>
        <v/>
      </c>
      <c r="K14" s="383" t="str">
        <f t="shared" si="4"/>
        <v/>
      </c>
      <c r="L14" s="383" t="str">
        <f t="shared" si="5"/>
        <v/>
      </c>
    </row>
    <row r="15" spans="1:12" x14ac:dyDescent="0.25">
      <c r="A15" s="438" t="str">
        <f>Kostenplan!A20</f>
        <v>1.1.6</v>
      </c>
      <c r="B15" s="447" t="str">
        <f>Kostenplan!B20</f>
        <v>Betriebsmedizin / Arbeitsmedizin</v>
      </c>
      <c r="C15" s="383">
        <f>Kostenplan!C20</f>
        <v>0</v>
      </c>
      <c r="D15" s="439"/>
      <c r="E15" s="382">
        <f>Kostenplan!D20</f>
        <v>0</v>
      </c>
      <c r="F15" s="445"/>
      <c r="G15" s="442">
        <f t="shared" si="0"/>
        <v>0</v>
      </c>
      <c r="H15" s="443">
        <f t="shared" si="1"/>
        <v>0</v>
      </c>
      <c r="I15" s="444">
        <f t="shared" si="2"/>
        <v>0</v>
      </c>
      <c r="J15" s="383" t="str">
        <f t="shared" si="3"/>
        <v/>
      </c>
      <c r="K15" s="383" t="str">
        <f t="shared" si="4"/>
        <v/>
      </c>
      <c r="L15" s="383" t="str">
        <f t="shared" si="5"/>
        <v/>
      </c>
    </row>
    <row r="16" spans="1:12" x14ac:dyDescent="0.25">
      <c r="A16" s="438" t="str">
        <f>Kostenplan!A21</f>
        <v>1.1.7</v>
      </c>
      <c r="B16" s="447" t="str">
        <f>Kostenplan!B21</f>
        <v>Kosten Altersteilzeit (Aktivphase)</v>
      </c>
      <c r="C16" s="383">
        <f>Kostenplan!C21</f>
        <v>0</v>
      </c>
      <c r="D16" s="439"/>
      <c r="E16" s="440">
        <f>Kostenplan!D21</f>
        <v>0</v>
      </c>
      <c r="F16" s="446"/>
      <c r="G16" s="442">
        <f t="shared" si="0"/>
        <v>0</v>
      </c>
      <c r="H16" s="443">
        <f t="shared" si="1"/>
        <v>0</v>
      </c>
      <c r="I16" s="444">
        <f t="shared" si="2"/>
        <v>0</v>
      </c>
      <c r="J16" s="383" t="str">
        <f t="shared" si="3"/>
        <v/>
      </c>
      <c r="K16" s="383" t="str">
        <f t="shared" si="4"/>
        <v/>
      </c>
      <c r="L16" s="383" t="str">
        <f t="shared" si="5"/>
        <v/>
      </c>
    </row>
    <row r="17" spans="1:12" x14ac:dyDescent="0.25">
      <c r="A17" s="438" t="str">
        <f>Kostenplan!A22</f>
        <v>1.1.8</v>
      </c>
      <c r="B17" s="447" t="str">
        <f>IF('INTERN Personalstunden'!J58='INTERN Personalstunden'!J58,'INTERN Personalstunden'!J58,'INTERN Personalstunden'!J58)</f>
        <v>abzüglich/zuzüglich Personalkostenüberhang/-defizit</v>
      </c>
      <c r="C17" s="383">
        <f>Kostenplan!C22</f>
        <v>0</v>
      </c>
      <c r="D17" s="439"/>
      <c r="E17" s="448">
        <f>IF('INTERN Personalstunden'!K58=0,0,'INTERN Personalstunden'!K58)</f>
        <v>0</v>
      </c>
      <c r="F17" s="449"/>
      <c r="G17" s="442">
        <f t="shared" si="0"/>
        <v>0</v>
      </c>
      <c r="H17" s="443">
        <f t="shared" si="1"/>
        <v>0</v>
      </c>
      <c r="I17" s="444">
        <f t="shared" si="2"/>
        <v>0</v>
      </c>
      <c r="J17" s="383" t="str">
        <f t="shared" si="3"/>
        <v/>
      </c>
      <c r="K17" s="383" t="str">
        <f t="shared" si="4"/>
        <v/>
      </c>
      <c r="L17" s="383" t="str">
        <f t="shared" si="5"/>
        <v/>
      </c>
    </row>
    <row r="18" spans="1:12" s="376" customFormat="1" ht="15" x14ac:dyDescent="0.25">
      <c r="A18" s="413"/>
      <c r="B18" s="386" t="s">
        <v>2</v>
      </c>
      <c r="C18" s="387">
        <f>IF(B17="abzüglich Personalkostenüberhang",(SUM(C10:C16))-C17,SUM(C10:C17))</f>
        <v>0</v>
      </c>
      <c r="D18" s="450"/>
      <c r="E18" s="387">
        <f>SUM(E10:E17)</f>
        <v>0</v>
      </c>
      <c r="F18" s="450"/>
      <c r="G18" s="451">
        <f>E18-C18</f>
        <v>0</v>
      </c>
      <c r="H18" s="452">
        <f>IF(C18=0,0,E18*100/C18)</f>
        <v>0</v>
      </c>
      <c r="I18" s="452">
        <f>IF(H18=0,0,H18-100)</f>
        <v>0</v>
      </c>
      <c r="J18" s="453">
        <f>IF($K$1="",0,($I$1/$K$1*$G$1*$K$1)/$K$1)</f>
        <v>0</v>
      </c>
      <c r="K18" s="453">
        <f>IF($K$2="",0,($I$2/$K$2*$G$1*$K$2)/$K$2)</f>
        <v>0</v>
      </c>
      <c r="L18" s="453">
        <f>IF($K$3="",0,($I$3/$K$3*$G$1*$K$3)/$K$3)</f>
        <v>0</v>
      </c>
    </row>
    <row r="20" spans="1:12" s="376" customFormat="1" x14ac:dyDescent="0.25">
      <c r="A20" s="402"/>
      <c r="B20" s="388" t="s">
        <v>434</v>
      </c>
      <c r="C20" s="389">
        <f>C18</f>
        <v>0</v>
      </c>
      <c r="D20" s="454"/>
      <c r="E20" s="389">
        <f>E18</f>
        <v>0</v>
      </c>
      <c r="F20" s="454"/>
      <c r="G20" s="389">
        <f>E20-C20</f>
        <v>0</v>
      </c>
      <c r="H20" s="455">
        <f>IF(C20=0,0,E20*100/C20)</f>
        <v>0</v>
      </c>
      <c r="I20" s="455">
        <f>IF(H20=0,0,H20-100)</f>
        <v>0</v>
      </c>
      <c r="J20" s="389">
        <f>J18</f>
        <v>0</v>
      </c>
      <c r="K20" s="389">
        <f>K18</f>
        <v>0</v>
      </c>
      <c r="L20" s="389">
        <f>L18</f>
        <v>0</v>
      </c>
    </row>
    <row r="22" spans="1:12" x14ac:dyDescent="0.25">
      <c r="A22" s="435" t="str">
        <f>Kostenplan!A25</f>
        <v>2</v>
      </c>
      <c r="B22" s="488" t="str">
        <f>Kostenplan!B25</f>
        <v>Sachkosten</v>
      </c>
      <c r="C22" s="456"/>
      <c r="D22" s="390"/>
      <c r="E22" s="390"/>
      <c r="F22" s="390"/>
      <c r="G22" s="390"/>
      <c r="H22" s="390"/>
      <c r="I22" s="390"/>
      <c r="J22" s="390"/>
      <c r="K22" s="390"/>
      <c r="L22" s="390"/>
    </row>
    <row r="23" spans="1:12" x14ac:dyDescent="0.25">
      <c r="A23" s="435" t="str">
        <f>Kostenplan!A26</f>
        <v>2.1</v>
      </c>
      <c r="B23" s="488" t="str">
        <f>Kostenplan!B26</f>
        <v>Sachkosten</v>
      </c>
      <c r="C23" s="456"/>
      <c r="D23" s="390"/>
      <c r="E23" s="390"/>
      <c r="F23" s="390"/>
      <c r="G23" s="390"/>
      <c r="H23" s="390"/>
      <c r="I23" s="390"/>
      <c r="J23" s="456"/>
      <c r="K23" s="456"/>
      <c r="L23" s="456"/>
    </row>
    <row r="24" spans="1:12" x14ac:dyDescent="0.25">
      <c r="A24" s="438" t="str">
        <f>Kostenplan!A27</f>
        <v>2.1.1</v>
      </c>
      <c r="B24" s="447" t="str">
        <f>Kostenplan!B27</f>
        <v>kindbezogene Sachkosten</v>
      </c>
      <c r="C24" s="457">
        <f>Kostenplan!$C$28</f>
        <v>0</v>
      </c>
      <c r="D24" s="458"/>
      <c r="E24" s="459">
        <f>Kostenplan!$D$27</f>
        <v>0</v>
      </c>
      <c r="F24" s="443"/>
      <c r="G24" s="460">
        <f>E24-C24</f>
        <v>0</v>
      </c>
      <c r="H24" s="443">
        <f>IF(C24=0,0,E24*100/C24)</f>
        <v>0</v>
      </c>
      <c r="I24" s="444">
        <f>IF(H24=0,0,H24-100)</f>
        <v>0</v>
      </c>
      <c r="J24" s="461">
        <f>IF($K$1="",0,Kostenplan!H28)</f>
        <v>0</v>
      </c>
      <c r="K24" s="461">
        <f>IF($K$2="",0,Kostenplan!I28)</f>
        <v>0</v>
      </c>
      <c r="L24" s="461">
        <f>IF($K$3="",0,Kostenplan!J28)</f>
        <v>0</v>
      </c>
    </row>
    <row r="25" spans="1:12" x14ac:dyDescent="0.25">
      <c r="A25" s="438" t="str">
        <f>Kostenplan!A29</f>
        <v>2.1.2</v>
      </c>
      <c r="B25" s="447" t="str">
        <f>Kostenplan!B29</f>
        <v>Raum- und Wirtschaftsausstattung</v>
      </c>
      <c r="C25" s="457">
        <f>Kostenplan!$C$29</f>
        <v>0</v>
      </c>
      <c r="D25" s="458"/>
      <c r="E25" s="462">
        <f>Kostenplan!$D$29</f>
        <v>0</v>
      </c>
      <c r="F25" s="443"/>
      <c r="G25" s="460">
        <f>E25-C25</f>
        <v>0</v>
      </c>
      <c r="H25" s="443">
        <f>IF(C25=0,0,E25*100/C25)</f>
        <v>0</v>
      </c>
      <c r="I25" s="444">
        <f>IF(H25=0,0,H25-100)</f>
        <v>0</v>
      </c>
      <c r="J25" s="461">
        <f>IF($K$1="",0,E25/$L$2)</f>
        <v>0</v>
      </c>
      <c r="K25" s="461">
        <f>IF($K$2="",0,E25/$L$2)</f>
        <v>0</v>
      </c>
      <c r="L25" s="461">
        <f>IF($K$3="",0,E25/$L$2)</f>
        <v>0</v>
      </c>
    </row>
    <row r="26" spans="1:12" s="376" customFormat="1" ht="15" x14ac:dyDescent="0.25">
      <c r="A26" s="413"/>
      <c r="B26" s="386" t="s">
        <v>2</v>
      </c>
      <c r="C26" s="463">
        <f>SUM(C24:C25)</f>
        <v>0</v>
      </c>
      <c r="D26" s="450"/>
      <c r="E26" s="387">
        <f>SUM(E24:E25)</f>
        <v>0</v>
      </c>
      <c r="F26" s="450"/>
      <c r="G26" s="451">
        <f>E26-C26</f>
        <v>0</v>
      </c>
      <c r="H26" s="452">
        <f>IF(C26=0,0,E26*100/C26)</f>
        <v>0</v>
      </c>
      <c r="I26" s="452">
        <f>IF(H26=0,0,H26-100)</f>
        <v>0</v>
      </c>
      <c r="J26" s="464">
        <f>SUM(J23:J25)</f>
        <v>0</v>
      </c>
      <c r="K26" s="464">
        <f t="shared" ref="K26:L26" si="6">SUM(K23:K25)</f>
        <v>0</v>
      </c>
      <c r="L26" s="464">
        <f t="shared" si="6"/>
        <v>0</v>
      </c>
    </row>
    <row r="27" spans="1:12" x14ac:dyDescent="0.25">
      <c r="C27" s="465"/>
      <c r="E27" s="465"/>
    </row>
    <row r="28" spans="1:12" x14ac:dyDescent="0.25">
      <c r="A28" s="435" t="str">
        <f>Kostenplan!A34</f>
        <v>2.2</v>
      </c>
      <c r="B28" s="488" t="str">
        <f>Kostenplan!B34</f>
        <v>Fortbildung</v>
      </c>
      <c r="C28" s="456"/>
      <c r="D28" s="390"/>
      <c r="E28" s="456"/>
      <c r="F28" s="390"/>
      <c r="G28" s="390"/>
      <c r="H28" s="390"/>
      <c r="I28" s="390"/>
      <c r="J28" s="390"/>
      <c r="K28" s="390"/>
      <c r="L28" s="390"/>
    </row>
    <row r="29" spans="1:12" ht="25.5" x14ac:dyDescent="0.25">
      <c r="A29" s="438" t="str">
        <f>Kostenplan!A35</f>
        <v>2.2.1</v>
      </c>
      <c r="B29" s="447" t="str">
        <f>Kostenplan!$B$35</f>
        <v>Fort- und Weiterbildung (inkl. Supervision, Fachberatung und Fahrtkosten)</v>
      </c>
      <c r="C29" s="457">
        <f>Kostenplan!C35</f>
        <v>0</v>
      </c>
      <c r="D29" s="466"/>
      <c r="E29" s="462">
        <f>Kostenplan!D35</f>
        <v>0</v>
      </c>
      <c r="F29" s="443"/>
      <c r="G29" s="460">
        <f>E29-C29</f>
        <v>0</v>
      </c>
      <c r="H29" s="443">
        <f>IF(C29=0,0,E29*100/C29)</f>
        <v>0</v>
      </c>
      <c r="I29" s="443">
        <f>IF(H29=0,0,H29-100)</f>
        <v>0</v>
      </c>
      <c r="J29" s="461">
        <f>IF($K$1="",0,E29/$L$2)</f>
        <v>0</v>
      </c>
      <c r="K29" s="461">
        <f>IF($K$2="",0,E29/$L$2)</f>
        <v>0</v>
      </c>
      <c r="L29" s="461">
        <f>IF($K$3="",0,E29/$L$2)</f>
        <v>0</v>
      </c>
    </row>
    <row r="30" spans="1:12" x14ac:dyDescent="0.25">
      <c r="A30" s="438" t="str">
        <f>Kostenplan!A36</f>
        <v>2.2.2</v>
      </c>
      <c r="B30" s="447" t="str">
        <f>Kostenplan!$B$36</f>
        <v>sonstige Ausbildungskosten</v>
      </c>
      <c r="C30" s="457">
        <f>Kostenplan!C36</f>
        <v>0</v>
      </c>
      <c r="D30" s="466"/>
      <c r="E30" s="467">
        <f>Kostenplan!D36</f>
        <v>0</v>
      </c>
      <c r="F30" s="443"/>
      <c r="G30" s="460">
        <f>E30-C30</f>
        <v>0</v>
      </c>
      <c r="H30" s="443">
        <f>IF(C30=0,0,E30*100/C30)</f>
        <v>0</v>
      </c>
      <c r="I30" s="443">
        <f>IF(H30=0,0,H30-100)</f>
        <v>0</v>
      </c>
      <c r="J30" s="461">
        <f>IF($K$1="",0,E30/$L$2)</f>
        <v>0</v>
      </c>
      <c r="K30" s="461">
        <f>IF($K$2="",0,E30/$L$2)</f>
        <v>0</v>
      </c>
      <c r="L30" s="461">
        <f>IF($K$3="",0,E30/$L$2)</f>
        <v>0</v>
      </c>
    </row>
    <row r="31" spans="1:12" s="376" customFormat="1" ht="15" x14ac:dyDescent="0.25">
      <c r="A31" s="413"/>
      <c r="B31" s="386" t="s">
        <v>2</v>
      </c>
      <c r="C31" s="463">
        <f>SUM(C29:C30)</f>
        <v>0</v>
      </c>
      <c r="D31" s="450"/>
      <c r="E31" s="387">
        <f>SUM(E29:E30)</f>
        <v>0</v>
      </c>
      <c r="F31" s="450"/>
      <c r="G31" s="451">
        <f>E31-C31</f>
        <v>0</v>
      </c>
      <c r="H31" s="452">
        <f>IF(C31=0,0,E31*100/C31)</f>
        <v>0</v>
      </c>
      <c r="I31" s="452">
        <f>IF(H31=0,0,H31-100)</f>
        <v>0</v>
      </c>
      <c r="J31" s="463">
        <f>SUM(J29:J30)</f>
        <v>0</v>
      </c>
      <c r="K31" s="463">
        <f t="shared" ref="K31:L31" si="7">SUM(K29:K30)</f>
        <v>0</v>
      </c>
      <c r="L31" s="463">
        <f t="shared" si="7"/>
        <v>0</v>
      </c>
    </row>
    <row r="32" spans="1:12" x14ac:dyDescent="0.25">
      <c r="C32" s="465"/>
      <c r="E32" s="465"/>
    </row>
    <row r="33" spans="1:12" s="376" customFormat="1" x14ac:dyDescent="0.25">
      <c r="A33" s="402"/>
      <c r="B33" s="388" t="s">
        <v>434</v>
      </c>
      <c r="C33" s="389">
        <f>SUM(C26+C31)</f>
        <v>0</v>
      </c>
      <c r="D33" s="454"/>
      <c r="E33" s="389">
        <f>SUM(E26+E31)</f>
        <v>0</v>
      </c>
      <c r="F33" s="454"/>
      <c r="G33" s="389">
        <f>SUM(G26+G31)</f>
        <v>0</v>
      </c>
      <c r="H33" s="455">
        <f>IF(C33=0,0,E33*100/C33)</f>
        <v>0</v>
      </c>
      <c r="I33" s="455">
        <f>IF(H33=0,0,H33-100)</f>
        <v>0</v>
      </c>
      <c r="J33" s="389">
        <f>J26+J31</f>
        <v>0</v>
      </c>
      <c r="K33" s="389">
        <f>K31+K26</f>
        <v>0</v>
      </c>
      <c r="L33" s="389">
        <f>L31+L26</f>
        <v>0</v>
      </c>
    </row>
    <row r="35" spans="1:12" x14ac:dyDescent="0.25">
      <c r="A35" s="435" t="str">
        <f>Kostenplan!A39</f>
        <v>3</v>
      </c>
      <c r="B35" s="488" t="str">
        <f>Kostenplan!B39</f>
        <v>Betriebskosten</v>
      </c>
      <c r="C35" s="390"/>
      <c r="D35" s="390"/>
      <c r="E35" s="390"/>
      <c r="F35" s="390"/>
      <c r="G35" s="390"/>
      <c r="H35" s="390"/>
      <c r="I35" s="390"/>
      <c r="J35" s="390"/>
      <c r="K35" s="390"/>
      <c r="L35" s="390"/>
    </row>
    <row r="36" spans="1:12" x14ac:dyDescent="0.25">
      <c r="A36" s="435" t="str">
        <f>Kostenplan!A40</f>
        <v>3.1</v>
      </c>
      <c r="B36" s="488" t="str">
        <f>Kostenplan!B40</f>
        <v>Hausmeister, Hausmeisterdienstleitungen</v>
      </c>
      <c r="C36" s="456"/>
      <c r="D36" s="468"/>
      <c r="E36" s="469"/>
      <c r="F36" s="469"/>
      <c r="G36" s="469"/>
      <c r="H36" s="469"/>
      <c r="I36" s="469"/>
      <c r="J36" s="469"/>
      <c r="K36" s="469"/>
      <c r="L36" s="469"/>
    </row>
    <row r="37" spans="1:12" ht="26.25" customHeight="1" x14ac:dyDescent="0.25">
      <c r="A37" s="438" t="str">
        <f>Kostenplan!A41</f>
        <v>3.1.1</v>
      </c>
      <c r="B37" s="447" t="str">
        <f>Kostenplan!B41</f>
        <v xml:space="preserve">Personalkosten                                                                                                                                                                                                       (inkl. AG-Anteile zur SV und BAV SV-frei) </v>
      </c>
      <c r="C37" s="383">
        <f>Kostenplan!C41</f>
        <v>0</v>
      </c>
      <c r="D37" s="470"/>
      <c r="E37" s="459">
        <f>Kostenplan!D41</f>
        <v>0</v>
      </c>
      <c r="F37" s="458"/>
      <c r="G37" s="442">
        <f t="shared" ref="G37:G43" si="8">E37-C37</f>
        <v>0</v>
      </c>
      <c r="H37" s="471">
        <f t="shared" ref="H37:H43" si="9">IF(C37=0,0,E37*100/C37)</f>
        <v>0</v>
      </c>
      <c r="I37" s="471">
        <f t="shared" ref="I37:I43" si="10">IF(H37=0,0,H37-100)</f>
        <v>0</v>
      </c>
      <c r="J37" s="461">
        <f>IF($K$1="",0,E37/$L$2)</f>
        <v>0</v>
      </c>
      <c r="K37" s="461">
        <f>IF($K$2="",0,E37/$L$2)</f>
        <v>0</v>
      </c>
      <c r="L37" s="461">
        <f>IF($K$3="",0,E37/$L$2)</f>
        <v>0</v>
      </c>
    </row>
    <row r="38" spans="1:12" x14ac:dyDescent="0.25">
      <c r="A38" s="438" t="str">
        <f>Kostenplan!A42</f>
        <v>3.1.2</v>
      </c>
      <c r="B38" s="447" t="str">
        <f>Kostenplan!B42</f>
        <v>Schwerbehindertenausgleichsabgabe</v>
      </c>
      <c r="C38" s="383">
        <f>Kostenplan!C42</f>
        <v>0</v>
      </c>
      <c r="D38" s="470"/>
      <c r="E38" s="459">
        <f>Kostenplan!D42</f>
        <v>0</v>
      </c>
      <c r="F38" s="458"/>
      <c r="G38" s="442">
        <f t="shared" si="8"/>
        <v>0</v>
      </c>
      <c r="H38" s="471">
        <f t="shared" si="9"/>
        <v>0</v>
      </c>
      <c r="I38" s="471">
        <f t="shared" si="10"/>
        <v>0</v>
      </c>
      <c r="J38" s="461">
        <f t="shared" ref="J38:J43" si="11">IF($K$1="",0,E38/$L$2)</f>
        <v>0</v>
      </c>
      <c r="K38" s="461">
        <f t="shared" ref="K38:K43" si="12">IF($K$2="",0,E38/$L$2)</f>
        <v>0</v>
      </c>
      <c r="L38" s="461">
        <f t="shared" ref="L38:L43" si="13">IF($K$3="",0,E38/$L$2)</f>
        <v>0</v>
      </c>
    </row>
    <row r="39" spans="1:12" ht="26.25" customHeight="1" x14ac:dyDescent="0.25">
      <c r="A39" s="438" t="str">
        <f>Kostenplan!A43</f>
        <v>3.1.3</v>
      </c>
      <c r="B39" s="447" t="str">
        <f>Kostenplan!B43</f>
        <v>Berufsgenossenschaft (inkl. etwaig Wohlfahrtspflege) bzw. Unfallkasse</v>
      </c>
      <c r="C39" s="383">
        <f>Kostenplan!C43</f>
        <v>0</v>
      </c>
      <c r="D39" s="470"/>
      <c r="E39" s="459">
        <f>Kostenplan!D43</f>
        <v>0</v>
      </c>
      <c r="F39" s="458"/>
      <c r="G39" s="442">
        <f t="shared" si="8"/>
        <v>0</v>
      </c>
      <c r="H39" s="471">
        <f t="shared" si="9"/>
        <v>0</v>
      </c>
      <c r="I39" s="471">
        <f t="shared" si="10"/>
        <v>0</v>
      </c>
      <c r="J39" s="461">
        <f t="shared" si="11"/>
        <v>0</v>
      </c>
      <c r="K39" s="461">
        <f t="shared" si="12"/>
        <v>0</v>
      </c>
      <c r="L39" s="461">
        <f t="shared" si="13"/>
        <v>0</v>
      </c>
    </row>
    <row r="40" spans="1:12" x14ac:dyDescent="0.25">
      <c r="A40" s="438" t="str">
        <f>Kostenplan!A44</f>
        <v>3.1.4</v>
      </c>
      <c r="B40" s="447" t="str">
        <f>Kostenplan!B44</f>
        <v>Finanzierungsbeitrag / Sanierungsgeld / Sonstiges</v>
      </c>
      <c r="C40" s="383">
        <f>Kostenplan!C44</f>
        <v>0</v>
      </c>
      <c r="D40" s="470"/>
      <c r="E40" s="459">
        <f>Kostenplan!D44</f>
        <v>0</v>
      </c>
      <c r="F40" s="458"/>
      <c r="G40" s="442">
        <f t="shared" si="8"/>
        <v>0</v>
      </c>
      <c r="H40" s="471">
        <f t="shared" si="9"/>
        <v>0</v>
      </c>
      <c r="I40" s="471">
        <f t="shared" si="10"/>
        <v>0</v>
      </c>
      <c r="J40" s="461">
        <f t="shared" si="11"/>
        <v>0</v>
      </c>
      <c r="K40" s="461">
        <f t="shared" si="12"/>
        <v>0</v>
      </c>
      <c r="L40" s="461">
        <f t="shared" si="13"/>
        <v>0</v>
      </c>
    </row>
    <row r="41" spans="1:12" x14ac:dyDescent="0.25">
      <c r="A41" s="438" t="str">
        <f>Kostenplan!A45</f>
        <v>3.1.5</v>
      </c>
      <c r="B41" s="447" t="str">
        <f>Kostenplan!B45</f>
        <v>Betriebsmedizin, Arbeitsmedizin</v>
      </c>
      <c r="C41" s="383">
        <f>Kostenplan!C45</f>
        <v>0</v>
      </c>
      <c r="D41" s="470"/>
      <c r="E41" s="467">
        <f>Kostenplan!D45</f>
        <v>0</v>
      </c>
      <c r="F41" s="458"/>
      <c r="G41" s="442">
        <f t="shared" si="8"/>
        <v>0</v>
      </c>
      <c r="H41" s="471">
        <f t="shared" si="9"/>
        <v>0</v>
      </c>
      <c r="I41" s="471">
        <f t="shared" si="10"/>
        <v>0</v>
      </c>
      <c r="J41" s="461">
        <f t="shared" si="11"/>
        <v>0</v>
      </c>
      <c r="K41" s="461">
        <f t="shared" si="12"/>
        <v>0</v>
      </c>
      <c r="L41" s="461">
        <f t="shared" si="13"/>
        <v>0</v>
      </c>
    </row>
    <row r="42" spans="1:12" x14ac:dyDescent="0.25">
      <c r="A42" s="438" t="str">
        <f>Kostenplan!A46</f>
        <v>3.1.6</v>
      </c>
      <c r="B42" s="447" t="str">
        <f>Kostenplan!B46</f>
        <v>Kosten Altersteilzeit (Passivphase)</v>
      </c>
      <c r="C42" s="383">
        <f>Kostenplan!C46</f>
        <v>0</v>
      </c>
      <c r="D42" s="470"/>
      <c r="E42" s="459">
        <f>Kostenplan!D46</f>
        <v>0</v>
      </c>
      <c r="F42" s="458"/>
      <c r="G42" s="442">
        <f t="shared" si="8"/>
        <v>0</v>
      </c>
      <c r="H42" s="471">
        <f t="shared" si="9"/>
        <v>0</v>
      </c>
      <c r="I42" s="471">
        <f t="shared" si="10"/>
        <v>0</v>
      </c>
      <c r="J42" s="461">
        <f t="shared" si="11"/>
        <v>0</v>
      </c>
      <c r="K42" s="461">
        <f t="shared" si="12"/>
        <v>0</v>
      </c>
      <c r="L42" s="461">
        <f t="shared" si="13"/>
        <v>0</v>
      </c>
    </row>
    <row r="43" spans="1:12" x14ac:dyDescent="0.25">
      <c r="A43" s="438" t="str">
        <f>Kostenplan!A47</f>
        <v>3.1.7</v>
      </c>
      <c r="B43" s="447" t="str">
        <f>Kostenplan!B47</f>
        <v>Fremdfirmen für Hausmeisterdienste</v>
      </c>
      <c r="C43" s="383">
        <f>Kostenplan!C47</f>
        <v>0</v>
      </c>
      <c r="D43" s="470"/>
      <c r="E43" s="467">
        <f>Kostenplan!D47</f>
        <v>0</v>
      </c>
      <c r="F43" s="458"/>
      <c r="G43" s="442">
        <f t="shared" si="8"/>
        <v>0</v>
      </c>
      <c r="H43" s="471">
        <f t="shared" si="9"/>
        <v>0</v>
      </c>
      <c r="I43" s="471">
        <f t="shared" si="10"/>
        <v>0</v>
      </c>
      <c r="J43" s="461">
        <f t="shared" si="11"/>
        <v>0</v>
      </c>
      <c r="K43" s="461">
        <f t="shared" si="12"/>
        <v>0</v>
      </c>
      <c r="L43" s="461">
        <f t="shared" si="13"/>
        <v>0</v>
      </c>
    </row>
    <row r="44" spans="1:12" s="376" customFormat="1" ht="15" x14ac:dyDescent="0.25">
      <c r="A44" s="413"/>
      <c r="B44" s="386" t="s">
        <v>2</v>
      </c>
      <c r="C44" s="453">
        <f>SUM(C37:C43)</f>
        <v>0</v>
      </c>
      <c r="D44" s="450"/>
      <c r="E44" s="387">
        <f>SUM(E37:E43)</f>
        <v>0</v>
      </c>
      <c r="F44" s="450"/>
      <c r="G44" s="451">
        <f>E44-C44</f>
        <v>0</v>
      </c>
      <c r="H44" s="452">
        <f>IF(C44=0,0,E44*100/C44)</f>
        <v>0</v>
      </c>
      <c r="I44" s="452">
        <f>IF(H44=0,0,H44-100)</f>
        <v>0</v>
      </c>
      <c r="J44" s="463">
        <f>SUM(J37:J43)</f>
        <v>0</v>
      </c>
      <c r="K44" s="463">
        <f>SUM(K37:K43)</f>
        <v>0</v>
      </c>
      <c r="L44" s="463">
        <f>SUM(L37:L43)</f>
        <v>0</v>
      </c>
    </row>
    <row r="46" spans="1:12" x14ac:dyDescent="0.25">
      <c r="A46" s="435" t="str">
        <f>Kostenplan!A50</f>
        <v>3.2</v>
      </c>
      <c r="B46" s="488" t="str">
        <f>Kostenplan!B50</f>
        <v>Reinigungskraft, Reinigungsdienstleistungen</v>
      </c>
      <c r="C46" s="472"/>
      <c r="D46" s="468"/>
      <c r="E46" s="469"/>
      <c r="F46" s="469"/>
      <c r="G46" s="469"/>
      <c r="H46" s="469"/>
      <c r="I46" s="469"/>
      <c r="J46" s="390"/>
      <c r="K46" s="390"/>
      <c r="L46" s="390"/>
    </row>
    <row r="47" spans="1:12" ht="26.25" customHeight="1" x14ac:dyDescent="0.25">
      <c r="A47" s="438" t="str">
        <f>Kostenplan!A51</f>
        <v>3.2.1</v>
      </c>
      <c r="B47" s="447" t="str">
        <f>Kostenplan!B51</f>
        <v>Personalkosten                                                                                                                                                                                                       (inkl. AG-Anteile zur SV und BAV SV-frei)</v>
      </c>
      <c r="C47" s="383">
        <f>Kostenplan!C51</f>
        <v>0</v>
      </c>
      <c r="D47" s="470"/>
      <c r="E47" s="459">
        <f>Kostenplan!D51</f>
        <v>0</v>
      </c>
      <c r="F47" s="458"/>
      <c r="G47" s="442">
        <f t="shared" ref="G47:G54" si="14">E47-C47</f>
        <v>0</v>
      </c>
      <c r="H47" s="471">
        <f t="shared" ref="H47:H54" si="15">IF(C47=0,0,E47*100/C47)</f>
        <v>0</v>
      </c>
      <c r="I47" s="471">
        <f t="shared" ref="I47:I54" si="16">IF(H47=0,0,H47-100)</f>
        <v>0</v>
      </c>
      <c r="J47" s="461">
        <f>IF($K$1="",0,E47/$L$2)</f>
        <v>0</v>
      </c>
      <c r="K47" s="461">
        <f>IF($K$2="",0,E47/$L$2)</f>
        <v>0</v>
      </c>
      <c r="L47" s="461">
        <f>IF($K$3="",0,E47/$L$2)</f>
        <v>0</v>
      </c>
    </row>
    <row r="48" spans="1:12" x14ac:dyDescent="0.25">
      <c r="A48" s="438" t="str">
        <f>Kostenplan!A52</f>
        <v>3.2.2</v>
      </c>
      <c r="B48" s="447" t="str">
        <f>Kostenplan!B52</f>
        <v>Schwerbehindertenausgleichsabgabe</v>
      </c>
      <c r="C48" s="383">
        <f>Kostenplan!C52</f>
        <v>0</v>
      </c>
      <c r="D48" s="470"/>
      <c r="E48" s="459">
        <f>Kostenplan!D52</f>
        <v>0</v>
      </c>
      <c r="F48" s="458"/>
      <c r="G48" s="442">
        <f t="shared" si="14"/>
        <v>0</v>
      </c>
      <c r="H48" s="471">
        <f t="shared" si="15"/>
        <v>0</v>
      </c>
      <c r="I48" s="471">
        <f t="shared" si="16"/>
        <v>0</v>
      </c>
      <c r="J48" s="461">
        <f t="shared" ref="J48:J54" si="17">IF($K$1="",0,E48/$L$2)</f>
        <v>0</v>
      </c>
      <c r="K48" s="461">
        <f t="shared" ref="K48:K54" si="18">IF($K$2="",0,E48/$L$2)</f>
        <v>0</v>
      </c>
      <c r="L48" s="461">
        <f t="shared" ref="L48:L54" si="19">IF($K$3="",0,E48/$L$2)</f>
        <v>0</v>
      </c>
    </row>
    <row r="49" spans="1:12" ht="26.25" customHeight="1" x14ac:dyDescent="0.25">
      <c r="A49" s="438" t="str">
        <f>Kostenplan!A53</f>
        <v>3.2.3</v>
      </c>
      <c r="B49" s="447" t="str">
        <f>Kostenplan!B53</f>
        <v>Berufsgenossenschaft (inkl. etwaig Wohlfahrtspflege) bzw. Unfallkasse</v>
      </c>
      <c r="C49" s="383">
        <f>Kostenplan!C53</f>
        <v>0</v>
      </c>
      <c r="D49" s="470"/>
      <c r="E49" s="459">
        <f>Kostenplan!D53</f>
        <v>0</v>
      </c>
      <c r="F49" s="458"/>
      <c r="G49" s="442">
        <f t="shared" si="14"/>
        <v>0</v>
      </c>
      <c r="H49" s="471">
        <f t="shared" si="15"/>
        <v>0</v>
      </c>
      <c r="I49" s="471">
        <f t="shared" si="16"/>
        <v>0</v>
      </c>
      <c r="J49" s="461">
        <f t="shared" si="17"/>
        <v>0</v>
      </c>
      <c r="K49" s="461">
        <f t="shared" si="18"/>
        <v>0</v>
      </c>
      <c r="L49" s="461">
        <f t="shared" si="19"/>
        <v>0</v>
      </c>
    </row>
    <row r="50" spans="1:12" x14ac:dyDescent="0.25">
      <c r="A50" s="438" t="str">
        <f>Kostenplan!A54</f>
        <v>3.2.4</v>
      </c>
      <c r="B50" s="447" t="str">
        <f>Kostenplan!B54</f>
        <v>Finanzierungsbeitrag / Sanierungsgeld / Sonstiges</v>
      </c>
      <c r="C50" s="383">
        <f>Kostenplan!C54</f>
        <v>0</v>
      </c>
      <c r="D50" s="470"/>
      <c r="E50" s="459">
        <f>Kostenplan!D54</f>
        <v>0</v>
      </c>
      <c r="F50" s="458"/>
      <c r="G50" s="442">
        <f t="shared" si="14"/>
        <v>0</v>
      </c>
      <c r="H50" s="471">
        <f t="shared" si="15"/>
        <v>0</v>
      </c>
      <c r="I50" s="471">
        <f t="shared" si="16"/>
        <v>0</v>
      </c>
      <c r="J50" s="461">
        <f t="shared" si="17"/>
        <v>0</v>
      </c>
      <c r="K50" s="461">
        <f t="shared" si="18"/>
        <v>0</v>
      </c>
      <c r="L50" s="461">
        <f t="shared" si="19"/>
        <v>0</v>
      </c>
    </row>
    <row r="51" spans="1:12" x14ac:dyDescent="0.25">
      <c r="A51" s="438" t="str">
        <f>Kostenplan!A55</f>
        <v>3.2.5</v>
      </c>
      <c r="B51" s="447" t="str">
        <f>Kostenplan!B55</f>
        <v>Betriebsmedizin, Arbeitsmedizin</v>
      </c>
      <c r="C51" s="383">
        <f>Kostenplan!C55</f>
        <v>0</v>
      </c>
      <c r="D51" s="470"/>
      <c r="E51" s="467">
        <f>Kostenplan!D55</f>
        <v>0</v>
      </c>
      <c r="F51" s="458"/>
      <c r="G51" s="442">
        <f t="shared" si="14"/>
        <v>0</v>
      </c>
      <c r="H51" s="471">
        <f t="shared" si="15"/>
        <v>0</v>
      </c>
      <c r="I51" s="471">
        <f t="shared" si="16"/>
        <v>0</v>
      </c>
      <c r="J51" s="461">
        <f t="shared" si="17"/>
        <v>0</v>
      </c>
      <c r="K51" s="461">
        <f t="shared" si="18"/>
        <v>0</v>
      </c>
      <c r="L51" s="461">
        <f t="shared" si="19"/>
        <v>0</v>
      </c>
    </row>
    <row r="52" spans="1:12" x14ac:dyDescent="0.25">
      <c r="A52" s="438" t="str">
        <f>Kostenplan!A56</f>
        <v>3.2.6</v>
      </c>
      <c r="B52" s="447" t="str">
        <f>Kostenplan!B56</f>
        <v>Kosten Altersteilzeit (Passivphase)</v>
      </c>
      <c r="C52" s="383">
        <f>Kostenplan!C56</f>
        <v>0</v>
      </c>
      <c r="D52" s="470"/>
      <c r="E52" s="459">
        <f>Kostenplan!D56</f>
        <v>0</v>
      </c>
      <c r="F52" s="458"/>
      <c r="G52" s="442">
        <f t="shared" si="14"/>
        <v>0</v>
      </c>
      <c r="H52" s="471">
        <f t="shared" si="15"/>
        <v>0</v>
      </c>
      <c r="I52" s="471">
        <f t="shared" si="16"/>
        <v>0</v>
      </c>
      <c r="J52" s="461">
        <f t="shared" si="17"/>
        <v>0</v>
      </c>
      <c r="K52" s="461">
        <f t="shared" si="18"/>
        <v>0</v>
      </c>
      <c r="L52" s="461">
        <f t="shared" si="19"/>
        <v>0</v>
      </c>
    </row>
    <row r="53" spans="1:12" x14ac:dyDescent="0.25">
      <c r="A53" s="438" t="str">
        <f>Kostenplan!A57</f>
        <v>3.2.7</v>
      </c>
      <c r="B53" s="447" t="str">
        <f>Kostenplan!B57</f>
        <v>Kosten der Fremdreinigung</v>
      </c>
      <c r="C53" s="383">
        <f>Kostenplan!C57</f>
        <v>0</v>
      </c>
      <c r="D53" s="470"/>
      <c r="E53" s="467">
        <f>Kostenplan!D57</f>
        <v>0</v>
      </c>
      <c r="F53" s="458"/>
      <c r="G53" s="442">
        <f t="shared" si="14"/>
        <v>0</v>
      </c>
      <c r="H53" s="471">
        <f t="shared" si="15"/>
        <v>0</v>
      </c>
      <c r="I53" s="471">
        <f t="shared" si="16"/>
        <v>0</v>
      </c>
      <c r="J53" s="461">
        <f t="shared" si="17"/>
        <v>0</v>
      </c>
      <c r="K53" s="461">
        <f t="shared" si="18"/>
        <v>0</v>
      </c>
      <c r="L53" s="461">
        <f t="shared" si="19"/>
        <v>0</v>
      </c>
    </row>
    <row r="54" spans="1:12" x14ac:dyDescent="0.25">
      <c r="A54" s="438" t="str">
        <f>Kostenplan!A58</f>
        <v>3.2.8</v>
      </c>
      <c r="B54" s="447" t="str">
        <f>Kostenplan!B58</f>
        <v>Reinigungsmittel</v>
      </c>
      <c r="C54" s="383">
        <f>Kostenplan!C58</f>
        <v>0</v>
      </c>
      <c r="D54" s="470"/>
      <c r="E54" s="467">
        <f>Kostenplan!D58</f>
        <v>0</v>
      </c>
      <c r="F54" s="458"/>
      <c r="G54" s="442">
        <f t="shared" si="14"/>
        <v>0</v>
      </c>
      <c r="H54" s="471">
        <f t="shared" si="15"/>
        <v>0</v>
      </c>
      <c r="I54" s="471">
        <f t="shared" si="16"/>
        <v>0</v>
      </c>
      <c r="J54" s="461">
        <f t="shared" si="17"/>
        <v>0</v>
      </c>
      <c r="K54" s="461">
        <f t="shared" si="18"/>
        <v>0</v>
      </c>
      <c r="L54" s="461">
        <f t="shared" si="19"/>
        <v>0</v>
      </c>
    </row>
    <row r="55" spans="1:12" s="376" customFormat="1" ht="15" x14ac:dyDescent="0.25">
      <c r="A55" s="413"/>
      <c r="B55" s="386" t="s">
        <v>2</v>
      </c>
      <c r="C55" s="453">
        <f>SUM(C47:C54)</f>
        <v>0</v>
      </c>
      <c r="D55" s="450"/>
      <c r="E55" s="387">
        <f>SUM(E47:E54)</f>
        <v>0</v>
      </c>
      <c r="F55" s="450"/>
      <c r="G55" s="451">
        <f>E55-C55</f>
        <v>0</v>
      </c>
      <c r="H55" s="452">
        <f>IF(C55=0,0,E55*100/C55)</f>
        <v>0</v>
      </c>
      <c r="I55" s="452">
        <f>IF(H55=0,0,H55-100)</f>
        <v>0</v>
      </c>
      <c r="J55" s="463">
        <f>SUM(J47:J54)</f>
        <v>0</v>
      </c>
      <c r="K55" s="463">
        <f>SUM(K47:K54)</f>
        <v>0</v>
      </c>
      <c r="L55" s="463">
        <f>SUM(L47:L54)</f>
        <v>0</v>
      </c>
    </row>
    <row r="57" spans="1:12" x14ac:dyDescent="0.25">
      <c r="A57" s="435" t="str">
        <f>Kostenplan!A61</f>
        <v>3.3</v>
      </c>
      <c r="B57" s="488" t="str">
        <f>Kostenplan!B61</f>
        <v>Wirtschaftskraft/Haushaltshilfe/ Küchenkraft</v>
      </c>
      <c r="C57" s="472"/>
      <c r="D57" s="468"/>
      <c r="E57" s="469"/>
      <c r="F57" s="469"/>
      <c r="G57" s="469"/>
      <c r="H57" s="469"/>
      <c r="I57" s="469"/>
      <c r="J57" s="390"/>
      <c r="K57" s="390"/>
      <c r="L57" s="390"/>
    </row>
    <row r="58" spans="1:12" ht="26.25" customHeight="1" x14ac:dyDescent="0.25">
      <c r="A58" s="438" t="str">
        <f>Kostenplan!A62</f>
        <v>3.3.1</v>
      </c>
      <c r="B58" s="447" t="str">
        <f>Kostenplan!B62</f>
        <v>Personalkosten                                                                                                                                                                                                       (inkl. AG-Anteile zur SV und BAV SV-frei)</v>
      </c>
      <c r="C58" s="383">
        <f>Kostenplan!C62</f>
        <v>0</v>
      </c>
      <c r="D58" s="470"/>
      <c r="E58" s="459">
        <f>Kostenplan!D62</f>
        <v>0</v>
      </c>
      <c r="F58" s="458"/>
      <c r="G58" s="442">
        <f t="shared" ref="G58:G64" si="20">E58-C58</f>
        <v>0</v>
      </c>
      <c r="H58" s="471">
        <f t="shared" ref="H58:H64" si="21">IF(C58=0,0,E58*100/C58)</f>
        <v>0</v>
      </c>
      <c r="I58" s="471">
        <f t="shared" ref="I58:I64" si="22">IF(H58=0,0,H58-100)</f>
        <v>0</v>
      </c>
      <c r="J58" s="461">
        <f t="shared" ref="J58:J64" si="23">IF($K$1="",0,E58/$L$2)</f>
        <v>0</v>
      </c>
      <c r="K58" s="461">
        <f t="shared" ref="K58:K64" si="24">IF($K$2="",0,E58/$L$2)</f>
        <v>0</v>
      </c>
      <c r="L58" s="461">
        <f t="shared" ref="L58:L64" si="25">IF($K$3="",0,E58/$L$2)</f>
        <v>0</v>
      </c>
    </row>
    <row r="59" spans="1:12" x14ac:dyDescent="0.25">
      <c r="A59" s="438" t="str">
        <f>Kostenplan!A63</f>
        <v>3.3.2</v>
      </c>
      <c r="B59" s="447" t="str">
        <f>Kostenplan!B63</f>
        <v>Schwerbehindertenausgleichsabgabe</v>
      </c>
      <c r="C59" s="383">
        <f>Kostenplan!C63</f>
        <v>0</v>
      </c>
      <c r="D59" s="470"/>
      <c r="E59" s="459">
        <f>Kostenplan!D63</f>
        <v>0</v>
      </c>
      <c r="F59" s="458"/>
      <c r="G59" s="442">
        <f t="shared" si="20"/>
        <v>0</v>
      </c>
      <c r="H59" s="471">
        <f t="shared" si="21"/>
        <v>0</v>
      </c>
      <c r="I59" s="471">
        <f t="shared" si="22"/>
        <v>0</v>
      </c>
      <c r="J59" s="461">
        <f t="shared" si="23"/>
        <v>0</v>
      </c>
      <c r="K59" s="461">
        <f t="shared" si="24"/>
        <v>0</v>
      </c>
      <c r="L59" s="461">
        <f t="shared" si="25"/>
        <v>0</v>
      </c>
    </row>
    <row r="60" spans="1:12" ht="26.25" customHeight="1" x14ac:dyDescent="0.25">
      <c r="A60" s="438" t="str">
        <f>Kostenplan!A64</f>
        <v>3.3.3</v>
      </c>
      <c r="B60" s="447" t="str">
        <f>Kostenplan!B64</f>
        <v>Berufsgenossenschaft (inkl. etwaig Wohlfahrtspflege) bzw. Unfallkasse</v>
      </c>
      <c r="C60" s="383">
        <f>Kostenplan!C64</f>
        <v>0</v>
      </c>
      <c r="D60" s="470"/>
      <c r="E60" s="459">
        <f>Kostenplan!D64</f>
        <v>0</v>
      </c>
      <c r="F60" s="458"/>
      <c r="G60" s="442">
        <f t="shared" si="20"/>
        <v>0</v>
      </c>
      <c r="H60" s="471">
        <f t="shared" si="21"/>
        <v>0</v>
      </c>
      <c r="I60" s="471">
        <f t="shared" si="22"/>
        <v>0</v>
      </c>
      <c r="J60" s="461">
        <f t="shared" si="23"/>
        <v>0</v>
      </c>
      <c r="K60" s="461">
        <f t="shared" si="24"/>
        <v>0</v>
      </c>
      <c r="L60" s="461">
        <f t="shared" si="25"/>
        <v>0</v>
      </c>
    </row>
    <row r="61" spans="1:12" x14ac:dyDescent="0.25">
      <c r="A61" s="438" t="str">
        <f>Kostenplan!A65</f>
        <v>3.3.4</v>
      </c>
      <c r="B61" s="447" t="str">
        <f>Kostenplan!B65</f>
        <v>Finanzierungsbeitrag / Sanierungsgeld / Sonstiges</v>
      </c>
      <c r="C61" s="383">
        <f>Kostenplan!C65</f>
        <v>0</v>
      </c>
      <c r="D61" s="470"/>
      <c r="E61" s="459">
        <f>Kostenplan!D65</f>
        <v>0</v>
      </c>
      <c r="F61" s="458"/>
      <c r="G61" s="442">
        <f t="shared" si="20"/>
        <v>0</v>
      </c>
      <c r="H61" s="471">
        <f t="shared" si="21"/>
        <v>0</v>
      </c>
      <c r="I61" s="471">
        <f t="shared" si="22"/>
        <v>0</v>
      </c>
      <c r="J61" s="461">
        <f t="shared" si="23"/>
        <v>0</v>
      </c>
      <c r="K61" s="461">
        <f t="shared" si="24"/>
        <v>0</v>
      </c>
      <c r="L61" s="461">
        <f t="shared" si="25"/>
        <v>0</v>
      </c>
    </row>
    <row r="62" spans="1:12" x14ac:dyDescent="0.25">
      <c r="A62" s="438" t="str">
        <f>Kostenplan!A66</f>
        <v>3.3.5</v>
      </c>
      <c r="B62" s="447" t="str">
        <f>Kostenplan!B66</f>
        <v>Betriebsmedizin, Arbeitsmedizin</v>
      </c>
      <c r="C62" s="383">
        <f>Kostenplan!C66</f>
        <v>0</v>
      </c>
      <c r="D62" s="470"/>
      <c r="E62" s="467">
        <f>Kostenplan!D66</f>
        <v>0</v>
      </c>
      <c r="F62" s="458"/>
      <c r="G62" s="442">
        <f t="shared" si="20"/>
        <v>0</v>
      </c>
      <c r="H62" s="471">
        <f t="shared" si="21"/>
        <v>0</v>
      </c>
      <c r="I62" s="471">
        <f t="shared" si="22"/>
        <v>0</v>
      </c>
      <c r="J62" s="461">
        <f t="shared" si="23"/>
        <v>0</v>
      </c>
      <c r="K62" s="461">
        <f t="shared" si="24"/>
        <v>0</v>
      </c>
      <c r="L62" s="461">
        <f t="shared" si="25"/>
        <v>0</v>
      </c>
    </row>
    <row r="63" spans="1:12" x14ac:dyDescent="0.25">
      <c r="A63" s="438" t="str">
        <f>Kostenplan!A67</f>
        <v>3.3.6</v>
      </c>
      <c r="B63" s="447" t="str">
        <f>Kostenplan!B67</f>
        <v>Kosten Altersteilzeit (Passivphase)</v>
      </c>
      <c r="C63" s="383">
        <f>Kostenplan!C67</f>
        <v>0</v>
      </c>
      <c r="D63" s="470"/>
      <c r="E63" s="459">
        <f>Kostenplan!D67</f>
        <v>0</v>
      </c>
      <c r="F63" s="458"/>
      <c r="G63" s="442">
        <f t="shared" si="20"/>
        <v>0</v>
      </c>
      <c r="H63" s="471">
        <f t="shared" si="21"/>
        <v>0</v>
      </c>
      <c r="I63" s="471">
        <f t="shared" si="22"/>
        <v>0</v>
      </c>
      <c r="J63" s="461">
        <f t="shared" si="23"/>
        <v>0</v>
      </c>
      <c r="K63" s="461">
        <f t="shared" si="24"/>
        <v>0</v>
      </c>
      <c r="L63" s="461">
        <f t="shared" si="25"/>
        <v>0</v>
      </c>
    </row>
    <row r="64" spans="1:12" x14ac:dyDescent="0.25">
      <c r="A64" s="438" t="str">
        <f>Kostenplan!A68</f>
        <v>3.3.7</v>
      </c>
      <c r="B64" s="447" t="str">
        <f>Kostenplan!B68</f>
        <v>Kosten für Fremdfirmen</v>
      </c>
      <c r="C64" s="383">
        <f>Kostenplan!C68</f>
        <v>0</v>
      </c>
      <c r="D64" s="470"/>
      <c r="E64" s="467">
        <f>Kostenplan!D68</f>
        <v>0</v>
      </c>
      <c r="F64" s="458"/>
      <c r="G64" s="442">
        <f t="shared" si="20"/>
        <v>0</v>
      </c>
      <c r="H64" s="471">
        <f t="shared" si="21"/>
        <v>0</v>
      </c>
      <c r="I64" s="471">
        <f t="shared" si="22"/>
        <v>0</v>
      </c>
      <c r="J64" s="461">
        <f t="shared" si="23"/>
        <v>0</v>
      </c>
      <c r="K64" s="461">
        <f t="shared" si="24"/>
        <v>0</v>
      </c>
      <c r="L64" s="461">
        <f t="shared" si="25"/>
        <v>0</v>
      </c>
    </row>
    <row r="65" spans="1:12" s="376" customFormat="1" ht="15" x14ac:dyDescent="0.25">
      <c r="A65" s="413"/>
      <c r="B65" s="386" t="s">
        <v>2</v>
      </c>
      <c r="C65" s="453">
        <f>SUM(C58:C64)</f>
        <v>0</v>
      </c>
      <c r="D65" s="450"/>
      <c r="E65" s="387">
        <f>SUM(E58:E64)</f>
        <v>0</v>
      </c>
      <c r="F65" s="450"/>
      <c r="G65" s="451">
        <f>E65-C65</f>
        <v>0</v>
      </c>
      <c r="H65" s="452">
        <f>IF(C65=0,0,E65*100/C65)</f>
        <v>0</v>
      </c>
      <c r="I65" s="452">
        <f>IF(H65=0,0,H65-100)</f>
        <v>0</v>
      </c>
      <c r="J65" s="463">
        <f>SUM(J58:J64)</f>
        <v>0</v>
      </c>
      <c r="K65" s="463">
        <f>SUM(K58:K64)</f>
        <v>0</v>
      </c>
      <c r="L65" s="463">
        <f>SUM(L58:L64)</f>
        <v>0</v>
      </c>
    </row>
    <row r="67" spans="1:12" x14ac:dyDescent="0.25">
      <c r="A67" s="435" t="str">
        <f>Kostenplan!A71</f>
        <v>3.4</v>
      </c>
      <c r="B67" s="488" t="str">
        <f>Kostenplan!B71</f>
        <v>Bewirtschaftungskosten</v>
      </c>
      <c r="C67" s="472"/>
      <c r="D67" s="469"/>
      <c r="E67" s="469"/>
      <c r="F67" s="469"/>
      <c r="G67" s="469"/>
      <c r="H67" s="469"/>
      <c r="I67" s="469"/>
      <c r="J67" s="390"/>
      <c r="K67" s="390"/>
      <c r="L67" s="390"/>
    </row>
    <row r="68" spans="1:12" x14ac:dyDescent="0.25">
      <c r="A68" s="438" t="str">
        <f>Kostenplan!A72</f>
        <v>3.4.1</v>
      </c>
      <c r="B68" s="447" t="str">
        <f>Kostenplan!B72</f>
        <v>Grundsteuer</v>
      </c>
      <c r="C68" s="383">
        <f>Kostenplan!C72</f>
        <v>0</v>
      </c>
      <c r="D68" s="470"/>
      <c r="E68" s="467">
        <f>Kostenplan!D72</f>
        <v>0</v>
      </c>
      <c r="F68" s="458"/>
      <c r="G68" s="442">
        <f t="shared" ref="G68:G80" si="26">E68-C68</f>
        <v>0</v>
      </c>
      <c r="H68" s="471">
        <f t="shared" ref="H68:H80" si="27">IF(C68=0,0,E68*100/C68)</f>
        <v>0</v>
      </c>
      <c r="I68" s="471">
        <f t="shared" ref="I68:I80" si="28">IF(H68=0,0,H68-100)</f>
        <v>0</v>
      </c>
      <c r="J68" s="461">
        <f>IF($K$1="",0,E68/$L$2)</f>
        <v>0</v>
      </c>
      <c r="K68" s="461">
        <f t="shared" ref="K68:K80" si="29">IF($K$2="",0,E68/$L$2)</f>
        <v>0</v>
      </c>
      <c r="L68" s="461">
        <f t="shared" ref="L68:L80" si="30">IF($K$3="",0,E68/$L$2)</f>
        <v>0</v>
      </c>
    </row>
    <row r="69" spans="1:12" x14ac:dyDescent="0.25">
      <c r="A69" s="438" t="str">
        <f>Kostenplan!A73</f>
        <v>3.4.2</v>
      </c>
      <c r="B69" s="447" t="str">
        <f>Kostenplan!B73</f>
        <v>Wasser/Abwasser</v>
      </c>
      <c r="C69" s="383">
        <f>Kostenplan!C73</f>
        <v>0</v>
      </c>
      <c r="D69" s="470"/>
      <c r="E69" s="467">
        <f>Kostenplan!D73</f>
        <v>0</v>
      </c>
      <c r="F69" s="458"/>
      <c r="G69" s="442">
        <f t="shared" si="26"/>
        <v>0</v>
      </c>
      <c r="H69" s="471">
        <f t="shared" si="27"/>
        <v>0</v>
      </c>
      <c r="I69" s="471">
        <f t="shared" si="28"/>
        <v>0</v>
      </c>
      <c r="J69" s="461">
        <f t="shared" ref="J69:J80" si="31">IF($K$1="",0,E69/$L$2)</f>
        <v>0</v>
      </c>
      <c r="K69" s="461">
        <f t="shared" si="29"/>
        <v>0</v>
      </c>
      <c r="L69" s="461">
        <f t="shared" si="30"/>
        <v>0</v>
      </c>
    </row>
    <row r="70" spans="1:12" x14ac:dyDescent="0.25">
      <c r="A70" s="438" t="str">
        <f>Kostenplan!A74</f>
        <v>3.4.3</v>
      </c>
      <c r="B70" s="447" t="str">
        <f>Kostenplan!B74</f>
        <v>Heizkosten</v>
      </c>
      <c r="C70" s="383">
        <f>Kostenplan!C74</f>
        <v>0</v>
      </c>
      <c r="D70" s="470"/>
      <c r="E70" s="467">
        <f>Kostenplan!D74</f>
        <v>0</v>
      </c>
      <c r="F70" s="458"/>
      <c r="G70" s="442">
        <f t="shared" si="26"/>
        <v>0</v>
      </c>
      <c r="H70" s="471">
        <f t="shared" si="27"/>
        <v>0</v>
      </c>
      <c r="I70" s="471">
        <f t="shared" si="28"/>
        <v>0</v>
      </c>
      <c r="J70" s="461">
        <f t="shared" si="31"/>
        <v>0</v>
      </c>
      <c r="K70" s="461">
        <f t="shared" si="29"/>
        <v>0</v>
      </c>
      <c r="L70" s="461">
        <f t="shared" si="30"/>
        <v>0</v>
      </c>
    </row>
    <row r="71" spans="1:12" x14ac:dyDescent="0.25">
      <c r="A71" s="438" t="str">
        <f>Kostenplan!A75</f>
        <v>3.4.4</v>
      </c>
      <c r="B71" s="447" t="str">
        <f>Kostenplan!B75</f>
        <v>Energie</v>
      </c>
      <c r="C71" s="383">
        <f>Kostenplan!C75</f>
        <v>0</v>
      </c>
      <c r="D71" s="470"/>
      <c r="E71" s="467">
        <f>Kostenplan!D75</f>
        <v>0</v>
      </c>
      <c r="F71" s="458"/>
      <c r="G71" s="442">
        <f t="shared" si="26"/>
        <v>0</v>
      </c>
      <c r="H71" s="471">
        <f t="shared" si="27"/>
        <v>0</v>
      </c>
      <c r="I71" s="471">
        <f t="shared" si="28"/>
        <v>0</v>
      </c>
      <c r="J71" s="461">
        <f t="shared" si="31"/>
        <v>0</v>
      </c>
      <c r="K71" s="461">
        <f t="shared" si="29"/>
        <v>0</v>
      </c>
      <c r="L71" s="461">
        <f t="shared" si="30"/>
        <v>0</v>
      </c>
    </row>
    <row r="72" spans="1:12" x14ac:dyDescent="0.25">
      <c r="A72" s="438" t="str">
        <f>Kostenplan!A76</f>
        <v>3.4.5</v>
      </c>
      <c r="B72" s="447" t="str">
        <f>Kostenplan!B76</f>
        <v>Abfallentsorgung</v>
      </c>
      <c r="C72" s="383">
        <f>Kostenplan!C76</f>
        <v>0</v>
      </c>
      <c r="D72" s="470"/>
      <c r="E72" s="467">
        <f>Kostenplan!D76</f>
        <v>0</v>
      </c>
      <c r="F72" s="458"/>
      <c r="G72" s="442">
        <f t="shared" si="26"/>
        <v>0</v>
      </c>
      <c r="H72" s="471">
        <f t="shared" si="27"/>
        <v>0</v>
      </c>
      <c r="I72" s="471">
        <f t="shared" si="28"/>
        <v>0</v>
      </c>
      <c r="J72" s="461">
        <f t="shared" si="31"/>
        <v>0</v>
      </c>
      <c r="K72" s="461">
        <f t="shared" si="29"/>
        <v>0</v>
      </c>
      <c r="L72" s="461">
        <f t="shared" si="30"/>
        <v>0</v>
      </c>
    </row>
    <row r="73" spans="1:12" x14ac:dyDescent="0.25">
      <c r="A73" s="438" t="str">
        <f>Kostenplan!A77</f>
        <v>3.4.6</v>
      </c>
      <c r="B73" s="447" t="str">
        <f>Kostenplan!B77</f>
        <v>Straßenreinigung und Winterdienst</v>
      </c>
      <c r="C73" s="383">
        <f>Kostenplan!C77</f>
        <v>0</v>
      </c>
      <c r="D73" s="470"/>
      <c r="E73" s="467">
        <f>Kostenplan!D77</f>
        <v>0</v>
      </c>
      <c r="F73" s="458"/>
      <c r="G73" s="442">
        <f t="shared" si="26"/>
        <v>0</v>
      </c>
      <c r="H73" s="471">
        <f t="shared" si="27"/>
        <v>0</v>
      </c>
      <c r="I73" s="471">
        <f t="shared" si="28"/>
        <v>0</v>
      </c>
      <c r="J73" s="461">
        <f t="shared" si="31"/>
        <v>0</v>
      </c>
      <c r="K73" s="461">
        <f t="shared" si="29"/>
        <v>0</v>
      </c>
      <c r="L73" s="461">
        <f t="shared" si="30"/>
        <v>0</v>
      </c>
    </row>
    <row r="74" spans="1:12" x14ac:dyDescent="0.25">
      <c r="A74" s="438" t="str">
        <f>Kostenplan!A78</f>
        <v>3.4.7</v>
      </c>
      <c r="B74" s="447" t="str">
        <f>Kostenplan!B78</f>
        <v>Schornsteinfeger</v>
      </c>
      <c r="C74" s="383">
        <f>Kostenplan!C78</f>
        <v>0</v>
      </c>
      <c r="D74" s="470"/>
      <c r="E74" s="467">
        <f>Kostenplan!D78</f>
        <v>0</v>
      </c>
      <c r="F74" s="458"/>
      <c r="G74" s="442">
        <f t="shared" si="26"/>
        <v>0</v>
      </c>
      <c r="H74" s="471">
        <f t="shared" si="27"/>
        <v>0</v>
      </c>
      <c r="I74" s="471">
        <f t="shared" si="28"/>
        <v>0</v>
      </c>
      <c r="J74" s="461">
        <f t="shared" si="31"/>
        <v>0</v>
      </c>
      <c r="K74" s="461">
        <f t="shared" si="29"/>
        <v>0</v>
      </c>
      <c r="L74" s="461">
        <f t="shared" si="30"/>
        <v>0</v>
      </c>
    </row>
    <row r="75" spans="1:12" x14ac:dyDescent="0.25">
      <c r="A75" s="438" t="str">
        <f>Kostenplan!A79</f>
        <v>3.4.8</v>
      </c>
      <c r="B75" s="447" t="str">
        <f>Kostenplan!B79</f>
        <v xml:space="preserve">Wartungen </v>
      </c>
      <c r="C75" s="383">
        <f>Kostenplan!C79</f>
        <v>0</v>
      </c>
      <c r="D75" s="470"/>
      <c r="E75" s="467">
        <f>Kostenplan!D79</f>
        <v>0</v>
      </c>
      <c r="F75" s="458"/>
      <c r="G75" s="442">
        <f t="shared" si="26"/>
        <v>0</v>
      </c>
      <c r="H75" s="471">
        <f t="shared" si="27"/>
        <v>0</v>
      </c>
      <c r="I75" s="471">
        <f t="shared" si="28"/>
        <v>0</v>
      </c>
      <c r="J75" s="461">
        <f t="shared" si="31"/>
        <v>0</v>
      </c>
      <c r="K75" s="461">
        <f t="shared" si="29"/>
        <v>0</v>
      </c>
      <c r="L75" s="461">
        <f t="shared" si="30"/>
        <v>0</v>
      </c>
    </row>
    <row r="76" spans="1:12" x14ac:dyDescent="0.25">
      <c r="A76" s="438" t="str">
        <f>Kostenplan!A80</f>
        <v>3.4.9</v>
      </c>
      <c r="B76" s="447" t="str">
        <f>Kostenplan!B80</f>
        <v>Versicherung</v>
      </c>
      <c r="C76" s="383">
        <f>Kostenplan!C80</f>
        <v>0</v>
      </c>
      <c r="D76" s="470"/>
      <c r="E76" s="467">
        <f>Kostenplan!D80</f>
        <v>0</v>
      </c>
      <c r="F76" s="458"/>
      <c r="G76" s="442">
        <f t="shared" si="26"/>
        <v>0</v>
      </c>
      <c r="H76" s="471">
        <f t="shared" si="27"/>
        <v>0</v>
      </c>
      <c r="I76" s="471">
        <f t="shared" si="28"/>
        <v>0</v>
      </c>
      <c r="J76" s="461">
        <f t="shared" si="31"/>
        <v>0</v>
      </c>
      <c r="K76" s="461">
        <f t="shared" si="29"/>
        <v>0</v>
      </c>
      <c r="L76" s="461">
        <f t="shared" si="30"/>
        <v>0</v>
      </c>
    </row>
    <row r="77" spans="1:12" x14ac:dyDescent="0.25">
      <c r="A77" s="438" t="str">
        <f>Kostenplan!A81</f>
        <v>3.4.10</v>
      </c>
      <c r="B77" s="447" t="str">
        <f>Kostenplan!B81</f>
        <v>Rundfunkgebühren</v>
      </c>
      <c r="C77" s="383">
        <f>Kostenplan!C81</f>
        <v>0</v>
      </c>
      <c r="D77" s="470"/>
      <c r="E77" s="467">
        <f>Kostenplan!D81</f>
        <v>0</v>
      </c>
      <c r="F77" s="458"/>
      <c r="G77" s="442">
        <f t="shared" si="26"/>
        <v>0</v>
      </c>
      <c r="H77" s="471">
        <f t="shared" si="27"/>
        <v>0</v>
      </c>
      <c r="I77" s="471">
        <f t="shared" si="28"/>
        <v>0</v>
      </c>
      <c r="J77" s="461">
        <f t="shared" si="31"/>
        <v>0</v>
      </c>
      <c r="K77" s="461">
        <f t="shared" si="29"/>
        <v>0</v>
      </c>
      <c r="L77" s="461">
        <f t="shared" si="30"/>
        <v>0</v>
      </c>
    </row>
    <row r="78" spans="1:12" x14ac:dyDescent="0.25">
      <c r="A78" s="438" t="str">
        <f>Kostenplan!A82</f>
        <v>3.4.11</v>
      </c>
      <c r="B78" s="447" t="str">
        <f>Kostenplan!B82</f>
        <v>Kosten kommunaler Gutachten</v>
      </c>
      <c r="C78" s="383">
        <f>Kostenplan!C82</f>
        <v>0</v>
      </c>
      <c r="D78" s="470"/>
      <c r="E78" s="467">
        <f>Kostenplan!D82</f>
        <v>0</v>
      </c>
      <c r="F78" s="458"/>
      <c r="G78" s="442">
        <f t="shared" si="26"/>
        <v>0</v>
      </c>
      <c r="H78" s="471">
        <f t="shared" si="27"/>
        <v>0</v>
      </c>
      <c r="I78" s="471">
        <f t="shared" si="28"/>
        <v>0</v>
      </c>
      <c r="J78" s="461">
        <f t="shared" si="31"/>
        <v>0</v>
      </c>
      <c r="K78" s="461">
        <f t="shared" si="29"/>
        <v>0</v>
      </c>
      <c r="L78" s="461">
        <f t="shared" si="30"/>
        <v>0</v>
      </c>
    </row>
    <row r="79" spans="1:12" x14ac:dyDescent="0.25">
      <c r="A79" s="438" t="str">
        <f>Kostenplan!A83</f>
        <v>3.4.12</v>
      </c>
      <c r="B79" s="447" t="str">
        <f>Kostenplan!B83</f>
        <v>Sicherheitsdienstleistungen</v>
      </c>
      <c r="C79" s="383">
        <f>Kostenplan!C83</f>
        <v>0</v>
      </c>
      <c r="D79" s="470"/>
      <c r="E79" s="467">
        <f>Kostenplan!D83</f>
        <v>0</v>
      </c>
      <c r="F79" s="458"/>
      <c r="G79" s="442">
        <f t="shared" si="26"/>
        <v>0</v>
      </c>
      <c r="H79" s="471">
        <f t="shared" si="27"/>
        <v>0</v>
      </c>
      <c r="I79" s="471">
        <f t="shared" si="28"/>
        <v>0</v>
      </c>
      <c r="J79" s="461">
        <f t="shared" si="31"/>
        <v>0</v>
      </c>
      <c r="K79" s="461">
        <f t="shared" si="29"/>
        <v>0</v>
      </c>
      <c r="L79" s="461">
        <f t="shared" si="30"/>
        <v>0</v>
      </c>
    </row>
    <row r="80" spans="1:12" x14ac:dyDescent="0.25">
      <c r="A80" s="438" t="str">
        <f>Kostenplan!A84</f>
        <v>3.4.13</v>
      </c>
      <c r="B80" s="447" t="str">
        <f>Kostenplan!B84</f>
        <v>abzgl. Sonderleistungen (z.B. Kneipp, o.ä.)</v>
      </c>
      <c r="C80" s="383">
        <f>Kostenplan!C84</f>
        <v>0</v>
      </c>
      <c r="D80" s="470"/>
      <c r="E80" s="467">
        <f>Kostenplan!D84</f>
        <v>0</v>
      </c>
      <c r="F80" s="458"/>
      <c r="G80" s="442">
        <f t="shared" si="26"/>
        <v>0</v>
      </c>
      <c r="H80" s="471">
        <f t="shared" si="27"/>
        <v>0</v>
      </c>
      <c r="I80" s="471">
        <f t="shared" si="28"/>
        <v>0</v>
      </c>
      <c r="J80" s="461">
        <f t="shared" si="31"/>
        <v>0</v>
      </c>
      <c r="K80" s="461">
        <f t="shared" si="29"/>
        <v>0</v>
      </c>
      <c r="L80" s="461">
        <f t="shared" si="30"/>
        <v>0</v>
      </c>
    </row>
    <row r="81" spans="1:12" s="376" customFormat="1" ht="15" x14ac:dyDescent="0.25">
      <c r="A81" s="413"/>
      <c r="B81" s="386" t="s">
        <v>2</v>
      </c>
      <c r="C81" s="453">
        <f>SUM(C68:C79)-C80</f>
        <v>0</v>
      </c>
      <c r="D81" s="450"/>
      <c r="E81" s="387">
        <f>SUM(E68:E79)-E80</f>
        <v>0</v>
      </c>
      <c r="F81" s="450"/>
      <c r="G81" s="451">
        <f>E81-C81</f>
        <v>0</v>
      </c>
      <c r="H81" s="452">
        <f>IF(C81=0,0,E81*100/C81)</f>
        <v>0</v>
      </c>
      <c r="I81" s="452">
        <f>IF(H81=0,0,H81-100)</f>
        <v>0</v>
      </c>
      <c r="J81" s="463">
        <f>SUM(J68:J79)-J80</f>
        <v>0</v>
      </c>
      <c r="K81" s="463">
        <f>SUM(K68:K79)-K80</f>
        <v>0</v>
      </c>
      <c r="L81" s="463">
        <f>SUM(L68:L79)-L80</f>
        <v>0</v>
      </c>
    </row>
    <row r="82" spans="1:12" x14ac:dyDescent="0.25">
      <c r="J82" s="473"/>
    </row>
    <row r="83" spans="1:12" x14ac:dyDescent="0.25">
      <c r="A83" s="435" t="str">
        <f>Kostenplan!A87</f>
        <v>3.5</v>
      </c>
      <c r="B83" s="488" t="str">
        <f>Kostenplan!B87</f>
        <v>Instandhaltung</v>
      </c>
      <c r="C83" s="456"/>
      <c r="D83" s="474"/>
      <c r="E83" s="456"/>
      <c r="F83" s="390"/>
      <c r="G83" s="390"/>
      <c r="H83" s="390"/>
      <c r="I83" s="390"/>
      <c r="J83" s="390"/>
      <c r="K83" s="390"/>
      <c r="L83" s="390"/>
    </row>
    <row r="84" spans="1:12" x14ac:dyDescent="0.25">
      <c r="A84" s="438" t="str">
        <f>Kostenplan!A88</f>
        <v>3.5.1</v>
      </c>
      <c r="B84" s="447" t="str">
        <f>Kostenplan!B88</f>
        <v>Instandhaltungskosten</v>
      </c>
      <c r="C84" s="383">
        <f>Kostenplan!C88</f>
        <v>0</v>
      </c>
      <c r="D84" s="458"/>
      <c r="E84" s="467">
        <f>Kostenplan!D88</f>
        <v>0</v>
      </c>
      <c r="F84" s="458"/>
      <c r="G84" s="475">
        <f>E84-C84</f>
        <v>0</v>
      </c>
      <c r="H84" s="476">
        <f>IF(C84=0,0,E84*100/C84)</f>
        <v>0</v>
      </c>
      <c r="I84" s="476">
        <f>IF(H84=0,0,H84-100)</f>
        <v>0</v>
      </c>
      <c r="J84" s="461">
        <f t="shared" ref="J84:J86" si="32">IF($K$1="",0,E84/$L$2)</f>
        <v>0</v>
      </c>
      <c r="K84" s="461">
        <f t="shared" ref="K84:K86" si="33">IF($K$2="",0,E84/$L$2)</f>
        <v>0</v>
      </c>
      <c r="L84" s="461">
        <f t="shared" ref="L84:L86" si="34">IF($K$3="",0,E84/$L$2)</f>
        <v>0</v>
      </c>
    </row>
    <row r="85" spans="1:12" x14ac:dyDescent="0.25">
      <c r="A85" s="438" t="str">
        <f>Kostenplan!A89</f>
        <v>3.5.2</v>
      </c>
      <c r="B85" s="447" t="str">
        <f>Kostenplan!B89</f>
        <v>Neu-/Ersatzbeschaffungen (unter 1.000 € netto)</v>
      </c>
      <c r="C85" s="383">
        <f>Kostenplan!C89</f>
        <v>0</v>
      </c>
      <c r="D85" s="458"/>
      <c r="E85" s="467">
        <f>Kostenplan!D89</f>
        <v>0</v>
      </c>
      <c r="F85" s="458"/>
      <c r="G85" s="475">
        <f t="shared" ref="G85:G86" si="35">E85-C85</f>
        <v>0</v>
      </c>
      <c r="H85" s="476">
        <f t="shared" ref="H85:H86" si="36">IF(C85=0,0,E85*100/C85)</f>
        <v>0</v>
      </c>
      <c r="I85" s="476">
        <f t="shared" ref="I85:I86" si="37">IF(H85=0,0,H85-100)</f>
        <v>0</v>
      </c>
      <c r="J85" s="461">
        <f t="shared" si="32"/>
        <v>0</v>
      </c>
      <c r="K85" s="461">
        <f t="shared" si="33"/>
        <v>0</v>
      </c>
      <c r="L85" s="461">
        <f t="shared" si="34"/>
        <v>0</v>
      </c>
    </row>
    <row r="86" spans="1:12" x14ac:dyDescent="0.25">
      <c r="A86" s="438" t="str">
        <f>Kostenplan!A90</f>
        <v>3.5.3</v>
      </c>
      <c r="B86" s="447" t="str">
        <f>Kostenplan!B90</f>
        <v>Ausstattung und Pflege Grünanlagen</v>
      </c>
      <c r="C86" s="383">
        <f>Kostenplan!C90</f>
        <v>0</v>
      </c>
      <c r="D86" s="458"/>
      <c r="E86" s="467">
        <f>Kostenplan!D90</f>
        <v>0</v>
      </c>
      <c r="F86" s="458"/>
      <c r="G86" s="475">
        <f t="shared" si="35"/>
        <v>0</v>
      </c>
      <c r="H86" s="476">
        <f t="shared" si="36"/>
        <v>0</v>
      </c>
      <c r="I86" s="476">
        <f t="shared" si="37"/>
        <v>0</v>
      </c>
      <c r="J86" s="461">
        <f t="shared" si="32"/>
        <v>0</v>
      </c>
      <c r="K86" s="461">
        <f t="shared" si="33"/>
        <v>0</v>
      </c>
      <c r="L86" s="461">
        <f t="shared" si="34"/>
        <v>0</v>
      </c>
    </row>
    <row r="87" spans="1:12" s="376" customFormat="1" ht="15" x14ac:dyDescent="0.25">
      <c r="A87" s="413"/>
      <c r="B87" s="386" t="s">
        <v>2</v>
      </c>
      <c r="C87" s="453">
        <f>SUM(C84:C86)</f>
        <v>0</v>
      </c>
      <c r="D87" s="450"/>
      <c r="E87" s="387">
        <f>SUM(E84:E86)</f>
        <v>0</v>
      </c>
      <c r="F87" s="450"/>
      <c r="G87" s="451">
        <f>E87-C87</f>
        <v>0</v>
      </c>
      <c r="H87" s="452">
        <f>IF(C87=0,0,E87*100/C87)</f>
        <v>0</v>
      </c>
      <c r="I87" s="452">
        <f>IF(H87=0,0,H87-100)</f>
        <v>0</v>
      </c>
      <c r="J87" s="463">
        <f>SUM(J84:J86)</f>
        <v>0</v>
      </c>
      <c r="K87" s="463">
        <f t="shared" ref="K87:L87" si="38">SUM(K84:K86)</f>
        <v>0</v>
      </c>
      <c r="L87" s="463">
        <f t="shared" si="38"/>
        <v>0</v>
      </c>
    </row>
    <row r="88" spans="1:12" x14ac:dyDescent="0.25">
      <c r="J88" s="473"/>
    </row>
    <row r="89" spans="1:12" x14ac:dyDescent="0.25">
      <c r="A89" s="435" t="str">
        <f>Kostenplan!A93</f>
        <v>3.6</v>
      </c>
      <c r="B89" s="488" t="str">
        <f>Kostenplan!B93</f>
        <v>Miete, Pacht, Erbbauzins</v>
      </c>
      <c r="C89" s="456"/>
      <c r="D89" s="477"/>
      <c r="E89" s="478"/>
      <c r="F89" s="477"/>
      <c r="G89" s="477"/>
      <c r="H89" s="477"/>
      <c r="I89" s="477"/>
      <c r="J89" s="390"/>
      <c r="K89" s="390"/>
      <c r="L89" s="390"/>
    </row>
    <row r="90" spans="1:12" x14ac:dyDescent="0.25">
      <c r="A90" s="438" t="str">
        <f>Kostenplan!A94</f>
        <v>3.6.1</v>
      </c>
      <c r="B90" s="447" t="str">
        <f>Kostenplan!B94</f>
        <v>Kaltmiete</v>
      </c>
      <c r="C90" s="383">
        <f>Kostenplan!C94</f>
        <v>0</v>
      </c>
      <c r="D90" s="458"/>
      <c r="E90" s="467">
        <f>Kostenplan!D94</f>
        <v>0</v>
      </c>
      <c r="F90" s="458"/>
      <c r="G90" s="475">
        <f>E90-C90</f>
        <v>0</v>
      </c>
      <c r="H90" s="476">
        <f>IF(C90=0,0,E90*100/C90)</f>
        <v>0</v>
      </c>
      <c r="I90" s="476">
        <f>IF(H90=0,0,H90-100)</f>
        <v>0</v>
      </c>
      <c r="J90" s="461">
        <f t="shared" ref="J90:J96" si="39">IF($K$1="",0,E90/$L$2)</f>
        <v>0</v>
      </c>
      <c r="K90" s="461">
        <f t="shared" ref="K90:K96" si="40">IF($K$2="",0,E90/$L$2)</f>
        <v>0</v>
      </c>
      <c r="L90" s="461">
        <f t="shared" ref="L90:L96" si="41">IF($K$3="",0,E90/$L$2)</f>
        <v>0</v>
      </c>
    </row>
    <row r="91" spans="1:12" x14ac:dyDescent="0.25">
      <c r="A91" s="438" t="str">
        <f>Kostenplan!A95</f>
        <v>3.6.2</v>
      </c>
      <c r="B91" s="447" t="str">
        <f>Kostenplan!B95</f>
        <v>Kaltmiete - sonstige Gebäude</v>
      </c>
      <c r="C91" s="383">
        <f>Kostenplan!C95</f>
        <v>0</v>
      </c>
      <c r="D91" s="458"/>
      <c r="E91" s="467">
        <f>Kostenplan!D95</f>
        <v>0</v>
      </c>
      <c r="F91" s="458"/>
      <c r="G91" s="475">
        <f>E91-C91</f>
        <v>0</v>
      </c>
      <c r="H91" s="476">
        <f>IF(C91=0,0,E91*100/C91)</f>
        <v>0</v>
      </c>
      <c r="I91" s="476">
        <f>IF(H91=0,0,H91-100)</f>
        <v>0</v>
      </c>
      <c r="J91" s="461">
        <f t="shared" si="39"/>
        <v>0</v>
      </c>
      <c r="K91" s="461">
        <f t="shared" si="40"/>
        <v>0</v>
      </c>
      <c r="L91" s="461">
        <f t="shared" si="41"/>
        <v>0</v>
      </c>
    </row>
    <row r="92" spans="1:12" x14ac:dyDescent="0.25">
      <c r="A92" s="438" t="str">
        <f>Kostenplan!A96</f>
        <v>3.6.3</v>
      </c>
      <c r="B92" s="447" t="str">
        <f>Kostenplan!B96</f>
        <v>Pacht</v>
      </c>
      <c r="C92" s="383">
        <f>Kostenplan!C96</f>
        <v>0</v>
      </c>
      <c r="D92" s="458"/>
      <c r="E92" s="467">
        <f>Kostenplan!D96</f>
        <v>0</v>
      </c>
      <c r="F92" s="458"/>
      <c r="G92" s="475">
        <f>E92-C92</f>
        <v>0</v>
      </c>
      <c r="H92" s="476">
        <f>IF(C92=0,0,E92*100/C92)</f>
        <v>0</v>
      </c>
      <c r="I92" s="476">
        <f>IF(H92=0,0,H92-100)</f>
        <v>0</v>
      </c>
      <c r="J92" s="461">
        <f t="shared" si="39"/>
        <v>0</v>
      </c>
      <c r="K92" s="461">
        <f t="shared" si="40"/>
        <v>0</v>
      </c>
      <c r="L92" s="461">
        <f t="shared" si="41"/>
        <v>0</v>
      </c>
    </row>
    <row r="93" spans="1:12" x14ac:dyDescent="0.25">
      <c r="A93" s="438" t="str">
        <f>Kostenplan!A97</f>
        <v>3.6.4</v>
      </c>
      <c r="B93" s="447" t="str">
        <f>Kostenplan!B97</f>
        <v>Erbbauzins</v>
      </c>
      <c r="C93" s="383">
        <f>Kostenplan!C97</f>
        <v>0</v>
      </c>
      <c r="D93" s="458"/>
      <c r="E93" s="467">
        <f>Kostenplan!D97</f>
        <v>0</v>
      </c>
      <c r="F93" s="458"/>
      <c r="G93" s="475">
        <f>E93-C93</f>
        <v>0</v>
      </c>
      <c r="H93" s="476">
        <f>IF(C93=0,0,E93*100/C93)</f>
        <v>0</v>
      </c>
      <c r="I93" s="476">
        <f>IF(H93=0,0,H93-100)</f>
        <v>0</v>
      </c>
      <c r="J93" s="461">
        <f t="shared" si="39"/>
        <v>0</v>
      </c>
      <c r="K93" s="461">
        <f t="shared" si="40"/>
        <v>0</v>
      </c>
      <c r="L93" s="461">
        <f t="shared" si="41"/>
        <v>0</v>
      </c>
    </row>
    <row r="94" spans="1:12" x14ac:dyDescent="0.25">
      <c r="A94" s="438" t="str">
        <f>Kostenplan!A98</f>
        <v>3.6.5</v>
      </c>
      <c r="B94" s="447" t="str">
        <f>Kostenplan!B98</f>
        <v>kalkulatorische Miete</v>
      </c>
      <c r="C94" s="383">
        <f>Kostenplan!C98</f>
        <v>0</v>
      </c>
      <c r="D94" s="458"/>
      <c r="E94" s="467">
        <f>Kostenplan!D98</f>
        <v>0</v>
      </c>
      <c r="F94" s="458"/>
      <c r="G94" s="475">
        <f t="shared" ref="G94:G96" si="42">E94-C94</f>
        <v>0</v>
      </c>
      <c r="H94" s="476">
        <f t="shared" ref="H94:H96" si="43">IF(C94=0,0,E94*100/C94)</f>
        <v>0</v>
      </c>
      <c r="I94" s="476">
        <f t="shared" ref="I94:I96" si="44">IF(H94=0,0,H94-100)</f>
        <v>0</v>
      </c>
      <c r="J94" s="461">
        <f t="shared" si="39"/>
        <v>0</v>
      </c>
      <c r="K94" s="461">
        <f t="shared" si="40"/>
        <v>0</v>
      </c>
      <c r="L94" s="461">
        <f t="shared" si="41"/>
        <v>0</v>
      </c>
    </row>
    <row r="95" spans="1:12" x14ac:dyDescent="0.25">
      <c r="A95" s="438" t="str">
        <f>Kostenplan!A99</f>
        <v>3.6.6</v>
      </c>
      <c r="B95" s="447" t="str">
        <f>Kostenplan!B99</f>
        <v>Abschreibung auf Gebäude</v>
      </c>
      <c r="C95" s="383">
        <f>Kostenplan!C99</f>
        <v>0</v>
      </c>
      <c r="D95" s="458"/>
      <c r="E95" s="467">
        <f>Kostenplan!D99</f>
        <v>0</v>
      </c>
      <c r="F95" s="458"/>
      <c r="G95" s="475">
        <f t="shared" si="42"/>
        <v>0</v>
      </c>
      <c r="H95" s="476">
        <f t="shared" si="43"/>
        <v>0</v>
      </c>
      <c r="I95" s="476">
        <f t="shared" si="44"/>
        <v>0</v>
      </c>
      <c r="J95" s="461">
        <f>IF($K$1="",0,E95/$L$2)</f>
        <v>0</v>
      </c>
      <c r="K95" s="461">
        <f t="shared" si="40"/>
        <v>0</v>
      </c>
      <c r="L95" s="461">
        <f t="shared" si="41"/>
        <v>0</v>
      </c>
    </row>
    <row r="96" spans="1:12" x14ac:dyDescent="0.25">
      <c r="A96" s="438" t="str">
        <f>Kostenplan!A100</f>
        <v>3.6.7</v>
      </c>
      <c r="B96" s="447" t="str">
        <f>Kostenplan!B100</f>
        <v>Darlehen und Darlehenszinsen</v>
      </c>
      <c r="C96" s="383">
        <f>Kostenplan!C100</f>
        <v>0</v>
      </c>
      <c r="D96" s="458"/>
      <c r="E96" s="467">
        <f>Kostenplan!D100</f>
        <v>0</v>
      </c>
      <c r="F96" s="458"/>
      <c r="G96" s="475">
        <f t="shared" si="42"/>
        <v>0</v>
      </c>
      <c r="H96" s="476">
        <f t="shared" si="43"/>
        <v>0</v>
      </c>
      <c r="I96" s="476">
        <f t="shared" si="44"/>
        <v>0</v>
      </c>
      <c r="J96" s="461">
        <f t="shared" si="39"/>
        <v>0</v>
      </c>
      <c r="K96" s="461">
        <f t="shared" si="40"/>
        <v>0</v>
      </c>
      <c r="L96" s="461">
        <f t="shared" si="41"/>
        <v>0</v>
      </c>
    </row>
    <row r="97" spans="1:12" s="376" customFormat="1" ht="15" x14ac:dyDescent="0.25">
      <c r="A97" s="413"/>
      <c r="B97" s="386" t="s">
        <v>2</v>
      </c>
      <c r="C97" s="453">
        <f>SUM(C90:C96)</f>
        <v>0</v>
      </c>
      <c r="D97" s="450"/>
      <c r="E97" s="387">
        <f>SUM(E90:E96)</f>
        <v>0</v>
      </c>
      <c r="F97" s="450"/>
      <c r="G97" s="451">
        <f>SUM(G90:G96)</f>
        <v>0</v>
      </c>
      <c r="H97" s="452">
        <f>IF(C97=0,0,E97*100/C97)</f>
        <v>0</v>
      </c>
      <c r="I97" s="452">
        <f>IF(H97=0,0,H97-100)</f>
        <v>0</v>
      </c>
      <c r="J97" s="463">
        <f>SUM(J90:J96)</f>
        <v>0</v>
      </c>
      <c r="K97" s="463">
        <f>SUM(K90:K96)</f>
        <v>0</v>
      </c>
      <c r="L97" s="463">
        <f>SUM(L90:L96)</f>
        <v>0</v>
      </c>
    </row>
    <row r="98" spans="1:12" x14ac:dyDescent="0.25">
      <c r="A98" s="479"/>
      <c r="B98" s="480"/>
      <c r="C98" s="481"/>
      <c r="D98" s="482"/>
      <c r="E98" s="481"/>
      <c r="F98" s="482"/>
      <c r="G98" s="482"/>
      <c r="H98" s="482"/>
      <c r="I98" s="482"/>
    </row>
    <row r="99" spans="1:12" s="376" customFormat="1" x14ac:dyDescent="0.25">
      <c r="A99" s="402"/>
      <c r="B99" s="388" t="s">
        <v>434</v>
      </c>
      <c r="C99" s="389">
        <f>SUM(C44+C55+C65+C81+C87+C97)</f>
        <v>0</v>
      </c>
      <c r="D99" s="454"/>
      <c r="E99" s="389">
        <f>SUM(E44+E55+E65+E81+E87+E97)</f>
        <v>0</v>
      </c>
      <c r="F99" s="454"/>
      <c r="G99" s="389">
        <f>E99-C99</f>
        <v>0</v>
      </c>
      <c r="H99" s="455">
        <f>IF(C99=0,0,E99*100/C99)</f>
        <v>0</v>
      </c>
      <c r="I99" s="455">
        <f>IF(H99=0,0,H99-100)</f>
        <v>0</v>
      </c>
      <c r="J99" s="389">
        <f>J87+J81+J55+J65+J44+J97</f>
        <v>0</v>
      </c>
      <c r="K99" s="389">
        <f>K87+K81+K55+K65+K44+K97</f>
        <v>0</v>
      </c>
      <c r="L99" s="389">
        <f>L87+L81+L55+L65+L44+L97</f>
        <v>0</v>
      </c>
    </row>
    <row r="101" spans="1:12" x14ac:dyDescent="0.25">
      <c r="A101" s="435" t="str">
        <f>Kostenplan!A103</f>
        <v>4</v>
      </c>
      <c r="B101" s="488" t="str">
        <f>Kostenplan!B103</f>
        <v>Verwaltungskosten</v>
      </c>
      <c r="C101" s="390"/>
      <c r="D101" s="390"/>
      <c r="E101" s="390"/>
      <c r="F101" s="390"/>
      <c r="G101" s="390"/>
      <c r="H101" s="390"/>
      <c r="I101" s="390"/>
      <c r="J101" s="390"/>
      <c r="K101" s="390"/>
      <c r="L101" s="390"/>
    </row>
    <row r="102" spans="1:12" x14ac:dyDescent="0.25">
      <c r="A102" s="438" t="str">
        <f>Kostenplan!A104</f>
        <v>4.1</v>
      </c>
      <c r="B102" s="447" t="str">
        <f>Kostenplan!B104</f>
        <v>Verwaltungskosten oder</v>
      </c>
      <c r="C102" s="457">
        <f>Kostenplan!$C$104</f>
        <v>0</v>
      </c>
      <c r="D102" s="458"/>
      <c r="E102" s="459">
        <f>Kostenplan!$D$104</f>
        <v>0</v>
      </c>
      <c r="F102" s="458"/>
      <c r="G102" s="467">
        <f>E102-C102</f>
        <v>0</v>
      </c>
      <c r="H102" s="476">
        <f>IF(C102=0,0,E102*100/C102)</f>
        <v>0</v>
      </c>
      <c r="I102" s="476">
        <f>IF(H102=0,0,H102-100)</f>
        <v>0</v>
      </c>
      <c r="J102" s="461">
        <f>IF($K$1="",0,Kostenplan!$H$105)</f>
        <v>0</v>
      </c>
      <c r="K102" s="461">
        <f>IF($K$2="",0,Kostenplan!$I$105)</f>
        <v>0</v>
      </c>
      <c r="L102" s="461">
        <f>IF($K$3="",0,Kostenplan!$J$105)</f>
        <v>0</v>
      </c>
    </row>
    <row r="103" spans="1:12" x14ac:dyDescent="0.25">
      <c r="A103" s="438" t="str">
        <f>Kostenplan!A106</f>
        <v>4.2</v>
      </c>
      <c r="B103" s="447" t="str">
        <f>Kostenplan!B106</f>
        <v>Offenlegung der Verwaltungskosten</v>
      </c>
      <c r="C103" s="457">
        <f>Kostenplan!$C$106</f>
        <v>0</v>
      </c>
      <c r="D103" s="458"/>
      <c r="E103" s="462">
        <f>Kostenplan!D106</f>
        <v>0</v>
      </c>
      <c r="F103" s="458"/>
      <c r="G103" s="467">
        <f>E103-C103</f>
        <v>0</v>
      </c>
      <c r="H103" s="476">
        <f>IF(C103=0,0,E103*100/C103)</f>
        <v>0</v>
      </c>
      <c r="I103" s="476">
        <f>IF(H103=0,0,H103-100)</f>
        <v>0</v>
      </c>
      <c r="J103" s="461">
        <f>IF($E$103=0,0,IF(K1="",0,(($E$103-((IF($K$1="",0,$K$1*$J$102))+(IF($K$2="",0,$K$2*$K$102))+(IF($K$3="",0,$K$3*$L$102))))/$L$2)+J102))</f>
        <v>0</v>
      </c>
      <c r="K103" s="461">
        <f>IF($E$103=0,0,IF(K2="",0,(($E$103-((IF($K$1="",0,$K$1*$J$102))+(IF($K$2="",0,$K$2*$K$102))+(IF($K$3="",0,$K$3*$L$102))))/$L$2)+K102))</f>
        <v>0</v>
      </c>
      <c r="L103" s="461">
        <f>IF($E$103=0,0,IF(K3="",0,(($E$103-((IF($K$1="",0,$K$1*$J$102))+(IF($K$2="",0,$K$2*$K$102))+(IF($K$3="",0,$K$3*$L$102))))/$L$2)+L102))</f>
        <v>0</v>
      </c>
    </row>
    <row r="104" spans="1:12" s="376" customFormat="1" ht="15" x14ac:dyDescent="0.25">
      <c r="A104" s="413"/>
      <c r="B104" s="386" t="s">
        <v>2</v>
      </c>
      <c r="C104" s="387">
        <f>IF(C103&gt;C102,C103,C102)</f>
        <v>0</v>
      </c>
      <c r="D104" s="450"/>
      <c r="E104" s="387">
        <f>IF(E103&gt;E102,E103,E102)</f>
        <v>0</v>
      </c>
      <c r="F104" s="450"/>
      <c r="G104" s="451">
        <f>IF(E103&gt;BV102,G103,G102)</f>
        <v>0</v>
      </c>
      <c r="H104" s="452">
        <f>IF(C104=0,0,E104*100/C104)</f>
        <v>0</v>
      </c>
      <c r="I104" s="452">
        <f>IF(H104=0,0,H104-100)</f>
        <v>0</v>
      </c>
      <c r="J104" s="463">
        <f>IF(E103&gt;E102,J103,J102)</f>
        <v>0</v>
      </c>
      <c r="K104" s="463">
        <f>IF(E103&gt;E102,K103,K102)</f>
        <v>0</v>
      </c>
      <c r="L104" s="464">
        <f>IF(E103&gt;E102,L103,L102)</f>
        <v>0</v>
      </c>
    </row>
    <row r="106" spans="1:12" s="376" customFormat="1" x14ac:dyDescent="0.25">
      <c r="A106" s="402"/>
      <c r="B106" s="388" t="s">
        <v>434</v>
      </c>
      <c r="C106" s="483">
        <f>SUM(C104)</f>
        <v>0</v>
      </c>
      <c r="D106" s="399"/>
      <c r="E106" s="483">
        <f>SUM(E104)</f>
        <v>0</v>
      </c>
      <c r="F106" s="399"/>
      <c r="G106" s="483">
        <f>E106-C106</f>
        <v>0</v>
      </c>
      <c r="H106" s="484">
        <f>IF(C106=0,0,E106*100/C106)</f>
        <v>0</v>
      </c>
      <c r="I106" s="484">
        <f>IF(H106=0,0,H106-100)</f>
        <v>0</v>
      </c>
      <c r="J106" s="483">
        <f>J104</f>
        <v>0</v>
      </c>
      <c r="K106" s="483">
        <f>K104</f>
        <v>0</v>
      </c>
      <c r="L106" s="483">
        <f>L104</f>
        <v>0</v>
      </c>
    </row>
    <row r="108" spans="1:12" x14ac:dyDescent="0.25">
      <c r="A108" s="435" t="str">
        <f>Kostenplan!A109</f>
        <v>5</v>
      </c>
      <c r="B108" s="488" t="str">
        <f>Kostenplan!B109</f>
        <v>Qualitätsentwicklung</v>
      </c>
      <c r="C108" s="457"/>
      <c r="D108" s="466"/>
      <c r="E108" s="457"/>
      <c r="F108" s="466"/>
      <c r="G108" s="466"/>
      <c r="H108" s="466"/>
      <c r="I108" s="466"/>
      <c r="J108" s="466"/>
      <c r="K108" s="466"/>
      <c r="L108" s="466"/>
    </row>
    <row r="109" spans="1:12" x14ac:dyDescent="0.25">
      <c r="A109" s="438" t="str">
        <f>Kostenplan!A110</f>
        <v>5.1</v>
      </c>
      <c r="B109" s="447" t="str">
        <f>Kostenplan!B110</f>
        <v>Qualitätsentwicklungskosten</v>
      </c>
      <c r="C109" s="457">
        <f>Kostenplan!C110</f>
        <v>0</v>
      </c>
      <c r="D109" s="485"/>
      <c r="E109" s="467">
        <f>Kostenplan!D110</f>
        <v>0</v>
      </c>
      <c r="F109" s="485"/>
      <c r="G109" s="467">
        <f>E109-C109</f>
        <v>0</v>
      </c>
      <c r="H109" s="476">
        <f>IF(C109=0,0,E109*100/C109)</f>
        <v>0</v>
      </c>
      <c r="I109" s="476">
        <f>IF(H109=0,0,H109-100)</f>
        <v>0</v>
      </c>
      <c r="J109" s="461">
        <f t="shared" ref="J109" si="45">IF($K$1="",0,E109/$L$2)</f>
        <v>0</v>
      </c>
      <c r="K109" s="461">
        <f t="shared" ref="K109" si="46">IF($K$2="",0,E109/$L$2)</f>
        <v>0</v>
      </c>
      <c r="L109" s="461">
        <f t="shared" ref="L109" si="47">IF($K$3="",0,E109/$L$2)</f>
        <v>0</v>
      </c>
    </row>
    <row r="110" spans="1:12" s="376" customFormat="1" ht="15" x14ac:dyDescent="0.25">
      <c r="A110" s="413"/>
      <c r="B110" s="386" t="s">
        <v>2</v>
      </c>
      <c r="C110" s="387">
        <f>IF(SUM(C109:C109)&gt;3000,3000,SUM(C109:C109))</f>
        <v>0</v>
      </c>
      <c r="D110" s="450"/>
      <c r="E110" s="387">
        <f>IF(SUM(E109:E109)&gt;3000,3000,SUM(E109:E109))</f>
        <v>0</v>
      </c>
      <c r="F110" s="450"/>
      <c r="G110" s="451">
        <f>IF(SUM(G109:G109)&gt;3000,3000,SUM(G109:G109))</f>
        <v>0</v>
      </c>
      <c r="H110" s="452">
        <f>IF(C110=0,0,E110*100/C110)</f>
        <v>0</v>
      </c>
      <c r="I110" s="452">
        <f>IF(H110=0,0,H110-100)</f>
        <v>0</v>
      </c>
      <c r="J110" s="463">
        <f>IF(SUM(J109:J109)=0,0,IF(SUM(J109:J109)&gt;3000/L2,3000/L2,SUM(J109:J109)))</f>
        <v>0</v>
      </c>
      <c r="K110" s="463">
        <f>IF(SUM(K109:K109)=0,0,IF(SUM(K109:K109)&gt;3000/L2,3000/L2,SUM(K109:K109)))</f>
        <v>0</v>
      </c>
      <c r="L110" s="463">
        <f>IF(SUM(L109:L109)=0,0,IF(SUM(L109:L109)&gt;3000/L2,3000/L2,SUM(L109:L109)))</f>
        <v>0</v>
      </c>
    </row>
    <row r="112" spans="1:12" s="376" customFormat="1" x14ac:dyDescent="0.25">
      <c r="A112" s="402"/>
      <c r="B112" s="388" t="s">
        <v>434</v>
      </c>
      <c r="C112" s="389">
        <f>SUM(C110)</f>
        <v>0</v>
      </c>
      <c r="D112" s="454"/>
      <c r="E112" s="389">
        <f>SUM(E110)</f>
        <v>0</v>
      </c>
      <c r="F112" s="454"/>
      <c r="G112" s="389">
        <f>E112-C112</f>
        <v>0</v>
      </c>
      <c r="H112" s="455">
        <f>IF(C112=0,0,E112*100/C112)</f>
        <v>0</v>
      </c>
      <c r="I112" s="455">
        <f>IF(H112=0,0,H112-100)</f>
        <v>0</v>
      </c>
      <c r="J112" s="389">
        <f>J110</f>
        <v>0</v>
      </c>
      <c r="K112" s="389">
        <f>K110</f>
        <v>0</v>
      </c>
      <c r="L112" s="389">
        <f>L110</f>
        <v>0</v>
      </c>
    </row>
    <row r="114" spans="1:12" x14ac:dyDescent="0.25">
      <c r="A114" s="435" t="str">
        <f>Kostenplan!A113</f>
        <v>6</v>
      </c>
      <c r="B114" s="488" t="str">
        <f>Kostenplan!B113</f>
        <v>Weitere Personalkosten</v>
      </c>
      <c r="C114" s="390"/>
      <c r="D114" s="390"/>
      <c r="E114" s="390"/>
      <c r="F114" s="390"/>
      <c r="G114" s="390"/>
      <c r="H114" s="390"/>
      <c r="I114" s="390"/>
      <c r="J114" s="390"/>
      <c r="K114" s="390"/>
      <c r="L114" s="390"/>
    </row>
    <row r="115" spans="1:12" x14ac:dyDescent="0.25">
      <c r="A115" s="438" t="str">
        <f>Kostenplan!A114</f>
        <v>6.1</v>
      </c>
      <c r="B115" s="447" t="str">
        <f>Kostenplan!$B$114</f>
        <v>Brand-, Daten- und Arbeitsschutz, Hygienesicherheit</v>
      </c>
      <c r="C115" s="457">
        <f>Kostenplan!C114</f>
        <v>0</v>
      </c>
      <c r="D115" s="466"/>
      <c r="E115" s="173">
        <f>Kostenplan!D114</f>
        <v>0</v>
      </c>
      <c r="F115" s="485"/>
      <c r="G115" s="467">
        <f>E115-C115</f>
        <v>0</v>
      </c>
      <c r="H115" s="476">
        <f>IF(C115=0,0,E115*100/C115)</f>
        <v>0</v>
      </c>
      <c r="I115" s="476">
        <f>IF(H115=0,0,H115-100)</f>
        <v>0</v>
      </c>
      <c r="J115" s="461">
        <f t="shared" ref="J115:J116" si="48">IF($K$1="",0,E115/$L$2)</f>
        <v>0</v>
      </c>
      <c r="K115" s="461">
        <f t="shared" ref="K115:K117" si="49">IF($K$2="",0,E115/$L$2)</f>
        <v>0</v>
      </c>
      <c r="L115" s="461">
        <f t="shared" ref="L115:L117" si="50">IF($K$3="",0,E115/$L$2)</f>
        <v>0</v>
      </c>
    </row>
    <row r="116" spans="1:12" x14ac:dyDescent="0.25">
      <c r="A116" s="438" t="str">
        <f>Kostenplan!A115</f>
        <v>6.2</v>
      </c>
      <c r="B116" s="447" t="str">
        <f>Kostenplan!B115</f>
        <v>Praktikanten, BFD, FSJ</v>
      </c>
      <c r="C116" s="457">
        <f>Kostenplan!C115</f>
        <v>0</v>
      </c>
      <c r="D116" s="466"/>
      <c r="E116" s="173">
        <f>Kostenplan!D115</f>
        <v>0</v>
      </c>
      <c r="F116" s="485"/>
      <c r="G116" s="467">
        <f>E116-C116</f>
        <v>0</v>
      </c>
      <c r="H116" s="476">
        <f>IF(C116=0,0,E116*100/C116)</f>
        <v>0</v>
      </c>
      <c r="I116" s="476">
        <f>IF(H116=0,0,H116-100)</f>
        <v>0</v>
      </c>
      <c r="J116" s="461">
        <f t="shared" si="48"/>
        <v>0</v>
      </c>
      <c r="K116" s="461">
        <f t="shared" si="49"/>
        <v>0</v>
      </c>
      <c r="L116" s="461">
        <f t="shared" si="50"/>
        <v>0</v>
      </c>
    </row>
    <row r="117" spans="1:12" x14ac:dyDescent="0.25">
      <c r="A117" s="438" t="str">
        <f>Kostenplan!A116</f>
        <v>6.3</v>
      </c>
      <c r="B117" s="447" t="str">
        <f>Kostenplan!B116</f>
        <v>Altersteilzeit (Passivphase)</v>
      </c>
      <c r="C117" s="457">
        <f>Kostenplan!C116</f>
        <v>0</v>
      </c>
      <c r="D117" s="466"/>
      <c r="E117" s="173">
        <f>Kostenplan!D116</f>
        <v>0</v>
      </c>
      <c r="F117" s="485"/>
      <c r="G117" s="467">
        <f>E117-C117</f>
        <v>0</v>
      </c>
      <c r="H117" s="476">
        <f>IF(C117=0,0,E117*100/C117)</f>
        <v>0</v>
      </c>
      <c r="I117" s="476">
        <f>IF(H117=0,0,H117-100)</f>
        <v>0</v>
      </c>
      <c r="J117" s="461">
        <f>IF($K$1="",0,E117/$L$2)</f>
        <v>0</v>
      </c>
      <c r="K117" s="461">
        <f t="shared" si="49"/>
        <v>0</v>
      </c>
      <c r="L117" s="461">
        <f t="shared" si="50"/>
        <v>0</v>
      </c>
    </row>
    <row r="118" spans="1:12" s="376" customFormat="1" ht="15" x14ac:dyDescent="0.25">
      <c r="A118" s="413"/>
      <c r="B118" s="386" t="s">
        <v>2</v>
      </c>
      <c r="C118" s="453">
        <f>SUM(C115:C117)</f>
        <v>0</v>
      </c>
      <c r="D118" s="450"/>
      <c r="E118" s="387">
        <f>SUM(E115:E117)</f>
        <v>0</v>
      </c>
      <c r="F118" s="450"/>
      <c r="G118" s="451">
        <f>E118-C118</f>
        <v>0</v>
      </c>
      <c r="H118" s="452">
        <f>IF(C118=0,0,E118*100/C118)</f>
        <v>0</v>
      </c>
      <c r="I118" s="452">
        <f>IF(H118=0,0,H118-100)</f>
        <v>0</v>
      </c>
      <c r="J118" s="463">
        <f>SUM(J115:J117)</f>
        <v>0</v>
      </c>
      <c r="K118" s="463">
        <f t="shared" ref="K118:L118" si="51">SUM(K115:K117)</f>
        <v>0</v>
      </c>
      <c r="L118" s="463">
        <f t="shared" si="51"/>
        <v>0</v>
      </c>
    </row>
    <row r="120" spans="1:12" s="376" customFormat="1" x14ac:dyDescent="0.25">
      <c r="A120" s="402"/>
      <c r="B120" s="388" t="s">
        <v>434</v>
      </c>
      <c r="C120" s="389">
        <f>C118</f>
        <v>0</v>
      </c>
      <c r="D120" s="454"/>
      <c r="E120" s="389">
        <f>E118</f>
        <v>0</v>
      </c>
      <c r="F120" s="454"/>
      <c r="G120" s="389">
        <f>E120-C120</f>
        <v>0</v>
      </c>
      <c r="H120" s="455">
        <f>IF(C120=0,0,E120*100/C120)</f>
        <v>0</v>
      </c>
      <c r="I120" s="455">
        <f>IF(H120=0,0,H120-100)</f>
        <v>0</v>
      </c>
      <c r="J120" s="389">
        <f>J118</f>
        <v>0</v>
      </c>
      <c r="K120" s="389">
        <f>K118</f>
        <v>0</v>
      </c>
      <c r="L120" s="389">
        <f>L118</f>
        <v>0</v>
      </c>
    </row>
    <row r="122" spans="1:12" x14ac:dyDescent="0.25">
      <c r="A122" s="435" t="str">
        <f>Kostenplan!A119</f>
        <v>7</v>
      </c>
      <c r="B122" s="488" t="str">
        <f>Kostenplan!B119</f>
        <v>Investitionen und Abschreibungen</v>
      </c>
      <c r="C122" s="390"/>
      <c r="D122" s="390"/>
      <c r="E122" s="390"/>
      <c r="F122" s="390"/>
      <c r="G122" s="390"/>
      <c r="H122" s="390"/>
      <c r="I122" s="390"/>
      <c r="J122" s="390"/>
      <c r="K122" s="390"/>
      <c r="L122" s="390"/>
    </row>
    <row r="123" spans="1:12" x14ac:dyDescent="0.25">
      <c r="A123" s="438" t="str">
        <f>Kostenplan!A120</f>
        <v>7.1</v>
      </c>
      <c r="B123" s="447" t="str">
        <f>Kostenplan!B120</f>
        <v>Investitionen</v>
      </c>
      <c r="C123" s="457">
        <f>Kostenplan!C120</f>
        <v>0</v>
      </c>
      <c r="D123" s="466"/>
      <c r="E123" s="486">
        <f>Kostenplan!D120</f>
        <v>0</v>
      </c>
      <c r="F123" s="485"/>
      <c r="G123" s="467">
        <f>E123-C123</f>
        <v>0</v>
      </c>
      <c r="H123" s="476">
        <f>IF(C123=0,0,E123*100/C123)</f>
        <v>0</v>
      </c>
      <c r="I123" s="476">
        <f>IF(H123=0,0,H123-100)</f>
        <v>0</v>
      </c>
      <c r="J123" s="461">
        <f>IF($K$1="",0,E123/$L$2)</f>
        <v>0</v>
      </c>
      <c r="K123" s="461">
        <f t="shared" ref="K123:K124" si="52">IF($K$2="",0,E123/$L$2)</f>
        <v>0</v>
      </c>
      <c r="L123" s="461">
        <f t="shared" ref="L123:L124" si="53">IF($K$3="",0,E123/$L$2)</f>
        <v>0</v>
      </c>
    </row>
    <row r="124" spans="1:12" x14ac:dyDescent="0.25">
      <c r="A124" s="438" t="str">
        <f>Kostenplan!A121</f>
        <v>7.2</v>
      </c>
      <c r="B124" s="447" t="str">
        <f>Kostenplan!B121</f>
        <v>Abschreibungen (bewegliche Gegenstände)</v>
      </c>
      <c r="C124" s="457">
        <f>Kostenplan!C121</f>
        <v>0</v>
      </c>
      <c r="D124" s="466"/>
      <c r="E124" s="487">
        <f>Kostenplan!D121</f>
        <v>0</v>
      </c>
      <c r="F124" s="485"/>
      <c r="G124" s="467">
        <f>E124-C124</f>
        <v>0</v>
      </c>
      <c r="H124" s="476">
        <f>IF(C124=0,0,E124*100/C124)</f>
        <v>0</v>
      </c>
      <c r="I124" s="476">
        <f>IF(H124=0,0,H124-100)</f>
        <v>0</v>
      </c>
      <c r="J124" s="461">
        <f t="shared" ref="J124" si="54">IF($K$1="",0,E124/$L$2)</f>
        <v>0</v>
      </c>
      <c r="K124" s="461">
        <f t="shared" si="52"/>
        <v>0</v>
      </c>
      <c r="L124" s="461">
        <f t="shared" si="53"/>
        <v>0</v>
      </c>
    </row>
    <row r="125" spans="1:12" s="376" customFormat="1" ht="15" x14ac:dyDescent="0.25">
      <c r="A125" s="413"/>
      <c r="B125" s="386" t="s">
        <v>2</v>
      </c>
      <c r="C125" s="453">
        <f>SUM(C123:C124)</f>
        <v>0</v>
      </c>
      <c r="D125" s="450"/>
      <c r="E125" s="387">
        <f>SUM(E123:E124)</f>
        <v>0</v>
      </c>
      <c r="F125" s="450"/>
      <c r="G125" s="451">
        <f>E125-C125</f>
        <v>0</v>
      </c>
      <c r="H125" s="452">
        <f>IF(C125=0,0,E125*100/C125)</f>
        <v>0</v>
      </c>
      <c r="I125" s="452">
        <f>IF(H125=0,0,H125-100)</f>
        <v>0</v>
      </c>
      <c r="J125" s="463">
        <f>SUM(J123:J124)</f>
        <v>0</v>
      </c>
      <c r="K125" s="463">
        <f>SUM(K123:K124)</f>
        <v>0</v>
      </c>
      <c r="L125" s="463">
        <f>SUM(L123:L124)</f>
        <v>0</v>
      </c>
    </row>
    <row r="127" spans="1:12" s="376" customFormat="1" x14ac:dyDescent="0.25">
      <c r="A127" s="402"/>
      <c r="B127" s="388" t="s">
        <v>434</v>
      </c>
      <c r="C127" s="389">
        <f>C125</f>
        <v>0</v>
      </c>
      <c r="D127" s="454"/>
      <c r="E127" s="389">
        <f>E125</f>
        <v>0</v>
      </c>
      <c r="F127" s="454"/>
      <c r="G127" s="389">
        <f>E127-C127</f>
        <v>0</v>
      </c>
      <c r="H127" s="455">
        <f>IF(C127=0,0,E127*100/C127)</f>
        <v>0</v>
      </c>
      <c r="I127" s="455">
        <f>IF(H127=0,0,H127-100)</f>
        <v>0</v>
      </c>
      <c r="J127" s="389">
        <f>J125</f>
        <v>0</v>
      </c>
      <c r="K127" s="389">
        <f>K125</f>
        <v>0</v>
      </c>
      <c r="L127" s="389">
        <f>L125</f>
        <v>0</v>
      </c>
    </row>
    <row r="129" spans="1:12" x14ac:dyDescent="0.25">
      <c r="A129" s="435" t="str">
        <f>Kostenplan!A124</f>
        <v>8</v>
      </c>
      <c r="B129" s="488" t="str">
        <f>Kostenplan!B124</f>
        <v>Weitere Kosten</v>
      </c>
      <c r="C129" s="390"/>
      <c r="D129" s="390"/>
      <c r="E129" s="390"/>
      <c r="F129" s="390"/>
      <c r="G129" s="390"/>
      <c r="H129" s="390"/>
      <c r="I129" s="390"/>
      <c r="J129" s="390"/>
      <c r="K129" s="390"/>
      <c r="L129" s="390"/>
    </row>
    <row r="130" spans="1:12" x14ac:dyDescent="0.25">
      <c r="A130" s="438" t="str">
        <f>Kostenplan!A125</f>
        <v>8.1</v>
      </c>
      <c r="B130" s="447" t="str">
        <f>Kostenplan!$B$125</f>
        <v>Weitere Kosten</v>
      </c>
      <c r="C130" s="457">
        <f>Kostenplan!C125</f>
        <v>0</v>
      </c>
      <c r="D130" s="466"/>
      <c r="E130" s="486">
        <f>Kostenplan!D125</f>
        <v>0</v>
      </c>
      <c r="F130" s="485"/>
      <c r="G130" s="467">
        <f>E130-C130</f>
        <v>0</v>
      </c>
      <c r="H130" s="476">
        <f>IF(C130=0,0,E130*100/C130)</f>
        <v>0</v>
      </c>
      <c r="I130" s="476">
        <f>IF(H130=0,0,H130-100)</f>
        <v>0</v>
      </c>
      <c r="J130" s="461">
        <f>IF($K$1="",0,E130/$L$2)</f>
        <v>0</v>
      </c>
      <c r="K130" s="461">
        <f t="shared" ref="K130:K131" si="55">IF($K$2="",0,E130/$L$2)</f>
        <v>0</v>
      </c>
      <c r="L130" s="461">
        <f t="shared" ref="L130:L131" si="56">IF($K$3="",0,E130/$L$2)</f>
        <v>0</v>
      </c>
    </row>
    <row r="131" spans="1:12" x14ac:dyDescent="0.25">
      <c r="A131" s="438" t="str">
        <f>Kostenplan!A126</f>
        <v>8.2</v>
      </c>
      <c r="B131" s="447" t="str">
        <f>Kostenplan!$B$126</f>
        <v>Personalkosten (u.a. geringf. Beschäftigte)</v>
      </c>
      <c r="C131" s="457">
        <f>Kostenplan!C126</f>
        <v>0</v>
      </c>
      <c r="D131" s="466"/>
      <c r="E131" s="486">
        <f>Kostenplan!D126</f>
        <v>0</v>
      </c>
      <c r="F131" s="485"/>
      <c r="G131" s="467">
        <f>E131-C131</f>
        <v>0</v>
      </c>
      <c r="H131" s="476">
        <f>IF(C131=0,0,E131*100/C131)</f>
        <v>0</v>
      </c>
      <c r="I131" s="476">
        <f>IF(H131=0,0,H131-100)</f>
        <v>0</v>
      </c>
      <c r="J131" s="461">
        <f>IF($K$1="",0,E131/$L$2)</f>
        <v>0</v>
      </c>
      <c r="K131" s="461">
        <f t="shared" si="55"/>
        <v>0</v>
      </c>
      <c r="L131" s="461">
        <f t="shared" si="56"/>
        <v>0</v>
      </c>
    </row>
    <row r="132" spans="1:12" s="376" customFormat="1" ht="15" x14ac:dyDescent="0.25">
      <c r="A132" s="413"/>
      <c r="B132" s="386" t="s">
        <v>2</v>
      </c>
      <c r="C132" s="453">
        <f>SUM(C130:C131)</f>
        <v>0</v>
      </c>
      <c r="D132" s="450"/>
      <c r="E132" s="387">
        <f>SUM(E130:E131)</f>
        <v>0</v>
      </c>
      <c r="F132" s="450"/>
      <c r="G132" s="451">
        <f>E132-C132</f>
        <v>0</v>
      </c>
      <c r="H132" s="452">
        <f>IF(C132=0,0,E132*100/C132)</f>
        <v>0</v>
      </c>
      <c r="I132" s="452">
        <f>IF(H132=0,0,H132-100)</f>
        <v>0</v>
      </c>
      <c r="J132" s="463">
        <f>SUM(J130:J131)</f>
        <v>0</v>
      </c>
      <c r="K132" s="463">
        <f>SUM(K130:K131)</f>
        <v>0</v>
      </c>
      <c r="L132" s="463">
        <f>SUM(L130:L131)</f>
        <v>0</v>
      </c>
    </row>
    <row r="134" spans="1:12" s="376" customFormat="1" x14ac:dyDescent="0.25">
      <c r="A134" s="402"/>
      <c r="B134" s="388" t="s">
        <v>434</v>
      </c>
      <c r="C134" s="389">
        <f>SUM(C132)</f>
        <v>0</v>
      </c>
      <c r="D134" s="454"/>
      <c r="E134" s="389">
        <f>SUM(E132)</f>
        <v>0</v>
      </c>
      <c r="F134" s="454"/>
      <c r="G134" s="389">
        <f t="shared" ref="G134:L134" si="57">SUM(G132)</f>
        <v>0</v>
      </c>
      <c r="H134" s="455">
        <f t="shared" si="57"/>
        <v>0</v>
      </c>
      <c r="I134" s="455">
        <f t="shared" si="57"/>
        <v>0</v>
      </c>
      <c r="J134" s="389">
        <f t="shared" si="57"/>
        <v>0</v>
      </c>
      <c r="K134" s="389">
        <f t="shared" si="57"/>
        <v>0</v>
      </c>
      <c r="L134" s="389">
        <f t="shared" si="57"/>
        <v>0</v>
      </c>
    </row>
    <row r="136" spans="1:12" s="376" customFormat="1" x14ac:dyDescent="0.25">
      <c r="A136" s="402"/>
      <c r="B136" s="388" t="s">
        <v>455</v>
      </c>
      <c r="C136" s="389">
        <f>C20+C33+C99+C106+C112+C120+C127+C134</f>
        <v>0</v>
      </c>
      <c r="D136" s="454"/>
      <c r="E136" s="389">
        <f>E20+E33+E99+E106+E112+E120+E127+E134</f>
        <v>0</v>
      </c>
      <c r="F136" s="454"/>
      <c r="G136" s="389">
        <f>G20+G33+G99+G106+G112+G120+G127+G134</f>
        <v>0</v>
      </c>
      <c r="H136" s="455"/>
      <c r="I136" s="455"/>
      <c r="J136" s="389">
        <f>J20+J33+J99+J106+J112+J120+J127+J134</f>
        <v>0</v>
      </c>
      <c r="K136" s="389">
        <f>K20+K33+K99+K106+K112+K120+K127+K134</f>
        <v>0</v>
      </c>
      <c r="L136" s="389">
        <f>L20+L33+L99+L106+L112+L120+L127+L134</f>
        <v>0</v>
      </c>
    </row>
    <row r="138" spans="1:12" x14ac:dyDescent="0.25">
      <c r="A138" s="435" t="str">
        <f>Kostenplan!A131</f>
        <v>9</v>
      </c>
      <c r="B138" s="488" t="str">
        <f>Kostenplan!B131</f>
        <v>Einnahmen</v>
      </c>
      <c r="C138" s="390"/>
      <c r="D138" s="390"/>
      <c r="E138" s="390"/>
      <c r="F138" s="390"/>
      <c r="G138" s="390"/>
      <c r="H138" s="390"/>
      <c r="I138" s="390"/>
      <c r="J138" s="390"/>
      <c r="K138" s="390"/>
      <c r="L138" s="390"/>
    </row>
    <row r="139" spans="1:12" x14ac:dyDescent="0.25">
      <c r="A139" s="438" t="str">
        <f>Kostenplan!A132</f>
        <v>9.1</v>
      </c>
      <c r="B139" s="447" t="str">
        <f>Kostenplan!B132</f>
        <v>Zuweisungen nach § 12 KiFöG</v>
      </c>
      <c r="C139" s="457">
        <f>Kostenplan!C132</f>
        <v>0</v>
      </c>
      <c r="D139" s="466"/>
      <c r="E139" s="486">
        <f>Kostenplan!D132</f>
        <v>0</v>
      </c>
      <c r="F139" s="485"/>
      <c r="G139" s="467">
        <f>E139-C139</f>
        <v>0</v>
      </c>
      <c r="H139" s="476">
        <f>IF(C139=0,0,E139*100/C139)</f>
        <v>0</v>
      </c>
      <c r="I139" s="476">
        <f>IF(H139=0,0,H139-100)</f>
        <v>0</v>
      </c>
      <c r="J139" s="461">
        <f>IF($K$1="",0,E139/$L$2)</f>
        <v>0</v>
      </c>
      <c r="K139" s="461">
        <f t="shared" ref="K139:K146" si="58">IF($K$2="",0,E139/$L$2)</f>
        <v>0</v>
      </c>
      <c r="L139" s="461">
        <f t="shared" ref="L139:L146" si="59">IF($K$3="",0,E139/$L$2)</f>
        <v>0</v>
      </c>
    </row>
    <row r="140" spans="1:12" x14ac:dyDescent="0.25">
      <c r="A140" s="438" t="str">
        <f>Kostenplan!A133</f>
        <v>9.2</v>
      </c>
      <c r="B140" s="447" t="str">
        <f>Kostenplan!B133</f>
        <v>Zuweisungen nach § 12a KiFöG</v>
      </c>
      <c r="C140" s="457">
        <f>Kostenplan!C133</f>
        <v>0</v>
      </c>
      <c r="D140" s="466"/>
      <c r="E140" s="486">
        <f>Kostenplan!D133</f>
        <v>0</v>
      </c>
      <c r="F140" s="485"/>
      <c r="G140" s="467">
        <f t="shared" ref="G140:G146" si="60">E140-C140</f>
        <v>0</v>
      </c>
      <c r="H140" s="476">
        <f t="shared" ref="H140:H146" si="61">IF(C140=0,0,E140*100/C140)</f>
        <v>0</v>
      </c>
      <c r="I140" s="476">
        <f t="shared" ref="I140:I146" si="62">IF(H140=0,0,H140-100)</f>
        <v>0</v>
      </c>
      <c r="J140" s="461">
        <f t="shared" ref="J140:J146" si="63">IF($K$1="",0,E140/$L$2)</f>
        <v>0</v>
      </c>
      <c r="K140" s="461">
        <f t="shared" si="58"/>
        <v>0</v>
      </c>
      <c r="L140" s="461">
        <f t="shared" si="59"/>
        <v>0</v>
      </c>
    </row>
    <row r="141" spans="1:12" ht="12" customHeight="1" x14ac:dyDescent="0.25">
      <c r="A141" s="438" t="str">
        <f>Kostenplan!A134</f>
        <v>9.3</v>
      </c>
      <c r="B141" s="447" t="str">
        <f>Kostenplan!B134</f>
        <v>Fördermittel</v>
      </c>
      <c r="C141" s="457">
        <f>Kostenplan!C134</f>
        <v>0</v>
      </c>
      <c r="D141" s="466"/>
      <c r="E141" s="486">
        <f>Kostenplan!D134</f>
        <v>0</v>
      </c>
      <c r="F141" s="485"/>
      <c r="G141" s="467">
        <f t="shared" si="60"/>
        <v>0</v>
      </c>
      <c r="H141" s="476">
        <f t="shared" si="61"/>
        <v>0</v>
      </c>
      <c r="I141" s="476">
        <f t="shared" si="62"/>
        <v>0</v>
      </c>
      <c r="J141" s="461">
        <f t="shared" si="63"/>
        <v>0</v>
      </c>
      <c r="K141" s="461">
        <f t="shared" si="58"/>
        <v>0</v>
      </c>
      <c r="L141" s="461">
        <f t="shared" si="59"/>
        <v>0</v>
      </c>
    </row>
    <row r="142" spans="1:12" ht="25.5" x14ac:dyDescent="0.25">
      <c r="A142" s="438" t="str">
        <f>Kostenplan!A135</f>
        <v>9.4</v>
      </c>
      <c r="B142" s="447" t="str">
        <f>Kostenplan!B135</f>
        <v>Kostenbeiträge gem. Satzung (soweit Kostenerhebung durch Träger erfolgt)</v>
      </c>
      <c r="C142" s="457">
        <f>Kostenplan!C135</f>
        <v>0</v>
      </c>
      <c r="D142" s="466"/>
      <c r="E142" s="486">
        <f>Kostenplan!D135</f>
        <v>0</v>
      </c>
      <c r="F142" s="485"/>
      <c r="G142" s="467">
        <f t="shared" si="60"/>
        <v>0</v>
      </c>
      <c r="H142" s="476">
        <f t="shared" si="61"/>
        <v>0</v>
      </c>
      <c r="I142" s="476">
        <f t="shared" si="62"/>
        <v>0</v>
      </c>
      <c r="J142" s="461">
        <f t="shared" si="63"/>
        <v>0</v>
      </c>
      <c r="K142" s="461">
        <f t="shared" si="58"/>
        <v>0</v>
      </c>
      <c r="L142" s="461">
        <f t="shared" si="59"/>
        <v>0</v>
      </c>
    </row>
    <row r="143" spans="1:12" x14ac:dyDescent="0.25">
      <c r="A143" s="438" t="str">
        <f>Kostenplan!A136</f>
        <v>9.5</v>
      </c>
      <c r="B143" s="447" t="str">
        <f>Kostenplan!B136</f>
        <v>Zusatzbeiträge der Eltern</v>
      </c>
      <c r="C143" s="457">
        <f>Kostenplan!C136</f>
        <v>0</v>
      </c>
      <c r="D143" s="466"/>
      <c r="E143" s="486">
        <f>Kostenplan!D136</f>
        <v>0</v>
      </c>
      <c r="F143" s="485"/>
      <c r="G143" s="467">
        <f t="shared" si="60"/>
        <v>0</v>
      </c>
      <c r="H143" s="476">
        <f t="shared" si="61"/>
        <v>0</v>
      </c>
      <c r="I143" s="476">
        <f t="shared" si="62"/>
        <v>0</v>
      </c>
      <c r="J143" s="461">
        <f t="shared" si="63"/>
        <v>0</v>
      </c>
      <c r="K143" s="461">
        <f t="shared" si="58"/>
        <v>0</v>
      </c>
      <c r="L143" s="461">
        <f t="shared" si="59"/>
        <v>0</v>
      </c>
    </row>
    <row r="144" spans="1:12" x14ac:dyDescent="0.25">
      <c r="A144" s="438" t="str">
        <f>Kostenplan!A137</f>
        <v>9.6</v>
      </c>
      <c r="B144" s="447" t="str">
        <f>Kostenplan!B137</f>
        <v>Einnahmen für Gastkinder</v>
      </c>
      <c r="C144" s="457">
        <f>Kostenplan!C137</f>
        <v>0</v>
      </c>
      <c r="D144" s="466"/>
      <c r="E144" s="486">
        <f>Kostenplan!D137</f>
        <v>0</v>
      </c>
      <c r="F144" s="485"/>
      <c r="G144" s="467">
        <f t="shared" si="60"/>
        <v>0</v>
      </c>
      <c r="H144" s="476">
        <f t="shared" si="61"/>
        <v>0</v>
      </c>
      <c r="I144" s="476">
        <f t="shared" si="62"/>
        <v>0</v>
      </c>
      <c r="J144" s="461">
        <f t="shared" si="63"/>
        <v>0</v>
      </c>
      <c r="K144" s="461">
        <f t="shared" si="58"/>
        <v>0</v>
      </c>
      <c r="L144" s="461">
        <f t="shared" si="59"/>
        <v>0</v>
      </c>
    </row>
    <row r="145" spans="1:12" x14ac:dyDescent="0.25">
      <c r="A145" s="438" t="str">
        <f>Kostenplan!A138</f>
        <v>9.7</v>
      </c>
      <c r="B145" s="447" t="str">
        <f>Kostenplan!B138</f>
        <v>Einnahmen aus Mitteln des ÖTJH</v>
      </c>
      <c r="C145" s="457">
        <f>Kostenplan!C138</f>
        <v>0</v>
      </c>
      <c r="D145" s="466"/>
      <c r="E145" s="486">
        <f>Kostenplan!D138</f>
        <v>0</v>
      </c>
      <c r="F145" s="485"/>
      <c r="G145" s="467">
        <f t="shared" si="60"/>
        <v>0</v>
      </c>
      <c r="H145" s="476">
        <f t="shared" si="61"/>
        <v>0</v>
      </c>
      <c r="I145" s="476">
        <f t="shared" si="62"/>
        <v>0</v>
      </c>
      <c r="J145" s="461">
        <f t="shared" si="63"/>
        <v>0</v>
      </c>
      <c r="K145" s="461">
        <f t="shared" si="58"/>
        <v>0</v>
      </c>
      <c r="L145" s="461">
        <f t="shared" si="59"/>
        <v>0</v>
      </c>
    </row>
    <row r="146" spans="1:12" x14ac:dyDescent="0.25">
      <c r="A146" s="438" t="str">
        <f>Kostenplan!A139</f>
        <v>9.8</v>
      </c>
      <c r="B146" s="447" t="str">
        <f>Kostenplan!B139</f>
        <v>Sonstige Einnahmen</v>
      </c>
      <c r="C146" s="457">
        <f>Kostenplan!C139</f>
        <v>0</v>
      </c>
      <c r="D146" s="466"/>
      <c r="E146" s="486">
        <f>Kostenplan!D139</f>
        <v>0</v>
      </c>
      <c r="F146" s="485"/>
      <c r="G146" s="467">
        <f t="shared" si="60"/>
        <v>0</v>
      </c>
      <c r="H146" s="476">
        <f t="shared" si="61"/>
        <v>0</v>
      </c>
      <c r="I146" s="476">
        <f t="shared" si="62"/>
        <v>0</v>
      </c>
      <c r="J146" s="461">
        <f t="shared" si="63"/>
        <v>0</v>
      </c>
      <c r="K146" s="461">
        <f t="shared" si="58"/>
        <v>0</v>
      </c>
      <c r="L146" s="461">
        <f t="shared" si="59"/>
        <v>0</v>
      </c>
    </row>
    <row r="147" spans="1:12" s="376" customFormat="1" ht="15" x14ac:dyDescent="0.25">
      <c r="A147" s="413"/>
      <c r="B147" s="386" t="s">
        <v>2</v>
      </c>
      <c r="C147" s="453">
        <f>SUM(C139:C146)</f>
        <v>0</v>
      </c>
      <c r="D147" s="450"/>
      <c r="E147" s="387">
        <f>SUM(E139:E146)</f>
        <v>0</v>
      </c>
      <c r="F147" s="450"/>
      <c r="G147" s="451">
        <f>E147-C147</f>
        <v>0</v>
      </c>
      <c r="H147" s="452">
        <f>IF(C147=0,0,E147*100/C147)</f>
        <v>0</v>
      </c>
      <c r="I147" s="452">
        <f>IF(H147=0,0,H147-100)</f>
        <v>0</v>
      </c>
      <c r="J147" s="463">
        <f>SUM(J139:J146)</f>
        <v>0</v>
      </c>
      <c r="K147" s="463">
        <f>SUM(K139:K146)</f>
        <v>0</v>
      </c>
      <c r="L147" s="463">
        <f>SUM(L139:L146)</f>
        <v>0</v>
      </c>
    </row>
    <row r="149" spans="1:12" s="376" customFormat="1" x14ac:dyDescent="0.25">
      <c r="A149" s="402"/>
      <c r="B149" s="388" t="s">
        <v>434</v>
      </c>
      <c r="C149" s="389">
        <f>SUM(C147)</f>
        <v>0</v>
      </c>
      <c r="D149" s="454"/>
      <c r="E149" s="389">
        <f>SUM(E147)</f>
        <v>0</v>
      </c>
      <c r="F149" s="454"/>
      <c r="G149" s="389">
        <f t="shared" ref="G149:L149" si="64">SUM(G147)</f>
        <v>0</v>
      </c>
      <c r="H149" s="455">
        <f t="shared" si="64"/>
        <v>0</v>
      </c>
      <c r="I149" s="455">
        <f t="shared" si="64"/>
        <v>0</v>
      </c>
      <c r="J149" s="389">
        <f t="shared" si="64"/>
        <v>0</v>
      </c>
      <c r="K149" s="389">
        <f t="shared" si="64"/>
        <v>0</v>
      </c>
      <c r="L149" s="389">
        <f t="shared" si="64"/>
        <v>0</v>
      </c>
    </row>
    <row r="151" spans="1:12" s="376" customFormat="1" x14ac:dyDescent="0.25">
      <c r="A151" s="402"/>
      <c r="B151" s="388" t="s">
        <v>456</v>
      </c>
      <c r="C151" s="389">
        <f>C149</f>
        <v>0</v>
      </c>
      <c r="D151" s="454"/>
      <c r="E151" s="389">
        <f>E149</f>
        <v>0</v>
      </c>
      <c r="F151" s="454"/>
      <c r="G151" s="389">
        <f>G149</f>
        <v>0</v>
      </c>
      <c r="H151" s="455"/>
      <c r="I151" s="455"/>
      <c r="J151" s="389">
        <f>J149</f>
        <v>0</v>
      </c>
      <c r="K151" s="389">
        <f>K149</f>
        <v>0</v>
      </c>
      <c r="L151" s="389">
        <f>L149</f>
        <v>0</v>
      </c>
    </row>
    <row r="154" spans="1:12" x14ac:dyDescent="0.25">
      <c r="A154" s="1084" t="s">
        <v>457</v>
      </c>
      <c r="B154" s="1084"/>
    </row>
    <row r="155" spans="1:12" x14ac:dyDescent="0.25">
      <c r="A155" s="435" t="str">
        <f>Kostenplan!A145</f>
        <v>10</v>
      </c>
      <c r="B155" s="488" t="str">
        <f>Kostenplan!B145</f>
        <v>Sachkosten für Verpflegung</v>
      </c>
      <c r="C155" s="390"/>
      <c r="D155" s="390"/>
      <c r="E155" s="390"/>
      <c r="F155" s="390"/>
      <c r="G155" s="390"/>
      <c r="H155" s="390"/>
      <c r="I155" s="390"/>
      <c r="J155" s="390"/>
      <c r="K155" s="390"/>
      <c r="L155" s="390"/>
    </row>
    <row r="156" spans="1:12" x14ac:dyDescent="0.25">
      <c r="A156" s="438" t="str">
        <f>Kostenplan!A146</f>
        <v>10.1</v>
      </c>
      <c r="B156" s="447" t="str">
        <f>Kostenplan!B146</f>
        <v>Nahrungsmittel und Getränke</v>
      </c>
      <c r="C156" s="457">
        <f>Kostenplan!C146</f>
        <v>0</v>
      </c>
      <c r="D156" s="466"/>
      <c r="E156" s="486">
        <f>Kostenplan!D146</f>
        <v>0</v>
      </c>
      <c r="F156" s="485"/>
      <c r="G156" s="467">
        <f>E156-C156</f>
        <v>0</v>
      </c>
      <c r="H156" s="476">
        <f>IF(C156=0,0,E156*100/C156)</f>
        <v>0</v>
      </c>
      <c r="I156" s="476">
        <f>IF(H156=0,0,H156-100)</f>
        <v>0</v>
      </c>
      <c r="J156" s="461">
        <f>IF($K$1="",0,E156/$L$2)</f>
        <v>0</v>
      </c>
      <c r="K156" s="461">
        <f t="shared" ref="K156:K158" si="65">IF($K$2="",0,E156/$L$2)</f>
        <v>0</v>
      </c>
      <c r="L156" s="461">
        <f t="shared" ref="L156:L158" si="66">IF($K$3="",0,E156/$L$2)</f>
        <v>0</v>
      </c>
    </row>
    <row r="157" spans="1:12" x14ac:dyDescent="0.25">
      <c r="A157" s="438" t="str">
        <f>Kostenplan!A147</f>
        <v>10.2</v>
      </c>
      <c r="B157" s="447" t="str">
        <f>Kostenplan!B147</f>
        <v>abzgl. Essensbeiträge (soweit Einnahme erfolgt)</v>
      </c>
      <c r="C157" s="457">
        <f>Kostenplan!C147</f>
        <v>0</v>
      </c>
      <c r="D157" s="466"/>
      <c r="E157" s="486">
        <f>Kostenplan!D147</f>
        <v>0</v>
      </c>
      <c r="F157" s="485"/>
      <c r="G157" s="467">
        <f t="shared" ref="G157:G158" si="67">E157-C157</f>
        <v>0</v>
      </c>
      <c r="H157" s="476">
        <f t="shared" ref="H157:H158" si="68">IF(C157=0,0,E157*100/C157)</f>
        <v>0</v>
      </c>
      <c r="I157" s="476">
        <f t="shared" ref="I157:I158" si="69">IF(H157=0,0,H157-100)</f>
        <v>0</v>
      </c>
      <c r="J157" s="461">
        <f t="shared" ref="J157:J158" si="70">IF($K$1="",0,E157/$L$2)</f>
        <v>0</v>
      </c>
      <c r="K157" s="461">
        <f t="shared" si="65"/>
        <v>0</v>
      </c>
      <c r="L157" s="461">
        <f t="shared" si="66"/>
        <v>0</v>
      </c>
    </row>
    <row r="158" spans="1:12" x14ac:dyDescent="0.25">
      <c r="A158" s="438" t="str">
        <f>Kostenplan!A148</f>
        <v>10.3</v>
      </c>
      <c r="B158" s="447" t="str">
        <f>Kostenplan!B148</f>
        <v>abzgl. Getränkegelder (soweit Einnahme erfolgt)</v>
      </c>
      <c r="C158" s="457">
        <f>Kostenplan!C148</f>
        <v>0</v>
      </c>
      <c r="D158" s="466"/>
      <c r="E158" s="486">
        <f>Kostenplan!D148</f>
        <v>0</v>
      </c>
      <c r="F158" s="485"/>
      <c r="G158" s="467">
        <f t="shared" si="67"/>
        <v>0</v>
      </c>
      <c r="H158" s="476">
        <f t="shared" si="68"/>
        <v>0</v>
      </c>
      <c r="I158" s="476">
        <f t="shared" si="69"/>
        <v>0</v>
      </c>
      <c r="J158" s="461">
        <f t="shared" si="70"/>
        <v>0</v>
      </c>
      <c r="K158" s="461">
        <f t="shared" si="65"/>
        <v>0</v>
      </c>
      <c r="L158" s="461">
        <f t="shared" si="66"/>
        <v>0</v>
      </c>
    </row>
    <row r="159" spans="1:12" s="376" customFormat="1" ht="15" x14ac:dyDescent="0.25">
      <c r="A159" s="413"/>
      <c r="B159" s="386" t="s">
        <v>2</v>
      </c>
      <c r="C159" s="453">
        <f>C156-SUM(C157:C158)</f>
        <v>0</v>
      </c>
      <c r="D159" s="450"/>
      <c r="E159" s="453">
        <f>E156-SUM(E157:E158)</f>
        <v>0</v>
      </c>
      <c r="F159" s="450"/>
      <c r="G159" s="451">
        <f>E159-C159</f>
        <v>0</v>
      </c>
      <c r="H159" s="452">
        <f>IF(C159=0,0,E159*100/C159)</f>
        <v>0</v>
      </c>
      <c r="I159" s="452">
        <f>IF(H159=0,0,H159-100)</f>
        <v>0</v>
      </c>
      <c r="J159" s="463">
        <f>SUM(J147:J158)</f>
        <v>0</v>
      </c>
      <c r="K159" s="463">
        <f>SUM(K147:K158)</f>
        <v>0</v>
      </c>
      <c r="L159" s="463">
        <f>SUM(L156:L158)</f>
        <v>0</v>
      </c>
    </row>
    <row r="161" spans="1:12" s="376" customFormat="1" x14ac:dyDescent="0.25">
      <c r="A161" s="402"/>
      <c r="B161" s="388" t="s">
        <v>434</v>
      </c>
      <c r="C161" s="389">
        <f>SUM(C159)</f>
        <v>0</v>
      </c>
      <c r="D161" s="454"/>
      <c r="E161" s="389">
        <f>SUM(E159)</f>
        <v>0</v>
      </c>
      <c r="F161" s="454"/>
      <c r="G161" s="389">
        <f t="shared" ref="G161:L161" si="71">SUM(G159)</f>
        <v>0</v>
      </c>
      <c r="H161" s="455">
        <f t="shared" si="71"/>
        <v>0</v>
      </c>
      <c r="I161" s="455">
        <f t="shared" si="71"/>
        <v>0</v>
      </c>
      <c r="J161" s="389">
        <f t="shared" si="71"/>
        <v>0</v>
      </c>
      <c r="K161" s="389">
        <f t="shared" si="71"/>
        <v>0</v>
      </c>
      <c r="L161" s="389">
        <f t="shared" si="71"/>
        <v>0</v>
      </c>
    </row>
    <row r="163" spans="1:12" x14ac:dyDescent="0.25">
      <c r="A163" s="1084" t="s">
        <v>457</v>
      </c>
      <c r="B163" s="1084"/>
    </row>
    <row r="164" spans="1:12" x14ac:dyDescent="0.25">
      <c r="A164" s="435" t="str">
        <f>Kostenplan!A151</f>
        <v>11</v>
      </c>
      <c r="B164" s="488" t="str">
        <f>Kostenplan!B151</f>
        <v>Personalkosten § 23 KiFöG</v>
      </c>
      <c r="C164" s="390"/>
      <c r="D164" s="390"/>
      <c r="E164" s="390"/>
      <c r="F164" s="390"/>
      <c r="G164" s="390"/>
      <c r="H164" s="390"/>
      <c r="I164" s="390"/>
      <c r="J164" s="390"/>
      <c r="K164" s="390"/>
      <c r="L164" s="390"/>
    </row>
    <row r="165" spans="1:12" x14ac:dyDescent="0.25">
      <c r="A165" s="438" t="str">
        <f>Kostenplan!A152</f>
        <v>11.1</v>
      </c>
      <c r="B165" s="447" t="str">
        <f>Kostenplan!B152</f>
        <v>Personalkosten nach § 23 KiFöG</v>
      </c>
      <c r="C165" s="457">
        <f>Kostenplan!C152</f>
        <v>0</v>
      </c>
      <c r="D165" s="466"/>
      <c r="E165" s="486">
        <f>Kostenplan!D152</f>
        <v>0</v>
      </c>
      <c r="F165" s="485"/>
      <c r="G165" s="467">
        <f t="shared" ref="G165" si="72">E165-C165</f>
        <v>0</v>
      </c>
      <c r="H165" s="476">
        <f t="shared" ref="H165" si="73">IF(C165=0,0,E165*100/C165)</f>
        <v>0</v>
      </c>
      <c r="I165" s="476">
        <f t="shared" ref="I165" si="74">IF(H165=0,0,H165-100)</f>
        <v>0</v>
      </c>
      <c r="J165" s="461">
        <f t="shared" ref="J165" si="75">IF($K$1="",0,E165/$L$2)</f>
        <v>0</v>
      </c>
      <c r="K165" s="461">
        <f t="shared" ref="K165" si="76">IF($K$2="",0,E165/$L$2)</f>
        <v>0</v>
      </c>
      <c r="L165" s="461">
        <f t="shared" ref="L165" si="77">IF($K$3="",0,E165/$L$2)</f>
        <v>0</v>
      </c>
    </row>
    <row r="166" spans="1:12" s="376" customFormat="1" ht="15" x14ac:dyDescent="0.25">
      <c r="A166" s="413"/>
      <c r="B166" s="386" t="s">
        <v>2</v>
      </c>
      <c r="C166" s="453">
        <f>C165</f>
        <v>0</v>
      </c>
      <c r="D166" s="450"/>
      <c r="E166" s="453">
        <f>E165</f>
        <v>0</v>
      </c>
      <c r="F166" s="450"/>
      <c r="G166" s="451">
        <f>E166-C166</f>
        <v>0</v>
      </c>
      <c r="H166" s="452">
        <f>IF(C166=0,0,E166*100/C166)</f>
        <v>0</v>
      </c>
      <c r="I166" s="452">
        <f>IF(H166=0,0,H166-100)</f>
        <v>0</v>
      </c>
      <c r="J166" s="463">
        <f>SUM(J152:J165)</f>
        <v>0</v>
      </c>
      <c r="K166" s="463">
        <f>SUM(K152:K165)</f>
        <v>0</v>
      </c>
      <c r="L166" s="463">
        <f>L165</f>
        <v>0</v>
      </c>
    </row>
    <row r="168" spans="1:12" s="376" customFormat="1" x14ac:dyDescent="0.25">
      <c r="A168" s="402"/>
      <c r="B168" s="388" t="s">
        <v>434</v>
      </c>
      <c r="C168" s="389">
        <f>SUM(C166)</f>
        <v>0</v>
      </c>
      <c r="D168" s="454"/>
      <c r="E168" s="389">
        <f>SUM(E166)</f>
        <v>0</v>
      </c>
      <c r="F168" s="454"/>
      <c r="G168" s="389">
        <f t="shared" ref="G168:L168" si="78">SUM(G166)</f>
        <v>0</v>
      </c>
      <c r="H168" s="455">
        <f t="shared" si="78"/>
        <v>0</v>
      </c>
      <c r="I168" s="455">
        <f t="shared" si="78"/>
        <v>0</v>
      </c>
      <c r="J168" s="389">
        <f t="shared" si="78"/>
        <v>0</v>
      </c>
      <c r="K168" s="389">
        <f t="shared" si="78"/>
        <v>0</v>
      </c>
      <c r="L168" s="389">
        <f t="shared" si="78"/>
        <v>0</v>
      </c>
    </row>
    <row r="170" spans="1:12" s="376" customFormat="1" x14ac:dyDescent="0.25">
      <c r="A170" s="402"/>
      <c r="B170" s="388" t="s">
        <v>458</v>
      </c>
      <c r="C170" s="389">
        <f>C161+C168</f>
        <v>0</v>
      </c>
      <c r="D170" s="454"/>
      <c r="E170" s="389">
        <f>E161+E168</f>
        <v>0</v>
      </c>
      <c r="F170" s="454"/>
      <c r="G170" s="389">
        <f>G161+G168</f>
        <v>0</v>
      </c>
      <c r="H170" s="455"/>
      <c r="I170" s="455"/>
      <c r="J170" s="389">
        <f>J161+J168</f>
        <v>0</v>
      </c>
      <c r="K170" s="389">
        <f>K161+K168</f>
        <v>0</v>
      </c>
      <c r="L170" s="389">
        <f>L161+L168</f>
        <v>0</v>
      </c>
    </row>
  </sheetData>
  <mergeCells count="8">
    <mergeCell ref="E5:E6"/>
    <mergeCell ref="F5:F6"/>
    <mergeCell ref="J5:L5"/>
    <mergeCell ref="A154:B154"/>
    <mergeCell ref="A163:B163"/>
    <mergeCell ref="A5:A6"/>
    <mergeCell ref="B5:B6"/>
    <mergeCell ref="D5:D6"/>
  </mergeCells>
  <printOptions horizontalCentered="1"/>
  <pageMargins left="0.59055118110236227" right="0.59055118110236227" top="1.1811023622047245" bottom="0.78740157480314965" header="0.19685039370078741" footer="0.19685039370078741"/>
  <pageSetup paperSize="9" scale="54" fitToHeight="8" orientation="landscape" r:id="rId1"/>
  <headerFooter>
    <oddHeader xml:space="preserve">&amp;L&amp;"Arial,Fett"&amp;22Salzlandkreis&amp;11
&amp;12Der Landrat&amp;C&amp;"Arial,Fett"
Kostenkalkulation&amp;R&amp;G
</oddHeader>
    <oddFooter>&amp;L&amp;"Arial,Standard"&amp;8Ausfertigung vom &amp;D &amp;T&amp;R&amp;"Arial,Standard"&amp;8&amp;P von &amp;N</oddFooter>
  </headerFooter>
  <rowBreaks count="2" manualBreakCount="2">
    <brk id="56" max="16383" man="1"/>
    <brk id="11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77"/>
  <sheetViews>
    <sheetView showGridLines="0" view="pageLayout" zoomScale="90" zoomScaleNormal="80" zoomScalePageLayoutView="90" workbookViewId="0">
      <selection activeCell="A2" sqref="A2"/>
    </sheetView>
  </sheetViews>
  <sheetFormatPr baseColWidth="10" defaultColWidth="11.42578125" defaultRowHeight="12.75" x14ac:dyDescent="0.25"/>
  <cols>
    <col min="1" max="1" width="64.42578125" style="365" bestFit="1" customWidth="1"/>
    <col min="2" max="2" width="20.7109375" style="156" customWidth="1"/>
    <col min="3" max="5" width="14.5703125" style="156" customWidth="1"/>
    <col min="6" max="16384" width="11.42578125" style="156"/>
  </cols>
  <sheetData>
    <row r="1" spans="1:5" x14ac:dyDescent="0.25">
      <c r="B1" s="116"/>
      <c r="D1" s="328" t="s">
        <v>406</v>
      </c>
      <c r="E1" s="328" t="s">
        <v>407</v>
      </c>
    </row>
    <row r="2" spans="1:5" x14ac:dyDescent="0.25">
      <c r="A2" s="903">
        <f>IF(Grundlagen!$C$4=0,"",Grundlagen!$C$4)</f>
        <v>2022</v>
      </c>
      <c r="B2" s="1058" t="s">
        <v>408</v>
      </c>
      <c r="C2" s="1058"/>
      <c r="D2" s="367" t="str">
        <f>'INTERN Kostenrechnung'!$I$1</f>
        <v/>
      </c>
      <c r="E2" s="368" t="str">
        <f>'INTERN Kostenrechnung'!$K$1</f>
        <v/>
      </c>
    </row>
    <row r="3" spans="1:5" x14ac:dyDescent="0.25">
      <c r="A3" s="369" t="str">
        <f>IF(Grundlagen!$C$6=0,"",Grundlagen!$C$6)</f>
        <v/>
      </c>
      <c r="B3" s="1058" t="s">
        <v>409</v>
      </c>
      <c r="C3" s="1058"/>
      <c r="D3" s="367" t="str">
        <f>'INTERN Kostenrechnung'!$I$2</f>
        <v/>
      </c>
      <c r="E3" s="368" t="str">
        <f>'INTERN Kostenrechnung'!$K$2</f>
        <v/>
      </c>
    </row>
    <row r="4" spans="1:5" x14ac:dyDescent="0.25">
      <c r="A4" s="370" t="str">
        <f>IF(Grundlagen!$C$9=0,"",Grundlagen!$C$9)</f>
        <v/>
      </c>
      <c r="B4" s="1058" t="s">
        <v>410</v>
      </c>
      <c r="C4" s="1058"/>
      <c r="D4" s="367" t="str">
        <f>'INTERN Kostenrechnung'!$I$3</f>
        <v/>
      </c>
      <c r="E4" s="368" t="str">
        <f>'INTERN Kostenrechnung'!$K$3</f>
        <v/>
      </c>
    </row>
    <row r="5" spans="1:5" x14ac:dyDescent="0.25">
      <c r="B5" s="1044" t="s">
        <v>411</v>
      </c>
      <c r="C5" s="1044"/>
      <c r="D5" s="371" t="str">
        <f>'INTERN Kostenrechnung'!$G$2</f>
        <v/>
      </c>
      <c r="E5" s="372" t="str">
        <f>'INTERN Kostenrechnung'!$L$2</f>
        <v/>
      </c>
    </row>
    <row r="6" spans="1:5" x14ac:dyDescent="0.25">
      <c r="B6" s="1044" t="s">
        <v>412</v>
      </c>
      <c r="C6" s="1044"/>
      <c r="D6" s="373" t="str">
        <f>'INTERN Kostenrechnung'!$G$1</f>
        <v/>
      </c>
    </row>
    <row r="7" spans="1:5" x14ac:dyDescent="0.25">
      <c r="B7" s="116"/>
      <c r="C7" s="374"/>
      <c r="D7" s="356"/>
      <c r="E7" s="375"/>
    </row>
    <row r="8" spans="1:5" s="376" customFormat="1" x14ac:dyDescent="0.25">
      <c r="A8" s="1087" t="s">
        <v>413</v>
      </c>
      <c r="B8" s="1079" t="s">
        <v>414</v>
      </c>
      <c r="C8" s="1089" t="s">
        <v>415</v>
      </c>
      <c r="D8" s="1090"/>
      <c r="E8" s="1091"/>
    </row>
    <row r="9" spans="1:5" s="376" customFormat="1" x14ac:dyDescent="0.25">
      <c r="A9" s="1088"/>
      <c r="B9" s="1080"/>
      <c r="C9" s="377" t="s">
        <v>416</v>
      </c>
      <c r="D9" s="377" t="s">
        <v>417</v>
      </c>
      <c r="E9" s="377" t="s">
        <v>418</v>
      </c>
    </row>
    <row r="10" spans="1:5" s="270" customFormat="1" x14ac:dyDescent="0.25">
      <c r="A10" s="378"/>
      <c r="B10" s="379"/>
      <c r="C10" s="356"/>
      <c r="D10" s="356"/>
      <c r="E10" s="356"/>
    </row>
    <row r="11" spans="1:5" x14ac:dyDescent="0.25">
      <c r="A11" s="380" t="s">
        <v>353</v>
      </c>
      <c r="B11" s="381"/>
      <c r="C11" s="381"/>
      <c r="D11" s="381"/>
      <c r="E11" s="381"/>
    </row>
    <row r="12" spans="1:5" ht="39.75" customHeight="1" x14ac:dyDescent="0.25">
      <c r="A12" s="447" t="str">
        <f>'INTERN Kostenrechnung'!$B$10</f>
        <v xml:space="preserve">Kosten der päd. Fach-/Hilfskräfte, einschl. Erziehertätigkeit der Leiter/innen                                                                                                       (inkl. AG-Anteile zur SV und BAV SV-frei)  </v>
      </c>
      <c r="B12" s="382">
        <f>'INTERN Kostenrechnung'!$E$10</f>
        <v>0</v>
      </c>
      <c r="C12" s="383">
        <f>IF($E$2="",0,(B12/$D$5*$D$2/$E$2))</f>
        <v>0</v>
      </c>
      <c r="D12" s="383">
        <f>IF($E$3="",0,(B12/$D$5*$D$3/$E$3))</f>
        <v>0</v>
      </c>
      <c r="E12" s="383">
        <f>IF($E$4="",0,(B12/$D$5*$D$4/$E$4))</f>
        <v>0</v>
      </c>
    </row>
    <row r="13" spans="1:5" x14ac:dyDescent="0.25">
      <c r="A13" s="447" t="str">
        <f>'INTERN Kostenrechnung'!$B$16</f>
        <v>Kosten Altersteilzeit (Aktivphase)</v>
      </c>
      <c r="B13" s="382">
        <f>'INTERN Kostenrechnung'!$E$16</f>
        <v>0</v>
      </c>
      <c r="C13" s="383">
        <f>IF($E$2="",0,(B13/$D$5*$D$2/$E$2))</f>
        <v>0</v>
      </c>
      <c r="D13" s="383">
        <f>IF($E$3="",0,(B13/$D$5*$D$3/$E$3))</f>
        <v>0</v>
      </c>
      <c r="E13" s="383">
        <f>IF($E$4="",0,(B13/$D$5*$D$4/$E$4))</f>
        <v>0</v>
      </c>
    </row>
    <row r="14" spans="1:5" s="118" customFormat="1" x14ac:dyDescent="0.25">
      <c r="A14" s="904" t="str">
        <f>'INTERN Kostenrechnung'!$B$17</f>
        <v>abzüglich/zuzüglich Personalkostenüberhang/-defizit</v>
      </c>
      <c r="B14" s="385">
        <f>'INTERN Kostenrechnung'!$E$17</f>
        <v>0</v>
      </c>
      <c r="C14" s="383">
        <f>IF($E$2="",0,(B14/$D$5*$D$2/$E$2))</f>
        <v>0</v>
      </c>
      <c r="D14" s="383">
        <f>IF($E$3="",0,(B14/$D$5*$D$3/$E$3))</f>
        <v>0</v>
      </c>
      <c r="E14" s="383">
        <f>IF($E$4="",0,(B14/$D$5*$D$4/$E$4))</f>
        <v>0</v>
      </c>
    </row>
    <row r="15" spans="1:5" s="118" customFormat="1" x14ac:dyDescent="0.25">
      <c r="A15" s="384" t="s">
        <v>419</v>
      </c>
      <c r="B15" s="385">
        <f>IF(B12=0,0,-(SUM(B12:B14)/('INTERN Personalstunden'!I13-'INTERN Personalstunden'!I25)*'INTERN Personalstunden'!I36))</f>
        <v>0</v>
      </c>
      <c r="C15" s="383">
        <f>IF($E$2="",0,(B15/$D$5*$D$2/$E$2))</f>
        <v>0</v>
      </c>
      <c r="D15" s="383">
        <f>IF($E$3="",0,(B15/$D$5*$D$3/$E$3))</f>
        <v>0</v>
      </c>
      <c r="E15" s="383">
        <f>IF($E$4="",0,(B15/$D$5*$D$4/$E$4))</f>
        <v>0</v>
      </c>
    </row>
    <row r="16" spans="1:5" s="376" customFormat="1" ht="15" x14ac:dyDescent="0.25">
      <c r="A16" s="386" t="s">
        <v>2</v>
      </c>
      <c r="B16" s="387">
        <f>SUM(B12:B15)</f>
        <v>0</v>
      </c>
      <c r="C16" s="387">
        <f t="shared" ref="C16:E16" si="0">SUM(C12:C15)</f>
        <v>0</v>
      </c>
      <c r="D16" s="387">
        <f t="shared" si="0"/>
        <v>0</v>
      </c>
      <c r="E16" s="387">
        <f t="shared" si="0"/>
        <v>0</v>
      </c>
    </row>
    <row r="18" spans="1:5" s="376" customFormat="1" x14ac:dyDescent="0.25">
      <c r="A18" s="388" t="s">
        <v>420</v>
      </c>
      <c r="B18" s="389">
        <f>B16</f>
        <v>0</v>
      </c>
      <c r="C18" s="389">
        <f>C16</f>
        <v>0</v>
      </c>
      <c r="D18" s="389">
        <f>D16</f>
        <v>0</v>
      </c>
      <c r="E18" s="389">
        <f>E16</f>
        <v>0</v>
      </c>
    </row>
    <row r="20" spans="1:5" x14ac:dyDescent="0.25">
      <c r="A20" s="380" t="s">
        <v>421</v>
      </c>
      <c r="B20" s="390"/>
      <c r="C20" s="390"/>
      <c r="D20" s="390"/>
      <c r="E20" s="390"/>
    </row>
    <row r="21" spans="1:5" ht="23.25" customHeight="1" x14ac:dyDescent="0.25">
      <c r="A21" s="447" t="str">
        <f>'INTERN Kostenrechnung'!$B$11</f>
        <v xml:space="preserve">Leitungsstunden                                                                                                                                                                                                     (inkl. AG-Anteile zur SV und BAV SV-frei) </v>
      </c>
      <c r="B21" s="382">
        <f>'INTERN Kostenrechnung'!$E$11</f>
        <v>0</v>
      </c>
      <c r="C21" s="383">
        <f>IF($E$2="",0,(B21/$D$5*$D$2/$E$2))</f>
        <v>0</v>
      </c>
      <c r="D21" s="383">
        <f t="shared" ref="D21:D26" si="1">IF($E$3="",0,(B21/$D$5*$D$3/$E$3))</f>
        <v>0</v>
      </c>
      <c r="E21" s="383">
        <f t="shared" ref="E21:E26" si="2">IF($E$4="",0,(B21/$D$5*$D$4/$E$4))</f>
        <v>0</v>
      </c>
    </row>
    <row r="22" spans="1:5" s="118" customFormat="1" x14ac:dyDescent="0.25">
      <c r="A22" s="384" t="s">
        <v>422</v>
      </c>
      <c r="B22" s="382">
        <f>IF(B15=0,0,IF(B15&lt;0,-B15,B15))</f>
        <v>0</v>
      </c>
      <c r="C22" s="383">
        <f>IF($E$2="",0,(B22/$D$5*$D$2/$E$2))</f>
        <v>0</v>
      </c>
      <c r="D22" s="383">
        <f t="shared" si="1"/>
        <v>0</v>
      </c>
      <c r="E22" s="383">
        <f t="shared" si="2"/>
        <v>0</v>
      </c>
    </row>
    <row r="23" spans="1:5" x14ac:dyDescent="0.25">
      <c r="A23" s="447" t="str">
        <f>'INTERN Kostenrechnung'!$B$12</f>
        <v>Schwerbehindertenausgleichsabgabe</v>
      </c>
      <c r="B23" s="382">
        <f>'INTERN Kostenrechnung'!$E$12</f>
        <v>0</v>
      </c>
      <c r="C23" s="383">
        <f>IF($E$2="",0,(B23/$D$5*$D$2/$E$2))</f>
        <v>0</v>
      </c>
      <c r="D23" s="383">
        <f t="shared" si="1"/>
        <v>0</v>
      </c>
      <c r="E23" s="383">
        <f t="shared" si="2"/>
        <v>0</v>
      </c>
    </row>
    <row r="24" spans="1:5" x14ac:dyDescent="0.25">
      <c r="A24" s="447" t="str">
        <f>'INTERN Kostenrechnung'!$B$13</f>
        <v>Berufsgenossenschaft (inkl. etwaig Wohlfahrtspflege) bzw. Unfallkasse</v>
      </c>
      <c r="B24" s="382">
        <f>'INTERN Kostenrechnung'!E13</f>
        <v>0</v>
      </c>
      <c r="C24" s="383">
        <f>IF($E$2="",0,(B24/$D$5*$D$2/$E$2))</f>
        <v>0</v>
      </c>
      <c r="D24" s="383">
        <f t="shared" si="1"/>
        <v>0</v>
      </c>
      <c r="E24" s="383">
        <f t="shared" si="2"/>
        <v>0</v>
      </c>
    </row>
    <row r="25" spans="1:5" x14ac:dyDescent="0.25">
      <c r="A25" s="447" t="str">
        <f>'INTERN Kostenrechnung'!$B$14</f>
        <v>Finanzierungsbeitrag / Sanierungsgeld / Sonstiges</v>
      </c>
      <c r="B25" s="382">
        <f>'INTERN Kostenrechnung'!$E$14</f>
        <v>0</v>
      </c>
      <c r="C25" s="383">
        <f>IF($E$2="",0,(B25/$D$5*$D$2/$E$2))</f>
        <v>0</v>
      </c>
      <c r="D25" s="383">
        <f t="shared" si="1"/>
        <v>0</v>
      </c>
      <c r="E25" s="383">
        <f t="shared" si="2"/>
        <v>0</v>
      </c>
    </row>
    <row r="26" spans="1:5" x14ac:dyDescent="0.25">
      <c r="A26" s="447" t="str">
        <f>'INTERN Kostenrechnung'!$B$15</f>
        <v>Betriebsmedizin / Arbeitsmedizin</v>
      </c>
      <c r="B26" s="382">
        <f>'INTERN Kostenrechnung'!E15</f>
        <v>0</v>
      </c>
      <c r="C26" s="383">
        <f t="shared" ref="C26" si="3">IF($E$2="",0,(B26/$D$5*$D$2/$E$2))</f>
        <v>0</v>
      </c>
      <c r="D26" s="383">
        <f t="shared" si="1"/>
        <v>0</v>
      </c>
      <c r="E26" s="383">
        <f t="shared" si="2"/>
        <v>0</v>
      </c>
    </row>
    <row r="27" spans="1:5" s="376" customFormat="1" ht="15" x14ac:dyDescent="0.25">
      <c r="A27" s="391" t="str">
        <f>A20</f>
        <v>sonstige Personalkosten</v>
      </c>
      <c r="B27" s="392">
        <f>SUM(B21:B26)</f>
        <v>0</v>
      </c>
      <c r="C27" s="392">
        <f>SUM(C21:C26)</f>
        <v>0</v>
      </c>
      <c r="D27" s="392">
        <f>SUM(D21:D26)</f>
        <v>0</v>
      </c>
      <c r="E27" s="392">
        <f>SUM(E21:E26)</f>
        <v>0</v>
      </c>
    </row>
    <row r="28" spans="1:5" x14ac:dyDescent="0.25">
      <c r="A28" s="393"/>
      <c r="B28" s="394"/>
      <c r="C28" s="394"/>
      <c r="D28" s="394"/>
      <c r="E28" s="394"/>
    </row>
    <row r="29" spans="1:5" s="376" customFormat="1" ht="15" x14ac:dyDescent="0.25">
      <c r="A29" s="395" t="s">
        <v>423</v>
      </c>
      <c r="B29" s="396">
        <f>'INTERN Kostenrechnung'!$E$33</f>
        <v>0</v>
      </c>
      <c r="C29" s="396">
        <f>'INTERN Kostenrechnung'!J33</f>
        <v>0</v>
      </c>
      <c r="D29" s="396">
        <f>'INTERN Kostenrechnung'!K33</f>
        <v>0</v>
      </c>
      <c r="E29" s="396">
        <f>'INTERN Kostenrechnung'!L33</f>
        <v>0</v>
      </c>
    </row>
    <row r="31" spans="1:5" s="376" customFormat="1" ht="15" x14ac:dyDescent="0.25">
      <c r="A31" s="386" t="s">
        <v>424</v>
      </c>
      <c r="B31" s="387">
        <f>(IF('INTERN Kostenrechnung'!E84&lt;=3000,'INTERN Kostenrechnung'!E99,'INTERN Kostenrechnung'!E99-('INTERN Kostenrechnung'!E84-3000)))-(IF('INTERN Kostenrechnung'!E85&gt;0,'INTERN Kostenrechnung'!E85,0))</f>
        <v>0</v>
      </c>
      <c r="C31" s="387">
        <f>'INTERN Kostenrechnung'!J99-C49-C51</f>
        <v>0</v>
      </c>
      <c r="D31" s="387">
        <f>'INTERN Kostenrechnung'!K99-D49-D51</f>
        <v>0</v>
      </c>
      <c r="E31" s="387">
        <f>'INTERN Kostenrechnung'!L99-E49-E51</f>
        <v>0</v>
      </c>
    </row>
    <row r="33" spans="1:5" s="376" customFormat="1" ht="15" x14ac:dyDescent="0.25">
      <c r="A33" s="386" t="s">
        <v>425</v>
      </c>
      <c r="B33" s="387">
        <f>'INTERN Kostenrechnung'!$E$102</f>
        <v>0</v>
      </c>
      <c r="C33" s="387">
        <f>'INTERN Kostenrechnung'!J102</f>
        <v>0</v>
      </c>
      <c r="D33" s="387">
        <f>'INTERN Kostenrechnung'!K102</f>
        <v>0</v>
      </c>
      <c r="E33" s="387">
        <f>'INTERN Kostenrechnung'!L102</f>
        <v>0</v>
      </c>
    </row>
    <row r="35" spans="1:5" s="376" customFormat="1" ht="15" x14ac:dyDescent="0.25">
      <c r="A35" s="386" t="s">
        <v>426</v>
      </c>
      <c r="B35" s="387">
        <f>'INTERN Kostenrechnung'!$E$112</f>
        <v>0</v>
      </c>
      <c r="C35" s="387">
        <f>'INTERN Kostenrechnung'!J112</f>
        <v>0</v>
      </c>
      <c r="D35" s="387">
        <f>'INTERN Kostenrechnung'!K112</f>
        <v>0</v>
      </c>
      <c r="E35" s="387">
        <f>'INTERN Kostenrechnung'!L112</f>
        <v>0</v>
      </c>
    </row>
    <row r="37" spans="1:5" s="376" customFormat="1" ht="15" x14ac:dyDescent="0.25">
      <c r="A37" s="386" t="s">
        <v>427</v>
      </c>
      <c r="B37" s="387">
        <f>'INTERN Kostenrechnung'!$E$120</f>
        <v>0</v>
      </c>
      <c r="C37" s="387">
        <f>'INTERN Kostenrechnung'!J120</f>
        <v>0</v>
      </c>
      <c r="D37" s="387">
        <f>'INTERN Kostenrechnung'!K120</f>
        <v>0</v>
      </c>
      <c r="E37" s="387">
        <f>'INTERN Kostenrechnung'!L120</f>
        <v>0</v>
      </c>
    </row>
    <row r="39" spans="1:5" s="376" customFormat="1" ht="15" x14ac:dyDescent="0.25">
      <c r="A39" s="386" t="s">
        <v>428</v>
      </c>
      <c r="B39" s="387">
        <f>'INTERN Kostenrechnung'!$E$124</f>
        <v>0</v>
      </c>
      <c r="C39" s="387">
        <f>'INTERN Kostenrechnung'!J124</f>
        <v>0</v>
      </c>
      <c r="D39" s="387">
        <f>'INTERN Kostenrechnung'!K124</f>
        <v>0</v>
      </c>
      <c r="E39" s="387">
        <f>'INTERN Kostenrechnung'!L124</f>
        <v>0</v>
      </c>
    </row>
    <row r="41" spans="1:5" s="376" customFormat="1" ht="15" x14ac:dyDescent="0.25">
      <c r="A41" s="386" t="s">
        <v>429</v>
      </c>
      <c r="B41" s="387">
        <f>'INTERN Kostenrechnung'!$E$134</f>
        <v>0</v>
      </c>
      <c r="C41" s="387">
        <f>'INTERN Kostenrechnung'!J134</f>
        <v>0</v>
      </c>
      <c r="D41" s="387">
        <f>'INTERN Kostenrechnung'!K134</f>
        <v>0</v>
      </c>
      <c r="E41" s="387">
        <f>'INTERN Kostenrechnung'!L134</f>
        <v>0</v>
      </c>
    </row>
    <row r="43" spans="1:5" s="376" customFormat="1" x14ac:dyDescent="0.25">
      <c r="A43" s="388" t="s">
        <v>430</v>
      </c>
      <c r="B43" s="389">
        <f>SUM(B27,B29,B31,B33,B35,B37,B39,B41)</f>
        <v>0</v>
      </c>
      <c r="C43" s="389">
        <f>SUM(C27,C29,C31,C33,C35,C37,C39,C41)</f>
        <v>0</v>
      </c>
      <c r="D43" s="389">
        <f>SUM(D27,D29,D31,D33,D35,D37,D39,D41)</f>
        <v>0</v>
      </c>
      <c r="E43" s="389">
        <f>SUM(E27,E29,E31,E33,E35,E37,E39,E41)</f>
        <v>0</v>
      </c>
    </row>
    <row r="45" spans="1:5" s="376" customFormat="1" x14ac:dyDescent="0.25">
      <c r="A45" s="388" t="s">
        <v>431</v>
      </c>
      <c r="B45" s="389">
        <f>SUM(B18,B43)</f>
        <v>0</v>
      </c>
      <c r="C45" s="389">
        <f>SUM(C18,C43)</f>
        <v>0</v>
      </c>
      <c r="D45" s="389">
        <f>SUM(D18,D43)</f>
        <v>0</v>
      </c>
      <c r="E45" s="389">
        <f>SUM(E18,E43)</f>
        <v>0</v>
      </c>
    </row>
    <row r="47" spans="1:5" ht="15.75" x14ac:dyDescent="0.25">
      <c r="A47" s="397" t="s">
        <v>432</v>
      </c>
      <c r="B47" s="397"/>
      <c r="C47" s="397"/>
      <c r="D47" s="397"/>
      <c r="E47" s="397"/>
    </row>
    <row r="49" spans="1:5" ht="15" x14ac:dyDescent="0.25">
      <c r="A49" s="398" t="s">
        <v>365</v>
      </c>
      <c r="B49" s="387">
        <f>IF('INTERN Kostenrechnung'!$E$84&gt;=3000,'INTERN Kostenrechnung'!$E$84-3000,0)</f>
        <v>0</v>
      </c>
      <c r="C49" s="387">
        <f>IF(E2="",0,B49/E5)</f>
        <v>0</v>
      </c>
      <c r="D49" s="387">
        <f>IF(E3="",0,B49/E5)</f>
        <v>0</v>
      </c>
      <c r="E49" s="387">
        <f>IF(E4="",0,B49/E5)</f>
        <v>0</v>
      </c>
    </row>
    <row r="51" spans="1:5" ht="15" x14ac:dyDescent="0.25">
      <c r="A51" s="398" t="s">
        <v>378</v>
      </c>
      <c r="B51" s="387">
        <f>'INTERN Kostenrechnung'!E85</f>
        <v>0</v>
      </c>
      <c r="C51" s="387">
        <f>IF('INTERN Kostenrechnung'!E85&gt;0,'INTERN Kostenrechnung'!J85,0)</f>
        <v>0</v>
      </c>
      <c r="D51" s="387">
        <f>IF('INTERN Kostenrechnung'!E85&gt;0,'INTERN Kostenrechnung'!K85,0)</f>
        <v>0</v>
      </c>
      <c r="E51" s="387">
        <f>IF('INTERN Kostenrechnung'!E85&gt;0,'INTERN Kostenrechnung'!L85,0)</f>
        <v>0</v>
      </c>
    </row>
    <row r="53" spans="1:5" ht="15" x14ac:dyDescent="0.25">
      <c r="A53" s="398" t="s">
        <v>379</v>
      </c>
      <c r="B53" s="387">
        <f>IF('INTERN Kostenrechnung'!$E$103&gt;'INTERN Kostenrechnung'!$E$102,'INTERN Kostenrechnung'!$E$103-'INTERN Kostenrechnung'!$E$102,0)</f>
        <v>0</v>
      </c>
      <c r="C53" s="387">
        <f>IF('INTERN Kostenrechnung'!E103&gt;'INTERN Kostenrechnung'!E102,'INTERN Kostenrechnung'!J103-'INTERN Kostenrechnung'!J102,0)</f>
        <v>0</v>
      </c>
      <c r="D53" s="387">
        <f>IF('INTERN Kostenrechnung'!E103&gt;'INTERN Kostenrechnung'!E102,'INTERN Kostenrechnung'!K103-'INTERN Kostenrechnung'!K102,0)</f>
        <v>0</v>
      </c>
      <c r="E53" s="387">
        <f>IF('INTERN Kostenrechnung'!E103&gt;'INTERN Kostenrechnung'!E102,'INTERN Kostenrechnung'!L103-'INTERN Kostenrechnung'!L102,0)</f>
        <v>0</v>
      </c>
    </row>
    <row r="55" spans="1:5" ht="15" x14ac:dyDescent="0.25">
      <c r="A55" s="398" t="s">
        <v>356</v>
      </c>
      <c r="B55" s="387">
        <f>'INTERN Kostenrechnung'!E123</f>
        <v>0</v>
      </c>
      <c r="C55" s="387">
        <f>IF('INTERN Kostenrechnung'!E123&gt;0,'INTERN Kostenrechnung'!J123,0)</f>
        <v>0</v>
      </c>
      <c r="D55" s="387">
        <f>IF('INTERN Kostenrechnung'!E123&gt;0,'INTERN Kostenrechnung'!K123,0)</f>
        <v>0</v>
      </c>
      <c r="E55" s="387">
        <f>IF('INTERN Kostenrechnung'!E123&gt;0,'INTERN Kostenrechnung'!L123,0)</f>
        <v>0</v>
      </c>
    </row>
    <row r="57" spans="1:5" x14ac:dyDescent="0.25">
      <c r="A57" s="399" t="s">
        <v>431</v>
      </c>
      <c r="B57" s="389">
        <f>B49+B51+B53+B55</f>
        <v>0</v>
      </c>
      <c r="C57" s="389">
        <f>C49+C51+C53+C55</f>
        <v>0</v>
      </c>
      <c r="D57" s="389">
        <f>D49+D51+D53+D55</f>
        <v>0</v>
      </c>
      <c r="E57" s="389">
        <f>E49+E51+E53+E55</f>
        <v>0</v>
      </c>
    </row>
    <row r="58" spans="1:5" ht="15" x14ac:dyDescent="0.25">
      <c r="A58" s="156" t="s">
        <v>433</v>
      </c>
      <c r="B58"/>
      <c r="C58"/>
      <c r="D58"/>
      <c r="E58"/>
    </row>
    <row r="60" spans="1:5" ht="15.75" x14ac:dyDescent="0.25">
      <c r="A60" s="400" t="s">
        <v>434</v>
      </c>
      <c r="B60" s="401">
        <f>B45+B57</f>
        <v>0</v>
      </c>
      <c r="C60" s="401">
        <f t="shared" ref="C60:E60" si="4">C45+C57</f>
        <v>0</v>
      </c>
      <c r="D60" s="401">
        <f t="shared" si="4"/>
        <v>0</v>
      </c>
      <c r="E60" s="401">
        <f t="shared" si="4"/>
        <v>0</v>
      </c>
    </row>
    <row r="134" spans="1:1" ht="15" customHeight="1" x14ac:dyDescent="0.25">
      <c r="A134" s="156"/>
    </row>
    <row r="135" spans="1:1" ht="15" customHeight="1" x14ac:dyDescent="0.25">
      <c r="A135" s="156"/>
    </row>
    <row r="136" spans="1:1" x14ac:dyDescent="0.25">
      <c r="A136" s="156"/>
    </row>
    <row r="137" spans="1:1" x14ac:dyDescent="0.25">
      <c r="A137" s="156"/>
    </row>
    <row r="141" spans="1:1" ht="15" customHeight="1" x14ac:dyDescent="0.25">
      <c r="A141" s="156"/>
    </row>
    <row r="142" spans="1:1" ht="15" customHeight="1" x14ac:dyDescent="0.25">
      <c r="A142" s="156"/>
    </row>
    <row r="143" spans="1:1" ht="15" customHeight="1" x14ac:dyDescent="0.25">
      <c r="A143" s="156"/>
    </row>
    <row r="144" spans="1:1" ht="15" customHeight="1" x14ac:dyDescent="0.25">
      <c r="A144" s="156"/>
    </row>
    <row r="145" spans="1:1" ht="15" customHeight="1" x14ac:dyDescent="0.25">
      <c r="A145" s="156"/>
    </row>
    <row r="146" spans="1:1" ht="15" customHeight="1" x14ac:dyDescent="0.25">
      <c r="A146" s="156"/>
    </row>
    <row r="147" spans="1:1" x14ac:dyDescent="0.25">
      <c r="A147" s="156"/>
    </row>
    <row r="148" spans="1:1" x14ac:dyDescent="0.25">
      <c r="A148" s="156"/>
    </row>
    <row r="153" spans="1:1" ht="15" customHeight="1" x14ac:dyDescent="0.25">
      <c r="A153" s="156"/>
    </row>
    <row r="154" spans="1:1" ht="15" customHeight="1" x14ac:dyDescent="0.25">
      <c r="A154" s="156"/>
    </row>
    <row r="155" spans="1:1" ht="15" customHeight="1" x14ac:dyDescent="0.25">
      <c r="A155" s="156"/>
    </row>
    <row r="156" spans="1:1" ht="15" customHeight="1" x14ac:dyDescent="0.25">
      <c r="A156" s="156"/>
    </row>
    <row r="157" spans="1:1" ht="15" customHeight="1" x14ac:dyDescent="0.25">
      <c r="A157" s="156"/>
    </row>
    <row r="158" spans="1:1" ht="15" customHeight="1" x14ac:dyDescent="0.25">
      <c r="A158" s="156"/>
    </row>
    <row r="159" spans="1:1" x14ac:dyDescent="0.25">
      <c r="A159" s="156"/>
    </row>
    <row r="160" spans="1:1" x14ac:dyDescent="0.25">
      <c r="A160" s="156"/>
    </row>
    <row r="167" spans="1:1" ht="15" customHeight="1" x14ac:dyDescent="0.25">
      <c r="A167" s="156"/>
    </row>
    <row r="168" spans="1:1" ht="15" customHeight="1" x14ac:dyDescent="0.25">
      <c r="A168" s="156"/>
    </row>
    <row r="169" spans="1:1" ht="15" customHeight="1" x14ac:dyDescent="0.25">
      <c r="A169" s="156"/>
    </row>
    <row r="170" spans="1:1" ht="15" customHeight="1" x14ac:dyDescent="0.25">
      <c r="A170" s="156"/>
    </row>
    <row r="171" spans="1:1" ht="15" customHeight="1" x14ac:dyDescent="0.25">
      <c r="A171" s="156"/>
    </row>
    <row r="172" spans="1:1" ht="15" customHeight="1" x14ac:dyDescent="0.25">
      <c r="A172" s="156"/>
    </row>
    <row r="173" spans="1:1" ht="15" customHeight="1" x14ac:dyDescent="0.25">
      <c r="A173" s="156"/>
    </row>
    <row r="174" spans="1:1" ht="15" customHeight="1" x14ac:dyDescent="0.25">
      <c r="A174" s="156"/>
    </row>
    <row r="175" spans="1:1" ht="15" customHeight="1" x14ac:dyDescent="0.25">
      <c r="A175" s="156"/>
    </row>
    <row r="176" spans="1:1" x14ac:dyDescent="0.25">
      <c r="A176" s="156"/>
    </row>
    <row r="177" s="156" customFormat="1" x14ac:dyDescent="0.25"/>
  </sheetData>
  <mergeCells count="8">
    <mergeCell ref="A8:A9"/>
    <mergeCell ref="B8:B9"/>
    <mergeCell ref="C8:E8"/>
    <mergeCell ref="B2:C2"/>
    <mergeCell ref="B3:C3"/>
    <mergeCell ref="B4:C4"/>
    <mergeCell ref="B5:C5"/>
    <mergeCell ref="B6:C6"/>
  </mergeCells>
  <printOptions horizontalCentered="1"/>
  <pageMargins left="0.59055118110236227" right="0.59055118110236227" top="1.1811023622047245" bottom="0.78740157480314965" header="0.19685039370078741" footer="0.19685039370078741"/>
  <pageSetup paperSize="9" scale="69" orientation="portrait" r:id="rId1"/>
  <headerFooter>
    <oddHeader xml:space="preserve">&amp;L&amp;"Arial,Fett"&amp;22Salzlandkreis&amp;11
&amp;12Der Landrat&amp;C&amp;"Arial,Fett"
Platzkalkulation
Personal- und Sachkosten&amp;R&amp;G
</oddHeader>
    <oddFooter>&amp;L&amp;"Arial,Standard"&amp;8Ausfertigung vom &amp;D &amp;T&amp;R&amp;"Arial,Standard"&amp;8&amp;P von &amp;N</oddFooter>
  </headerFooter>
  <rowBreaks count="1" manualBreakCount="1">
    <brk id="111"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182"/>
  <sheetViews>
    <sheetView showGridLines="0" view="pageLayout" zoomScaleNormal="100" workbookViewId="0">
      <selection activeCell="C1" sqref="C1:W1"/>
    </sheetView>
  </sheetViews>
  <sheetFormatPr baseColWidth="10" defaultColWidth="11.42578125" defaultRowHeight="12.75" x14ac:dyDescent="0.25"/>
  <cols>
    <col min="1" max="1" width="5.42578125" style="323" customWidth="1"/>
    <col min="2" max="2" width="7.140625" style="320" customWidth="1"/>
    <col min="3" max="3" width="6.85546875" style="321" customWidth="1"/>
    <col min="4" max="4" width="5.85546875" style="320" hidden="1" customWidth="1"/>
    <col min="5" max="5" width="7.85546875" style="319" hidden="1" customWidth="1"/>
    <col min="6" max="17" width="4.85546875" style="319" hidden="1" customWidth="1"/>
    <col min="18" max="18" width="6.7109375" style="320" customWidth="1"/>
    <col min="19" max="19" width="7.5703125" style="321" hidden="1" customWidth="1"/>
    <col min="20" max="22" width="11.140625" style="327" customWidth="1"/>
    <col min="23" max="23" width="15.42578125" style="327" customWidth="1"/>
    <col min="24" max="16384" width="11.42578125" style="156"/>
  </cols>
  <sheetData>
    <row r="1" spans="1:23" ht="15" customHeight="1" x14ac:dyDescent="0.25">
      <c r="A1" s="1108" t="s">
        <v>357</v>
      </c>
      <c r="B1" s="1109"/>
      <c r="C1" s="1110">
        <f>IF(Grundlagen!$C$4="","",Grundlagen!$C$4)</f>
        <v>2022</v>
      </c>
      <c r="D1" s="1110"/>
      <c r="E1" s="1110"/>
      <c r="F1" s="1110"/>
      <c r="G1" s="1110"/>
      <c r="H1" s="1110"/>
      <c r="I1" s="1110"/>
      <c r="J1" s="1110"/>
      <c r="K1" s="1110"/>
      <c r="L1" s="1110"/>
      <c r="M1" s="1110"/>
      <c r="N1" s="1110"/>
      <c r="O1" s="1110"/>
      <c r="P1" s="1110"/>
      <c r="Q1" s="1110"/>
      <c r="R1" s="1110"/>
      <c r="S1" s="1110"/>
      <c r="T1" s="1110"/>
      <c r="U1" s="1110"/>
      <c r="V1" s="1110"/>
      <c r="W1" s="1110"/>
    </row>
    <row r="2" spans="1:23" ht="15" customHeight="1" x14ac:dyDescent="0.25">
      <c r="A2" s="1108" t="s">
        <v>18</v>
      </c>
      <c r="B2" s="1109"/>
      <c r="C2" s="1111" t="str">
        <f>IF(Grundlagen!$C$6="","",Grundlagen!$C$6)</f>
        <v/>
      </c>
      <c r="D2" s="1111"/>
      <c r="E2" s="1111"/>
      <c r="F2" s="1111"/>
      <c r="G2" s="1111"/>
      <c r="H2" s="1111"/>
      <c r="I2" s="1111"/>
      <c r="J2" s="1111"/>
      <c r="K2" s="1111"/>
      <c r="L2" s="1111"/>
      <c r="M2" s="1111"/>
      <c r="N2" s="1111"/>
      <c r="O2" s="1111"/>
      <c r="P2" s="1111"/>
      <c r="Q2" s="1111"/>
      <c r="R2" s="1111"/>
      <c r="S2" s="1111"/>
      <c r="T2" s="1111"/>
      <c r="U2" s="1111"/>
      <c r="V2" s="1111"/>
      <c r="W2" s="1111"/>
    </row>
    <row r="3" spans="1:23" ht="15" customHeight="1" x14ac:dyDescent="0.25">
      <c r="A3" s="1108" t="s">
        <v>17</v>
      </c>
      <c r="B3" s="1109"/>
      <c r="C3" s="1111" t="str">
        <f>IF(Grundlagen!$C$9="","",Grundlagen!$C$9)</f>
        <v/>
      </c>
      <c r="D3" s="1111"/>
      <c r="E3" s="1111"/>
      <c r="F3" s="1111"/>
      <c r="G3" s="1111"/>
      <c r="H3" s="1111"/>
      <c r="I3" s="1111"/>
      <c r="J3" s="1111"/>
      <c r="K3" s="1111"/>
      <c r="L3" s="1111"/>
      <c r="M3" s="1111"/>
      <c r="N3" s="1111"/>
      <c r="O3" s="1111"/>
      <c r="P3" s="1111"/>
      <c r="Q3" s="1111"/>
      <c r="R3" s="1111"/>
      <c r="S3" s="1111"/>
      <c r="T3" s="1111"/>
      <c r="U3" s="1111"/>
      <c r="V3" s="1111"/>
      <c r="W3" s="1111"/>
    </row>
    <row r="4" spans="1:23" x14ac:dyDescent="0.25">
      <c r="A4" s="308"/>
      <c r="B4" s="313"/>
      <c r="C4" s="314"/>
      <c r="D4" s="313"/>
      <c r="E4" s="326"/>
      <c r="F4" s="326"/>
      <c r="G4" s="326"/>
      <c r="H4" s="326"/>
      <c r="I4" s="326"/>
      <c r="J4" s="326"/>
      <c r="K4" s="326"/>
      <c r="L4" s="326"/>
      <c r="M4" s="326"/>
      <c r="N4" s="326"/>
      <c r="O4" s="326"/>
      <c r="P4" s="326"/>
      <c r="Q4" s="326"/>
      <c r="R4" s="313"/>
    </row>
    <row r="5" spans="1:23" s="321" customFormat="1" ht="12.75" customHeight="1" x14ac:dyDescent="0.25">
      <c r="A5" s="957" t="s">
        <v>358</v>
      </c>
      <c r="B5" s="1105" t="s">
        <v>359</v>
      </c>
      <c r="C5" s="957" t="s">
        <v>360</v>
      </c>
      <c r="D5" s="957" t="s">
        <v>380</v>
      </c>
      <c r="E5" s="957" t="s">
        <v>381</v>
      </c>
      <c r="F5" s="957">
        <v>1</v>
      </c>
      <c r="G5" s="957" t="s">
        <v>382</v>
      </c>
      <c r="H5" s="957" t="s">
        <v>383</v>
      </c>
      <c r="I5" s="1104" t="s">
        <v>384</v>
      </c>
      <c r="J5" s="1104" t="s">
        <v>385</v>
      </c>
      <c r="K5" s="1104" t="s">
        <v>386</v>
      </c>
      <c r="L5" s="1104" t="s">
        <v>387</v>
      </c>
      <c r="M5" s="1104" t="s">
        <v>388</v>
      </c>
      <c r="N5" s="1104" t="s">
        <v>389</v>
      </c>
      <c r="O5" s="1104" t="s">
        <v>390</v>
      </c>
      <c r="P5" s="1104" t="s">
        <v>391</v>
      </c>
      <c r="Q5" s="1104" t="s">
        <v>392</v>
      </c>
      <c r="R5" s="1104" t="s">
        <v>361</v>
      </c>
      <c r="S5" s="1104" t="s">
        <v>393</v>
      </c>
      <c r="T5" s="1104" t="s">
        <v>394</v>
      </c>
      <c r="U5" s="1104" t="s">
        <v>395</v>
      </c>
      <c r="V5" s="1104" t="s">
        <v>396</v>
      </c>
      <c r="W5" s="1104" t="s">
        <v>363</v>
      </c>
    </row>
    <row r="6" spans="1:23" s="328" customFormat="1" ht="12.75" customHeight="1" x14ac:dyDescent="0.25">
      <c r="A6" s="949"/>
      <c r="B6" s="1106"/>
      <c r="C6" s="949"/>
      <c r="D6" s="949"/>
      <c r="E6" s="949"/>
      <c r="F6" s="949"/>
      <c r="G6" s="949"/>
      <c r="H6" s="949"/>
      <c r="I6" s="1104"/>
      <c r="J6" s="1104"/>
      <c r="K6" s="1104"/>
      <c r="L6" s="1104"/>
      <c r="M6" s="1104"/>
      <c r="N6" s="1104"/>
      <c r="O6" s="1104"/>
      <c r="P6" s="1104"/>
      <c r="Q6" s="1104"/>
      <c r="R6" s="1104"/>
      <c r="S6" s="1104"/>
      <c r="T6" s="1104"/>
      <c r="U6" s="1104"/>
      <c r="V6" s="1104"/>
      <c r="W6" s="1104"/>
    </row>
    <row r="7" spans="1:23" s="328" customFormat="1" ht="12.75" customHeight="1" x14ac:dyDescent="0.25">
      <c r="A7" s="949"/>
      <c r="B7" s="1106"/>
      <c r="C7" s="949"/>
      <c r="D7" s="949"/>
      <c r="E7" s="949"/>
      <c r="F7" s="949"/>
      <c r="G7" s="949"/>
      <c r="H7" s="949"/>
      <c r="I7" s="1104"/>
      <c r="J7" s="1104"/>
      <c r="K7" s="1104"/>
      <c r="L7" s="1104"/>
      <c r="M7" s="1104"/>
      <c r="N7" s="1104"/>
      <c r="O7" s="1104"/>
      <c r="P7" s="1104"/>
      <c r="Q7" s="1104"/>
      <c r="R7" s="1104"/>
      <c r="S7" s="1104"/>
      <c r="T7" s="1104"/>
      <c r="U7" s="1104"/>
      <c r="V7" s="1104"/>
      <c r="W7" s="1104"/>
    </row>
    <row r="8" spans="1:23" s="328" customFormat="1" ht="12.75" customHeight="1" x14ac:dyDescent="0.25">
      <c r="A8" s="950"/>
      <c r="B8" s="1107"/>
      <c r="C8" s="300" t="s">
        <v>364</v>
      </c>
      <c r="D8" s="950"/>
      <c r="E8" s="950"/>
      <c r="F8" s="950"/>
      <c r="G8" s="950"/>
      <c r="H8" s="950"/>
      <c r="I8" s="1104"/>
      <c r="J8" s="1104"/>
      <c r="K8" s="1104"/>
      <c r="L8" s="1104"/>
      <c r="M8" s="1104"/>
      <c r="N8" s="1104"/>
      <c r="O8" s="1104"/>
      <c r="P8" s="1104"/>
      <c r="Q8" s="1104"/>
      <c r="R8" s="1104"/>
      <c r="S8" s="1104"/>
      <c r="T8" s="1104"/>
      <c r="U8" s="1104"/>
      <c r="V8" s="1104"/>
      <c r="W8" s="1104"/>
    </row>
    <row r="9" spans="1:23" s="328" customFormat="1" x14ac:dyDescent="0.25">
      <c r="A9" s="311"/>
      <c r="B9" s="312"/>
      <c r="C9" s="311"/>
      <c r="D9" s="312"/>
      <c r="E9" s="329"/>
      <c r="F9" s="329"/>
      <c r="G9" s="329"/>
      <c r="H9" s="329"/>
      <c r="I9" s="329"/>
      <c r="J9" s="329"/>
      <c r="K9" s="329"/>
      <c r="L9" s="329"/>
      <c r="M9" s="329"/>
      <c r="N9" s="329"/>
      <c r="O9" s="329"/>
      <c r="P9" s="329"/>
      <c r="Q9" s="329"/>
      <c r="R9" s="312"/>
      <c r="S9" s="311"/>
      <c r="T9" s="330"/>
      <c r="U9" s="330"/>
      <c r="V9" s="330"/>
      <c r="W9" s="330"/>
    </row>
    <row r="10" spans="1:23" s="328" customFormat="1" x14ac:dyDescent="0.25">
      <c r="A10" s="331" t="s">
        <v>397</v>
      </c>
      <c r="B10" s="312"/>
      <c r="C10" s="311"/>
      <c r="D10" s="312"/>
      <c r="E10" s="329"/>
      <c r="F10" s="329"/>
      <c r="G10" s="329"/>
      <c r="H10" s="329"/>
      <c r="I10" s="329"/>
      <c r="J10" s="329"/>
      <c r="K10" s="329"/>
      <c r="L10" s="329"/>
      <c r="M10" s="329"/>
      <c r="N10" s="329"/>
      <c r="O10" s="329"/>
      <c r="P10" s="329"/>
      <c r="Q10" s="329"/>
      <c r="R10" s="312"/>
      <c r="S10" s="311"/>
      <c r="T10" s="330"/>
      <c r="U10" s="330"/>
      <c r="V10" s="330"/>
      <c r="W10" s="330"/>
    </row>
    <row r="11" spans="1:23" s="328" customFormat="1" x14ac:dyDescent="0.25">
      <c r="A11" s="1101"/>
      <c r="B11" s="1102"/>
      <c r="C11" s="1102"/>
      <c r="D11" s="1102"/>
      <c r="E11" s="1102"/>
      <c r="F11" s="1102"/>
      <c r="G11" s="1102"/>
      <c r="H11" s="1102"/>
      <c r="I11" s="1102"/>
      <c r="J11" s="1102"/>
      <c r="K11" s="1102"/>
      <c r="L11" s="1102"/>
      <c r="M11" s="1102"/>
      <c r="N11" s="1102"/>
      <c r="O11" s="1102"/>
      <c r="P11" s="1102"/>
      <c r="Q11" s="1102"/>
      <c r="R11" s="1102"/>
      <c r="S11" s="1102"/>
      <c r="T11" s="1102"/>
      <c r="U11" s="1102"/>
      <c r="V11" s="1102"/>
      <c r="W11" s="1103"/>
    </row>
    <row r="12" spans="1:23" ht="28.35" customHeight="1" x14ac:dyDescent="0.25">
      <c r="A12" s="302" t="s">
        <v>398</v>
      </c>
      <c r="B12" s="303" t="s">
        <v>367</v>
      </c>
      <c r="C12" s="332">
        <v>4</v>
      </c>
      <c r="D12" s="304">
        <v>0.4</v>
      </c>
      <c r="E12" s="304">
        <f>C12*E18/C18</f>
        <v>0.4</v>
      </c>
      <c r="F12" s="333">
        <f>Belegung!B5</f>
        <v>0</v>
      </c>
      <c r="G12" s="333">
        <f>Belegung!C5</f>
        <v>0</v>
      </c>
      <c r="H12" s="333">
        <f>Belegung!D5</f>
        <v>0</v>
      </c>
      <c r="I12" s="333">
        <f>Belegung!E5</f>
        <v>0</v>
      </c>
      <c r="J12" s="333">
        <f>Belegung!F5</f>
        <v>0</v>
      </c>
      <c r="K12" s="333">
        <f>Belegung!G5</f>
        <v>0</v>
      </c>
      <c r="L12" s="333">
        <f>Belegung!H5</f>
        <v>0</v>
      </c>
      <c r="M12" s="333">
        <f>Belegung!I5</f>
        <v>0</v>
      </c>
      <c r="N12" s="333">
        <f>Belegung!J5</f>
        <v>0</v>
      </c>
      <c r="O12" s="333">
        <f>Belegung!K5</f>
        <v>0</v>
      </c>
      <c r="P12" s="333">
        <f>Belegung!L5</f>
        <v>0</v>
      </c>
      <c r="Q12" s="333">
        <f>Belegung!M5</f>
        <v>0</v>
      </c>
      <c r="R12" s="305">
        <f>IF(SUM(F12:Q12)=0,0,(SUM(F12:Q12)/12))</f>
        <v>0</v>
      </c>
      <c r="S12" s="334">
        <f>R12*E12</f>
        <v>0</v>
      </c>
      <c r="T12" s="335">
        <f t="shared" ref="T12:T17" si="0">IF($R$25=0,0,$T$18*E12)</f>
        <v>0</v>
      </c>
      <c r="U12" s="335">
        <f>IF($W$25="",0,$W$25)</f>
        <v>0</v>
      </c>
      <c r="V12" s="335">
        <f>SUM(T12:U12)</f>
        <v>0</v>
      </c>
      <c r="W12" s="336">
        <f>V12*12*R12</f>
        <v>0</v>
      </c>
    </row>
    <row r="13" spans="1:23" ht="28.35" customHeight="1" x14ac:dyDescent="0.25">
      <c r="A13" s="302" t="s">
        <v>382</v>
      </c>
      <c r="B13" s="303" t="s">
        <v>367</v>
      </c>
      <c r="C13" s="332">
        <v>5</v>
      </c>
      <c r="D13" s="304">
        <v>0.5</v>
      </c>
      <c r="E13" s="304">
        <f>C13*E18/C18</f>
        <v>0.5</v>
      </c>
      <c r="F13" s="333">
        <f>Belegung!B6</f>
        <v>0</v>
      </c>
      <c r="G13" s="333">
        <f>Belegung!C6</f>
        <v>0</v>
      </c>
      <c r="H13" s="333">
        <f>Belegung!D6</f>
        <v>0</v>
      </c>
      <c r="I13" s="333">
        <f>Belegung!E6</f>
        <v>0</v>
      </c>
      <c r="J13" s="333">
        <f>Belegung!F6</f>
        <v>0</v>
      </c>
      <c r="K13" s="333">
        <f>Belegung!G6</f>
        <v>0</v>
      </c>
      <c r="L13" s="333">
        <f>Belegung!H6</f>
        <v>0</v>
      </c>
      <c r="M13" s="333">
        <f>Belegung!I6</f>
        <v>0</v>
      </c>
      <c r="N13" s="333">
        <f>Belegung!J6</f>
        <v>0</v>
      </c>
      <c r="O13" s="333">
        <f>Belegung!K6</f>
        <v>0</v>
      </c>
      <c r="P13" s="333">
        <f>Belegung!L6</f>
        <v>0</v>
      </c>
      <c r="Q13" s="333">
        <f>Belegung!M6</f>
        <v>0</v>
      </c>
      <c r="R13" s="305">
        <f>IF(SUM(F13:Q13)=0,0,(SUM(F13:Q13)/12))</f>
        <v>0</v>
      </c>
      <c r="S13" s="334">
        <f t="shared" ref="S13:S19" si="1">R13*E13</f>
        <v>0</v>
      </c>
      <c r="T13" s="335">
        <f t="shared" si="0"/>
        <v>0</v>
      </c>
      <c r="U13" s="335">
        <f>IF($W$25="",0,$W$25)</f>
        <v>0</v>
      </c>
      <c r="V13" s="335">
        <f>SUM(T13:U13)</f>
        <v>0</v>
      </c>
      <c r="W13" s="336">
        <f t="shared" ref="W13:W19" si="2">V13*12*R13</f>
        <v>0</v>
      </c>
    </row>
    <row r="14" spans="1:23" s="321" customFormat="1" ht="28.35" customHeight="1" x14ac:dyDescent="0.25">
      <c r="A14" s="302" t="s">
        <v>383</v>
      </c>
      <c r="B14" s="303" t="s">
        <v>367</v>
      </c>
      <c r="C14" s="332">
        <v>6</v>
      </c>
      <c r="D14" s="304">
        <v>0.6</v>
      </c>
      <c r="E14" s="337">
        <f>C14*E18/C18</f>
        <v>0.6</v>
      </c>
      <c r="F14" s="333">
        <f>Belegung!B7</f>
        <v>0</v>
      </c>
      <c r="G14" s="333">
        <f>Belegung!C7</f>
        <v>0</v>
      </c>
      <c r="H14" s="333">
        <f>Belegung!D7</f>
        <v>0</v>
      </c>
      <c r="I14" s="333">
        <f>Belegung!E7</f>
        <v>0</v>
      </c>
      <c r="J14" s="333">
        <f>Belegung!F7</f>
        <v>0</v>
      </c>
      <c r="K14" s="333">
        <f>Belegung!G7</f>
        <v>0</v>
      </c>
      <c r="L14" s="333">
        <f>Belegung!H7</f>
        <v>0</v>
      </c>
      <c r="M14" s="333">
        <f>Belegung!I7</f>
        <v>0</v>
      </c>
      <c r="N14" s="333">
        <f>Belegung!J7</f>
        <v>0</v>
      </c>
      <c r="O14" s="333">
        <f>Belegung!K7</f>
        <v>0</v>
      </c>
      <c r="P14" s="333">
        <f>Belegung!L7</f>
        <v>0</v>
      </c>
      <c r="Q14" s="333">
        <f>Belegung!M7</f>
        <v>0</v>
      </c>
      <c r="R14" s="305">
        <f t="shared" ref="R14:R19" si="3">IF(SUM(F14:Q14)=0,0,(SUM(F14:Q14)/12))</f>
        <v>0</v>
      </c>
      <c r="S14" s="334">
        <f t="shared" si="1"/>
        <v>0</v>
      </c>
      <c r="T14" s="335">
        <f t="shared" si="0"/>
        <v>0</v>
      </c>
      <c r="U14" s="335">
        <f t="shared" ref="U14:U17" si="4">IF($W$25="",0,$W$25)</f>
        <v>0</v>
      </c>
      <c r="V14" s="335">
        <f t="shared" ref="V14:V19" si="5">SUM(T14:U14)</f>
        <v>0</v>
      </c>
      <c r="W14" s="336">
        <f t="shared" si="2"/>
        <v>0</v>
      </c>
    </row>
    <row r="15" spans="1:23" s="321" customFormat="1" ht="28.35" customHeight="1" x14ac:dyDescent="0.25">
      <c r="A15" s="302" t="s">
        <v>384</v>
      </c>
      <c r="B15" s="303" t="s">
        <v>367</v>
      </c>
      <c r="C15" s="332">
        <v>7</v>
      </c>
      <c r="D15" s="304">
        <v>0.7</v>
      </c>
      <c r="E15" s="337">
        <f>C15*E18/C18</f>
        <v>0.7</v>
      </c>
      <c r="F15" s="333">
        <f>Belegung!B8</f>
        <v>0</v>
      </c>
      <c r="G15" s="333">
        <f>Belegung!C8</f>
        <v>0</v>
      </c>
      <c r="H15" s="333">
        <f>Belegung!D8</f>
        <v>0</v>
      </c>
      <c r="I15" s="333">
        <f>Belegung!E8</f>
        <v>0</v>
      </c>
      <c r="J15" s="333">
        <f>Belegung!F8</f>
        <v>0</v>
      </c>
      <c r="K15" s="333">
        <f>Belegung!G8</f>
        <v>0</v>
      </c>
      <c r="L15" s="333">
        <f>Belegung!H8</f>
        <v>0</v>
      </c>
      <c r="M15" s="333">
        <f>Belegung!I8</f>
        <v>0</v>
      </c>
      <c r="N15" s="333">
        <f>Belegung!J8</f>
        <v>0</v>
      </c>
      <c r="O15" s="333">
        <f>Belegung!K8</f>
        <v>0</v>
      </c>
      <c r="P15" s="333">
        <f>Belegung!L8</f>
        <v>0</v>
      </c>
      <c r="Q15" s="333">
        <f>Belegung!M8</f>
        <v>0</v>
      </c>
      <c r="R15" s="305">
        <f t="shared" si="3"/>
        <v>0</v>
      </c>
      <c r="S15" s="334">
        <f t="shared" si="1"/>
        <v>0</v>
      </c>
      <c r="T15" s="335">
        <f t="shared" si="0"/>
        <v>0</v>
      </c>
      <c r="U15" s="335">
        <f t="shared" si="4"/>
        <v>0</v>
      </c>
      <c r="V15" s="335">
        <f t="shared" si="5"/>
        <v>0</v>
      </c>
      <c r="W15" s="336">
        <f t="shared" si="2"/>
        <v>0</v>
      </c>
    </row>
    <row r="16" spans="1:23" s="321" customFormat="1" ht="28.35" customHeight="1" x14ac:dyDescent="0.25">
      <c r="A16" s="302" t="s">
        <v>385</v>
      </c>
      <c r="B16" s="303" t="s">
        <v>367</v>
      </c>
      <c r="C16" s="332">
        <v>8</v>
      </c>
      <c r="D16" s="304">
        <v>0.8</v>
      </c>
      <c r="E16" s="337">
        <f>C16*E18/C18</f>
        <v>0.8</v>
      </c>
      <c r="F16" s="333">
        <f>Belegung!B9</f>
        <v>0</v>
      </c>
      <c r="G16" s="333">
        <f>Belegung!C9</f>
        <v>0</v>
      </c>
      <c r="H16" s="333">
        <f>Belegung!D9</f>
        <v>0</v>
      </c>
      <c r="I16" s="333">
        <f>Belegung!E9</f>
        <v>0</v>
      </c>
      <c r="J16" s="333">
        <f>Belegung!F9</f>
        <v>0</v>
      </c>
      <c r="K16" s="333">
        <f>Belegung!G9</f>
        <v>0</v>
      </c>
      <c r="L16" s="333">
        <f>Belegung!H9</f>
        <v>0</v>
      </c>
      <c r="M16" s="333">
        <f>Belegung!I9</f>
        <v>0</v>
      </c>
      <c r="N16" s="333">
        <f>Belegung!J9</f>
        <v>0</v>
      </c>
      <c r="O16" s="333">
        <f>Belegung!K9</f>
        <v>0</v>
      </c>
      <c r="P16" s="333">
        <f>Belegung!L9</f>
        <v>0</v>
      </c>
      <c r="Q16" s="333">
        <f>Belegung!M9</f>
        <v>0</v>
      </c>
      <c r="R16" s="305">
        <f t="shared" si="3"/>
        <v>0</v>
      </c>
      <c r="S16" s="334">
        <f t="shared" si="1"/>
        <v>0</v>
      </c>
      <c r="T16" s="335">
        <f t="shared" si="0"/>
        <v>0</v>
      </c>
      <c r="U16" s="335">
        <f t="shared" si="4"/>
        <v>0</v>
      </c>
      <c r="V16" s="335">
        <f>SUM(T16:U16)</f>
        <v>0</v>
      </c>
      <c r="W16" s="336">
        <f t="shared" si="2"/>
        <v>0</v>
      </c>
    </row>
    <row r="17" spans="1:23" s="321" customFormat="1" ht="28.35" customHeight="1" x14ac:dyDescent="0.25">
      <c r="A17" s="302" t="s">
        <v>386</v>
      </c>
      <c r="B17" s="303" t="s">
        <v>367</v>
      </c>
      <c r="C17" s="332">
        <v>9</v>
      </c>
      <c r="D17" s="304">
        <v>0.9</v>
      </c>
      <c r="E17" s="337">
        <f>C17*E18/C18</f>
        <v>0.9</v>
      </c>
      <c r="F17" s="333">
        <f>Belegung!B10</f>
        <v>0</v>
      </c>
      <c r="G17" s="333">
        <f>Belegung!C10</f>
        <v>0</v>
      </c>
      <c r="H17" s="333">
        <f>Belegung!D10</f>
        <v>0</v>
      </c>
      <c r="I17" s="333">
        <f>Belegung!E10</f>
        <v>0</v>
      </c>
      <c r="J17" s="333">
        <f>Belegung!F10</f>
        <v>0</v>
      </c>
      <c r="K17" s="333">
        <f>Belegung!G10</f>
        <v>0</v>
      </c>
      <c r="L17" s="333">
        <f>Belegung!H10</f>
        <v>0</v>
      </c>
      <c r="M17" s="333">
        <f>Belegung!I10</f>
        <v>0</v>
      </c>
      <c r="N17" s="333">
        <f>Belegung!J10</f>
        <v>0</v>
      </c>
      <c r="O17" s="333">
        <f>Belegung!K10</f>
        <v>0</v>
      </c>
      <c r="P17" s="333">
        <f>Belegung!L10</f>
        <v>0</v>
      </c>
      <c r="Q17" s="333">
        <f>Belegung!M10</f>
        <v>0</v>
      </c>
      <c r="R17" s="305">
        <f t="shared" si="3"/>
        <v>0</v>
      </c>
      <c r="S17" s="334">
        <f t="shared" si="1"/>
        <v>0</v>
      </c>
      <c r="T17" s="335">
        <f t="shared" si="0"/>
        <v>0</v>
      </c>
      <c r="U17" s="335">
        <f t="shared" si="4"/>
        <v>0</v>
      </c>
      <c r="V17" s="335">
        <f t="shared" si="5"/>
        <v>0</v>
      </c>
      <c r="W17" s="336">
        <f t="shared" si="2"/>
        <v>0</v>
      </c>
    </row>
    <row r="18" spans="1:23" s="321" customFormat="1" ht="28.35" customHeight="1" x14ac:dyDescent="0.25">
      <c r="A18" s="302" t="s">
        <v>387</v>
      </c>
      <c r="B18" s="303" t="s">
        <v>367</v>
      </c>
      <c r="C18" s="332">
        <v>10</v>
      </c>
      <c r="D18" s="304">
        <v>1</v>
      </c>
      <c r="E18" s="337">
        <v>1</v>
      </c>
      <c r="F18" s="333">
        <f>Belegung!B11</f>
        <v>0</v>
      </c>
      <c r="G18" s="333">
        <f>Belegung!C11</f>
        <v>0</v>
      </c>
      <c r="H18" s="333">
        <f>Belegung!D11</f>
        <v>0</v>
      </c>
      <c r="I18" s="333">
        <f>Belegung!E11</f>
        <v>0</v>
      </c>
      <c r="J18" s="333">
        <f>Belegung!F11</f>
        <v>0</v>
      </c>
      <c r="K18" s="333">
        <f>Belegung!G11</f>
        <v>0</v>
      </c>
      <c r="L18" s="333">
        <f>Belegung!H11</f>
        <v>0</v>
      </c>
      <c r="M18" s="333">
        <f>Belegung!I11</f>
        <v>0</v>
      </c>
      <c r="N18" s="333">
        <f>Belegung!J11</f>
        <v>0</v>
      </c>
      <c r="O18" s="333">
        <f>Belegung!K11</f>
        <v>0</v>
      </c>
      <c r="P18" s="333">
        <f>Belegung!L11</f>
        <v>0</v>
      </c>
      <c r="Q18" s="333">
        <f>Belegung!M11</f>
        <v>0</v>
      </c>
      <c r="R18" s="305">
        <f t="shared" si="3"/>
        <v>0</v>
      </c>
      <c r="S18" s="334">
        <f t="shared" si="1"/>
        <v>0</v>
      </c>
      <c r="T18" s="335">
        <f>IF(R25="",0,R25)</f>
        <v>0</v>
      </c>
      <c r="U18" s="335">
        <f>IF($W$25="",0,$W$25)</f>
        <v>0</v>
      </c>
      <c r="V18" s="335">
        <f t="shared" si="5"/>
        <v>0</v>
      </c>
      <c r="W18" s="336">
        <f t="shared" si="2"/>
        <v>0</v>
      </c>
    </row>
    <row r="19" spans="1:23" s="321" customFormat="1" ht="28.35" customHeight="1" x14ac:dyDescent="0.25">
      <c r="A19" s="302" t="s">
        <v>388</v>
      </c>
      <c r="B19" s="303" t="s">
        <v>367</v>
      </c>
      <c r="C19" s="332">
        <v>11</v>
      </c>
      <c r="D19" s="304">
        <v>1.1000000000000001</v>
      </c>
      <c r="E19" s="337">
        <f>C19*E18/C18</f>
        <v>1.1000000000000001</v>
      </c>
      <c r="F19" s="333">
        <f>Belegung!B12</f>
        <v>0</v>
      </c>
      <c r="G19" s="333">
        <f>Belegung!C12</f>
        <v>0</v>
      </c>
      <c r="H19" s="333">
        <f>Belegung!D12</f>
        <v>0</v>
      </c>
      <c r="I19" s="333">
        <f>Belegung!E12</f>
        <v>0</v>
      </c>
      <c r="J19" s="333">
        <f>Belegung!F12</f>
        <v>0</v>
      </c>
      <c r="K19" s="333">
        <f>Belegung!G12</f>
        <v>0</v>
      </c>
      <c r="L19" s="333">
        <f>Belegung!H12</f>
        <v>0</v>
      </c>
      <c r="M19" s="333">
        <f>Belegung!I12</f>
        <v>0</v>
      </c>
      <c r="N19" s="333">
        <f>Belegung!J12</f>
        <v>0</v>
      </c>
      <c r="O19" s="333">
        <f>Belegung!K12</f>
        <v>0</v>
      </c>
      <c r="P19" s="333">
        <f>Belegung!L12</f>
        <v>0</v>
      </c>
      <c r="Q19" s="333">
        <f>Belegung!M12</f>
        <v>0</v>
      </c>
      <c r="R19" s="305">
        <f t="shared" si="3"/>
        <v>0</v>
      </c>
      <c r="S19" s="334">
        <f t="shared" si="1"/>
        <v>0</v>
      </c>
      <c r="T19" s="335">
        <f>IF($R$25=0,0,$T$18*E19)</f>
        <v>0</v>
      </c>
      <c r="U19" s="335">
        <f>IF($W$25="",0,$W$25)</f>
        <v>0</v>
      </c>
      <c r="V19" s="335">
        <f t="shared" si="5"/>
        <v>0</v>
      </c>
      <c r="W19" s="336">
        <f t="shared" si="2"/>
        <v>0</v>
      </c>
    </row>
    <row r="20" spans="1:23" s="321" customFormat="1" ht="28.35" customHeight="1" x14ac:dyDescent="0.25">
      <c r="A20" s="308"/>
      <c r="B20" s="307"/>
      <c r="C20" s="314"/>
      <c r="D20" s="338"/>
      <c r="E20" s="339"/>
      <c r="F20" s="340"/>
      <c r="G20" s="340"/>
      <c r="H20" s="340"/>
      <c r="I20" s="340"/>
      <c r="J20" s="340"/>
      <c r="K20" s="340"/>
      <c r="L20" s="340"/>
      <c r="M20" s="340"/>
      <c r="N20" s="340"/>
      <c r="O20" s="340"/>
      <c r="P20" s="340"/>
      <c r="Q20" s="340"/>
      <c r="R20" s="305">
        <f>SUM(R12:R19)</f>
        <v>0</v>
      </c>
      <c r="S20" s="334">
        <f>SUM(S12:S19)</f>
        <v>0</v>
      </c>
      <c r="T20" s="341"/>
      <c r="U20" s="341"/>
      <c r="V20" s="341"/>
      <c r="W20" s="336">
        <f>SUM(W12:W19)</f>
        <v>0</v>
      </c>
    </row>
    <row r="21" spans="1:23" ht="12.6" customHeight="1" x14ac:dyDescent="0.25">
      <c r="A21" s="311"/>
      <c r="B21" s="312"/>
      <c r="C21" s="311"/>
      <c r="D21" s="312"/>
      <c r="E21" s="329"/>
      <c r="F21" s="329"/>
      <c r="G21" s="329"/>
      <c r="H21" s="329"/>
      <c r="I21" s="329"/>
      <c r="J21" s="329"/>
      <c r="K21" s="329"/>
      <c r="L21" s="329"/>
      <c r="M21" s="329"/>
      <c r="N21" s="329"/>
      <c r="O21" s="329"/>
      <c r="P21" s="329"/>
      <c r="Q21" s="329"/>
      <c r="R21" s="312"/>
      <c r="S21" s="311"/>
      <c r="T21" s="156"/>
      <c r="U21" s="156"/>
      <c r="V21" s="156"/>
      <c r="W21" s="156"/>
    </row>
    <row r="22" spans="1:23" ht="12.6" customHeight="1" x14ac:dyDescent="0.25">
      <c r="A22" s="342"/>
      <c r="B22" s="343"/>
      <c r="C22" s="344" t="s">
        <v>399</v>
      </c>
      <c r="D22" s="345"/>
      <c r="E22" s="346"/>
      <c r="F22" s="346"/>
      <c r="G22" s="346"/>
      <c r="H22" s="346"/>
      <c r="I22" s="346"/>
      <c r="J22" s="346"/>
      <c r="K22" s="346"/>
      <c r="L22" s="346"/>
      <c r="M22" s="346"/>
      <c r="N22" s="346"/>
      <c r="O22" s="346"/>
      <c r="P22" s="346"/>
      <c r="Q22" s="346"/>
      <c r="R22" s="1095" t="str">
        <f>IF('INTERN Personal- und Sachkosten'!$C$18=0,"",('INTERN Personal- und Sachkosten'!$C$18*R20))</f>
        <v/>
      </c>
      <c r="S22" s="1096"/>
      <c r="T22" s="1097"/>
      <c r="U22" s="347"/>
      <c r="V22" s="348" t="s">
        <v>395</v>
      </c>
      <c r="W22" s="349" t="str">
        <f>IF('INTERN Personal- und Sachkosten'!$C$43=0,"",('INTERN Personal- und Sachkosten'!$C$43*R20))</f>
        <v/>
      </c>
    </row>
    <row r="23" spans="1:23" ht="12.6" customHeight="1" x14ac:dyDescent="0.25">
      <c r="A23" s="342"/>
      <c r="B23" s="343"/>
      <c r="C23" s="344" t="s">
        <v>400</v>
      </c>
      <c r="D23" s="350"/>
      <c r="E23" s="351"/>
      <c r="F23" s="351"/>
      <c r="G23" s="351"/>
      <c r="H23" s="351"/>
      <c r="I23" s="351"/>
      <c r="J23" s="351"/>
      <c r="K23" s="351"/>
      <c r="L23" s="351"/>
      <c r="M23" s="351"/>
      <c r="N23" s="351"/>
      <c r="O23" s="351"/>
      <c r="P23" s="351"/>
      <c r="Q23" s="351"/>
      <c r="R23" s="1098" t="str">
        <f>IF(S20=0,"",S20)</f>
        <v/>
      </c>
      <c r="S23" s="1099"/>
      <c r="T23" s="1100"/>
      <c r="U23" s="347"/>
      <c r="V23" s="348" t="s">
        <v>375</v>
      </c>
      <c r="W23" s="352" t="str">
        <f>IF(R20=0,"",R20)</f>
        <v/>
      </c>
    </row>
    <row r="24" spans="1:23" ht="12.6" customHeight="1" x14ac:dyDescent="0.25">
      <c r="A24" s="342"/>
      <c r="B24" s="343"/>
      <c r="C24" s="344" t="s">
        <v>376</v>
      </c>
      <c r="D24" s="350"/>
      <c r="E24" s="353"/>
      <c r="F24" s="354"/>
      <c r="G24" s="354"/>
      <c r="H24" s="354"/>
      <c r="I24" s="354"/>
      <c r="J24" s="354"/>
      <c r="K24" s="354"/>
      <c r="L24" s="354"/>
      <c r="M24" s="354"/>
      <c r="N24" s="354"/>
      <c r="O24" s="354"/>
      <c r="P24" s="354"/>
      <c r="Q24" s="354"/>
      <c r="R24" s="1092" t="str">
        <f>IF(R23="","",12)</f>
        <v/>
      </c>
      <c r="S24" s="1093"/>
      <c r="T24" s="1094"/>
      <c r="U24" s="347"/>
      <c r="V24" s="348" t="s">
        <v>376</v>
      </c>
      <c r="W24" s="355" t="str">
        <f>IF(W23="","",12)</f>
        <v/>
      </c>
    </row>
    <row r="25" spans="1:23" ht="12.6" customHeight="1" x14ac:dyDescent="0.25">
      <c r="A25" s="342"/>
      <c r="B25" s="343"/>
      <c r="C25" s="344" t="s">
        <v>377</v>
      </c>
      <c r="D25" s="350"/>
      <c r="E25" s="346"/>
      <c r="F25" s="354"/>
      <c r="G25" s="354"/>
      <c r="H25" s="354"/>
      <c r="I25" s="354"/>
      <c r="J25" s="354"/>
      <c r="K25" s="354"/>
      <c r="L25" s="354"/>
      <c r="M25" s="354"/>
      <c r="N25" s="354"/>
      <c r="O25" s="354"/>
      <c r="P25" s="354"/>
      <c r="Q25" s="354"/>
      <c r="R25" s="1095" t="str">
        <f>IF(R22="","",R22/R23/R24)</f>
        <v/>
      </c>
      <c r="S25" s="1096"/>
      <c r="T25" s="1097"/>
      <c r="U25" s="347"/>
      <c r="V25" s="348" t="s">
        <v>377</v>
      </c>
      <c r="W25" s="336" t="str">
        <f>IF(W22="","",W22/W23/W24)</f>
        <v/>
      </c>
    </row>
    <row r="26" spans="1:23" ht="12.6" customHeight="1" x14ac:dyDescent="0.25">
      <c r="A26" s="311"/>
      <c r="B26" s="312"/>
      <c r="C26" s="311"/>
      <c r="D26" s="312"/>
      <c r="E26" s="329"/>
      <c r="F26" s="329"/>
      <c r="G26" s="329"/>
      <c r="H26" s="329"/>
      <c r="I26" s="329"/>
      <c r="J26" s="329"/>
      <c r="K26" s="329"/>
      <c r="L26" s="329"/>
      <c r="M26" s="329"/>
      <c r="N26" s="329"/>
      <c r="O26" s="329"/>
      <c r="P26" s="329"/>
      <c r="Q26" s="329"/>
      <c r="R26" s="312"/>
      <c r="S26" s="311"/>
      <c r="T26" s="156"/>
      <c r="U26" s="156"/>
      <c r="V26" s="156"/>
      <c r="W26" s="156"/>
    </row>
    <row r="27" spans="1:23" s="328" customFormat="1" x14ac:dyDescent="0.25">
      <c r="A27" s="331" t="s">
        <v>401</v>
      </c>
      <c r="B27" s="312"/>
      <c r="C27" s="311"/>
      <c r="D27" s="312"/>
      <c r="E27" s="329"/>
      <c r="F27" s="329"/>
      <c r="G27" s="329"/>
      <c r="H27" s="329"/>
      <c r="I27" s="329"/>
      <c r="J27" s="329"/>
      <c r="K27" s="329"/>
      <c r="L27" s="329"/>
      <c r="M27" s="329"/>
      <c r="N27" s="329"/>
      <c r="O27" s="329"/>
      <c r="P27" s="329"/>
      <c r="Q27" s="329"/>
      <c r="R27" s="312"/>
      <c r="S27" s="311"/>
      <c r="T27" s="330"/>
      <c r="U27" s="330"/>
      <c r="V27" s="330"/>
      <c r="W27" s="330"/>
    </row>
    <row r="28" spans="1:23" s="328" customFormat="1" x14ac:dyDescent="0.25">
      <c r="A28" s="1101"/>
      <c r="B28" s="1102"/>
      <c r="C28" s="1102"/>
      <c r="D28" s="1102"/>
      <c r="E28" s="1102"/>
      <c r="F28" s="1102"/>
      <c r="G28" s="1102"/>
      <c r="H28" s="1102"/>
      <c r="I28" s="1102"/>
      <c r="J28" s="1102"/>
      <c r="K28" s="1102"/>
      <c r="L28" s="1102"/>
      <c r="M28" s="1102"/>
      <c r="N28" s="1102"/>
      <c r="O28" s="1102"/>
      <c r="P28" s="1102"/>
      <c r="Q28" s="1102"/>
      <c r="R28" s="1102"/>
      <c r="S28" s="1102"/>
      <c r="T28" s="1102"/>
      <c r="U28" s="1102"/>
      <c r="V28" s="1102"/>
      <c r="W28" s="1103"/>
    </row>
    <row r="29" spans="1:23" ht="27.75" customHeight="1" x14ac:dyDescent="0.25">
      <c r="A29" s="302" t="s">
        <v>398</v>
      </c>
      <c r="B29" s="303" t="s">
        <v>370</v>
      </c>
      <c r="C29" s="332">
        <v>4</v>
      </c>
      <c r="D29" s="304">
        <v>0.4</v>
      </c>
      <c r="E29" s="304">
        <f>C29*E35/C35</f>
        <v>0.4</v>
      </c>
      <c r="F29" s="333">
        <f>Belegung!B15</f>
        <v>0</v>
      </c>
      <c r="G29" s="333">
        <f>Belegung!C15</f>
        <v>0</v>
      </c>
      <c r="H29" s="333">
        <f>Belegung!D15</f>
        <v>0</v>
      </c>
      <c r="I29" s="333">
        <f>Belegung!E15</f>
        <v>0</v>
      </c>
      <c r="J29" s="333">
        <f>Belegung!F15</f>
        <v>0</v>
      </c>
      <c r="K29" s="333">
        <f>Belegung!G15</f>
        <v>0</v>
      </c>
      <c r="L29" s="333">
        <f>Belegung!H15</f>
        <v>0</v>
      </c>
      <c r="M29" s="333">
        <f>Belegung!I15</f>
        <v>0</v>
      </c>
      <c r="N29" s="333">
        <f>Belegung!J15</f>
        <v>0</v>
      </c>
      <c r="O29" s="333">
        <f>Belegung!K15</f>
        <v>0</v>
      </c>
      <c r="P29" s="333">
        <f>Belegung!L15</f>
        <v>0</v>
      </c>
      <c r="Q29" s="333">
        <f>Belegung!M15</f>
        <v>0</v>
      </c>
      <c r="R29" s="305">
        <f>IF(SUM(F29:Q29)=0,0,(SUM(F29:Q29)/12))</f>
        <v>0</v>
      </c>
      <c r="S29" s="334">
        <f>R29*E29</f>
        <v>0</v>
      </c>
      <c r="T29" s="335">
        <f t="shared" ref="T29:T34" si="6">IF($R$42=0,0,$T$35*E29)</f>
        <v>0</v>
      </c>
      <c r="U29" s="335">
        <f>IF($W$42="",0,$W$42)</f>
        <v>0</v>
      </c>
      <c r="V29" s="335">
        <f>SUM(T29:U29)</f>
        <v>0</v>
      </c>
      <c r="W29" s="336">
        <f>V29*12*R29</f>
        <v>0</v>
      </c>
    </row>
    <row r="30" spans="1:23" ht="27.75" customHeight="1" x14ac:dyDescent="0.25">
      <c r="A30" s="302" t="s">
        <v>382</v>
      </c>
      <c r="B30" s="303" t="s">
        <v>370</v>
      </c>
      <c r="C30" s="332">
        <v>5</v>
      </c>
      <c r="D30" s="304">
        <v>0.5</v>
      </c>
      <c r="E30" s="304">
        <f>C30*E35/C35</f>
        <v>0.5</v>
      </c>
      <c r="F30" s="333">
        <f>Belegung!B16</f>
        <v>0</v>
      </c>
      <c r="G30" s="333">
        <f>Belegung!C16</f>
        <v>0</v>
      </c>
      <c r="H30" s="333">
        <f>Belegung!D16</f>
        <v>0</v>
      </c>
      <c r="I30" s="333">
        <f>Belegung!E16</f>
        <v>0</v>
      </c>
      <c r="J30" s="333">
        <f>Belegung!F16</f>
        <v>0</v>
      </c>
      <c r="K30" s="333">
        <f>Belegung!G16</f>
        <v>0</v>
      </c>
      <c r="L30" s="333">
        <f>Belegung!H16</f>
        <v>0</v>
      </c>
      <c r="M30" s="333">
        <f>Belegung!I16</f>
        <v>0</v>
      </c>
      <c r="N30" s="333">
        <f>Belegung!J16</f>
        <v>0</v>
      </c>
      <c r="O30" s="333">
        <f>Belegung!K16</f>
        <v>0</v>
      </c>
      <c r="P30" s="333">
        <f>Belegung!L16</f>
        <v>0</v>
      </c>
      <c r="Q30" s="333">
        <f>Belegung!M16</f>
        <v>0</v>
      </c>
      <c r="R30" s="305">
        <f t="shared" ref="R30:R36" si="7">IF(SUM(F30:Q30)=0,0,(SUM(F30:Q30)/12))</f>
        <v>0</v>
      </c>
      <c r="S30" s="334">
        <f t="shared" ref="S30:S36" si="8">R30*E30</f>
        <v>0</v>
      </c>
      <c r="T30" s="335">
        <f t="shared" si="6"/>
        <v>0</v>
      </c>
      <c r="U30" s="335">
        <f t="shared" ref="U30:U34" si="9">IF($W$42="",0,$W$42)</f>
        <v>0</v>
      </c>
      <c r="V30" s="335">
        <f>SUM(T30:U30)</f>
        <v>0</v>
      </c>
      <c r="W30" s="336">
        <f t="shared" ref="W30:W36" si="10">V30*12*R30</f>
        <v>0</v>
      </c>
    </row>
    <row r="31" spans="1:23" ht="27.75" customHeight="1" x14ac:dyDescent="0.25">
      <c r="A31" s="302" t="s">
        <v>383</v>
      </c>
      <c r="B31" s="303" t="s">
        <v>370</v>
      </c>
      <c r="C31" s="332">
        <v>6</v>
      </c>
      <c r="D31" s="304">
        <v>0.6</v>
      </c>
      <c r="E31" s="337">
        <f>C31*E35/C35</f>
        <v>0.6</v>
      </c>
      <c r="F31" s="333">
        <f>Belegung!B17</f>
        <v>0</v>
      </c>
      <c r="G31" s="333">
        <f>Belegung!C17</f>
        <v>0</v>
      </c>
      <c r="H31" s="333">
        <f>Belegung!D17</f>
        <v>0</v>
      </c>
      <c r="I31" s="333">
        <f>Belegung!E17</f>
        <v>0</v>
      </c>
      <c r="J31" s="333">
        <f>Belegung!F17</f>
        <v>0</v>
      </c>
      <c r="K31" s="333">
        <f>Belegung!G17</f>
        <v>0</v>
      </c>
      <c r="L31" s="333">
        <f>Belegung!H17</f>
        <v>0</v>
      </c>
      <c r="M31" s="333">
        <f>Belegung!I17</f>
        <v>0</v>
      </c>
      <c r="N31" s="333">
        <f>Belegung!J17</f>
        <v>0</v>
      </c>
      <c r="O31" s="333">
        <f>Belegung!K17</f>
        <v>0</v>
      </c>
      <c r="P31" s="333">
        <f>Belegung!L17</f>
        <v>0</v>
      </c>
      <c r="Q31" s="333">
        <f>Belegung!M17</f>
        <v>0</v>
      </c>
      <c r="R31" s="305">
        <f t="shared" si="7"/>
        <v>0</v>
      </c>
      <c r="S31" s="334">
        <f t="shared" si="8"/>
        <v>0</v>
      </c>
      <c r="T31" s="335">
        <f t="shared" si="6"/>
        <v>0</v>
      </c>
      <c r="U31" s="335">
        <f t="shared" si="9"/>
        <v>0</v>
      </c>
      <c r="V31" s="335">
        <f t="shared" ref="V31:V36" si="11">SUM(T31:U31)</f>
        <v>0</v>
      </c>
      <c r="W31" s="336">
        <f t="shared" si="10"/>
        <v>0</v>
      </c>
    </row>
    <row r="32" spans="1:23" ht="27.75" customHeight="1" x14ac:dyDescent="0.25">
      <c r="A32" s="302" t="s">
        <v>384</v>
      </c>
      <c r="B32" s="303" t="s">
        <v>370</v>
      </c>
      <c r="C32" s="332">
        <v>7</v>
      </c>
      <c r="D32" s="304">
        <v>0.7</v>
      </c>
      <c r="E32" s="337">
        <f>C32*E35/C35</f>
        <v>0.7</v>
      </c>
      <c r="F32" s="333">
        <f>Belegung!B18</f>
        <v>0</v>
      </c>
      <c r="G32" s="333">
        <f>Belegung!C18</f>
        <v>0</v>
      </c>
      <c r="H32" s="333">
        <f>Belegung!D18</f>
        <v>0</v>
      </c>
      <c r="I32" s="333">
        <f>Belegung!E18</f>
        <v>0</v>
      </c>
      <c r="J32" s="333">
        <f>Belegung!F18</f>
        <v>0</v>
      </c>
      <c r="K32" s="333">
        <f>Belegung!G18</f>
        <v>0</v>
      </c>
      <c r="L32" s="333">
        <f>Belegung!H18</f>
        <v>0</v>
      </c>
      <c r="M32" s="333">
        <f>Belegung!I18</f>
        <v>0</v>
      </c>
      <c r="N32" s="333">
        <f>Belegung!J18</f>
        <v>0</v>
      </c>
      <c r="O32" s="333">
        <f>Belegung!K18</f>
        <v>0</v>
      </c>
      <c r="P32" s="333">
        <f>Belegung!L18</f>
        <v>0</v>
      </c>
      <c r="Q32" s="333">
        <f>Belegung!M18</f>
        <v>0</v>
      </c>
      <c r="R32" s="305">
        <f t="shared" si="7"/>
        <v>0</v>
      </c>
      <c r="S32" s="334">
        <f t="shared" si="8"/>
        <v>0</v>
      </c>
      <c r="T32" s="335">
        <f t="shared" si="6"/>
        <v>0</v>
      </c>
      <c r="U32" s="335">
        <f t="shared" si="9"/>
        <v>0</v>
      </c>
      <c r="V32" s="335">
        <f t="shared" si="11"/>
        <v>0</v>
      </c>
      <c r="W32" s="336">
        <f t="shared" si="10"/>
        <v>0</v>
      </c>
    </row>
    <row r="33" spans="1:23" ht="27.75" customHeight="1" x14ac:dyDescent="0.25">
      <c r="A33" s="302" t="s">
        <v>385</v>
      </c>
      <c r="B33" s="303" t="s">
        <v>370</v>
      </c>
      <c r="C33" s="332">
        <v>8</v>
      </c>
      <c r="D33" s="304">
        <v>0.8</v>
      </c>
      <c r="E33" s="337">
        <f>C33*E35/C35</f>
        <v>0.8</v>
      </c>
      <c r="F33" s="333">
        <f>Belegung!B19</f>
        <v>0</v>
      </c>
      <c r="G33" s="333">
        <f>Belegung!C19</f>
        <v>0</v>
      </c>
      <c r="H33" s="333">
        <f>Belegung!D19</f>
        <v>0</v>
      </c>
      <c r="I33" s="333">
        <f>Belegung!E19</f>
        <v>0</v>
      </c>
      <c r="J33" s="333">
        <f>Belegung!F19</f>
        <v>0</v>
      </c>
      <c r="K33" s="333">
        <f>Belegung!G19</f>
        <v>0</v>
      </c>
      <c r="L33" s="333">
        <f>Belegung!H19</f>
        <v>0</v>
      </c>
      <c r="M33" s="333">
        <f>Belegung!I19</f>
        <v>0</v>
      </c>
      <c r="N33" s="333">
        <f>Belegung!J19</f>
        <v>0</v>
      </c>
      <c r="O33" s="333">
        <f>Belegung!K19</f>
        <v>0</v>
      </c>
      <c r="P33" s="333">
        <f>Belegung!L19</f>
        <v>0</v>
      </c>
      <c r="Q33" s="333">
        <f>Belegung!M19</f>
        <v>0</v>
      </c>
      <c r="R33" s="305">
        <f t="shared" si="7"/>
        <v>0</v>
      </c>
      <c r="S33" s="334">
        <f t="shared" si="8"/>
        <v>0</v>
      </c>
      <c r="T33" s="335">
        <f t="shared" si="6"/>
        <v>0</v>
      </c>
      <c r="U33" s="335">
        <f t="shared" si="9"/>
        <v>0</v>
      </c>
      <c r="V33" s="335">
        <f>SUM(T33:U33)</f>
        <v>0</v>
      </c>
      <c r="W33" s="336">
        <f t="shared" si="10"/>
        <v>0</v>
      </c>
    </row>
    <row r="34" spans="1:23" ht="27.75" customHeight="1" x14ac:dyDescent="0.25">
      <c r="A34" s="302" t="s">
        <v>386</v>
      </c>
      <c r="B34" s="303" t="s">
        <v>370</v>
      </c>
      <c r="C34" s="332">
        <v>9</v>
      </c>
      <c r="D34" s="304">
        <v>0.9</v>
      </c>
      <c r="E34" s="337">
        <f>C34*E35/C35</f>
        <v>0.9</v>
      </c>
      <c r="F34" s="333">
        <f>Belegung!B20</f>
        <v>0</v>
      </c>
      <c r="G34" s="333">
        <f>Belegung!C20</f>
        <v>0</v>
      </c>
      <c r="H34" s="333">
        <f>Belegung!D20</f>
        <v>0</v>
      </c>
      <c r="I34" s="333">
        <f>Belegung!E20</f>
        <v>0</v>
      </c>
      <c r="J34" s="333">
        <f>Belegung!F20</f>
        <v>0</v>
      </c>
      <c r="K34" s="333">
        <f>Belegung!G20</f>
        <v>0</v>
      </c>
      <c r="L34" s="333">
        <f>Belegung!H20</f>
        <v>0</v>
      </c>
      <c r="M34" s="333">
        <f>Belegung!I20</f>
        <v>0</v>
      </c>
      <c r="N34" s="333">
        <f>Belegung!J20</f>
        <v>0</v>
      </c>
      <c r="O34" s="333">
        <f>Belegung!K20</f>
        <v>0</v>
      </c>
      <c r="P34" s="333">
        <f>Belegung!L20</f>
        <v>0</v>
      </c>
      <c r="Q34" s="333">
        <f>Belegung!M20</f>
        <v>0</v>
      </c>
      <c r="R34" s="305">
        <f t="shared" si="7"/>
        <v>0</v>
      </c>
      <c r="S34" s="334">
        <f t="shared" si="8"/>
        <v>0</v>
      </c>
      <c r="T34" s="335">
        <f t="shared" si="6"/>
        <v>0</v>
      </c>
      <c r="U34" s="335">
        <f t="shared" si="9"/>
        <v>0</v>
      </c>
      <c r="V34" s="335">
        <f t="shared" si="11"/>
        <v>0</v>
      </c>
      <c r="W34" s="336">
        <f t="shared" si="10"/>
        <v>0</v>
      </c>
    </row>
    <row r="35" spans="1:23" ht="27.75" customHeight="1" x14ac:dyDescent="0.25">
      <c r="A35" s="302" t="s">
        <v>387</v>
      </c>
      <c r="B35" s="303" t="s">
        <v>370</v>
      </c>
      <c r="C35" s="332">
        <v>10</v>
      </c>
      <c r="D35" s="304">
        <v>1</v>
      </c>
      <c r="E35" s="337">
        <v>1</v>
      </c>
      <c r="F35" s="333">
        <f>Belegung!B21</f>
        <v>0</v>
      </c>
      <c r="G35" s="333">
        <f>Belegung!C21</f>
        <v>0</v>
      </c>
      <c r="H35" s="333">
        <f>Belegung!D21</f>
        <v>0</v>
      </c>
      <c r="I35" s="333">
        <f>Belegung!E21</f>
        <v>0</v>
      </c>
      <c r="J35" s="333">
        <f>Belegung!F21</f>
        <v>0</v>
      </c>
      <c r="K35" s="333">
        <f>Belegung!G21</f>
        <v>0</v>
      </c>
      <c r="L35" s="333">
        <f>Belegung!H21</f>
        <v>0</v>
      </c>
      <c r="M35" s="333">
        <f>Belegung!I21</f>
        <v>0</v>
      </c>
      <c r="N35" s="333">
        <f>Belegung!J21</f>
        <v>0</v>
      </c>
      <c r="O35" s="333">
        <f>Belegung!K21</f>
        <v>0</v>
      </c>
      <c r="P35" s="333">
        <f>Belegung!L21</f>
        <v>0</v>
      </c>
      <c r="Q35" s="333">
        <f>Belegung!M21</f>
        <v>0</v>
      </c>
      <c r="R35" s="305">
        <f t="shared" si="7"/>
        <v>0</v>
      </c>
      <c r="S35" s="334">
        <f t="shared" si="8"/>
        <v>0</v>
      </c>
      <c r="T35" s="335">
        <f>IF(R42="",0,R42)</f>
        <v>0</v>
      </c>
      <c r="U35" s="335">
        <f>IF($W$42="",0,$W$42)</f>
        <v>0</v>
      </c>
      <c r="V35" s="335">
        <f t="shared" si="11"/>
        <v>0</v>
      </c>
      <c r="W35" s="336">
        <f t="shared" si="10"/>
        <v>0</v>
      </c>
    </row>
    <row r="36" spans="1:23" ht="27.75" customHeight="1" x14ac:dyDescent="0.25">
      <c r="A36" s="302" t="s">
        <v>388</v>
      </c>
      <c r="B36" s="303" t="s">
        <v>370</v>
      </c>
      <c r="C36" s="332">
        <v>11</v>
      </c>
      <c r="D36" s="304">
        <v>1.1000000000000001</v>
      </c>
      <c r="E36" s="337">
        <f>C36*E35/C35</f>
        <v>1.1000000000000001</v>
      </c>
      <c r="F36" s="333">
        <f>Belegung!B22</f>
        <v>0</v>
      </c>
      <c r="G36" s="333">
        <f>Belegung!C22</f>
        <v>0</v>
      </c>
      <c r="H36" s="333">
        <f>Belegung!D22</f>
        <v>0</v>
      </c>
      <c r="I36" s="333">
        <f>Belegung!E22</f>
        <v>0</v>
      </c>
      <c r="J36" s="333">
        <f>Belegung!F22</f>
        <v>0</v>
      </c>
      <c r="K36" s="333">
        <f>Belegung!G22</f>
        <v>0</v>
      </c>
      <c r="L36" s="333">
        <f>Belegung!H22</f>
        <v>0</v>
      </c>
      <c r="M36" s="333">
        <f>Belegung!I22</f>
        <v>0</v>
      </c>
      <c r="N36" s="333">
        <f>Belegung!J22</f>
        <v>0</v>
      </c>
      <c r="O36" s="333">
        <f>Belegung!K22</f>
        <v>0</v>
      </c>
      <c r="P36" s="333">
        <f>Belegung!L22</f>
        <v>0</v>
      </c>
      <c r="Q36" s="333">
        <f>Belegung!M22</f>
        <v>0</v>
      </c>
      <c r="R36" s="305">
        <f t="shared" si="7"/>
        <v>0</v>
      </c>
      <c r="S36" s="334">
        <f t="shared" si="8"/>
        <v>0</v>
      </c>
      <c r="T36" s="335">
        <f>IF($R$42=0,0,$T$35*E36)</f>
        <v>0</v>
      </c>
      <c r="U36" s="335">
        <f>IF($W$42="",0,$W$42)</f>
        <v>0</v>
      </c>
      <c r="V36" s="335">
        <f t="shared" si="11"/>
        <v>0</v>
      </c>
      <c r="W36" s="336">
        <f t="shared" si="10"/>
        <v>0</v>
      </c>
    </row>
    <row r="37" spans="1:23" ht="27.75" customHeight="1" x14ac:dyDescent="0.25">
      <c r="A37" s="306"/>
      <c r="B37" s="307"/>
      <c r="C37" s="314"/>
      <c r="D37" s="338"/>
      <c r="E37" s="339"/>
      <c r="F37" s="340"/>
      <c r="G37" s="340"/>
      <c r="H37" s="340"/>
      <c r="I37" s="340"/>
      <c r="J37" s="340"/>
      <c r="K37" s="340"/>
      <c r="L37" s="340"/>
      <c r="M37" s="340"/>
      <c r="N37" s="340"/>
      <c r="O37" s="340"/>
      <c r="P37" s="340"/>
      <c r="Q37" s="340"/>
      <c r="R37" s="305">
        <f>SUM(R29:R36)</f>
        <v>0</v>
      </c>
      <c r="S37" s="334">
        <f>SUM(S29:S36)</f>
        <v>0</v>
      </c>
      <c r="T37" s="341"/>
      <c r="U37" s="341"/>
      <c r="V37" s="341"/>
      <c r="W37" s="336">
        <f>SUM(W29:W36)</f>
        <v>0</v>
      </c>
    </row>
    <row r="38" spans="1:23" ht="12.6" customHeight="1" x14ac:dyDescent="0.25">
      <c r="A38" s="311"/>
      <c r="B38" s="312"/>
      <c r="C38" s="311"/>
      <c r="D38" s="312"/>
      <c r="E38" s="329"/>
      <c r="F38" s="329"/>
      <c r="G38" s="329"/>
      <c r="H38" s="329"/>
      <c r="I38" s="329"/>
      <c r="J38" s="329"/>
      <c r="K38" s="329"/>
      <c r="L38" s="329"/>
      <c r="M38" s="329"/>
      <c r="N38" s="329"/>
      <c r="O38" s="329"/>
      <c r="P38" s="329"/>
      <c r="Q38" s="329"/>
      <c r="R38" s="312"/>
      <c r="S38" s="311"/>
      <c r="T38" s="156"/>
      <c r="U38" s="156"/>
      <c r="V38" s="156"/>
      <c r="W38" s="156"/>
    </row>
    <row r="39" spans="1:23" ht="12.6" customHeight="1" x14ac:dyDescent="0.25">
      <c r="A39" s="342"/>
      <c r="B39" s="343"/>
      <c r="C39" s="344" t="s">
        <v>399</v>
      </c>
      <c r="D39" s="350"/>
      <c r="E39" s="346"/>
      <c r="F39" s="346"/>
      <c r="G39" s="346"/>
      <c r="H39" s="346"/>
      <c r="I39" s="346"/>
      <c r="J39" s="346"/>
      <c r="K39" s="346"/>
      <c r="L39" s="346"/>
      <c r="M39" s="346"/>
      <c r="N39" s="346"/>
      <c r="O39" s="346"/>
      <c r="P39" s="346"/>
      <c r="Q39" s="346"/>
      <c r="R39" s="1095" t="str">
        <f>IF('INTERN Personal- und Sachkosten'!$D$18=0,"",('INTERN Personal- und Sachkosten'!$D$18*R37))</f>
        <v/>
      </c>
      <c r="S39" s="1096"/>
      <c r="T39" s="1097"/>
      <c r="U39" s="347"/>
      <c r="V39" s="348" t="s">
        <v>395</v>
      </c>
      <c r="W39" s="349" t="str">
        <f>IF('INTERN Personal- und Sachkosten'!$D$43=0,"",('INTERN Personal- und Sachkosten'!$D$43*R37))</f>
        <v/>
      </c>
    </row>
    <row r="40" spans="1:23" ht="12.6" customHeight="1" x14ac:dyDescent="0.25">
      <c r="A40" s="342"/>
      <c r="B40" s="343"/>
      <c r="C40" s="344" t="s">
        <v>400</v>
      </c>
      <c r="D40" s="350"/>
      <c r="E40" s="351"/>
      <c r="F40" s="351"/>
      <c r="G40" s="351"/>
      <c r="H40" s="351"/>
      <c r="I40" s="351"/>
      <c r="J40" s="351"/>
      <c r="K40" s="351"/>
      <c r="L40" s="351"/>
      <c r="M40" s="351"/>
      <c r="N40" s="351"/>
      <c r="O40" s="351"/>
      <c r="P40" s="351"/>
      <c r="Q40" s="351"/>
      <c r="R40" s="1098" t="str">
        <f>IF(S37=0,"",S37)</f>
        <v/>
      </c>
      <c r="S40" s="1099"/>
      <c r="T40" s="1100"/>
      <c r="U40" s="347"/>
      <c r="V40" s="348" t="s">
        <v>375</v>
      </c>
      <c r="W40" s="352" t="str">
        <f>IF(R37=0,"",R37)</f>
        <v/>
      </c>
    </row>
    <row r="41" spans="1:23" ht="12.6" customHeight="1" x14ac:dyDescent="0.25">
      <c r="A41" s="342"/>
      <c r="B41" s="343"/>
      <c r="C41" s="344" t="s">
        <v>376</v>
      </c>
      <c r="D41" s="350"/>
      <c r="E41" s="353"/>
      <c r="F41" s="354"/>
      <c r="G41" s="354"/>
      <c r="H41" s="354"/>
      <c r="I41" s="354"/>
      <c r="J41" s="354"/>
      <c r="K41" s="354"/>
      <c r="L41" s="354"/>
      <c r="M41" s="354"/>
      <c r="N41" s="354"/>
      <c r="O41" s="354"/>
      <c r="P41" s="354"/>
      <c r="Q41" s="354"/>
      <c r="R41" s="1092" t="str">
        <f>IF(R40="","",12)</f>
        <v/>
      </c>
      <c r="S41" s="1093"/>
      <c r="T41" s="1094"/>
      <c r="U41" s="347"/>
      <c r="V41" s="348" t="s">
        <v>376</v>
      </c>
      <c r="W41" s="355" t="str">
        <f>IF(W40="","",12)</f>
        <v/>
      </c>
    </row>
    <row r="42" spans="1:23" ht="12.6" customHeight="1" x14ac:dyDescent="0.25">
      <c r="A42" s="342"/>
      <c r="B42" s="343"/>
      <c r="C42" s="344" t="s">
        <v>377</v>
      </c>
      <c r="D42" s="350"/>
      <c r="E42" s="346"/>
      <c r="F42" s="354"/>
      <c r="G42" s="354"/>
      <c r="H42" s="354"/>
      <c r="I42" s="354"/>
      <c r="J42" s="354"/>
      <c r="K42" s="354"/>
      <c r="L42" s="354"/>
      <c r="M42" s="354"/>
      <c r="N42" s="354"/>
      <c r="O42" s="354"/>
      <c r="P42" s="354"/>
      <c r="Q42" s="354"/>
      <c r="R42" s="1095" t="str">
        <f>IF(R39="","",R39/R40/R41)</f>
        <v/>
      </c>
      <c r="S42" s="1096"/>
      <c r="T42" s="1097"/>
      <c r="U42" s="347"/>
      <c r="V42" s="348" t="s">
        <v>377</v>
      </c>
      <c r="W42" s="336" t="str">
        <f>IF(W39="","",W39/W40/W41)</f>
        <v/>
      </c>
    </row>
    <row r="43" spans="1:23" ht="12.6" customHeight="1" x14ac:dyDescent="0.25">
      <c r="A43" s="311"/>
      <c r="B43" s="312"/>
      <c r="C43" s="311"/>
      <c r="D43" s="312"/>
      <c r="E43" s="329"/>
      <c r="F43" s="329"/>
      <c r="G43" s="329"/>
      <c r="H43" s="329"/>
      <c r="I43" s="329"/>
      <c r="J43" s="329"/>
      <c r="K43" s="329"/>
      <c r="L43" s="329"/>
      <c r="M43" s="329"/>
      <c r="N43" s="329"/>
      <c r="O43" s="329"/>
      <c r="P43" s="329"/>
      <c r="Q43" s="329"/>
      <c r="R43" s="312"/>
      <c r="S43" s="311"/>
      <c r="T43" s="156"/>
      <c r="U43" s="156"/>
      <c r="V43" s="156"/>
      <c r="W43" s="156"/>
    </row>
    <row r="44" spans="1:23" x14ac:dyDescent="0.25">
      <c r="A44" s="331" t="s">
        <v>402</v>
      </c>
      <c r="B44" s="312"/>
    </row>
    <row r="45" spans="1:23" x14ac:dyDescent="0.25">
      <c r="A45" s="1101"/>
      <c r="B45" s="1102"/>
      <c r="C45" s="1102"/>
      <c r="D45" s="1102"/>
      <c r="E45" s="1102"/>
      <c r="F45" s="1102"/>
      <c r="G45" s="1102"/>
      <c r="H45" s="1102"/>
      <c r="I45" s="1102"/>
      <c r="J45" s="1102"/>
      <c r="K45" s="1102"/>
      <c r="L45" s="1102"/>
      <c r="M45" s="1102"/>
      <c r="N45" s="1102"/>
      <c r="O45" s="1102"/>
      <c r="P45" s="1102"/>
      <c r="Q45" s="1102"/>
      <c r="R45" s="1102"/>
      <c r="S45" s="1102"/>
      <c r="T45" s="1102"/>
      <c r="U45" s="1102"/>
      <c r="V45" s="1102"/>
      <c r="W45" s="1103"/>
    </row>
    <row r="46" spans="1:23" ht="27.75" customHeight="1" x14ac:dyDescent="0.25">
      <c r="A46" s="302" t="s">
        <v>398</v>
      </c>
      <c r="B46" s="303" t="s">
        <v>372</v>
      </c>
      <c r="C46" s="332">
        <v>1</v>
      </c>
      <c r="D46" s="304">
        <v>0.1</v>
      </c>
      <c r="E46" s="304">
        <f>C46*E51/C51</f>
        <v>0.16666666666666666</v>
      </c>
      <c r="F46" s="333">
        <f>Belegung!B51</f>
        <v>0</v>
      </c>
      <c r="G46" s="333">
        <f>Belegung!C51</f>
        <v>0</v>
      </c>
      <c r="H46" s="333">
        <f>Belegung!D51</f>
        <v>0</v>
      </c>
      <c r="I46" s="333">
        <f>Belegung!E51</f>
        <v>0</v>
      </c>
      <c r="J46" s="333">
        <f>Belegung!F51</f>
        <v>0</v>
      </c>
      <c r="K46" s="333">
        <f>Belegung!G51</f>
        <v>0</v>
      </c>
      <c r="L46" s="333">
        <f>Belegung!H51</f>
        <v>0</v>
      </c>
      <c r="M46" s="333">
        <f>Belegung!I51</f>
        <v>0</v>
      </c>
      <c r="N46" s="333">
        <f>Belegung!J51</f>
        <v>0</v>
      </c>
      <c r="O46" s="333">
        <f>Belegung!K51</f>
        <v>0</v>
      </c>
      <c r="P46" s="333">
        <f>Belegung!L51</f>
        <v>0</v>
      </c>
      <c r="Q46" s="333">
        <f>Belegung!M51</f>
        <v>0</v>
      </c>
      <c r="R46" s="305">
        <f>IF(SUM(F46:Q46)=0,0,(SUM(F46:Q46)/12))</f>
        <v>0</v>
      </c>
      <c r="S46" s="334">
        <f>R46*E46</f>
        <v>0</v>
      </c>
      <c r="T46" s="335">
        <f>IF($R$61=0,0,$T$51*E46)</f>
        <v>0</v>
      </c>
      <c r="U46" s="335">
        <f>IF($W$61="",0,$W$61)</f>
        <v>0</v>
      </c>
      <c r="V46" s="335">
        <f t="shared" ref="V46:V55" si="12">SUM(T46:U46)</f>
        <v>0</v>
      </c>
      <c r="W46" s="336">
        <f>V46*12*R46</f>
        <v>0</v>
      </c>
    </row>
    <row r="47" spans="1:23" ht="27.75" customHeight="1" x14ac:dyDescent="0.25">
      <c r="A47" s="302" t="s">
        <v>382</v>
      </c>
      <c r="B47" s="303" t="s">
        <v>372</v>
      </c>
      <c r="C47" s="332">
        <v>2</v>
      </c>
      <c r="D47" s="304">
        <v>0.2</v>
      </c>
      <c r="E47" s="337">
        <f>C47*E51/C51</f>
        <v>0.33333333333333331</v>
      </c>
      <c r="F47" s="333">
        <f>Belegung!B52</f>
        <v>0</v>
      </c>
      <c r="G47" s="333">
        <f>Belegung!C52</f>
        <v>0</v>
      </c>
      <c r="H47" s="333">
        <f>Belegung!D52</f>
        <v>0</v>
      </c>
      <c r="I47" s="333">
        <f>Belegung!E52</f>
        <v>0</v>
      </c>
      <c r="J47" s="333">
        <f>Belegung!F52</f>
        <v>0</v>
      </c>
      <c r="K47" s="333">
        <f>Belegung!G52</f>
        <v>0</v>
      </c>
      <c r="L47" s="333">
        <f>Belegung!H52</f>
        <v>0</v>
      </c>
      <c r="M47" s="333">
        <f>Belegung!I52</f>
        <v>0</v>
      </c>
      <c r="N47" s="333">
        <f>Belegung!J52</f>
        <v>0</v>
      </c>
      <c r="O47" s="333">
        <f>Belegung!K52</f>
        <v>0</v>
      </c>
      <c r="P47" s="333">
        <f>Belegung!L52</f>
        <v>0</v>
      </c>
      <c r="Q47" s="333">
        <f>Belegung!M52</f>
        <v>0</v>
      </c>
      <c r="R47" s="305">
        <f t="shared" ref="R47:R55" si="13">IF(SUM(F47:Q47)=0,0,(SUM(F47:Q47)/12))</f>
        <v>0</v>
      </c>
      <c r="S47" s="334">
        <f t="shared" ref="S47:S55" si="14">R47*E47</f>
        <v>0</v>
      </c>
      <c r="T47" s="335">
        <f>IF($R$61=0,0,$T$51*E47)</f>
        <v>0</v>
      </c>
      <c r="U47" s="335">
        <f t="shared" ref="U47:U51" si="15">IF($W$61="",0,$W$61)</f>
        <v>0</v>
      </c>
      <c r="V47" s="335">
        <f t="shared" si="12"/>
        <v>0</v>
      </c>
      <c r="W47" s="336">
        <f t="shared" ref="W47:W55" si="16">V47*12*R47</f>
        <v>0</v>
      </c>
    </row>
    <row r="48" spans="1:23" ht="27.75" customHeight="1" x14ac:dyDescent="0.25">
      <c r="A48" s="302" t="s">
        <v>383</v>
      </c>
      <c r="B48" s="303" t="s">
        <v>372</v>
      </c>
      <c r="C48" s="332">
        <v>3</v>
      </c>
      <c r="D48" s="304">
        <v>0.3</v>
      </c>
      <c r="E48" s="304">
        <f>C48*E51/C51</f>
        <v>0.5</v>
      </c>
      <c r="F48" s="333">
        <f>Belegung!B53</f>
        <v>0</v>
      </c>
      <c r="G48" s="333">
        <f>Belegung!C53</f>
        <v>0</v>
      </c>
      <c r="H48" s="333">
        <f>Belegung!D53</f>
        <v>0</v>
      </c>
      <c r="I48" s="333">
        <f>Belegung!E53</f>
        <v>0</v>
      </c>
      <c r="J48" s="333">
        <f>Belegung!F53</f>
        <v>0</v>
      </c>
      <c r="K48" s="333">
        <f>Belegung!G53</f>
        <v>0</v>
      </c>
      <c r="L48" s="333">
        <f>Belegung!H53</f>
        <v>0</v>
      </c>
      <c r="M48" s="333">
        <f>Belegung!I53</f>
        <v>0</v>
      </c>
      <c r="N48" s="333">
        <f>Belegung!J53</f>
        <v>0</v>
      </c>
      <c r="O48" s="333">
        <f>Belegung!K53</f>
        <v>0</v>
      </c>
      <c r="P48" s="333">
        <f>Belegung!L53</f>
        <v>0</v>
      </c>
      <c r="Q48" s="333">
        <f>Belegung!M53</f>
        <v>0</v>
      </c>
      <c r="R48" s="305">
        <f t="shared" si="13"/>
        <v>0</v>
      </c>
      <c r="S48" s="334">
        <f t="shared" si="14"/>
        <v>0</v>
      </c>
      <c r="T48" s="335">
        <f>IF($R$61=0,0,$T$51*E48)</f>
        <v>0</v>
      </c>
      <c r="U48" s="335">
        <f t="shared" si="15"/>
        <v>0</v>
      </c>
      <c r="V48" s="335">
        <f t="shared" si="12"/>
        <v>0</v>
      </c>
      <c r="W48" s="336">
        <f t="shared" si="16"/>
        <v>0</v>
      </c>
    </row>
    <row r="49" spans="1:23" ht="27.75" customHeight="1" x14ac:dyDescent="0.25">
      <c r="A49" s="302" t="s">
        <v>384</v>
      </c>
      <c r="B49" s="303" t="s">
        <v>372</v>
      </c>
      <c r="C49" s="332">
        <v>4</v>
      </c>
      <c r="D49" s="304">
        <v>0.4</v>
      </c>
      <c r="E49" s="337">
        <f>C49*E51/C51</f>
        <v>0.66666666666666663</v>
      </c>
      <c r="F49" s="333">
        <f>Belegung!B54</f>
        <v>0</v>
      </c>
      <c r="G49" s="333">
        <f>Belegung!C54</f>
        <v>0</v>
      </c>
      <c r="H49" s="333">
        <f>Belegung!D54</f>
        <v>0</v>
      </c>
      <c r="I49" s="333">
        <f>Belegung!E54</f>
        <v>0</v>
      </c>
      <c r="J49" s="333">
        <f>Belegung!F54</f>
        <v>0</v>
      </c>
      <c r="K49" s="333">
        <f>Belegung!G54</f>
        <v>0</v>
      </c>
      <c r="L49" s="333">
        <f>Belegung!H54</f>
        <v>0</v>
      </c>
      <c r="M49" s="333">
        <f>Belegung!I54</f>
        <v>0</v>
      </c>
      <c r="N49" s="333">
        <f>Belegung!J54</f>
        <v>0</v>
      </c>
      <c r="O49" s="333">
        <f>Belegung!K54</f>
        <v>0</v>
      </c>
      <c r="P49" s="333">
        <f>Belegung!L54</f>
        <v>0</v>
      </c>
      <c r="Q49" s="333">
        <f>Belegung!M54</f>
        <v>0</v>
      </c>
      <c r="R49" s="305">
        <f t="shared" si="13"/>
        <v>0</v>
      </c>
      <c r="S49" s="334">
        <f t="shared" si="14"/>
        <v>0</v>
      </c>
      <c r="T49" s="335">
        <f>IF($R$61=0,0,$T$51*E49)</f>
        <v>0</v>
      </c>
      <c r="U49" s="335">
        <f t="shared" si="15"/>
        <v>0</v>
      </c>
      <c r="V49" s="335">
        <f t="shared" si="12"/>
        <v>0</v>
      </c>
      <c r="W49" s="336">
        <f t="shared" si="16"/>
        <v>0</v>
      </c>
    </row>
    <row r="50" spans="1:23" ht="27.75" customHeight="1" x14ac:dyDescent="0.25">
      <c r="A50" s="302" t="s">
        <v>385</v>
      </c>
      <c r="B50" s="303" t="s">
        <v>372</v>
      </c>
      <c r="C50" s="332">
        <v>5</v>
      </c>
      <c r="D50" s="304">
        <v>0.5</v>
      </c>
      <c r="E50" s="304">
        <f>C50*E51/C51</f>
        <v>0.83333333333333337</v>
      </c>
      <c r="F50" s="333">
        <f>Belegung!B55</f>
        <v>0</v>
      </c>
      <c r="G50" s="333">
        <f>Belegung!C55</f>
        <v>0</v>
      </c>
      <c r="H50" s="333">
        <f>Belegung!D55</f>
        <v>0</v>
      </c>
      <c r="I50" s="333">
        <f>Belegung!E55</f>
        <v>0</v>
      </c>
      <c r="J50" s="333">
        <f>Belegung!F55</f>
        <v>0</v>
      </c>
      <c r="K50" s="333">
        <f>Belegung!G55</f>
        <v>0</v>
      </c>
      <c r="L50" s="333">
        <f>Belegung!H55</f>
        <v>0</v>
      </c>
      <c r="M50" s="333">
        <f>Belegung!I55</f>
        <v>0</v>
      </c>
      <c r="N50" s="333">
        <f>Belegung!J55</f>
        <v>0</v>
      </c>
      <c r="O50" s="333">
        <f>Belegung!K55</f>
        <v>0</v>
      </c>
      <c r="P50" s="333">
        <f>Belegung!L55</f>
        <v>0</v>
      </c>
      <c r="Q50" s="333">
        <f>Belegung!M55</f>
        <v>0</v>
      </c>
      <c r="R50" s="305">
        <f t="shared" si="13"/>
        <v>0</v>
      </c>
      <c r="S50" s="334">
        <f t="shared" si="14"/>
        <v>0</v>
      </c>
      <c r="T50" s="335">
        <f>IF($R$61=0,0,$T$51*E50)</f>
        <v>0</v>
      </c>
      <c r="U50" s="335">
        <f t="shared" si="15"/>
        <v>0</v>
      </c>
      <c r="V50" s="335">
        <f t="shared" si="12"/>
        <v>0</v>
      </c>
      <c r="W50" s="336">
        <f t="shared" si="16"/>
        <v>0</v>
      </c>
    </row>
    <row r="51" spans="1:23" ht="27.75" customHeight="1" x14ac:dyDescent="0.25">
      <c r="A51" s="302" t="s">
        <v>386</v>
      </c>
      <c r="B51" s="303" t="s">
        <v>372</v>
      </c>
      <c r="C51" s="332">
        <v>6</v>
      </c>
      <c r="D51" s="304">
        <v>0.6</v>
      </c>
      <c r="E51" s="304">
        <v>1</v>
      </c>
      <c r="F51" s="333">
        <f>Belegung!B56</f>
        <v>0</v>
      </c>
      <c r="G51" s="333">
        <f>Belegung!C56</f>
        <v>0</v>
      </c>
      <c r="H51" s="333">
        <f>Belegung!D56</f>
        <v>0</v>
      </c>
      <c r="I51" s="333">
        <f>Belegung!E56</f>
        <v>0</v>
      </c>
      <c r="J51" s="333">
        <f>Belegung!F56</f>
        <v>0</v>
      </c>
      <c r="K51" s="333">
        <f>Belegung!G56</f>
        <v>0</v>
      </c>
      <c r="L51" s="333">
        <f>Belegung!H56</f>
        <v>0</v>
      </c>
      <c r="M51" s="333">
        <f>Belegung!I56</f>
        <v>0</v>
      </c>
      <c r="N51" s="333">
        <f>Belegung!J56</f>
        <v>0</v>
      </c>
      <c r="O51" s="333">
        <f>Belegung!K56</f>
        <v>0</v>
      </c>
      <c r="P51" s="333">
        <f>Belegung!L56</f>
        <v>0</v>
      </c>
      <c r="Q51" s="333">
        <f>Belegung!M56</f>
        <v>0</v>
      </c>
      <c r="R51" s="305">
        <f t="shared" si="13"/>
        <v>0</v>
      </c>
      <c r="S51" s="334">
        <f t="shared" si="14"/>
        <v>0</v>
      </c>
      <c r="T51" s="335">
        <f>IF(R61="",0,R61)</f>
        <v>0</v>
      </c>
      <c r="U51" s="335">
        <f t="shared" si="15"/>
        <v>0</v>
      </c>
      <c r="V51" s="335">
        <f t="shared" si="12"/>
        <v>0</v>
      </c>
      <c r="W51" s="336">
        <f t="shared" si="16"/>
        <v>0</v>
      </c>
    </row>
    <row r="52" spans="1:23" ht="27.75" customHeight="1" x14ac:dyDescent="0.25">
      <c r="A52" s="302" t="s">
        <v>387</v>
      </c>
      <c r="B52" s="303" t="s">
        <v>372</v>
      </c>
      <c r="C52" s="332">
        <v>7</v>
      </c>
      <c r="D52" s="304">
        <v>0.7</v>
      </c>
      <c r="E52" s="304">
        <f>C52*E51/C51</f>
        <v>1.1666666666666667</v>
      </c>
      <c r="F52" s="333">
        <f>Belegung!B57</f>
        <v>0</v>
      </c>
      <c r="G52" s="333">
        <f>Belegung!C57</f>
        <v>0</v>
      </c>
      <c r="H52" s="333">
        <f>Belegung!D57</f>
        <v>0</v>
      </c>
      <c r="I52" s="333">
        <f>Belegung!E57</f>
        <v>0</v>
      </c>
      <c r="J52" s="333">
        <f>Belegung!F57</f>
        <v>0</v>
      </c>
      <c r="K52" s="333">
        <f>Belegung!G57</f>
        <v>0</v>
      </c>
      <c r="L52" s="333">
        <f>Belegung!H57</f>
        <v>0</v>
      </c>
      <c r="M52" s="333">
        <f>Belegung!I57</f>
        <v>0</v>
      </c>
      <c r="N52" s="333">
        <f>Belegung!J57</f>
        <v>0</v>
      </c>
      <c r="O52" s="333">
        <f>Belegung!K57</f>
        <v>0</v>
      </c>
      <c r="P52" s="333">
        <f>Belegung!L57</f>
        <v>0</v>
      </c>
      <c r="Q52" s="333">
        <f>Belegung!M57</f>
        <v>0</v>
      </c>
      <c r="R52" s="305">
        <f t="shared" si="13"/>
        <v>0</v>
      </c>
      <c r="S52" s="334">
        <f t="shared" si="14"/>
        <v>0</v>
      </c>
      <c r="T52" s="335">
        <f>IF($R$61=0,0,$T$51*E52)</f>
        <v>0</v>
      </c>
      <c r="U52" s="335">
        <f>IF($W$61="",0,$W$61)</f>
        <v>0</v>
      </c>
      <c r="V52" s="335">
        <f t="shared" si="12"/>
        <v>0</v>
      </c>
      <c r="W52" s="336">
        <f t="shared" si="16"/>
        <v>0</v>
      </c>
    </row>
    <row r="53" spans="1:23" ht="27.75" customHeight="1" x14ac:dyDescent="0.25">
      <c r="A53" s="302" t="s">
        <v>388</v>
      </c>
      <c r="B53" s="303" t="s">
        <v>372</v>
      </c>
      <c r="C53" s="332">
        <v>8</v>
      </c>
      <c r="D53" s="304">
        <v>0.8</v>
      </c>
      <c r="E53" s="304">
        <f>C53*E51/C51</f>
        <v>1.3333333333333333</v>
      </c>
      <c r="F53" s="333">
        <f>Belegung!B58</f>
        <v>0</v>
      </c>
      <c r="G53" s="333">
        <f>Belegung!C58</f>
        <v>0</v>
      </c>
      <c r="H53" s="333">
        <f>Belegung!D58</f>
        <v>0</v>
      </c>
      <c r="I53" s="333">
        <f>Belegung!E58</f>
        <v>0</v>
      </c>
      <c r="J53" s="333">
        <f>Belegung!F58</f>
        <v>0</v>
      </c>
      <c r="K53" s="333">
        <f>Belegung!G58</f>
        <v>0</v>
      </c>
      <c r="L53" s="333">
        <f>Belegung!H58</f>
        <v>0</v>
      </c>
      <c r="M53" s="333">
        <f>Belegung!I58</f>
        <v>0</v>
      </c>
      <c r="N53" s="333">
        <f>Belegung!J58</f>
        <v>0</v>
      </c>
      <c r="O53" s="333">
        <f>Belegung!K58</f>
        <v>0</v>
      </c>
      <c r="P53" s="333">
        <f>Belegung!L58</f>
        <v>0</v>
      </c>
      <c r="Q53" s="333">
        <f>Belegung!M58</f>
        <v>0</v>
      </c>
      <c r="R53" s="305">
        <f t="shared" si="13"/>
        <v>0</v>
      </c>
      <c r="S53" s="334">
        <f t="shared" si="14"/>
        <v>0</v>
      </c>
      <c r="T53" s="335">
        <f>IF($R$61=0,0,$T$51*E53)</f>
        <v>0</v>
      </c>
      <c r="U53" s="335">
        <f>IF($W$61="",0,$W$61)</f>
        <v>0</v>
      </c>
      <c r="V53" s="335">
        <f t="shared" si="12"/>
        <v>0</v>
      </c>
      <c r="W53" s="336">
        <f t="shared" si="16"/>
        <v>0</v>
      </c>
    </row>
    <row r="54" spans="1:23" ht="27.75" customHeight="1" x14ac:dyDescent="0.25">
      <c r="A54" s="302" t="s">
        <v>389</v>
      </c>
      <c r="B54" s="303" t="s">
        <v>372</v>
      </c>
      <c r="C54" s="332">
        <v>9</v>
      </c>
      <c r="D54" s="304">
        <v>0.9</v>
      </c>
      <c r="E54" s="304">
        <f>C54*E51/C51</f>
        <v>1.5</v>
      </c>
      <c r="F54" s="333">
        <f>Belegung!B59</f>
        <v>0</v>
      </c>
      <c r="G54" s="333">
        <f>Belegung!C59</f>
        <v>0</v>
      </c>
      <c r="H54" s="333">
        <f>Belegung!D59</f>
        <v>0</v>
      </c>
      <c r="I54" s="333">
        <f>Belegung!E59</f>
        <v>0</v>
      </c>
      <c r="J54" s="333">
        <f>Belegung!F59</f>
        <v>0</v>
      </c>
      <c r="K54" s="333">
        <f>Belegung!G59</f>
        <v>0</v>
      </c>
      <c r="L54" s="333">
        <f>Belegung!H59</f>
        <v>0</v>
      </c>
      <c r="M54" s="333">
        <f>Belegung!I59</f>
        <v>0</v>
      </c>
      <c r="N54" s="333">
        <f>Belegung!J59</f>
        <v>0</v>
      </c>
      <c r="O54" s="333">
        <f>Belegung!K59</f>
        <v>0</v>
      </c>
      <c r="P54" s="333">
        <f>Belegung!L59</f>
        <v>0</v>
      </c>
      <c r="Q54" s="333">
        <f>Belegung!M59</f>
        <v>0</v>
      </c>
      <c r="R54" s="305">
        <f t="shared" si="13"/>
        <v>0</v>
      </c>
      <c r="S54" s="334">
        <f t="shared" si="14"/>
        <v>0</v>
      </c>
      <c r="T54" s="335">
        <f>IF($R$61=0,0,$T$51*E54)</f>
        <v>0</v>
      </c>
      <c r="U54" s="335">
        <f>IF($W$61="",0,$W$61)</f>
        <v>0</v>
      </c>
      <c r="V54" s="335">
        <f t="shared" si="12"/>
        <v>0</v>
      </c>
      <c r="W54" s="336">
        <f t="shared" si="16"/>
        <v>0</v>
      </c>
    </row>
    <row r="55" spans="1:23" ht="27.75" customHeight="1" x14ac:dyDescent="0.25">
      <c r="A55" s="302" t="s">
        <v>390</v>
      </c>
      <c r="B55" s="303" t="s">
        <v>372</v>
      </c>
      <c r="C55" s="332">
        <v>10</v>
      </c>
      <c r="D55" s="304">
        <v>1</v>
      </c>
      <c r="E55" s="304">
        <f>C55*E51/C51</f>
        <v>1.6666666666666667</v>
      </c>
      <c r="F55" s="333">
        <f>Belegung!B60</f>
        <v>0</v>
      </c>
      <c r="G55" s="333">
        <f>Belegung!C60</f>
        <v>0</v>
      </c>
      <c r="H55" s="333">
        <f>Belegung!D60</f>
        <v>0</v>
      </c>
      <c r="I55" s="333">
        <f>Belegung!E60</f>
        <v>0</v>
      </c>
      <c r="J55" s="333">
        <f>Belegung!F60</f>
        <v>0</v>
      </c>
      <c r="K55" s="333">
        <f>Belegung!G60</f>
        <v>0</v>
      </c>
      <c r="L55" s="333">
        <f>Belegung!H60</f>
        <v>0</v>
      </c>
      <c r="M55" s="333">
        <f>Belegung!I60</f>
        <v>0</v>
      </c>
      <c r="N55" s="333">
        <f>Belegung!J60</f>
        <v>0</v>
      </c>
      <c r="O55" s="333">
        <f>Belegung!K60</f>
        <v>0</v>
      </c>
      <c r="P55" s="333">
        <f>Belegung!L60</f>
        <v>0</v>
      </c>
      <c r="Q55" s="333">
        <f>Belegung!M60</f>
        <v>0</v>
      </c>
      <c r="R55" s="305">
        <f t="shared" si="13"/>
        <v>0</v>
      </c>
      <c r="S55" s="334">
        <f t="shared" si="14"/>
        <v>0</v>
      </c>
      <c r="T55" s="335">
        <f>IF($R$61=0,0,$T$51*E55)</f>
        <v>0</v>
      </c>
      <c r="U55" s="335">
        <f>IF($W$61="",0,$W$61)</f>
        <v>0</v>
      </c>
      <c r="V55" s="335">
        <f t="shared" si="12"/>
        <v>0</v>
      </c>
      <c r="W55" s="336">
        <f t="shared" si="16"/>
        <v>0</v>
      </c>
    </row>
    <row r="56" spans="1:23" ht="27.75" customHeight="1" x14ac:dyDescent="0.25">
      <c r="A56" s="308"/>
      <c r="B56" s="307"/>
      <c r="C56" s="314"/>
      <c r="D56" s="338"/>
      <c r="E56" s="339"/>
      <c r="F56" s="340"/>
      <c r="G56" s="340"/>
      <c r="H56" s="340"/>
      <c r="I56" s="340"/>
      <c r="J56" s="340"/>
      <c r="K56" s="340"/>
      <c r="L56" s="340"/>
      <c r="M56" s="340"/>
      <c r="N56" s="340"/>
      <c r="O56" s="340"/>
      <c r="P56" s="340"/>
      <c r="Q56" s="340"/>
      <c r="R56" s="305">
        <f>SUM(R46:R55)</f>
        <v>0</v>
      </c>
      <c r="S56" s="334">
        <f>SUM(S46:S55)</f>
        <v>0</v>
      </c>
      <c r="T56" s="341"/>
      <c r="U56" s="341"/>
      <c r="V56" s="341"/>
      <c r="W56" s="336">
        <f>SUM(W46:W55)</f>
        <v>0</v>
      </c>
    </row>
    <row r="57" spans="1:23" ht="12.6" customHeight="1" x14ac:dyDescent="0.25">
      <c r="A57" s="311"/>
      <c r="B57" s="312"/>
      <c r="C57" s="311"/>
      <c r="D57" s="312"/>
      <c r="E57" s="329"/>
      <c r="F57" s="329"/>
      <c r="G57" s="329"/>
      <c r="H57" s="329"/>
      <c r="I57" s="329"/>
      <c r="J57" s="329"/>
      <c r="K57" s="329"/>
      <c r="L57" s="329"/>
      <c r="M57" s="329"/>
      <c r="N57" s="329"/>
      <c r="O57" s="329"/>
      <c r="P57" s="329"/>
      <c r="Q57" s="329"/>
      <c r="R57" s="312"/>
      <c r="S57" s="311"/>
      <c r="T57" s="156"/>
      <c r="U57" s="156"/>
      <c r="V57" s="156"/>
      <c r="W57" s="156"/>
    </row>
    <row r="58" spans="1:23" ht="12" customHeight="1" x14ac:dyDescent="0.25">
      <c r="A58" s="342"/>
      <c r="B58" s="343"/>
      <c r="C58" s="344" t="s">
        <v>399</v>
      </c>
      <c r="D58" s="350"/>
      <c r="E58" s="351"/>
      <c r="F58" s="351"/>
      <c r="G58" s="351"/>
      <c r="H58" s="351"/>
      <c r="I58" s="351"/>
      <c r="J58" s="351"/>
      <c r="K58" s="351"/>
      <c r="L58" s="351"/>
      <c r="M58" s="351"/>
      <c r="N58" s="351"/>
      <c r="O58" s="351"/>
      <c r="P58" s="351"/>
      <c r="Q58" s="351"/>
      <c r="R58" s="1095" t="str">
        <f>IF('INTERN Personal- und Sachkosten'!$E$18=0,"",('INTERN Personal- und Sachkosten'!$E$18*'INTERN Kostenrechnung'!K3))</f>
        <v/>
      </c>
      <c r="S58" s="1096"/>
      <c r="T58" s="1097"/>
      <c r="U58" s="347"/>
      <c r="V58" s="348" t="s">
        <v>395</v>
      </c>
      <c r="W58" s="336" t="str">
        <f>IF('INTERN Personal- und Sachkosten'!$E$43=0,"",('INTERN Personal- und Sachkosten'!$E$43*'INTERN Kostenrechnung'!K3))</f>
        <v/>
      </c>
    </row>
    <row r="59" spans="1:23" ht="12" customHeight="1" x14ac:dyDescent="0.25">
      <c r="A59" s="342"/>
      <c r="B59" s="343"/>
      <c r="C59" s="344" t="s">
        <v>400</v>
      </c>
      <c r="D59" s="350"/>
      <c r="E59" s="351"/>
      <c r="F59" s="351"/>
      <c r="G59" s="351"/>
      <c r="H59" s="351"/>
      <c r="I59" s="351"/>
      <c r="J59" s="351"/>
      <c r="K59" s="351"/>
      <c r="L59" s="351"/>
      <c r="M59" s="351"/>
      <c r="N59" s="351"/>
      <c r="O59" s="351"/>
      <c r="P59" s="351"/>
      <c r="Q59" s="351"/>
      <c r="R59" s="1098" t="str">
        <f>IF(S56=0,"",S56)</f>
        <v/>
      </c>
      <c r="S59" s="1099"/>
      <c r="T59" s="1100"/>
      <c r="U59" s="347"/>
      <c r="V59" s="348" t="s">
        <v>375</v>
      </c>
      <c r="W59" s="352" t="str">
        <f>IF(R56=0,"",R56)</f>
        <v/>
      </c>
    </row>
    <row r="60" spans="1:23" ht="12" customHeight="1" x14ac:dyDescent="0.25">
      <c r="A60" s="342"/>
      <c r="B60" s="343"/>
      <c r="C60" s="344" t="s">
        <v>376</v>
      </c>
      <c r="D60" s="350"/>
      <c r="E60" s="353"/>
      <c r="F60" s="354"/>
      <c r="G60" s="354"/>
      <c r="H60" s="354"/>
      <c r="I60" s="354"/>
      <c r="J60" s="354"/>
      <c r="K60" s="354"/>
      <c r="L60" s="354"/>
      <c r="M60" s="354"/>
      <c r="N60" s="354"/>
      <c r="O60" s="354"/>
      <c r="P60" s="354"/>
      <c r="Q60" s="354"/>
      <c r="R60" s="1092" t="str">
        <f>IF(R59="","",12)</f>
        <v/>
      </c>
      <c r="S60" s="1093"/>
      <c r="T60" s="1094"/>
      <c r="U60" s="347"/>
      <c r="V60" s="348" t="s">
        <v>376</v>
      </c>
      <c r="W60" s="355" t="str">
        <f>IF(W59="","",12)</f>
        <v/>
      </c>
    </row>
    <row r="61" spans="1:23" ht="12" customHeight="1" x14ac:dyDescent="0.25">
      <c r="A61" s="342"/>
      <c r="B61" s="343"/>
      <c r="C61" s="344" t="s">
        <v>377</v>
      </c>
      <c r="D61" s="350"/>
      <c r="E61" s="346"/>
      <c r="F61" s="354"/>
      <c r="G61" s="354"/>
      <c r="H61" s="354"/>
      <c r="I61" s="354"/>
      <c r="J61" s="354"/>
      <c r="K61" s="354"/>
      <c r="L61" s="354"/>
      <c r="M61" s="354"/>
      <c r="N61" s="354"/>
      <c r="O61" s="354"/>
      <c r="P61" s="354"/>
      <c r="Q61" s="354"/>
      <c r="R61" s="1095" t="str">
        <f>IF(R58="","",R58/R59/R60)</f>
        <v/>
      </c>
      <c r="S61" s="1096"/>
      <c r="T61" s="1097"/>
      <c r="U61" s="347"/>
      <c r="V61" s="348" t="s">
        <v>377</v>
      </c>
      <c r="W61" s="336" t="str">
        <f>IF(W58="","",W58/W59/W60)</f>
        <v/>
      </c>
    </row>
    <row r="62" spans="1:23" hidden="1" x14ac:dyDescent="0.25">
      <c r="A62" s="156"/>
      <c r="B62" s="156"/>
      <c r="C62" s="156"/>
      <c r="D62" s="156"/>
    </row>
    <row r="64" spans="1:23" ht="18.75" customHeight="1" x14ac:dyDescent="0.25">
      <c r="A64" s="356"/>
      <c r="B64" s="357"/>
      <c r="C64" s="358"/>
      <c r="D64" s="357"/>
      <c r="E64" s="359"/>
      <c r="F64" s="359"/>
      <c r="G64" s="359"/>
      <c r="H64" s="359"/>
      <c r="I64" s="359"/>
      <c r="J64" s="359"/>
      <c r="K64" s="359"/>
      <c r="L64" s="359"/>
      <c r="M64" s="359"/>
      <c r="N64" s="359"/>
      <c r="O64" s="359"/>
      <c r="P64" s="359"/>
      <c r="Q64" s="359"/>
      <c r="R64" s="307"/>
      <c r="S64" s="326"/>
      <c r="T64" s="341"/>
      <c r="U64" s="341"/>
      <c r="V64" s="360" t="s">
        <v>367</v>
      </c>
      <c r="W64" s="361">
        <f>W20</f>
        <v>0</v>
      </c>
    </row>
    <row r="65" spans="1:23" ht="18.75" customHeight="1" x14ac:dyDescent="0.25">
      <c r="A65" s="356"/>
      <c r="B65" s="357"/>
      <c r="C65" s="358"/>
      <c r="D65" s="357"/>
      <c r="E65" s="359"/>
      <c r="F65" s="359"/>
      <c r="G65" s="359"/>
      <c r="H65" s="359"/>
      <c r="I65" s="359"/>
      <c r="J65" s="359"/>
      <c r="K65" s="359"/>
      <c r="L65" s="359"/>
      <c r="M65" s="359"/>
      <c r="N65" s="359"/>
      <c r="O65" s="359"/>
      <c r="P65" s="359"/>
      <c r="Q65" s="359"/>
      <c r="R65" s="307"/>
      <c r="S65" s="326"/>
      <c r="T65" s="341"/>
      <c r="U65" s="341"/>
      <c r="V65" s="360" t="s">
        <v>370</v>
      </c>
      <c r="W65" s="361">
        <f>W37</f>
        <v>0</v>
      </c>
    </row>
    <row r="66" spans="1:23" ht="18.75" customHeight="1" thickBot="1" x14ac:dyDescent="0.3">
      <c r="A66" s="356"/>
      <c r="B66" s="357"/>
      <c r="C66" s="358"/>
      <c r="D66" s="357"/>
      <c r="E66" s="359"/>
      <c r="F66" s="359"/>
      <c r="G66" s="359"/>
      <c r="H66" s="359"/>
      <c r="I66" s="359"/>
      <c r="J66" s="359"/>
      <c r="K66" s="359"/>
      <c r="L66" s="359"/>
      <c r="M66" s="359"/>
      <c r="N66" s="359"/>
      <c r="O66" s="359"/>
      <c r="P66" s="359"/>
      <c r="Q66" s="359"/>
      <c r="R66" s="307"/>
      <c r="S66" s="326"/>
      <c r="T66" s="341"/>
      <c r="U66" s="341"/>
      <c r="V66" s="360" t="s">
        <v>372</v>
      </c>
      <c r="W66" s="361">
        <f>W56</f>
        <v>0</v>
      </c>
    </row>
    <row r="67" spans="1:23" ht="18.75" customHeight="1" thickBot="1" x14ac:dyDescent="0.3">
      <c r="A67" s="356"/>
      <c r="B67" s="357"/>
      <c r="C67" s="358"/>
      <c r="D67" s="357"/>
      <c r="E67" s="359"/>
      <c r="F67" s="359"/>
      <c r="G67" s="359"/>
      <c r="H67" s="359"/>
      <c r="I67" s="359"/>
      <c r="J67" s="359"/>
      <c r="K67" s="359"/>
      <c r="L67" s="359"/>
      <c r="M67" s="359"/>
      <c r="N67" s="359"/>
      <c r="O67" s="359"/>
      <c r="P67" s="359"/>
      <c r="Q67" s="359"/>
      <c r="R67" s="307"/>
      <c r="S67" s="326"/>
      <c r="T67" s="341"/>
      <c r="U67" s="341"/>
      <c r="V67" s="362" t="s">
        <v>403</v>
      </c>
      <c r="W67" s="363">
        <f>SUM(W64:W66)</f>
        <v>0</v>
      </c>
    </row>
    <row r="69" spans="1:23" ht="18.75" customHeight="1" x14ac:dyDescent="0.25">
      <c r="A69" s="356"/>
      <c r="B69" s="357"/>
      <c r="C69" s="358"/>
      <c r="D69" s="357"/>
      <c r="E69" s="359"/>
      <c r="F69" s="359"/>
      <c r="G69" s="359"/>
      <c r="H69" s="359"/>
      <c r="I69" s="359"/>
      <c r="J69" s="359"/>
      <c r="K69" s="359"/>
      <c r="L69" s="359"/>
      <c r="M69" s="359"/>
      <c r="N69" s="359"/>
      <c r="O69" s="359"/>
      <c r="P69" s="359"/>
      <c r="Q69" s="359"/>
      <c r="R69" s="307"/>
      <c r="S69" s="326"/>
      <c r="T69" s="341"/>
      <c r="U69" s="341"/>
      <c r="V69" s="360" t="s">
        <v>367</v>
      </c>
      <c r="W69" s="361">
        <f>Zusatzplatzkosten!H59</f>
        <v>0</v>
      </c>
    </row>
    <row r="70" spans="1:23" ht="18.75" customHeight="1" x14ac:dyDescent="0.25">
      <c r="A70" s="356"/>
      <c r="B70" s="357"/>
      <c r="C70" s="358"/>
      <c r="D70" s="357"/>
      <c r="E70" s="359"/>
      <c r="F70" s="359"/>
      <c r="G70" s="359"/>
      <c r="H70" s="359"/>
      <c r="I70" s="359"/>
      <c r="J70" s="359"/>
      <c r="K70" s="359"/>
      <c r="L70" s="359"/>
      <c r="M70" s="359"/>
      <c r="N70" s="359"/>
      <c r="O70" s="359"/>
      <c r="P70" s="359"/>
      <c r="Q70" s="359"/>
      <c r="R70" s="307"/>
      <c r="S70" s="326"/>
      <c r="T70" s="341"/>
      <c r="U70" s="341"/>
      <c r="V70" s="360" t="s">
        <v>370</v>
      </c>
      <c r="W70" s="361">
        <f>Zusatzplatzkosten!H60</f>
        <v>0</v>
      </c>
    </row>
    <row r="71" spans="1:23" ht="18.75" customHeight="1" thickBot="1" x14ac:dyDescent="0.3">
      <c r="A71" s="156"/>
      <c r="B71" s="156"/>
      <c r="C71" s="156"/>
      <c r="D71" s="156"/>
      <c r="E71" s="156"/>
      <c r="F71" s="156"/>
      <c r="G71" s="156"/>
      <c r="H71" s="156"/>
      <c r="I71" s="156"/>
      <c r="J71" s="156"/>
      <c r="K71" s="156"/>
      <c r="L71" s="156"/>
      <c r="M71" s="156"/>
      <c r="N71" s="156"/>
      <c r="O71" s="156"/>
      <c r="P71" s="156"/>
      <c r="Q71" s="156"/>
      <c r="R71" s="156"/>
      <c r="S71" s="156"/>
      <c r="T71" s="156"/>
      <c r="U71" s="156"/>
      <c r="V71" s="360" t="s">
        <v>372</v>
      </c>
      <c r="W71" s="361">
        <f>Zusatzplatzkosten!H61</f>
        <v>0</v>
      </c>
    </row>
    <row r="72" spans="1:23" ht="18.75" customHeight="1" thickBot="1" x14ac:dyDescent="0.3">
      <c r="A72" s="156"/>
      <c r="B72" s="156"/>
      <c r="C72" s="156"/>
      <c r="D72" s="156"/>
      <c r="E72" s="156"/>
      <c r="F72" s="156"/>
      <c r="G72" s="156"/>
      <c r="H72" s="156"/>
      <c r="I72" s="156"/>
      <c r="J72" s="156"/>
      <c r="K72" s="156"/>
      <c r="L72" s="156"/>
      <c r="M72" s="156"/>
      <c r="N72" s="156"/>
      <c r="O72" s="156"/>
      <c r="P72" s="156"/>
      <c r="Q72" s="156"/>
      <c r="R72" s="156"/>
      <c r="S72" s="156"/>
      <c r="T72" s="156"/>
      <c r="U72" s="156"/>
      <c r="V72" s="364" t="s">
        <v>404</v>
      </c>
      <c r="W72" s="363">
        <f>Zusatzplatzkosten!H62</f>
        <v>0</v>
      </c>
    </row>
    <row r="74" spans="1:23" ht="18.75" customHeight="1" x14ac:dyDescent="0.25">
      <c r="A74" s="356"/>
      <c r="B74" s="357"/>
      <c r="C74" s="358"/>
      <c r="D74" s="357"/>
      <c r="E74" s="359"/>
      <c r="F74" s="359"/>
      <c r="G74" s="359"/>
      <c r="H74" s="359"/>
      <c r="I74" s="359"/>
      <c r="J74" s="359"/>
      <c r="K74" s="359"/>
      <c r="L74" s="359"/>
      <c r="M74" s="359"/>
      <c r="N74" s="359"/>
      <c r="O74" s="359"/>
      <c r="P74" s="359"/>
      <c r="Q74" s="359"/>
      <c r="R74" s="307"/>
      <c r="S74" s="326"/>
      <c r="T74" s="341"/>
      <c r="U74" s="341"/>
      <c r="V74" s="360" t="s">
        <v>367</v>
      </c>
      <c r="W74" s="361">
        <f>W64+W69</f>
        <v>0</v>
      </c>
    </row>
    <row r="75" spans="1:23" ht="18.75" customHeight="1" x14ac:dyDescent="0.25">
      <c r="A75" s="356"/>
      <c r="B75" s="357"/>
      <c r="C75" s="358"/>
      <c r="D75" s="357"/>
      <c r="E75" s="359"/>
      <c r="F75" s="359"/>
      <c r="G75" s="359"/>
      <c r="H75" s="359"/>
      <c r="I75" s="359"/>
      <c r="J75" s="359"/>
      <c r="K75" s="359"/>
      <c r="L75" s="359"/>
      <c r="M75" s="359"/>
      <c r="N75" s="359"/>
      <c r="O75" s="359"/>
      <c r="P75" s="359"/>
      <c r="Q75" s="359"/>
      <c r="R75" s="307"/>
      <c r="S75" s="326"/>
      <c r="T75" s="341"/>
      <c r="U75" s="341"/>
      <c r="V75" s="360" t="s">
        <v>370</v>
      </c>
      <c r="W75" s="361">
        <f>W65+W70</f>
        <v>0</v>
      </c>
    </row>
    <row r="76" spans="1:23" ht="18.75" customHeight="1" thickBot="1" x14ac:dyDescent="0.3">
      <c r="A76" s="156"/>
      <c r="B76" s="156"/>
      <c r="C76" s="156"/>
      <c r="D76" s="156"/>
      <c r="E76" s="156"/>
      <c r="F76" s="156"/>
      <c r="G76" s="156"/>
      <c r="H76" s="156"/>
      <c r="I76" s="156"/>
      <c r="J76" s="156"/>
      <c r="K76" s="156"/>
      <c r="L76" s="156"/>
      <c r="M76" s="156"/>
      <c r="N76" s="156"/>
      <c r="O76" s="156"/>
      <c r="P76" s="156"/>
      <c r="Q76" s="156"/>
      <c r="R76" s="156"/>
      <c r="S76" s="156"/>
      <c r="T76" s="156"/>
      <c r="U76" s="156"/>
      <c r="V76" s="360" t="s">
        <v>372</v>
      </c>
      <c r="W76" s="361">
        <f>W66+W71</f>
        <v>0</v>
      </c>
    </row>
    <row r="77" spans="1:23" ht="18.75" customHeight="1" thickBot="1" x14ac:dyDescent="0.3">
      <c r="A77" s="156"/>
      <c r="B77" s="156"/>
      <c r="C77" s="156"/>
      <c r="D77" s="156"/>
      <c r="E77" s="156"/>
      <c r="F77" s="156"/>
      <c r="G77" s="156"/>
      <c r="H77" s="156"/>
      <c r="I77" s="156"/>
      <c r="J77" s="156"/>
      <c r="K77" s="156"/>
      <c r="L77" s="156"/>
      <c r="M77" s="156"/>
      <c r="N77" s="156"/>
      <c r="O77" s="156"/>
      <c r="P77" s="156"/>
      <c r="Q77" s="156"/>
      <c r="R77" s="156"/>
      <c r="S77" s="156"/>
      <c r="T77" s="156"/>
      <c r="U77" s="156"/>
      <c r="V77" s="362" t="s">
        <v>405</v>
      </c>
      <c r="W77" s="363">
        <f>SUM(W74:W76)</f>
        <v>0</v>
      </c>
    </row>
    <row r="78" spans="1:23" ht="24.6" customHeight="1" x14ac:dyDescent="0.25">
      <c r="A78" s="156"/>
      <c r="B78" s="156"/>
      <c r="C78" s="156"/>
      <c r="D78" s="156"/>
      <c r="E78" s="156"/>
      <c r="F78" s="156"/>
      <c r="G78" s="156"/>
      <c r="H78" s="156"/>
      <c r="I78" s="156"/>
      <c r="J78" s="156"/>
      <c r="K78" s="156"/>
      <c r="L78" s="156"/>
      <c r="M78" s="156"/>
      <c r="N78" s="156"/>
      <c r="O78" s="156"/>
      <c r="P78" s="156"/>
      <c r="Q78" s="156"/>
      <c r="R78" s="156"/>
      <c r="S78" s="156"/>
      <c r="T78" s="156"/>
      <c r="U78" s="156"/>
    </row>
    <row r="79" spans="1:23" ht="24.6" customHeight="1" x14ac:dyDescent="0.25">
      <c r="A79" s="156"/>
      <c r="B79" s="156"/>
      <c r="C79" s="156"/>
      <c r="D79" s="156"/>
      <c r="E79" s="156"/>
      <c r="F79" s="156"/>
      <c r="G79" s="156"/>
      <c r="H79" s="156"/>
      <c r="I79" s="156"/>
      <c r="J79" s="156"/>
      <c r="K79" s="156"/>
      <c r="L79" s="156"/>
      <c r="M79" s="156"/>
      <c r="N79" s="156"/>
      <c r="O79" s="156"/>
      <c r="P79" s="156"/>
      <c r="Q79" s="156"/>
      <c r="R79" s="156"/>
      <c r="S79" s="156"/>
      <c r="T79" s="156"/>
      <c r="U79" s="156"/>
    </row>
    <row r="80" spans="1:23" x14ac:dyDescent="0.25">
      <c r="A80" s="156"/>
      <c r="B80" s="156"/>
      <c r="C80" s="156"/>
      <c r="D80" s="156"/>
      <c r="E80" s="156"/>
      <c r="F80" s="156"/>
      <c r="G80" s="156"/>
      <c r="H80" s="156"/>
      <c r="I80" s="156"/>
      <c r="J80" s="156"/>
      <c r="K80" s="156"/>
      <c r="L80" s="156"/>
      <c r="M80" s="156"/>
      <c r="N80" s="156"/>
      <c r="O80" s="156"/>
      <c r="P80" s="156"/>
      <c r="Q80" s="156"/>
      <c r="R80" s="156"/>
      <c r="S80" s="156"/>
      <c r="T80" s="156"/>
      <c r="U80" s="156"/>
    </row>
    <row r="166" spans="1:23" x14ac:dyDescent="0.25">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row>
    <row r="179" spans="1:23" x14ac:dyDescent="0.25">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row>
    <row r="180" spans="1:23" x14ac:dyDescent="0.25">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row>
    <row r="181" spans="1:23" x14ac:dyDescent="0.25">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row>
    <row r="182" spans="1:23" x14ac:dyDescent="0.25">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row>
  </sheetData>
  <mergeCells count="44">
    <mergeCell ref="A1:B1"/>
    <mergeCell ref="C1:W1"/>
    <mergeCell ref="A2:B2"/>
    <mergeCell ref="C2:W2"/>
    <mergeCell ref="A3:B3"/>
    <mergeCell ref="C3:W3"/>
    <mergeCell ref="R39:T39"/>
    <mergeCell ref="S5:S8"/>
    <mergeCell ref="T5:T8"/>
    <mergeCell ref="R25:T25"/>
    <mergeCell ref="A28:W28"/>
    <mergeCell ref="F5:F8"/>
    <mergeCell ref="W5:W8"/>
    <mergeCell ref="A5:A8"/>
    <mergeCell ref="B5:B8"/>
    <mergeCell ref="C5:C7"/>
    <mergeCell ref="D5:D8"/>
    <mergeCell ref="E5:E8"/>
    <mergeCell ref="R5:R8"/>
    <mergeCell ref="G5:G8"/>
    <mergeCell ref="H5:H8"/>
    <mergeCell ref="U5:U8"/>
    <mergeCell ref="V5:V8"/>
    <mergeCell ref="R22:T22"/>
    <mergeCell ref="R23:T23"/>
    <mergeCell ref="R24:T24"/>
    <mergeCell ref="A11:W11"/>
    <mergeCell ref="M5:M8"/>
    <mergeCell ref="N5:N8"/>
    <mergeCell ref="O5:O8"/>
    <mergeCell ref="P5:P8"/>
    <mergeCell ref="Q5:Q8"/>
    <mergeCell ref="I5:I8"/>
    <mergeCell ref="J5:J8"/>
    <mergeCell ref="K5:K8"/>
    <mergeCell ref="L5:L8"/>
    <mergeCell ref="R60:T60"/>
    <mergeCell ref="R61:T61"/>
    <mergeCell ref="R40:T40"/>
    <mergeCell ref="R41:T41"/>
    <mergeCell ref="R42:T42"/>
    <mergeCell ref="A45:W45"/>
    <mergeCell ref="R58:T58"/>
    <mergeCell ref="R59:T59"/>
  </mergeCells>
  <printOptions horizontalCentered="1"/>
  <pageMargins left="0.78740157480314965" right="0.78740157480314965" top="0.98425196850393704" bottom="0.39370078740157483" header="0.19685039370078741" footer="0.19685039370078741"/>
  <pageSetup paperSize="9" fitToHeight="0" orientation="portrait" r:id="rId1"/>
  <headerFooter>
    <oddHeader xml:space="preserve">&amp;L&amp;"Arial,Fett"&amp;22Salzlandkreis&amp;11
&amp;12Der Landrat&amp;C&amp;"Arial,Fett"
Ermittlung der Platzkosten&amp;R&amp;G
</oddHeader>
    <oddFooter>&amp;L&amp;"Arial,Standard"&amp;8Ausfertigung vom &amp;D &amp;T&amp;R&amp;"Arial,Standard"&amp;8&amp;P von &amp;N</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7</vt:i4>
      </vt:variant>
    </vt:vector>
  </HeadingPairs>
  <TitlesOfParts>
    <vt:vector size="33" baseType="lpstr">
      <vt:lpstr>Grundlagen</vt:lpstr>
      <vt:lpstr>Belegung</vt:lpstr>
      <vt:lpstr>päd Personal</vt:lpstr>
      <vt:lpstr>techn Personal</vt:lpstr>
      <vt:lpstr>Kostenplan</vt:lpstr>
      <vt:lpstr>INTERN Personalstunden</vt:lpstr>
      <vt:lpstr>INTERN Kostenrechnung</vt:lpstr>
      <vt:lpstr>INTERN Personal- und Sachkosten</vt:lpstr>
      <vt:lpstr>Platzkosten</vt:lpstr>
      <vt:lpstr>Zusatzplatzkosten</vt:lpstr>
      <vt:lpstr>päd.Personal - Leitung</vt:lpstr>
      <vt:lpstr>päd.Personal - Erzieher</vt:lpstr>
      <vt:lpstr>päd.Personal - Hilfskraft</vt:lpstr>
      <vt:lpstr>päd.Personal - ATZ aktiv,passiv</vt:lpstr>
      <vt:lpstr>päd.Personal - Auszubildende</vt:lpstr>
      <vt:lpstr>päd.Personal - Praktikant</vt:lpstr>
      <vt:lpstr>päd.Personal - unentgeltlich</vt:lpstr>
      <vt:lpstr>päd.Personal - BFD, FSJ</vt:lpstr>
      <vt:lpstr>päd.Personal - Heilpäd.FK</vt:lpstr>
      <vt:lpstr>päd.Personal - sonst.geringfüg.</vt:lpstr>
      <vt:lpstr>päd.Personal - § 23</vt:lpstr>
      <vt:lpstr>techn.Personal - Hausmeister</vt:lpstr>
      <vt:lpstr>techn.Personal - Reinigungskr.</vt:lpstr>
      <vt:lpstr>techn.Personal - Wirtschaftskr.</vt:lpstr>
      <vt:lpstr>techn.Personal - sonst.gering</vt:lpstr>
      <vt:lpstr>freigegeben (sonstiges)</vt:lpstr>
      <vt:lpstr>Anlage</vt:lpstr>
      <vt:lpstr>beantragt</vt:lpstr>
      <vt:lpstr>Belegung!Drucktitel</vt:lpstr>
      <vt:lpstr>'INTERN Kostenrechnung'!Drucktitel</vt:lpstr>
      <vt:lpstr>Kostenplan!Drucktitel</vt:lpstr>
      <vt:lpstr>'päd Personal'!Drucktitel</vt:lpstr>
      <vt:lpstr>'techn Personal'!Drucktitel</vt:lpstr>
    </vt:vector>
  </TitlesOfParts>
  <Company>SLK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Funke, Nicole 20</dc:creator>
  <cp:lastModifiedBy>Nagel, Corinne 24</cp:lastModifiedBy>
  <cp:lastPrinted>2021-07-15T12:57:26Z</cp:lastPrinted>
  <dcterms:created xsi:type="dcterms:W3CDTF">2016-11-09T08:54:26Z</dcterms:created>
  <dcterms:modified xsi:type="dcterms:W3CDTF">2021-08-13T09:05:30Z</dcterms:modified>
</cp:coreProperties>
</file>